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<sst xmlns="http://schemas.openxmlformats.org/spreadsheetml/2006/main" count="12186" uniqueCount="12186">
  <si>
    <t>Date Type:</t>
  </si>
  <si>
    <t>Shipped Date</t>
  </si>
  <si>
    <t>Start Date:</t>
  </si>
  <si>
    <t>03/01/2024</t>
  </si>
  <si>
    <t>End Date:</t>
  </si>
  <si>
    <t>03/31/2024</t>
  </si>
  <si>
    <t>Report Run Date:</t>
  </si>
  <si>
    <t>04/22/2024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</si>
  <si>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</si>
  <si>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</si>
  <si>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</si>
  <si>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</si>
  <si>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</si>
  <si>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</si>
  <si>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</si>
  <si>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</si>
  <si>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</si>
  <si>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</si>
  <si>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</si>
  <si>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</si>
  <si>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</si>
  <si>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</si>
  <si>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</si>
  <si>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</si>
  <si>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</si>
  <si>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</si>
  <si>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</si>
  <si>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</si>
  <si>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</si>
  <si>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</si>
  <si>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</si>
  <si>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</si>
  <si>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</si>
  <si>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</si>
  <si>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</si>
  <si>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</si>
  <si>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</si>
  <si>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</si>
  <si>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</si>
  <si>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</si>
  <si>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</si>
  <si>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</si>
  <si>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</si>
  <si>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</si>
  <si>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</si>
  <si>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</si>
  <si>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</si>
  <si>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</si>
  <si>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</si>
  <si>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</si>
  <si>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</si>
  <si>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</si>
  <si>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</si>
  <si>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</si>
  <si>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</si>
  <si>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</si>
  <si>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</si>
  <si>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</si>
  <si>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</si>
  <si>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</si>
  <si>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</si>
  <si>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</si>
  <si>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</si>
  <si>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</si>
  <si>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</si>
  <si>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</si>
  <si>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</si>
  <si>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</si>
  <si>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</si>
  <si>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</si>
  <si>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</si>
  <si>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</si>
  <si>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</si>
  <si>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</si>
  <si>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</si>
  <si>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</si>
  <si>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</si>
  <si>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</si>
  <si>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</si>
  <si>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</si>
  <si>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</si>
  <si>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</si>
  <si>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</si>
  <si>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</si>
  <si>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</si>
  <si>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</si>
  <si>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MP10-4882</t>
  </si>
  <si>
    <t>ADUL</t>
  </si>
  <si>
    <t>Madison Park</t>
  </si>
  <si>
    <t>COMFORTER (SET)</t>
  </si>
  <si>
    <t>Comforter (Set)</t>
  </si>
  <si>
    <t>Bellagio</t>
  </si>
  <si>
    <t>Venetian</t>
  </si>
  <si>
    <t>Mirage</t>
  </si>
  <si>
    <t>7 Piece Jacquard Comforter Set</t>
  </si>
  <si>
    <t>Queen</t>
  </si>
  <si>
    <t>Grey</t>
  </si>
  <si>
    <t>Active</t>
  </si>
  <si>
    <t>B</t>
  </si>
  <si>
    <t>NO</t>
  </si>
  <si>
    <t/>
  </si>
  <si>
    <t>PF002677</t>
  </si>
  <si>
    <t>7</t>
  </si>
  <si>
    <t>Medallion</t>
  </si>
  <si>
    <t>Traditional</t>
  </si>
  <si>
    <t>Transitional|Glam/Luxury</t>
  </si>
  <si>
    <t>8/18/2017</t>
  </si>
  <si>
    <t>5/8/2024</t>
  </si>
  <si>
    <t>AMAZON,AMAZONDS,BLK01,CSNSTORES,FINGERHUTDS,JCPENNEY01,KOHLDSN,MACY02,NRTPORT,OVERSTOCK01,TGTDVS,WALMARTDS</t>
  </si>
  <si>
    <t>Setup</t>
  </si>
  <si>
    <t>1/9/2018</t>
  </si>
  <si>
    <t>1/22/2018</t>
  </si>
  <si>
    <t>No</t>
  </si>
  <si>
    <t>MP10-4883</t>
  </si>
  <si>
    <t>King</t>
  </si>
  <si>
    <t>AMAZON,BLK01,CSNSTORES,DESINC,FINGERHUTDS,JCPENNEY01,KOHLDSN,MACY02,NRTPORT,OVERSTOCK01,TGTDVS,WALMARTDS</t>
  </si>
  <si>
    <t>4/3/2018</t>
  </si>
  <si>
    <t>MP10-4884</t>
  </si>
  <si>
    <t>Cal King</t>
  </si>
  <si>
    <t>AMAZON,BLK01,CSNSTORES,JCPENNEY01,KOHLDSN,MACY02,NRTPORT,OVERSTOCK01,TGTDVS,WALMARTDS</t>
  </si>
  <si>
    <t>5/2/2018</t>
  </si>
  <si>
    <t>MP10-4534</t>
  </si>
  <si>
    <t>Brown/Gold</t>
  </si>
  <si>
    <t>A</t>
  </si>
  <si>
    <t>PF003397</t>
  </si>
  <si>
    <t>6/14/2017</t>
  </si>
  <si>
    <t>AMAZON,AMAZONDS,BEALLSDS,BLK01,CSNSTORES,FINGERHUTDS,JCPENNEY01,KOHLDSN,NRTPORT,OLLIIX,OVERSTOCK01,TGTDVS,WALMARTDS</t>
  </si>
  <si>
    <t>11/23/2017</t>
  </si>
  <si>
    <t>12/21/2017</t>
  </si>
  <si>
    <t>MP10-4535</t>
  </si>
  <si>
    <t>5/23/2024</t>
  </si>
  <si>
    <t>AMAZON,BLK01,CSNSTORES,HSNDS,JCPENNEY01,KOHLDSN,NRTPORT,OVERSTOCK01,TGTDVS</t>
  </si>
  <si>
    <t>2/12/2018</t>
  </si>
  <si>
    <t>MP10-4025</t>
  </si>
  <si>
    <t>Palisades</t>
  </si>
  <si>
    <t>Hanover</t>
  </si>
  <si>
    <t>Overland</t>
  </si>
  <si>
    <t>7 Piece Faux Suede Comforter Set</t>
  </si>
  <si>
    <t>Brown</t>
  </si>
  <si>
    <t>A+</t>
  </si>
  <si>
    <t>PF002698</t>
  </si>
  <si>
    <t>Pieced</t>
  </si>
  <si>
    <t>Transitional</t>
  </si>
  <si>
    <t>Traditional|Casual</t>
  </si>
  <si>
    <t>4/2/2017</t>
  </si>
  <si>
    <t>5/14/2024</t>
  </si>
  <si>
    <t>AMAZON,CSNSTORES,FINGERHUTDS,KOHLDSN,MACY02,OVERSTOCK01,ROOMECOM,TGTDVS,WALMARTDS</t>
  </si>
  <si>
    <t>7/18/2017</t>
  </si>
  <si>
    <t>9/18/2017</t>
  </si>
  <si>
    <t>Yes</t>
  </si>
  <si>
    <t>MP10-4026</t>
  </si>
  <si>
    <t>4/8/2017</t>
  </si>
  <si>
    <t>AMAZON,AMAZONDS,CSNSTORES,FINGERHUTDS,JCPENNEY01,KOHLDSN,MACY02,OVERSCONSIGN,OVERSTOCK01,WALMARTDS</t>
  </si>
  <si>
    <t>9/6/2017</t>
  </si>
  <si>
    <t>MP10-185</t>
  </si>
  <si>
    <t>Coral</t>
  </si>
  <si>
    <t>B+</t>
  </si>
  <si>
    <t>PF002694</t>
  </si>
  <si>
    <t>AMAZON,CSNSTORES,FINGERHUTDS,KOHLDSN,OVERSTOCK01,ROOMECOM,TGTDVS</t>
  </si>
  <si>
    <t>7/30/2016</t>
  </si>
  <si>
    <t>1/5/2015</t>
  </si>
  <si>
    <t>MP10-186</t>
  </si>
  <si>
    <t>AMAZON,CSNSTORES,JCPENNEY01,KOHLDSN,OVERSTOCK01,WALMARTDS</t>
  </si>
  <si>
    <t>1/9/2015</t>
  </si>
  <si>
    <t>MP10-7483</t>
  </si>
  <si>
    <t>Black</t>
  </si>
  <si>
    <t>PP000481;PF005455</t>
  </si>
  <si>
    <t>Suede</t>
  </si>
  <si>
    <t>Casual|Traditional</t>
  </si>
  <si>
    <t>7/5/2021</t>
  </si>
  <si>
    <t>AMAZON,CSNSTORES,FINGERHUTDS,KOHLDSN,MACY02,NRTPORT,OLLIIX,OVERSTOCK01,TGTDVS</t>
  </si>
  <si>
    <t>Ready To Offer</t>
  </si>
  <si>
    <t>MP10-7484</t>
  </si>
  <si>
    <t>7/10/2024</t>
  </si>
  <si>
    <t>AMAZON,BLK01,CSNSTORES,FINGERHUTDS,JCPENNEY01,MACY02,NRTPORT,OLLIIX,OVERSTOCK01,TGTDVS</t>
  </si>
  <si>
    <t>MP10-7485</t>
  </si>
  <si>
    <t>7/6/2021</t>
  </si>
  <si>
    <t>AMAZON,FINGERHUTDS,JCPENNEY01,KOHLDSN,MACY02,OVERSTOCK01,TGTDVS</t>
  </si>
  <si>
    <t>MP10-1318</t>
  </si>
  <si>
    <t>Blue</t>
  </si>
  <si>
    <t>PF002695;PP000481</t>
  </si>
  <si>
    <t>OVERSTOCK01,TGTDVS</t>
  </si>
  <si>
    <t>1/5/2016</t>
  </si>
  <si>
    <t>MP10-6164</t>
  </si>
  <si>
    <t>Cassandra</t>
  </si>
  <si>
    <t>Gisele</t>
  </si>
  <si>
    <t>Maddy</t>
  </si>
  <si>
    <t>8 Piece Cotton Printed Comforter Set</t>
  </si>
  <si>
    <t>Blush</t>
  </si>
  <si>
    <t>PF004581;PP001093</t>
  </si>
  <si>
    <t>Cotton</t>
  </si>
  <si>
    <t>8</t>
  </si>
  <si>
    <t>Floral</t>
  </si>
  <si>
    <t>Shabby Chic</t>
  </si>
  <si>
    <t>Casual|Modern/Contemporary</t>
  </si>
  <si>
    <t>5/1/2019</t>
  </si>
  <si>
    <t>6/8/2024</t>
  </si>
  <si>
    <t>AMAZON,AMAZONDS,BLK01,CSNSTORES,FINGERHUTDS,HDDS,JCPENNEY01,KOHLDSN,MACY02,OLLIIX,OVERSTOCK01,TGTDVS,WALMARTDS</t>
  </si>
  <si>
    <t>10/23/2019</t>
  </si>
  <si>
    <t>11/18/2019</t>
  </si>
  <si>
    <t>MP10-6165</t>
  </si>
  <si>
    <t>6/4/2024</t>
  </si>
  <si>
    <t>AMAZON,AMAZONDS,BLK01,CSNSTORES,FINGERHUTDS,JCPENNEY01,KOHLDSN,MACY02,OLLIIX,OVERSTOCK01,TGTDVS,WALMARTDS</t>
  </si>
  <si>
    <t>10/24/2019</t>
  </si>
  <si>
    <t>3/2/2020</t>
  </si>
  <si>
    <t>MP10-6166</t>
  </si>
  <si>
    <t>5/18/2024</t>
  </si>
  <si>
    <t>AMAZON,CSNSTORES,MACY02,OLLIIX,OVERSTOCK01,ROOMECOM,TGTDVS</t>
  </si>
  <si>
    <t>4/16/2020</t>
  </si>
  <si>
    <t>MP10-7834</t>
  </si>
  <si>
    <t>PP001093;PF005653</t>
  </si>
  <si>
    <t>Modern/Contemporary|Casual</t>
  </si>
  <si>
    <t>4/4/2022</t>
  </si>
  <si>
    <t>AMAZONDS,CSNSTORES,HSNDS,JCPENNEY01,KOHLDSN,MACY02,OVERSTOCK01,TGTDVS</t>
  </si>
  <si>
    <t>MP10-7835</t>
  </si>
  <si>
    <t>AMAZONDS,BLK01,CSNSTORES,KOHLDSN,MACY02,OVERSTOCK01,TGTDVS</t>
  </si>
  <si>
    <t>MP10-7836</t>
  </si>
  <si>
    <t>AMAZONDS,CSNSTORES,HSNDS,JCPENNEY01,OVERSTOCK01</t>
  </si>
  <si>
    <t>MP10-4344</t>
  </si>
  <si>
    <t>Donovan</t>
  </si>
  <si>
    <t>Blaine</t>
  </si>
  <si>
    <t>Perry</t>
  </si>
  <si>
    <t>7 Piece Jacquard Comforter Set with Throw Pillows</t>
  </si>
  <si>
    <t>Navy</t>
  </si>
  <si>
    <t>PF002605</t>
  </si>
  <si>
    <t>6/2/2017</t>
  </si>
  <si>
    <t>AMAZON,AMAZONDS,BIGLOTSDS,CSNSTORES,JCPENNEY01,KOHLDSN,MACY02,NRTPORT,OLLIIX,OVERSTOCK01,TGTDVS</t>
  </si>
  <si>
    <t>12/11/2017</t>
  </si>
  <si>
    <t>MP10-4345</t>
  </si>
  <si>
    <t>6/7/2017</t>
  </si>
  <si>
    <t>AMAZON,BIGLOTSDS,CSNSTORES,JCPENNEY01,KOHLDSN,MACY02,NRTPORT,OLLIIX,OVERSTOCK01,TGTDVS,WALMARTDS</t>
  </si>
  <si>
    <t>1/11/2018</t>
  </si>
  <si>
    <t>MP10-4346</t>
  </si>
  <si>
    <t>AMAZON,BIGLOTSDS,CSNSTORES,JCPENNEY01,MACY02,NRTPORT,OLLIIX,OVERSTOCK01,TGTDVS,WALMARTDS</t>
  </si>
  <si>
    <t>6/4/2018</t>
  </si>
  <si>
    <t>MP10-749</t>
  </si>
  <si>
    <t>Red</t>
  </si>
  <si>
    <t>PF002757;PP000411</t>
  </si>
  <si>
    <t>AMAZON,AMAZONDS,FINGERHUTDS,JCPENNEY01,KOHLDSN,MACY02,NRTPORT,OVERSTOCK01,TGTDVS,WALMARTDS</t>
  </si>
  <si>
    <t>5/28/2015</t>
  </si>
  <si>
    <t>MP10-750</t>
  </si>
  <si>
    <t>AMAZON,JCPENNEY01,MACY02,OLLIIX,OVERSTOCK01,TGTDVS,WALMARTDS</t>
  </si>
  <si>
    <t>6/22/2015</t>
  </si>
  <si>
    <t>MP10-8280</t>
  </si>
  <si>
    <t>PP000411;PF006063</t>
  </si>
  <si>
    <t>8/24/2023</t>
  </si>
  <si>
    <t>CSNSTORES,JCPENNEY01,KOHLDSN,NRTPORT,OLLIIX,OVERSTOCK01,TGTDVS</t>
  </si>
  <si>
    <t>MP10-8281</t>
  </si>
  <si>
    <t>CSNSTORES,JCPENNEY01,OLLIIX,OVERSCONSIGN,OVERSTOCK01,TGTDVS</t>
  </si>
  <si>
    <t>MP10-8282</t>
  </si>
  <si>
    <t>CSNSTORES,JCPENNEY01,OVERSTOCK01</t>
  </si>
  <si>
    <t>MP10-637</t>
  </si>
  <si>
    <t>Serene</t>
  </si>
  <si>
    <t>Belle</t>
  </si>
  <si>
    <t>Monroe</t>
  </si>
  <si>
    <t>Embroidered 7 Piece Comforter Set</t>
  </si>
  <si>
    <t>Green</t>
  </si>
  <si>
    <t>PF003400;PP000505</t>
  </si>
  <si>
    <t>AMAZON,BIGLOTSDS,CSNSTORES,JCPENNEY01,KOHLDSN,OVERSTOCK01,TGTDVS,WALMARTDS</t>
  </si>
  <si>
    <t>1/12/2015</t>
  </si>
  <si>
    <t>MP10-307</t>
  </si>
  <si>
    <t>PF003399;PP000505</t>
  </si>
  <si>
    <t>4/22/2024</t>
  </si>
  <si>
    <t>AMAZON,BLK01,FINGERHUTDS,JCPENNEY01,KOHLDSN,MACY02,NRTPORT,OVERSTOCK01,ROOMECOM,TGTDVS,WALMARTDS</t>
  </si>
  <si>
    <t>MP10-4669</t>
  </si>
  <si>
    <t>Ridge</t>
  </si>
  <si>
    <t>Pioneer</t>
  </si>
  <si>
    <t>Warren</t>
  </si>
  <si>
    <t>7 Piece Herringbone Comforter Set</t>
  </si>
  <si>
    <t>Plaid</t>
  </si>
  <si>
    <t>Lodge/Cabin</t>
  </si>
  <si>
    <t>Casual|Transitional</t>
  </si>
  <si>
    <t>9/1/2017</t>
  </si>
  <si>
    <t>AMAZON,CSNSTORES,KOHLDSN,NRTPORT,OLLIIX,OVERSTOCK01,TGTDVS,WALMARTDS,ZOLA</t>
  </si>
  <si>
    <t>2/13/2018</t>
  </si>
  <si>
    <t>3/1/2018</t>
  </si>
  <si>
    <t>MP10-4670</t>
  </si>
  <si>
    <t>AMAZON,CSNSTORES,MACY02,OVERSTOCK01,WALMARTDS</t>
  </si>
  <si>
    <t>7/23/2018</t>
  </si>
  <si>
    <t>MP10-4671</t>
  </si>
  <si>
    <t>CSNSTORES,JCPENNEY01,OVERSTOCK01,WALMARTDS</t>
  </si>
  <si>
    <t>2/26/2018</t>
  </si>
  <si>
    <t>MP10-4677</t>
  </si>
  <si>
    <t>AMAZON,CSNSTORES,HSNDS,KOHLDSN,MACY02,OLLIIX,OVERSTOCK01,TGTDVS</t>
  </si>
  <si>
    <t>2/22/2018</t>
  </si>
  <si>
    <t>MP10-4678</t>
  </si>
  <si>
    <t>AMAZON,CSNSTORES,HDDS,JCPENNEY01,MACY02,NRTPORT,OLLIIX,OVERSTOCK01,TGTDVS</t>
  </si>
  <si>
    <t>9/20/2018</t>
  </si>
  <si>
    <t>MP10-7212</t>
  </si>
  <si>
    <t>Neutral</t>
  </si>
  <si>
    <t>PP001537;PF005192</t>
  </si>
  <si>
    <t>10/5/2020</t>
  </si>
  <si>
    <t>AMAZON,CSNSTORES,HDDS,JCPENNEY01,KOHLDSN,MACY02,OLLIIX,OVERSCONSIGN,OVERSTOCK01,TGTDVS</t>
  </si>
  <si>
    <t>MP10-7213</t>
  </si>
  <si>
    <t>AMAZON,CSNSTORES,HOUZZ,JCPENNEY01,KOHLDSN,MACY02,OLLIIX,OVERSTOCK01,TGTDVS</t>
  </si>
  <si>
    <t>MP10-7214</t>
  </si>
  <si>
    <t>CSNSTORES,HDDS,JCPENNEY01,KOHLDSN,NRTPORT,OVERSTOCK01,TGTDVS</t>
  </si>
  <si>
    <t>MP10-6836</t>
  </si>
  <si>
    <t>Odette</t>
  </si>
  <si>
    <t>Dillon</t>
  </si>
  <si>
    <t>Eliot</t>
  </si>
  <si>
    <t>8 Piece Jacquard Comforter Set</t>
  </si>
  <si>
    <t>Navy/Silver</t>
  </si>
  <si>
    <t>PP000900;PF004968</t>
  </si>
  <si>
    <t>Damask</t>
  </si>
  <si>
    <t>Glam/Luxury|Transitional</t>
  </si>
  <si>
    <t>12/17/2019</t>
  </si>
  <si>
    <t>5/3/2024</t>
  </si>
  <si>
    <t>AMAZON,BLK01,CSNSTORES,KOHLDSN,MACY02,OLLIIX,OVERSTOCK01,TGTDVS</t>
  </si>
  <si>
    <t>12/25/2019</t>
  </si>
  <si>
    <t>2/12/2020</t>
  </si>
  <si>
    <t>MP10-6838</t>
  </si>
  <si>
    <t>5/29/2024</t>
  </si>
  <si>
    <t>AMAZON,BLK01,CSNSTORES,JCPENNEY01,KOHLDSN,MACY02,OVERSTOCK01,TGTDVS,WALMARTDS</t>
  </si>
  <si>
    <t>3/6/2020</t>
  </si>
  <si>
    <t>MP10-5887</t>
  </si>
  <si>
    <t>Silver/Silver</t>
  </si>
  <si>
    <t>A++</t>
  </si>
  <si>
    <t>PF004304;PP000900</t>
  </si>
  <si>
    <t>5/1/2018</t>
  </si>
  <si>
    <t>AMAZON,BLK01,CSNSTORES,JCPENNEY01,MACY02,OVERSTOCK01,TGTDVS,WALMARTDS</t>
  </si>
  <si>
    <t>8/13/2019</t>
  </si>
  <si>
    <t>11/15/2019</t>
  </si>
  <si>
    <t>MP10-8079</t>
  </si>
  <si>
    <t>Eilot</t>
  </si>
  <si>
    <t>Aqua/Silver</t>
  </si>
  <si>
    <t>PP000900;PF005801</t>
  </si>
  <si>
    <t>9/8/2022</t>
  </si>
  <si>
    <t>AMAZONDS,BLK01,CSNSTORES,JCPENNEY01,KOHLDSN,MACY02,OVERSTOCK01,TGTDVS</t>
  </si>
  <si>
    <t>MP10-8080</t>
  </si>
  <si>
    <t>7/17/2024</t>
  </si>
  <si>
    <t>AMAZONDS,CSNSTORES,JCPENNEY01,KOHLDSN,MACY02,OVERSCONSIGN,OVERSTOCK01,TGTDVS</t>
  </si>
  <si>
    <t>MP10-8081</t>
  </si>
  <si>
    <t>AMAZONDS,CSNSTORES,JCPENNEY01,MACY02,OVERSTOCK01</t>
  </si>
  <si>
    <t>MP10-6287</t>
  </si>
  <si>
    <t>Tan/Ivory</t>
  </si>
  <si>
    <t>PP000900;PF004650</t>
  </si>
  <si>
    <t>5/3/2019</t>
  </si>
  <si>
    <t>AMAZON,AMERSIGNDS,BLK01,CSNSTORES,KOHLDSN,MACY02,OLLIIX,OVERSCONSIGN,OVERSTOCK01,TGTDVS</t>
  </si>
  <si>
    <t>1/28/2020</t>
  </si>
  <si>
    <t>MP10-285</t>
  </si>
  <si>
    <t>Jackson Blocks</t>
  </si>
  <si>
    <t>Maddox</t>
  </si>
  <si>
    <t>7 Piece Microsuede Comforter Set</t>
  </si>
  <si>
    <t>PF002440</t>
  </si>
  <si>
    <t>AMAZON,CSNSTORES,DESINC,JCPENNEY01,MACY02,NRTPORT,OVERSTOCK01,TGTDVS,WALMARTDS</t>
  </si>
  <si>
    <t>7/20/2015</t>
  </si>
  <si>
    <t>MP10-436</t>
  </si>
  <si>
    <t>Lola</t>
  </si>
  <si>
    <t>Brianna</t>
  </si>
  <si>
    <t>Victoria</t>
  </si>
  <si>
    <t>Printed Cotton Sateen Comforter Set</t>
  </si>
  <si>
    <t>Twin/Twin XL</t>
  </si>
  <si>
    <t>Taupe Grey/Purple</t>
  </si>
  <si>
    <t>PF002454;PP000448</t>
  </si>
  <si>
    <t>6</t>
  </si>
  <si>
    <t>Farm House|Casual</t>
  </si>
  <si>
    <t>AMAZON,CSNSTORES,KOHLDSN,MACY02,TGTDVS</t>
  </si>
  <si>
    <t>1/2/2015</t>
  </si>
  <si>
    <t>MP10-259</t>
  </si>
  <si>
    <t>AMAZON,BLK01,CSNSTORES,KOHLDSN,MACY02,OVERSTOCK01,TGTDVS,WALMARTDS</t>
  </si>
  <si>
    <t>MP10-3396</t>
  </si>
  <si>
    <t>Rhapsody</t>
  </si>
  <si>
    <t>Melody</t>
  </si>
  <si>
    <t>Harmony</t>
  </si>
  <si>
    <t>Grey/Taupe</t>
  </si>
  <si>
    <t>PF002618</t>
  </si>
  <si>
    <t>Stripe</t>
  </si>
  <si>
    <t>Modern/Contemporary|Glam/Luxury</t>
  </si>
  <si>
    <t>AMAZON,AMAZONDS,AMERSIGNDS,BEALLSDS,CSNSTORES,JCPENNEY01,KOHLDSN,MACY02,NRTPORT,OLLIIX,OVERSCONSIGN,OVERSTOCK01,ROOMECOM,TGTDVS,WALMARTDS</t>
  </si>
  <si>
    <t>3/15/2017</t>
  </si>
  <si>
    <t>4/19/2017</t>
  </si>
  <si>
    <t>MP10-3398</t>
  </si>
  <si>
    <t>AMAZON,AMAZONDS,KOHLDSN,MACY02,OLLIIX,OVERSTOCK01,TGTDVS,WALMARTDS</t>
  </si>
  <si>
    <t>4/23/2018</t>
  </si>
  <si>
    <t>MP10-7420</t>
  </si>
  <si>
    <t>PP001573</t>
  </si>
  <si>
    <t>Glam/Luxury|Modern/Contemporary</t>
  </si>
  <si>
    <t>6/29/2021</t>
  </si>
  <si>
    <t>AMAZON,CSNSTORES,JCPENNEY01,KOHLDSN,MACY02,NRTPORT,OVERSTOCK01,TGTDVS</t>
  </si>
  <si>
    <t>MP10-7421</t>
  </si>
  <si>
    <t>6/23/2021</t>
  </si>
  <si>
    <t>AMAZONDS,CSNSTORES,JCPENNEY01,KOHLDSN,MACY02,NRTPORT,OLLIIX,OVERSTOCK01,TGTDVS</t>
  </si>
  <si>
    <t>MP10-7422</t>
  </si>
  <si>
    <t>AMAZON,CSNSTORES,JCPENNEY01,KOHLDSN,MACY02,OVERSTOCK01,TGTDVS</t>
  </si>
  <si>
    <t>MP10-7327</t>
  </si>
  <si>
    <t>Purple</t>
  </si>
  <si>
    <t>PF005291;PP001573</t>
  </si>
  <si>
    <t>1/28/2021</t>
  </si>
  <si>
    <t>7/31/2024</t>
  </si>
  <si>
    <t>AMAZON,AMAZONDS,CSNSTORES,DESINC,JCPENNEY01,KOHLDSN,MACY02,NRTPORT,OLLIIX,OVERSTOCK01,TGTDVS</t>
  </si>
  <si>
    <t>MP10-7328</t>
  </si>
  <si>
    <t>AMAZON,AMAZONDS,CSNSTORES,KOHLDSN,OVERSTOCK01,TGTDVS</t>
  </si>
  <si>
    <t>MP10-7329</t>
  </si>
  <si>
    <t>AMAZONDS,CSNSTORES,KOHLDSN,MACY02,OVERSTOCK01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</si>
  <si>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</si>
  <si>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</si>
  <si>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</si>
  <si>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</si>
  <si>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</si>
  <si>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</si>
  <si>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</si>
  <si>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</si>
  <si>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AMAZON,BEALLSDS,BLK01,CSNSTORES,MACY02,NRTPORT,OVERSTOCK01,TGTDVS,WALMARTDS</t>
  </si>
  <si>
    <t>11/2/2017</t>
  </si>
  <si>
    <t>3/13/2018</t>
  </si>
  <si>
    <t>MP10-4324</t>
  </si>
  <si>
    <t>AMAZONDS,BLK01,CSNSTORES,KOHLDSN,MACY02,OVERSTOCK01,WALMARTDS</t>
  </si>
  <si>
    <t>5/3/2018</t>
  </si>
  <si>
    <t>MP10-2268</t>
  </si>
  <si>
    <t>Palmer</t>
  </si>
  <si>
    <t>Teagan</t>
  </si>
  <si>
    <t>Dakota</t>
  </si>
  <si>
    <t>7 PC Pieced Faux Suede Comforter Set</t>
  </si>
  <si>
    <t>PF002446</t>
  </si>
  <si>
    <t>AMAZON,FINGERHUTDS,NRTPORT,OVERSTOCK01,WALMARTDS</t>
  </si>
  <si>
    <t>12/5/2016</t>
  </si>
  <si>
    <t>8/8/2017</t>
  </si>
  <si>
    <t>MP10-304</t>
  </si>
  <si>
    <t>PF002443</t>
  </si>
  <si>
    <t>AMAZON,BLK01,CSNSTORES,HDDS,JCPENNEY01,KOHLDSN,MACY02,NRTPORT,OLLIIX,OVERSTOCK01,ROOMECOM,TGTDVS,WALMARTDS</t>
  </si>
  <si>
    <t>MP10-305</t>
  </si>
  <si>
    <t>AMAZON,BLK01,CSNSTORES,HDDS,HSNDS,JCPENNEY01,KOHLDSN,MACY02,NRTPORT,OLLIIX,OVERSTOCK01</t>
  </si>
  <si>
    <t>MP10-424</t>
  </si>
  <si>
    <t>PF002441</t>
  </si>
  <si>
    <t>AMAZON,AMAZONDS,AMERSIGNDS,CSNSTORES,JCPENNEY01,KOHLDSN,MACY02,NRTPORT,OLLIIX,OVERSTOCK01,ROOMECOM,TGTDVS</t>
  </si>
  <si>
    <t>1/14/2015</t>
  </si>
  <si>
    <t>MP10-425</t>
  </si>
  <si>
    <t>AMAZON,AMAZONDS,CSNSTORES,HDDS,KOHLDSN,MACY02,NRTPORT,OVERSTOCK01,TGTDVS</t>
  </si>
  <si>
    <t>MP10-2263</t>
  </si>
  <si>
    <t>PF002445</t>
  </si>
  <si>
    <t>AMAZON,BLK01,CSNSTORES,KOHLDSN,MACY02,NRTPORT,OVERSTOCK01,TGTDVS</t>
  </si>
  <si>
    <t>2/8/2017</t>
  </si>
  <si>
    <t>MP10-2265</t>
  </si>
  <si>
    <t>AMAZON,AMAZONDS,CSNSTORES,KOHLDSN,MACY02,NRTPORT,OLLIIX,OVERSTOCK01,TGTDVS</t>
  </si>
  <si>
    <t>5/2/2017</t>
  </si>
  <si>
    <t>MP10-7488</t>
  </si>
  <si>
    <t>PP001625;PF005454</t>
  </si>
  <si>
    <t>Microfiber</t>
  </si>
  <si>
    <t>5/20/2021</t>
  </si>
  <si>
    <t>AMAZON,AMAZONDS,CSNSTORES,DESINC,KOHLDSN,NRTPORT,OLLIIX,OVERSTOCK01,TGTDVS</t>
  </si>
  <si>
    <t>MP10-7489</t>
  </si>
  <si>
    <t>AMAZON,AMAZONDS,CSNSTORES,KOHLDSN,MACY02,NRTPORT,OVERSTOCK01,TGTDVS</t>
  </si>
  <si>
    <t>MP10-7490</t>
  </si>
  <si>
    <t>AMAZON,AMAZONDS,CSNSTORES,KOHLDSN,MACY02,OVERSTOCK01,TGTDVS</t>
  </si>
  <si>
    <t>MP10-302</t>
  </si>
  <si>
    <t>Natural</t>
  </si>
  <si>
    <t>PF002444</t>
  </si>
  <si>
    <t>AMAZON,AMERSIGNDS,CSNSTORES,HDDS,JCPENNEY01,KOHLDSN,LAMPDS,MACY02,NRTPORT,OVERSCONSIGN,OVERSTOCK01,TGTDVS</t>
  </si>
  <si>
    <t>7/28/2015</t>
  </si>
  <si>
    <t>MP10-303</t>
  </si>
  <si>
    <t>AMAZON,AMAZONDS,BLK01,CSNSTORES,HDDS,JCPENNEY01,KOHLDSN,MACY02,NRTPORT,OVERSTOCK01,TGTDVS</t>
  </si>
  <si>
    <t>1/22/2015</t>
  </si>
  <si>
    <t>MP10-2529</t>
  </si>
  <si>
    <t>Celeste</t>
  </si>
  <si>
    <t>Isabella</t>
  </si>
  <si>
    <t>Alexis</t>
  </si>
  <si>
    <t>5 Piece Microfiber Ruffled Comforter Set</t>
  </si>
  <si>
    <t>White</t>
  </si>
  <si>
    <t>PF002762</t>
  </si>
  <si>
    <t>5</t>
  </si>
  <si>
    <t>Solid</t>
  </si>
  <si>
    <t>Cottage/Country|Farm House</t>
  </si>
  <si>
    <t>AMAZON,BLK01,CSNSTORES,HDDS,JCPENNEY01,KOHLDSN,MACY02,OVERSTOCK01,ROOMECOM,TGTDVS,WALMARTDS</t>
  </si>
  <si>
    <t>9/30/2016</t>
  </si>
  <si>
    <t>10/26/2016</t>
  </si>
  <si>
    <t>MP10-2417</t>
  </si>
  <si>
    <t>Bennett</t>
  </si>
  <si>
    <t>Christian</t>
  </si>
  <si>
    <t>William</t>
  </si>
  <si>
    <t>7 Piece Comforter Set</t>
  </si>
  <si>
    <t>Aqua</t>
  </si>
  <si>
    <t>PF002753</t>
  </si>
  <si>
    <t>Geometric</t>
  </si>
  <si>
    <t>AMAZON,CSNSTORES,KOHLDSN,OVERSTOCK01,WALMARTDS</t>
  </si>
  <si>
    <t>9/12/2016</t>
  </si>
  <si>
    <t>2/6/2017</t>
  </si>
  <si>
    <t>MP10-7392</t>
  </si>
  <si>
    <t>PP001609;PF005404</t>
  </si>
  <si>
    <t>5/10/2021</t>
  </si>
  <si>
    <t>AMAZON,CSNSTORES,JCPENNEY01,KOHLDSN,OVERSTOCK01,TGTDVS</t>
  </si>
  <si>
    <t>MP10-7393</t>
  </si>
  <si>
    <t>AMAZON,CSNSTORES,JCPENNEY01,KOHLDSN,OLLIIX,OVERSCONSIGN,OVERSTOCK01,TGTDVS</t>
  </si>
  <si>
    <t>MP10-7394</t>
  </si>
  <si>
    <t>AMAZON,JCPENNEY01,OLLIIX,OVERSTOCK01,TGTDVS</t>
  </si>
  <si>
    <t>MP10-6644</t>
  </si>
  <si>
    <t>Laurel</t>
  </si>
  <si>
    <t>Vivian</t>
  </si>
  <si>
    <t>Piedmont</t>
  </si>
  <si>
    <t>7 Piece Tufted Comforter Set</t>
  </si>
  <si>
    <t>Full</t>
  </si>
  <si>
    <t>PF002423;PP000440</t>
  </si>
  <si>
    <t>Border</t>
  </si>
  <si>
    <t>Modern/Contemporary</t>
  </si>
  <si>
    <t>9/16/2019</t>
  </si>
  <si>
    <t>AMAZON,BLK01,CSNSTORES,JCPENNEY01,KOHLDSN,MACY02,NRTPORT,OVERSTOCK01,TGTDVS</t>
  </si>
  <si>
    <t>5/31/2020</t>
  </si>
  <si>
    <t>7/22/2020</t>
  </si>
  <si>
    <t>MP10-5115</t>
  </si>
  <si>
    <t>9/28/2017</t>
  </si>
  <si>
    <t>AMAZON,AMAZONDS,AMERSIGNDS,BLK01,CSNSTORES,KOHLDSN,NRTPORT,OVERSCONSIGN,OVERSTOCK01,TGTDVS</t>
  </si>
  <si>
    <t>6/6/2018</t>
  </si>
  <si>
    <t>MP10-5116</t>
  </si>
  <si>
    <t>9/29/2017</t>
  </si>
  <si>
    <t>BLK01,KOHLDSN,OVERSTOCK01,TGTDVS,WALMARTDS</t>
  </si>
  <si>
    <t>6/20/2018</t>
  </si>
  <si>
    <t>MP10-659</t>
  </si>
  <si>
    <t>Plum</t>
  </si>
  <si>
    <t>PF002424;PP000440</t>
  </si>
  <si>
    <t>AMAZON,ASHFURNDS,BLK01,CSNSTORES,MACY02,NRTPORT,OVERSTOCK01,TGTDVS</t>
  </si>
  <si>
    <t>MP10-256</t>
  </si>
  <si>
    <t>AMAZON,AMAZONDS,BLK01,CSNSTORES,KOHLDSN,MACY02,OVERSTOCK01,TGTDVS</t>
  </si>
  <si>
    <t>1/6/2015</t>
  </si>
  <si>
    <t>MP10-2578</t>
  </si>
  <si>
    <t>PF002426;PP000440</t>
  </si>
  <si>
    <t>CSNSTORES,KOHLDSN,MACY02,OLLIIX,OVERSTOCK01,TGTDVS</t>
  </si>
  <si>
    <t>10/25/2016</t>
  </si>
  <si>
    <t>MP10-8128</t>
  </si>
  <si>
    <t>Andes</t>
  </si>
  <si>
    <t>Lennox</t>
  </si>
  <si>
    <t>Dallas</t>
  </si>
  <si>
    <t>5 Piece Corduroy Comforter Set</t>
  </si>
  <si>
    <t>Full/Queen</t>
  </si>
  <si>
    <t>Tan</t>
  </si>
  <si>
    <t>PP001830;PF005875</t>
  </si>
  <si>
    <t>Cottage/Country</t>
  </si>
  <si>
    <t>11/28/2022</t>
  </si>
  <si>
    <t>AMAZON,JCPENNEY01,KOHLDSN,MACY02,OLLIIX,OVERSTOCK01,TGTDVS</t>
  </si>
  <si>
    <t>MP10-8129</t>
  </si>
  <si>
    <t>King/Cal King</t>
  </si>
  <si>
    <t>AMAZON,AMERSIGNDS,CSNSTORES,JCPENNEY01,KOHLDSN,MACY02,OLLIIX,OVERSTOCK01,TGTDVS</t>
  </si>
  <si>
    <t>MP10-350</t>
  </si>
  <si>
    <t>Baxter</t>
  </si>
  <si>
    <t>Mason</t>
  </si>
  <si>
    <t>Grant</t>
  </si>
  <si>
    <t>7 Piece Jaquard Comforter Set</t>
  </si>
  <si>
    <t>Seafoam/Sage</t>
  </si>
  <si>
    <t>PF003395</t>
  </si>
  <si>
    <t>Boho|Modern/Contemporary</t>
  </si>
  <si>
    <t>BLK01,CSNSTORES,JCPENNEY01,KOHLDSN,MACY02,OVERSTOCK01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</si>
  <si>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</si>
  <si>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</si>
  <si>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</si>
  <si>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</si>
  <si>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</si>
  <si>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</si>
  <si>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</si>
  <si>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</si>
  <si>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</si>
  <si>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</si>
  <si>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5/6/2024</t>
  </si>
  <si>
    <t>AMAZON,AMAZONDS,BLK01,CSNSTORES,DESINC,HSNDS,JCPENNEY01,KOHLDSN,MACY02,OLLIIX,OVERSTOCK01,TGTDVS</t>
  </si>
  <si>
    <t>MP10-7383</t>
  </si>
  <si>
    <t>AMAZON,AMAZONDS,BLK01,CSNSTORES,FINGERHUTDS,JCPENNEY01,KOHLDSN,MACY02,OLLIIX,OVERSTOCK01</t>
  </si>
  <si>
    <t>MP10-7384</t>
  </si>
  <si>
    <t>AMAZONDS,DESINC,FINGERHUTDS,JCPENNEY01,KOHLDSN,MACY02,OVERSTOCK01,TGTDVS</t>
  </si>
  <si>
    <t>MP10-949</t>
  </si>
  <si>
    <t>Blaire</t>
  </si>
  <si>
    <t>Anderson</t>
  </si>
  <si>
    <t>Burnett</t>
  </si>
  <si>
    <t>PF002701</t>
  </si>
  <si>
    <t>BIGLOTSDS,BLK01,JCPENNEY01,KOHLDSN,MACY02,NRTPORT,OVERSTOCK01,TGTDVS</t>
  </si>
  <si>
    <t>MP10-6434</t>
  </si>
  <si>
    <t>Boone</t>
  </si>
  <si>
    <t>Westbrook</t>
  </si>
  <si>
    <t>Powell</t>
  </si>
  <si>
    <t>PF004738</t>
  </si>
  <si>
    <t>9/1/2019</t>
  </si>
  <si>
    <t>AMAZON,AMAZONDS,BLK01,DESINC,JCPENNEY01,MACY02,NRTPORT,OLLIIX,OVERSTOCK01,ROOMECOM,TGTDVS</t>
  </si>
  <si>
    <t>Offered</t>
  </si>
  <si>
    <t>MP10-6435</t>
  </si>
  <si>
    <t>AMAZON,BLK01,JCPENNEY01,KIRKLANDDS,KOHLDSN,MACY02,OLLIIX,OVERSTOCK01,ROOMECOM,TGTDVS</t>
  </si>
  <si>
    <t>MP10-6436</t>
  </si>
  <si>
    <t>AMAZON,FINGERHUTDS,JCPENNEY01,MACY02,OVERSTOCK01,ROOMECOM,TGTDVS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</si>
  <si>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</si>
  <si>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</si>
  <si>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</si>
  <si>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</si>
  <si>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</si>
  <si>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</si>
  <si>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</si>
  <si>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12/14/2020</t>
  </si>
  <si>
    <t>4/24/2024</t>
  </si>
  <si>
    <t>AMAZON,AMAZONDS,CSNSTORES,HDDS,JCPENNEY01,MACY02,OLLIIX,OVERSTOCK01,TGTDVS</t>
  </si>
  <si>
    <t>MP10-7296</t>
  </si>
  <si>
    <t>AMAZON,BLK01,CSNSTORES,HDDS,HSNDS,JCPENNEY01,KOHLDSN,MACY02,OLLIIX,OVERSTOCK01,TGTDVS</t>
  </si>
  <si>
    <t>MP10-7297</t>
  </si>
  <si>
    <t>AMAZON,CSNSTORES,HDDS,JCPENNEY01,KOHLDSN,MACY02,NRTPORT,OLLIIX,OVERSTOCK01,TGTDVS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</si>
  <si>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</si>
  <si>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</si>
  <si>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</si>
  <si>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</si>
  <si>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</si>
  <si>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</si>
  <si>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</si>
  <si>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AMAZON,AMAZONDS,BLK01,CSNSTORES,JCPENNEY01,KOHLDSN,NRTPORT,OVERSTOCK01,TGTDVS</t>
  </si>
  <si>
    <t>MP10-8288</t>
  </si>
  <si>
    <t>AMAZON,AMAZONDS,BLK01,CSNSTORES,KOHLDSN,OVERSTOCK01,TGTDVS</t>
  </si>
  <si>
    <t>MP10-8203</t>
  </si>
  <si>
    <t>PP001862;PF005960</t>
  </si>
  <si>
    <t>5/11/2023</t>
  </si>
  <si>
    <t>AMAZON,CSNSTORES,JCPENNEY01,KOHLDSN,MACY02,OVERSTOCK01</t>
  </si>
  <si>
    <t>MP10-8204</t>
  </si>
  <si>
    <t>AMAZON,BLK01,CSNSTORES,KOHLDSN,MACY02,OVERSTOCK01,TGTDVS</t>
  </si>
  <si>
    <t>MP10-1637</t>
  </si>
  <si>
    <t>Collins</t>
  </si>
  <si>
    <t>Saban</t>
  </si>
  <si>
    <t>Rodgers</t>
  </si>
  <si>
    <t>PF002736</t>
  </si>
  <si>
    <t>Casual</t>
  </si>
  <si>
    <t>AMAZON,CSNSTORES,JCPENNEY01,MACY02,OLLIIX,OVERSTOCK01,TGTDVS</t>
  </si>
  <si>
    <t>12/15/2016</t>
  </si>
  <si>
    <t>MP10-6866</t>
  </si>
  <si>
    <t>Dawn</t>
  </si>
  <si>
    <t>Vanessa</t>
  </si>
  <si>
    <t>Stella</t>
  </si>
  <si>
    <t>9 Piece Cotton Percale Comforter Set</t>
  </si>
  <si>
    <t>PP000407;PF004981</t>
  </si>
  <si>
    <t>9</t>
  </si>
  <si>
    <t>Shabby Chic|Transitional</t>
  </si>
  <si>
    <t>1/10/2020</t>
  </si>
  <si>
    <t>AMAZON,AMAZONDS,BLK01,CSNSTORES,DESINC,JCPENNEY01,KOHLDSN,NRTPORT,OLLIIX,OVERSTOCK01,TGTDVS</t>
  </si>
  <si>
    <t>MP10-6867</t>
  </si>
  <si>
    <t>MP10-6868</t>
  </si>
  <si>
    <t>AMAZON,AMAZONDS,CSNSTORES,JCPENNEY01,KOHLDSN,OVERSTOCK01,TGTDVS</t>
  </si>
  <si>
    <t>MP10-7277</t>
  </si>
  <si>
    <t>Yellow</t>
  </si>
  <si>
    <t>PP000407;PF005240</t>
  </si>
  <si>
    <t>11/12/2020</t>
  </si>
  <si>
    <t>5/25/2024</t>
  </si>
  <si>
    <t>AMAZON,AMAZONDS,BLK01,CSNSTORES,JCPENNEY01,OVERSTOCK01,TGTDVS</t>
  </si>
  <si>
    <t>MP10-7278</t>
  </si>
  <si>
    <t>AMAZON,AMAZONDS,CSNSTORES,JCPENNEY01,KOHLDSN,MACY02,OVERSTOCK01,TGTDVS</t>
  </si>
  <si>
    <t>MP10-7279</t>
  </si>
  <si>
    <t>AMAZON,AMAZONDS,BLK01,CSNSTORES,DESINC,NRTPORT,OVERSTOCK01,TGTDVS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</si>
  <si>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</si>
  <si>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</si>
  <si>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</si>
  <si>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</si>
  <si>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</si>
  <si>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</si>
  <si>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</si>
  <si>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Southwest</t>
  </si>
  <si>
    <t>7/25/2023</t>
  </si>
  <si>
    <t>CSNSTORES,JCPENNEY01,KOHLDSN,OLLIIX,OVERSTOCK01,TGTDVS</t>
  </si>
  <si>
    <t>MP10-8268</t>
  </si>
  <si>
    <t>8/7/2024</t>
  </si>
  <si>
    <t>CSNSTORES,JCPENNEY01,KOHLDSN,OVERSTOCK01,TGTDVS</t>
  </si>
  <si>
    <t>MP10-6567</t>
  </si>
  <si>
    <t>Genevieve</t>
  </si>
  <si>
    <t>Abigail</t>
  </si>
  <si>
    <t>Beverly</t>
  </si>
  <si>
    <t>Taupe/Brown</t>
  </si>
  <si>
    <t>PF004777</t>
  </si>
  <si>
    <t>8/15/2019</t>
  </si>
  <si>
    <t>5/26/2024</t>
  </si>
  <si>
    <t>BIGLOTSDS,CSNSTORES,FINGERHUTDS,KOHLDSN,MACY02,NRTPORT,OVERSTOCK01,TGTDVS</t>
  </si>
  <si>
    <t>MP10-6568</t>
  </si>
  <si>
    <t>AMAZON,BIGLOTSDS,BLK01,CSNSTORES,DESINC,KOHLDSN,MACY02,OVERSTOCK01,TGTDVS</t>
  </si>
  <si>
    <t>MP10-6569</t>
  </si>
  <si>
    <t>CSNSTORES,KOHLDSN,NRTPORT,OVERSTOCK01</t>
  </si>
  <si>
    <t>MP10-1027</t>
  </si>
  <si>
    <t>Hampton</t>
  </si>
  <si>
    <t>Richmond</t>
  </si>
  <si>
    <t>Cullen</t>
  </si>
  <si>
    <t>PF002709</t>
  </si>
  <si>
    <t>JCPENNEY01,KOHLDSN,MACY02,OLLIIX,OVERSTOCK01</t>
  </si>
  <si>
    <t>7/1/2015</t>
  </si>
  <si>
    <t>MP10-8243</t>
  </si>
  <si>
    <t>Heritage</t>
  </si>
  <si>
    <t>Lexington</t>
  </si>
  <si>
    <t>Lawrence</t>
  </si>
  <si>
    <t>8 Piece Comforter and Quilt Set Collection</t>
  </si>
  <si>
    <t>Taupe</t>
  </si>
  <si>
    <t>PF006015;PP001885</t>
  </si>
  <si>
    <t>7/5/2023</t>
  </si>
  <si>
    <t>6/14/2024</t>
  </si>
  <si>
    <t>AMAZON,CSNSTORES,JCPENNEY01,MACY02,NRTPORT,OVERSTOCK01,TGTDVS</t>
  </si>
  <si>
    <t>MP10-8244</t>
  </si>
  <si>
    <t>AMAZON,BLK01,CSNSTORES,DESINC,JCPENNEY01,MACY02,NRTPORT,OLLIIX,OVERSTOCK01,TGTDVS</t>
  </si>
  <si>
    <t>MP10-8155</t>
  </si>
  <si>
    <t>Isla</t>
  </si>
  <si>
    <t>Loleta</t>
  </si>
  <si>
    <t>Lian</t>
  </si>
  <si>
    <t>8 Piece Cotton Floral Printed Reversible Comforter Set</t>
  </si>
  <si>
    <t>PP000879;PF005889</t>
  </si>
  <si>
    <t>Global Inspired</t>
  </si>
  <si>
    <t>12/8/2022</t>
  </si>
  <si>
    <t>AMERSIGNDS,CSNSTORES,KOHLDSN,OVERSTOCK01,TGTDVS</t>
  </si>
  <si>
    <t>MP10-8156</t>
  </si>
  <si>
    <t>AMAZONDS,BLK01,DESINC,JCPENNEY01,OVERSTOCK01,TGTDVS</t>
  </si>
  <si>
    <t>MP10-8157</t>
  </si>
  <si>
    <t>CSNSTORES,JCPENNEY01,KOHLDSN,OVERSTOCK01</t>
  </si>
  <si>
    <t>MP10-113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</si>
  <si>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</si>
  <si>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</si>
  <si>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</si>
  <si>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</si>
  <si>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</si>
  <si>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</si>
  <si>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AMAZON,CSNSTORES,MACY02,OLLIIX,OVERSTOCK01</t>
  </si>
  <si>
    <t>MP10-7092</t>
  </si>
  <si>
    <t>Mariana</t>
  </si>
  <si>
    <t>Fiona</t>
  </si>
  <si>
    <t>Julia</t>
  </si>
  <si>
    <t>7 Piece Cotton Printed Comforter Set</t>
  </si>
  <si>
    <t>Multi</t>
  </si>
  <si>
    <t>B-</t>
  </si>
  <si>
    <t>PF005034</t>
  </si>
  <si>
    <t>2/25/2020</t>
  </si>
  <si>
    <t>JCPENNEY01,KOHLDSN,MACY02,OVERSTOCK01,TGTDVS</t>
  </si>
  <si>
    <t>MP10-7946</t>
  </si>
  <si>
    <t>Marina</t>
  </si>
  <si>
    <t>Anchorage</t>
  </si>
  <si>
    <t>Fairbanks</t>
  </si>
  <si>
    <t>8 Piece Printed Seersucker Comforter and Quilt Set Collection</t>
  </si>
  <si>
    <t>PP001782;PF005731</t>
  </si>
  <si>
    <t>Coastal</t>
  </si>
  <si>
    <t>8/16/2022</t>
  </si>
  <si>
    <t>AMAZONDS,CSNSTORES,MACY02,OLLIIX,OVERSTOCK01,TGTDVS</t>
  </si>
  <si>
    <t>MP10-7947</t>
  </si>
  <si>
    <t>8/19/2022</t>
  </si>
  <si>
    <t>AMAZONDS,CSNSTORES,JCPENNEY01,KOHLDSN,MACY02,OLLIIX,OVERSTOCK01,TGTDVS</t>
  </si>
  <si>
    <t>MP10-7942</t>
  </si>
  <si>
    <t>PP001782;PF005730</t>
  </si>
  <si>
    <t>6/10/2024</t>
  </si>
  <si>
    <t>AMAZONDS,CSNSTORES,KOHLDSN,MACY02</t>
  </si>
  <si>
    <t>MP10-7943</t>
  </si>
  <si>
    <t>MP10-512</t>
  </si>
  <si>
    <t>Matilda</t>
  </si>
  <si>
    <t>Kira</t>
  </si>
  <si>
    <t>Blake</t>
  </si>
  <si>
    <t>PF003378</t>
  </si>
  <si>
    <t>Botanical</t>
  </si>
  <si>
    <t>AMAZONDS,KOHLDSN,TGTDVS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</si>
  <si>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</si>
  <si>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</si>
  <si>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</si>
  <si>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</si>
  <si>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</si>
  <si>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</si>
  <si>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9/19/2022</t>
  </si>
  <si>
    <t>AMAZONDS,BEALLSDS,CSNSTORES,JCPENNEY01,KIRKLANDDS,KOHLDSN,OLLIIX,OVERSTOCK01,TGTDVS</t>
  </si>
  <si>
    <t>MP10-8073</t>
  </si>
  <si>
    <t>AMAZONDS,BEALLSDS,CSNSTORES,DESINC,KIRKLANDDS,KOHLDSN,OLLIIX,OVERSTOCK01,TGTDVS</t>
  </si>
  <si>
    <t>MP10-8074</t>
  </si>
  <si>
    <t>AMAZONDS,BEALLSDS,CSNSTORES,KOHLDSN,OVERSTOCK01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</si>
  <si>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</si>
  <si>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</si>
  <si>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</si>
  <si>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</si>
  <si>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</si>
  <si>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</si>
  <si>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</si>
  <si>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</si>
  <si>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11/9/2021</t>
  </si>
  <si>
    <t>AMAZON,AMAZONDS,BLK01,CSNSTORES,DESINC,FINGERHUTDS,JCPENNEY01,KOHLDSN,MACY02,OVERSTOCK01,TGTDVS</t>
  </si>
  <si>
    <t>MP10-7715</t>
  </si>
  <si>
    <t>BLK01,CSNSTORES,DESINC,FINGERHUTDS,JCPENNEY01,KOHLDSN,MACY02,OVERSTOCK01,TGTDVS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</si>
  <si>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</si>
  <si>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</si>
  <si>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</si>
  <si>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</si>
  <si>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</si>
  <si>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</si>
  <si>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5/12/2023</t>
  </si>
  <si>
    <t>BLK01,CSNSTORES,HDDS,JCPENNEY01,KIRKLANDDS,MACY02,OLLIIX,OVERSTOCK01,TGTDVS</t>
  </si>
  <si>
    <t>MP10-8200</t>
  </si>
  <si>
    <t>CSNSTORES,HDDS,JCPENNEY01,KIRKLANDDS,KOHLDSN,MACY02,OVERSTOCK01,TGTDVS</t>
  </si>
  <si>
    <t>MP10-932</t>
  </si>
  <si>
    <t>Trinity</t>
  </si>
  <si>
    <t>Channing</t>
  </si>
  <si>
    <t>Vargas</t>
  </si>
  <si>
    <t>7 Piece Polyester Charmeuse Comforter Set</t>
  </si>
  <si>
    <t>PF002690</t>
  </si>
  <si>
    <t>CSNSTORES,HSNDS,JCPENNEY01,KOHLDSN,MACY02,OLLIIX,OVERSTOCK01,TGTDVS</t>
  </si>
  <si>
    <t>7/27/2015</t>
  </si>
  <si>
    <t>MP10-7953</t>
  </si>
  <si>
    <t>Vienna</t>
  </si>
  <si>
    <t>Marcella</t>
  </si>
  <si>
    <t>Adela</t>
  </si>
  <si>
    <t>PP001783;PF005735</t>
  </si>
  <si>
    <t>8/13/2022</t>
  </si>
  <si>
    <t>5/4/2024</t>
  </si>
  <si>
    <t>AMAZONDS,BLK01,KOHLDSN,MACY02,OVERSTOCK01,TGTDVS</t>
  </si>
  <si>
    <t>MP10-7954</t>
  </si>
  <si>
    <t>AMAZONDS,CSNSTORES,JCPENNEY01,OVERSTOCK01,TGTDVS</t>
  </si>
  <si>
    <t>MP10-7955</t>
  </si>
  <si>
    <t>CSNSTORES,JCPENNEY01,KOHLDSN,MACY02,OVERSTOCK01,TGTDVS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</si>
  <si>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</si>
  <si>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</si>
  <si>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</si>
  <si>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</si>
  <si>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</si>
  <si>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</si>
  <si>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</si>
  <si>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</si>
  <si>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AMAZONDS,BLK01,CSNSTORES,DESINC,HDDS,JCPENNEY01,KOHLDSN,OLLIIX,OVERSTOCK01,TGTDVS</t>
  </si>
  <si>
    <t>MP10-7130</t>
  </si>
  <si>
    <t>AMAZON,BIGLOTSDS,CSNSTORES,HDDS,JCPENNEY01,KOHLDSN,OLLIIX,OVERSTOCK01,TGTDVS</t>
  </si>
  <si>
    <t>MP10-7131</t>
  </si>
  <si>
    <t>AMAZON,CSNSTORES,KOHLDSN,MACY02,NRTPORT,OVERSTOCK01</t>
  </si>
  <si>
    <t>MP10-7085</t>
  </si>
  <si>
    <t>PP001162;PF005033</t>
  </si>
  <si>
    <t>1/15/2020</t>
  </si>
  <si>
    <t>AMAZON,AMAZONDS,BIGLOTSDS,CSNSTORES,DESINC,JCPENNEY01,KOHLDSN,NRTPORT,OVERSTOCK01</t>
  </si>
  <si>
    <t>MP10-7086</t>
  </si>
  <si>
    <t>AMAZON,BLK01,CSNSTORES,JCPENNEY01,KOHLDSN,NRTPORT,OVERSTOCK01,TGTDVS</t>
  </si>
  <si>
    <t>MP10-7087</t>
  </si>
  <si>
    <t>BIGLOTSDS,CSNSTORES,JCPENNEY01,KOHLDSN,OVERSTOCK01,TGTDVS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</si>
  <si>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</si>
  <si>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</si>
  <si>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</si>
  <si>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</si>
  <si>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</si>
  <si>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</si>
  <si>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</si>
  <si>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</si>
  <si>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AMAZON,AMERSIGNDS,CSNSTORES,MACY02,OVERSTOCK01,WALMARTDS</t>
  </si>
  <si>
    <t>5/16/2017</t>
  </si>
  <si>
    <t>MP10-333</t>
  </si>
  <si>
    <t>AMAZON,BEALLSDS,BLK01,CSNSTORES,FINGERHUTDS,JCPENNEY01,KOHLDSN,MACY02,NRTPORT,OLLIIX,OVERSCONSIGN,OVERSTOCK01,TGTDVS,WALMARTDS</t>
  </si>
  <si>
    <t>2/3/2016</t>
  </si>
  <si>
    <t>MP10-334</t>
  </si>
  <si>
    <t>6/5/2024</t>
  </si>
  <si>
    <t>AMAZON,AMAZONDS,BEALLSDS,BLK01,CSNSTORES,FINGERHUTDS,JCPENNEY01,KOHLDSN,MACY02,NRTPORT,OLLIIX,OVERSTOCK01,ROOMECOM,TGTDVS,WALMARTDS</t>
  </si>
  <si>
    <t>2/5/2016</t>
  </si>
  <si>
    <t>MP10-335</t>
  </si>
  <si>
    <t>AMAZON,AMAZONDS,CSNSTORES,FINGERHUTDS,MACY02,OVERSTOCK01,TGTDVS</t>
  </si>
  <si>
    <t>2/17/2016</t>
  </si>
  <si>
    <t>MP10-4695</t>
  </si>
  <si>
    <t>PF003394</t>
  </si>
  <si>
    <t>5/31/2024</t>
  </si>
  <si>
    <t>AMAZON,AMERSIGNDS,BLK01,CSNSTORES,JCPENNEY01,KOHLDSN,NRTPORT,OVERSTOCK01,TGTDVS,WALMARTDS</t>
  </si>
  <si>
    <t>3/26/2018</t>
  </si>
  <si>
    <t>MP10-4696</t>
  </si>
  <si>
    <t>AMAZON,BLK01,CSNSTORES,JCPENNEY01,KOHLDSN,OVERSTOCK01,ROOMECOM,TGTDVS</t>
  </si>
  <si>
    <t>6/11/2018</t>
  </si>
  <si>
    <t>MP10-4697</t>
  </si>
  <si>
    <t>AMAZON,BLK01,CSNSTORES,NRTPORT,OVERSTOCK01</t>
  </si>
  <si>
    <t>3/30/2018</t>
  </si>
  <si>
    <t>MP10-8311</t>
  </si>
  <si>
    <t>Teal</t>
  </si>
  <si>
    <t>PP001909;PF006091</t>
  </si>
  <si>
    <t>Polyester</t>
  </si>
  <si>
    <t>11/19/2023</t>
  </si>
  <si>
    <t>AMAZON,BLK01,CSNSTORES,OLLIIX,OVERSTOCK01</t>
  </si>
  <si>
    <t>MP10-8312</t>
  </si>
  <si>
    <t>AMAZON,AMAZONDS,CSNSTORES,OLLIIX,OVERSTOCK01,TGTDVS</t>
  </si>
  <si>
    <t>MP10-8313</t>
  </si>
  <si>
    <t>AMAZON,CSNSTORES,JCPENNEY01,OVERSTOCK01</t>
  </si>
  <si>
    <t>MP10-7204</t>
  </si>
  <si>
    <t>Emilia</t>
  </si>
  <si>
    <t>Maisie</t>
  </si>
  <si>
    <t>Grace</t>
  </si>
  <si>
    <t>12 Piece Jacquard Comforter Set with Bed Sheets</t>
  </si>
  <si>
    <t>Khaki</t>
  </si>
  <si>
    <t>PP001528;PF005181</t>
  </si>
  <si>
    <t>8/8/2020</t>
  </si>
  <si>
    <t>AMAZON,BLK01,CSNSTORES,JCPENNEY01,KOHLDSN,MACY02,OLLIIX,OVERSTOCK01,TGTDVS</t>
  </si>
  <si>
    <t>MP10-7205</t>
  </si>
  <si>
    <t>AMAZON,BLK01,JCPENNEY01,KOHLDSN,MACY02,OLLIIX,OVERSTOCK01,TGTDVS</t>
  </si>
  <si>
    <t>MP10-7206</t>
  </si>
  <si>
    <t>8/10/2020</t>
  </si>
  <si>
    <t>AMAZON,BLK01,CSNSTORES,JCPENNEY01,KOHLDSN,MACY02,NRTPORT,OLLIIX,OVERSTOCK01,TGTDVS</t>
  </si>
  <si>
    <t>MP10-1665</t>
  </si>
  <si>
    <t>Lavine</t>
  </si>
  <si>
    <t>Anouk</t>
  </si>
  <si>
    <t>Octavia</t>
  </si>
  <si>
    <t>PF002739;PP000441</t>
  </si>
  <si>
    <t>10/31/2016</t>
  </si>
  <si>
    <t>MP10-1666</t>
  </si>
  <si>
    <t>AMAZON,AMAZONDS,CSNSTORES,JCPENNEY01,KOHLDSN,OVERSTOCK01,ROOMECOM,TGTDVS</t>
  </si>
  <si>
    <t>12/19/2016</t>
  </si>
  <si>
    <t>MP10-1667</t>
  </si>
  <si>
    <t>5/17/2024</t>
  </si>
  <si>
    <t>AMAZON,BLK01,CSNSTORES,JCPENNEY01,OLLIIX,OVERSTOCK01</t>
  </si>
  <si>
    <t>MP10-4044</t>
  </si>
  <si>
    <t>Silver</t>
  </si>
  <si>
    <t>PF002740</t>
  </si>
  <si>
    <t>AMAZON,CSNSTORES,OVERSTOCK01,TGTDVS</t>
  </si>
  <si>
    <t>MP10-4045</t>
  </si>
  <si>
    <t>8/13/2018</t>
  </si>
  <si>
    <t>MP10-4046</t>
  </si>
  <si>
    <t>AMAZON,CSNSTORES,JCPENNEY01,OVERSTOCK01,TGTDVS</t>
  </si>
  <si>
    <t>5/21/2018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</si>
  <si>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</si>
  <si>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</si>
  <si>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</si>
  <si>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</si>
  <si>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</si>
  <si>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</si>
  <si>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</si>
  <si>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</si>
  <si>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2</t>
  </si>
  <si>
    <t>BOHO|Casual</t>
  </si>
  <si>
    <t>12/19/2019</t>
  </si>
  <si>
    <t>5/13/2024</t>
  </si>
  <si>
    <t>AMAZON,AMAZONDS,CSNSTORES,MACY02,OVERSTOCK01,TGTDVS</t>
  </si>
  <si>
    <t>MP10-5874</t>
  </si>
  <si>
    <t>3-Piece Tufted Cotton Chenille Medallion Comforter Set</t>
  </si>
  <si>
    <t>3</t>
  </si>
  <si>
    <t>5/29/2018</t>
  </si>
  <si>
    <t>5/28/2024</t>
  </si>
  <si>
    <t>AMAZON,AMAZONDS,ASHFURNDS,CSNSTORES,JCPENNEY01,KIRKLANDDS,KOHLDSN,MACY02,OLLIIX,OVERSTOCK01,TGTDVS,WALMARTDS</t>
  </si>
  <si>
    <t>6/21/2019</t>
  </si>
  <si>
    <t>10/31/2019</t>
  </si>
  <si>
    <t>MP10-7114</t>
  </si>
  <si>
    <t>Tufted Cotton Chenille Medallion Comforter Set</t>
  </si>
  <si>
    <t>PP000898;PF005042</t>
  </si>
  <si>
    <t>3/10/2020</t>
  </si>
  <si>
    <t>6/28/2024</t>
  </si>
  <si>
    <t>AMAZON,CSNSTORES,HDDS,JCPENNEY01,OLLIIX,OVERSTOCK01,TGTDVS</t>
  </si>
  <si>
    <t>MP10-7115</t>
  </si>
  <si>
    <t>AMAZON,ASHFURNDS,CSNSTORES,HDDS,JCPENNEY01,KOHLDSN,OVERSTOCK01,TGTDVS</t>
  </si>
  <si>
    <t>MP10-7355</t>
  </si>
  <si>
    <t>Margot</t>
  </si>
  <si>
    <t>Luna</t>
  </si>
  <si>
    <t>3 Piece Cotton Comforter Set</t>
  </si>
  <si>
    <t>PP001599;PF005369</t>
  </si>
  <si>
    <t>5/27/2021</t>
  </si>
  <si>
    <t>AMAZON,CSNSTORES,JCPENNEY01,KOHLDSN,MACY02,OLLIIX,OVERSTOCK01</t>
  </si>
  <si>
    <t>MP10-7356</t>
  </si>
  <si>
    <t>AMAZON,AMAZONDS,CSNSTORES,JCPENNEY01,MACY02,OLLIIX,OVERSTOCK01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</si>
  <si>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</si>
  <si>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</si>
  <si>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</si>
  <si>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</si>
  <si>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</si>
  <si>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</si>
  <si>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</si>
  <si>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</si>
  <si>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5/21/2024</t>
  </si>
  <si>
    <t>CSNSTORES,JCPENNEY01,MACY02,OLLIIX,OVERSTOCK01</t>
  </si>
  <si>
    <t>MP10-7824</t>
  </si>
  <si>
    <t>CSNSTORES,JCPENNEY01,KOHLDSN,MACY02,OLLIIX,OVERSTOCK01</t>
  </si>
  <si>
    <t>MP10-6016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</si>
  <si>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</si>
  <si>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</si>
  <si>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</si>
  <si>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</si>
  <si>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</si>
  <si>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</si>
  <si>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AMAZON,AMERSIGNDS,ASHFURNDS,BLK01,CSNSTORES,JCPENNEY01,KOHLDSN,MACY02,OLLIIX,OVERSTOCK01,ROOMECOM,TGTDVS</t>
  </si>
  <si>
    <t>3/13/2019</t>
  </si>
  <si>
    <t>6/25/2019</t>
  </si>
  <si>
    <t>MP10-7103</t>
  </si>
  <si>
    <t>3 piece Tufted Cotton Chenille Damask Comforter Set</t>
  </si>
  <si>
    <t>PP000957;PF005045</t>
  </si>
  <si>
    <t>AMAZON,AMERSIGNDS,CSNSTORES,JCPENNEY01,KOHLDSN,OLLIIX,OVERSTOCK01,TGTDVS,ZOLA</t>
  </si>
  <si>
    <t>MP10-7140</t>
  </si>
  <si>
    <t>Violette</t>
  </si>
  <si>
    <t>Juliana</t>
  </si>
  <si>
    <t>Valeria</t>
  </si>
  <si>
    <t>3 Piece Tufted Cotton Chenille Comforter Set</t>
  </si>
  <si>
    <t>Ivory/Taupe</t>
  </si>
  <si>
    <t>PP001467;PF005061</t>
  </si>
  <si>
    <t>5/19/2020</t>
  </si>
  <si>
    <t>7/24/2024</t>
  </si>
  <si>
    <t>AMAZON,AMAZONDS,CSNSTORES,HDDS,KIRKLANDDS,KOHLDSN,MACY02,OLLIIX,OVERSTOCK01,TGTDVS</t>
  </si>
  <si>
    <t>MP10-7141</t>
  </si>
  <si>
    <t>AMAZON,AMERSIGNDS,CSNSTORES,HDDS,JCPENNEY01,KIRKLANDDS,KOHLDSN,MACY02,OLLIIX,OVERSTOCK01,TGTDVS</t>
  </si>
  <si>
    <t>MP13-3972</t>
  </si>
  <si>
    <t>COVERLET&amp;BEDSPR</t>
  </si>
  <si>
    <t>Daybed Cover</t>
  </si>
  <si>
    <t>Claire</t>
  </si>
  <si>
    <t>Montecito</t>
  </si>
  <si>
    <t>Arbor</t>
  </si>
  <si>
    <t>6 Piece Reversible Daybed Cover Set</t>
  </si>
  <si>
    <t>Daybed</t>
  </si>
  <si>
    <t>PF002720</t>
  </si>
  <si>
    <t>5/10/2017</t>
  </si>
  <si>
    <t>AMAZON,AMAZONDS,BLK01,CSNSTORES,JCPENNEY01,KOHLDSN,MACY02,OLLIIX,OVERSTOCK01,TGTDVS,WALMARTDS</t>
  </si>
  <si>
    <t>7/31/2017</t>
  </si>
  <si>
    <t>MP13-3976</t>
  </si>
  <si>
    <t>Peyton</t>
  </si>
  <si>
    <t>Brenna</t>
  </si>
  <si>
    <t>Natalie</t>
  </si>
  <si>
    <t>PF002639;PP000923</t>
  </si>
  <si>
    <t>Cottage/Country|Casual</t>
  </si>
  <si>
    <t>5/26/2017</t>
  </si>
  <si>
    <t>AMAZON,AMAZONDS,CSNSTORES,JCPENNEY01,MACY02,OVERSTOCK01,TGTDVS,WALMARTDS</t>
  </si>
  <si>
    <t>7/27/2017</t>
  </si>
  <si>
    <t>MP13-5590</t>
  </si>
  <si>
    <t>Leila</t>
  </si>
  <si>
    <t>Lorilyn</t>
  </si>
  <si>
    <t>Lucita</t>
  </si>
  <si>
    <t>Dark Gray</t>
  </si>
  <si>
    <t>PF004175;PP000845</t>
  </si>
  <si>
    <t>3/20/2018</t>
  </si>
  <si>
    <t>5/16/2024</t>
  </si>
  <si>
    <t>AMAZON,AMAZONDS,CSNSTORES,MACY02,OVERSTOCK01,TGTDVS,WALMARTDS</t>
  </si>
  <si>
    <t>11/21/2018</t>
  </si>
  <si>
    <t>1/3/2019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</si>
  <si>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</si>
  <si>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</si>
  <si>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</si>
  <si>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</si>
  <si>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</si>
  <si>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</si>
  <si>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</si>
  <si>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</si>
  <si>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AMAZON,AMAZONDS,JCPENNEY01,KOHLDSN,OVERSTOCK01,TGTDVS,WALMARTDS</t>
  </si>
  <si>
    <t>1/16/2018</t>
  </si>
  <si>
    <t>MP13-4473</t>
  </si>
  <si>
    <t>Yosemite</t>
  </si>
  <si>
    <t>Sequoia</t>
  </si>
  <si>
    <t>Reyes</t>
  </si>
  <si>
    <t>PF002447</t>
  </si>
  <si>
    <t>Southwestern</t>
  </si>
  <si>
    <t>Lodge/Cabin|Casual</t>
  </si>
  <si>
    <t>6/23/2017</t>
  </si>
  <si>
    <t>AMAZON,AMAZONDS,BEALLSDS,CSNSTORES,DESINC,HOUZZ,JCPENNEY01,KOHLDSN,MACY02,OLLIIX,OVERSTOCK01,TGTDVS,WALMARTDS</t>
  </si>
  <si>
    <t>1/5/2018</t>
  </si>
  <si>
    <t>MP13-6472</t>
  </si>
  <si>
    <t>Breanna</t>
  </si>
  <si>
    <t>Levine</t>
  </si>
  <si>
    <t>Miller</t>
  </si>
  <si>
    <t>6 Piece Cotton Daybed Cover Set</t>
  </si>
  <si>
    <t>PF004099</t>
  </si>
  <si>
    <t>7/29/2019</t>
  </si>
  <si>
    <t>AMAZON,BLK01,CSNSTORES,JCPENNEY01,KOHLDSN,MACY02,OLLIIX,OVERSTOCK01,TGTDVS,WALMARTDS</t>
  </si>
  <si>
    <t>5/14/2020</t>
  </si>
  <si>
    <t>MP13-5322</t>
  </si>
  <si>
    <t>Sabrina</t>
  </si>
  <si>
    <t>Sarah</t>
  </si>
  <si>
    <t>Amber</t>
  </si>
  <si>
    <t>5 Piece Tufted Cotton Chenille Daybed Set</t>
  </si>
  <si>
    <t>PF002604;PP000641</t>
  </si>
  <si>
    <t>Farm House|Cottage/Country</t>
  </si>
  <si>
    <t>11/20/2017</t>
  </si>
  <si>
    <t>ASHFURNDS,CSNSTORES,KOHLDSN,MACY02,OLLIIX,OVERSTOCK01,TGTDVS,WALMARTDS</t>
  </si>
  <si>
    <t>9/13/2018</t>
  </si>
  <si>
    <t>5/20/2019</t>
  </si>
  <si>
    <t>MP13-3977</t>
  </si>
  <si>
    <t>Quebec</t>
  </si>
  <si>
    <t>Mansfield</t>
  </si>
  <si>
    <t>Vancouver</t>
  </si>
  <si>
    <t>PF002403</t>
  </si>
  <si>
    <t>AMAZON,AMAZONDS,CSNSTORES,JCPENNEY01,MACY02,OVERSTOCK01,TGTDVS</t>
  </si>
  <si>
    <t>Accepted</t>
  </si>
  <si>
    <t>7/24/2017</t>
  </si>
  <si>
    <t>MP13-3980</t>
  </si>
  <si>
    <t>PF002406</t>
  </si>
  <si>
    <t>8/3/2017</t>
  </si>
  <si>
    <t>MP13-5879</t>
  </si>
  <si>
    <t>Coverlet Mini Set</t>
  </si>
  <si>
    <t>Tufted Cotton Chenille Medallion Fringe Coverlet Mini Set</t>
  </si>
  <si>
    <t>PF004301;PP000898</t>
  </si>
  <si>
    <t>Casual|BOHO</t>
  </si>
  <si>
    <t>AMAZON,AMAZONDS,BLK01,CSNSTORES,DESINC,JCPENNEY01,KOHLDSN,MACY02,NRTPORT,OVERSTOCK01,WALMARTDS</t>
  </si>
  <si>
    <t>12/3/2019</t>
  </si>
  <si>
    <t>1/13/2020</t>
  </si>
  <si>
    <t>MP13-5875</t>
  </si>
  <si>
    <t>AMAZONDS,CSNSTORES,JCPENNEY01,KOHLDSN,MACY02,NRTPORT,OVERSTOCK01,TGTDVS,WALMARTDS</t>
  </si>
  <si>
    <t>3/4/2020</t>
  </si>
  <si>
    <t>MP13-7118</t>
  </si>
  <si>
    <t>3/17/2020</t>
  </si>
  <si>
    <t>AMAZON,CSNSTORES,JCPENNEY01,KOHLDSN,NRTPORT,OVERSTOCK01,TGTDVS</t>
  </si>
  <si>
    <t>MP13-7119</t>
  </si>
  <si>
    <t>7/5/2024</t>
  </si>
  <si>
    <t>AMAZON,AMAZONDS,BLK01,CSNSTORES,JCPENNEY01,KOHLDSN,OVERSTOCK01,TGTDVS</t>
  </si>
  <si>
    <t>MP13-6115</t>
  </si>
  <si>
    <t>Keaton</t>
  </si>
  <si>
    <t>Jaxson</t>
  </si>
  <si>
    <t>Mitchell</t>
  </si>
  <si>
    <t>2 Piece Quilt Set</t>
  </si>
  <si>
    <t>PF004530</t>
  </si>
  <si>
    <t>Farm House|Transitional</t>
  </si>
  <si>
    <t>12/12/2018</t>
  </si>
  <si>
    <t>CSNSTORES,KOHLDSN,OLLIIX,TGTDVS</t>
  </si>
  <si>
    <t>2/4/2019</t>
  </si>
  <si>
    <t>9/13/2019</t>
  </si>
  <si>
    <t>MP13-6116</t>
  </si>
  <si>
    <t>3 Piece Quilt Set</t>
  </si>
  <si>
    <t>BEALLSDS,BLK01,CSNSTORES,JCPENNEY01,KOHLDSN,MACY02,OLLIIX,OVERSTOCK01,WALMARTDS</t>
  </si>
  <si>
    <t>4/29/2019</t>
  </si>
  <si>
    <t>MP13-6117</t>
  </si>
  <si>
    <t>BEALLSDS,CSNSTORES,JCPENNEY01,KIRKLANDDS,KOHLDSN,MACY02,OLLIIX,OVERSTOCK01,TGTDVS,WALMARTDS</t>
  </si>
  <si>
    <t>2/25/2019</t>
  </si>
  <si>
    <t>MP13-625</t>
  </si>
  <si>
    <t>PF003409</t>
  </si>
  <si>
    <t>CSNSTORES,MACY02,OLLIIX,OVERSTOCK01,TGTDVS</t>
  </si>
  <si>
    <t>1/8/2015</t>
  </si>
  <si>
    <t>MP13-626</t>
  </si>
  <si>
    <t>BLK01,CSNSTORES,KOHLDSN,MACY02,OLLIIX,OVERSTOCK01,TGTDVS,WALMARTDS</t>
  </si>
  <si>
    <t>7/24/2015</t>
  </si>
  <si>
    <t>MP13-627</t>
  </si>
  <si>
    <t>AMERSIGNDS,ASHFURNDS,CSNSTORES,JCPENNEY01,KOHLDSN,MACY02,OLLIIX,OVERSTOCK01,TGTDVS</t>
  </si>
  <si>
    <t>MP13-628</t>
  </si>
  <si>
    <t>Cream</t>
  </si>
  <si>
    <t>PF003410</t>
  </si>
  <si>
    <t>CSNSTORES,JCPENNEY01,KOHLDSN,MACY02,OLLIIX</t>
  </si>
  <si>
    <t>MP13-629</t>
  </si>
  <si>
    <t>5/11/2024</t>
  </si>
  <si>
    <t>CSNSTORES,DESINC,KOHLDSN,MACY02,OLLIIX,OVERSCONSIGN</t>
  </si>
  <si>
    <t>1/19/2015</t>
  </si>
  <si>
    <t>MP13-630</t>
  </si>
  <si>
    <t>CSNSTORES,KOHLDSN,MACY02,OLLIIX,TGTDVS,WALMARTDS</t>
  </si>
  <si>
    <t>MP13-1238</t>
  </si>
  <si>
    <t>PF003411</t>
  </si>
  <si>
    <t>AAFESDS,AMERSIGNDS,CSNSTORES,JCPENNEY01,KOHLDSN,MACY02,OLLIIX,OVERSTOCK01,TGTDVS</t>
  </si>
  <si>
    <t>9/9/2015</t>
  </si>
  <si>
    <t>MP13-1239</t>
  </si>
  <si>
    <t>CSNSTORES,JCPENNEY01,KOHLDSN,MACY02,OLLIIX,OVERSTOCK01,ROOMECOM,TGTDVS,WALMARTDS</t>
  </si>
  <si>
    <t>7/22/2015</t>
  </si>
  <si>
    <t>MP13-3457</t>
  </si>
  <si>
    <t>PF003412</t>
  </si>
  <si>
    <t>4/6/2017</t>
  </si>
  <si>
    <t>CSNSTORES,JCPENNEY01,KOHLDSN,MACY02,OLLIIX,TGTDVS</t>
  </si>
  <si>
    <t>5/4/2017</t>
  </si>
  <si>
    <t>MP13-3458</t>
  </si>
  <si>
    <t>AAFESDS,BLK01,CSNSTORES,JCPENNEY01,KOHLDSN,MACY02,OLLIIX,OVERSTOCK01,TGTDVS,WALMARTDS</t>
  </si>
  <si>
    <t>4/18/2017</t>
  </si>
  <si>
    <t>MP13-3459</t>
  </si>
  <si>
    <t>ASHFURNDS,BLK01,CSNSTORES,JCPENNEY01,KOHLDSN,MACY02,OLLIIX,OVERSCONSIGN,OVERSTOCK01,TGTDVS</t>
  </si>
  <si>
    <t>4/4/2017</t>
  </si>
  <si>
    <t>MP13-6132</t>
  </si>
  <si>
    <t>1/4/2019</t>
  </si>
  <si>
    <t>CSNSTORES,KOHLDSN,MACY02,OLLIIX,TGTDVS</t>
  </si>
  <si>
    <t>6/26/2019</t>
  </si>
  <si>
    <t>MP13-7144</t>
  </si>
  <si>
    <t xml:space="preserve">3 Piece Tufted Cotton Chenille  Coverlet Set</t>
  </si>
  <si>
    <t>PP001469;PF005063</t>
  </si>
  <si>
    <t>4/9/2020</t>
  </si>
  <si>
    <t>CSNSTORES,DESINC,JCPENNEY01,OLLIIX,TGTDVS,WALMARTDS</t>
  </si>
  <si>
    <t>6/22/2020</t>
  </si>
  <si>
    <t>MP13-7145</t>
  </si>
  <si>
    <t>AMAZON,CSNSTORES,HDDS,JCPENNEY01,KOHLDSN,MACY02,OLLIIX,OVERSTOCK01,TGTDVS,WALMARTDS</t>
  </si>
  <si>
    <t>MP13-3306</t>
  </si>
  <si>
    <t>Harper</t>
  </si>
  <si>
    <t>Emery</t>
  </si>
  <si>
    <t>Mercer</t>
  </si>
  <si>
    <t>3 Piece Velvet Quilt Set</t>
  </si>
  <si>
    <t>PF002597</t>
  </si>
  <si>
    <t>Velvet</t>
  </si>
  <si>
    <t>Glam/Luxury</t>
  </si>
  <si>
    <t>Transitional|Traditional</t>
  </si>
  <si>
    <t>AMAZON,AMAZONDS,CSNSTORES,FINGERHUTDS,KOHLDSN,MACY02,OLLIIX,OVERSTOCK01,TGTDVS,WALMARTDS</t>
  </si>
  <si>
    <t>7/13/2017</t>
  </si>
  <si>
    <t>MP13-3307</t>
  </si>
  <si>
    <t>PF002598</t>
  </si>
  <si>
    <t>7/3/2024</t>
  </si>
  <si>
    <t>AMAZON,BLK01,CSNSTORES,JCPENNEY01,KOHLDSN,MACY02,OLLIIX,TGTDVS</t>
  </si>
  <si>
    <t>MP13-8009</t>
  </si>
  <si>
    <t>Mustard</t>
  </si>
  <si>
    <t>PP001790;PF005759</t>
  </si>
  <si>
    <t>Traditional|Transitional</t>
  </si>
  <si>
    <t>8/29/2022</t>
  </si>
  <si>
    <t>CSNSTORES,JCPENNEY01,KOHLDSN,OLLIIX,OVERSTOCK01</t>
  </si>
  <si>
    <t>MP13-8010</t>
  </si>
  <si>
    <t>MP13-8007</t>
  </si>
  <si>
    <t>Rust</t>
  </si>
  <si>
    <t>PP001790;PF005758</t>
  </si>
  <si>
    <t>AMAZONDS,CSNSTORES,JCPENNEY01,MACY02,OLLIIX,OVERSTOCK01,TGTDVS</t>
  </si>
  <si>
    <t>MP13-8008</t>
  </si>
  <si>
    <t>AMAZONDS,CSNSTORES,DESINC,JCPENNEY01,KOHLDSN,MACY02,OLLIIX,OVERSTOCK01,TGTDVS</t>
  </si>
  <si>
    <t>MP13-1687</t>
  </si>
  <si>
    <t>Reversible Quilt Set</t>
  </si>
  <si>
    <t>PF002402</t>
  </si>
  <si>
    <t>CSNSTORES,HDDS,KOHLDSN,MACY02,OLLIIX,TGTDVS,WALMARTDS</t>
  </si>
  <si>
    <t>4/18/2016</t>
  </si>
  <si>
    <t>MP13-2580</t>
  </si>
  <si>
    <t>PF002475;PP000488</t>
  </si>
  <si>
    <t>AMAZON,AMAZONDS,BLK01,CSNSTORES,DESINC,MACY02,OLLIIX,OVERSTOCK01,TGTDVS</t>
  </si>
  <si>
    <t>12/1/2016</t>
  </si>
  <si>
    <t>MP13-149</t>
  </si>
  <si>
    <t>PF002442;PP000488</t>
  </si>
  <si>
    <t>CSNSTORES,HDDS,HSNDS,JCPENNEY01,KOHLDSN,MACY02,OLLIIX,OVERSTOCK01,TGTDVS</t>
  </si>
  <si>
    <t>MP13-155</t>
  </si>
  <si>
    <t>PF002453;PP000488</t>
  </si>
  <si>
    <t>AMAZONDS,BLK01,CSNSTORES,HDDS,HSNDS,JCPENNEY01,KOHLDSN,MACY02,OLLIIX,OVERSTOCK01,TGTDVS</t>
  </si>
  <si>
    <t>MP13-482</t>
  </si>
  <si>
    <t>Seafoam</t>
  </si>
  <si>
    <t>PF002464;PP000488</t>
  </si>
  <si>
    <t>2/17/2015</t>
  </si>
  <si>
    <t>MP13-8112</t>
  </si>
  <si>
    <t>3 Piece Printed Microfiber Seersucker Quilt Set</t>
  </si>
  <si>
    <t>10/24/2022</t>
  </si>
  <si>
    <t>BLK01,CSNSTORES,KOHLDSN,MACY02,OLLIIX,OVERSTOCK01,TGTDVS</t>
  </si>
  <si>
    <t>MP13-8113</t>
  </si>
  <si>
    <t>BLK01,CSNSTORES,JCPENNEY01,KOHLDSN,MACY02,OLLIIX,OVERSTOCK01,TGTDVS</t>
  </si>
  <si>
    <t>MP13-7524</t>
  </si>
  <si>
    <t>Timber</t>
  </si>
  <si>
    <t>Heavenly</t>
  </si>
  <si>
    <t>Hilltop</t>
  </si>
  <si>
    <t>3 Piece Reversible Printed Quilt Set</t>
  </si>
  <si>
    <t>Green / Navy</t>
  </si>
  <si>
    <t>PP001028;PF005484</t>
  </si>
  <si>
    <t>6/5/2021</t>
  </si>
  <si>
    <t>AMAZON,BLK01,JCPENNEY01,KOHLDSN,MACY02,OVERSTOCK01,TGTDVS</t>
  </si>
  <si>
    <t>MP13-7525</t>
  </si>
  <si>
    <t>6/3/2021</t>
  </si>
  <si>
    <t>AMAZON,BLK01,JCPENNEY01,KOHLDSN,MACY02,OVERSTOCK01</t>
  </si>
  <si>
    <t>MP13-8245</t>
  </si>
  <si>
    <t>Tuscany</t>
  </si>
  <si>
    <t>Marino</t>
  </si>
  <si>
    <t>Genoa</t>
  </si>
  <si>
    <t>3 Piece Reversible Scalloped Edge Quilt Set</t>
  </si>
  <si>
    <t>PF006016;PP001886</t>
  </si>
  <si>
    <t>7/4/2023</t>
  </si>
  <si>
    <t>4/15/2024</t>
  </si>
  <si>
    <t>AMAZON,AMAZONDS,BLK01,CSNSTORES,JCPENNEY01,MACY02,OLLIIX,OVERSTOCK01,TGTDVS</t>
  </si>
  <si>
    <t>MP13-8246</t>
  </si>
  <si>
    <t>AMAZON,AMAZONDS,BLK01,CSNSTORES,JCPENNEY01,KOHLDSN,MACY02,OLLIIX,OVERSTOCK01,TGTDVS</t>
  </si>
  <si>
    <t>MP13-1037</t>
  </si>
  <si>
    <t>PF002701;PP000525</t>
  </si>
  <si>
    <t>AMAZON,AMAZONDS,BLK01,CSNSTORES,HSNDS,JCPENNEY01,KOHLDSN,MACY02,OLLIIX,OVERSTOCK01,TGTDVS</t>
  </si>
  <si>
    <t>3/3/2016</t>
  </si>
  <si>
    <t>MP13-6474</t>
  </si>
  <si>
    <t>Fitted Bedspread</t>
  </si>
  <si>
    <t>3 Piece Split Corner Pleated Quilted Bedspread</t>
  </si>
  <si>
    <t>Dark Grey</t>
  </si>
  <si>
    <t>PP000640</t>
  </si>
  <si>
    <t>7/18/2019</t>
  </si>
  <si>
    <t>12/12/2019</t>
  </si>
  <si>
    <t>1/24/2020</t>
  </si>
  <si>
    <t>MP13-6475</t>
  </si>
  <si>
    <t>3/9/2020</t>
  </si>
  <si>
    <t>MP13-6478</t>
  </si>
  <si>
    <t>AMAZON,AMAZONDS,BLK01,CSNSTORES,JCPENNEY01,KOHLDSN,MACY02,OVERSTOCK01,TGTDVS,WALMARTDS</t>
  </si>
  <si>
    <t>1/6/2020</t>
  </si>
  <si>
    <t>MP13-6476</t>
  </si>
  <si>
    <t>AMAZONDS,BLK01,CSNSTORES,HOUZZ,JCPENNEY01,MACY02,OVERSCONSIGN,OVERSTOCK01,TGTDVS,WALMARTDS</t>
  </si>
  <si>
    <t>1/2/2020</t>
  </si>
  <si>
    <t>MP13-5488</t>
  </si>
  <si>
    <t xml:space="preserve">4 Piece Cotton Reversible Tailored  Bedspread  Set</t>
  </si>
  <si>
    <t>PF004099;PP000746</t>
  </si>
  <si>
    <t>4</t>
  </si>
  <si>
    <t>Casual|Cottage/Country</t>
  </si>
  <si>
    <t>11/27/2017</t>
  </si>
  <si>
    <t>MP13-483</t>
  </si>
  <si>
    <t>Coverlet</t>
  </si>
  <si>
    <t>Bayside</t>
  </si>
  <si>
    <t>Nantucket</t>
  </si>
  <si>
    <t>Rockaway</t>
  </si>
  <si>
    <t>Brushed Microfiber Quilt Set with Throw Pillows</t>
  </si>
  <si>
    <t>PF003396;PP000384</t>
  </si>
  <si>
    <t>6/21/2024</t>
  </si>
  <si>
    <t>AMAZONDS,HDDS,OVERSTOCK01,TGTDVS</t>
  </si>
  <si>
    <t>MP13-374</t>
  </si>
  <si>
    <t>AMAZONDS,BEALLSDS,CSNSTORES,HDDS,JCPENNEY01,KOHLDSN,MACY02,OLLIIX,OVERSTOCK01,TGTDVS,WALMARTDS</t>
  </si>
  <si>
    <t>MP13-784</t>
  </si>
  <si>
    <t>Tangiers</t>
  </si>
  <si>
    <t>Moraga</t>
  </si>
  <si>
    <t>Menara</t>
  </si>
  <si>
    <t>6 Piece Reversible Quilt Set with Throw Pillows</t>
  </si>
  <si>
    <t>PF002678;PP000518</t>
  </si>
  <si>
    <t>Transitional|Casual</t>
  </si>
  <si>
    <t>AMAZON,AMAZONDS,BEALLSDS,BLK01,HDDS,JCPENNEY01,KOHLDSN,MACY02,OLLIIX,OVERSTOCK01,ROOMECOM,TGTDVS,WALMARTDS</t>
  </si>
  <si>
    <t>5/18/2015</t>
  </si>
  <si>
    <t>MP13-1524</t>
  </si>
  <si>
    <t>Orange</t>
  </si>
  <si>
    <t>PF002679;PP000518</t>
  </si>
  <si>
    <t>AMAZON,CSNSTORES,DESINC,HSNDS,JCPENNEY01,KOHLDSN,MACY02,OVERSTOCK01,TGTDVS</t>
  </si>
  <si>
    <t>12/7/2016</t>
  </si>
  <si>
    <t>MP13-5017</t>
  </si>
  <si>
    <t>Lucy</t>
  </si>
  <si>
    <t>Georgia</t>
  </si>
  <si>
    <t>Rose</t>
  </si>
  <si>
    <t>6 Piece Reversible Cotton Twill Quilt Set with Throw Pillows</t>
  </si>
  <si>
    <t>PF002610</t>
  </si>
  <si>
    <t>9/26/2017</t>
  </si>
  <si>
    <t>AMAZON,AMAZONDS,JCPENNEY01,MACY02,OVERSTOCK01,TGTDVS,WALMARTDS</t>
  </si>
  <si>
    <t>4/16/2018</t>
  </si>
  <si>
    <t>MP13-4681</t>
  </si>
  <si>
    <t>6 Piece Printed Herringbone Quilt Set with Throw Pillows</t>
  </si>
  <si>
    <t>BLK01,CSNSTORES,JCPENNEY01,KIRKLANDDS,KOHLDSN,MACY02,OVERSTOCK01,TGTDVS,WALMARTDS</t>
  </si>
  <si>
    <t>11/26/2018</t>
  </si>
  <si>
    <t>MP13-7217</t>
  </si>
  <si>
    <t>PP001538;PF005193</t>
  </si>
  <si>
    <t>AMAZONDS,CSNSTORES,KOHLDSN,MACY02,OVERSTOCK01,TGTDVS</t>
  </si>
  <si>
    <t>MP13-7218</t>
  </si>
  <si>
    <t>AMAZONDS,CSNSTORES,JCPENNEY01,KOHLDSN,TGTDVS</t>
  </si>
  <si>
    <t>MP13-4675</t>
  </si>
  <si>
    <t>AMAZON,AMAZONDS,CSNSTORES,JCPENNEY01,KOHLDSN,OLLIIX,TGTDVS</t>
  </si>
  <si>
    <t>5/31/2018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</si>
  <si>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</si>
  <si>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</si>
  <si>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</si>
  <si>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</si>
  <si>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</si>
  <si>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</si>
  <si>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1/11/2016</t>
  </si>
  <si>
    <t>MP13-2694</t>
  </si>
  <si>
    <t>6 Piece Jacquard Quilt Set with Throw Pillows</t>
  </si>
  <si>
    <t>PF003388</t>
  </si>
  <si>
    <t>10/4/2016</t>
  </si>
  <si>
    <t>MP13-368</t>
  </si>
  <si>
    <t>PF003397;PP000386</t>
  </si>
  <si>
    <t>AMAZON,AMAZONDS,CSNSTORES,FINGERHUTDS,HOUZZ,JCPENNEY01,KOHLDSN,MACY02,OVERSTOCK01,TGTDVS</t>
  </si>
  <si>
    <t>MP13-7395</t>
  </si>
  <si>
    <t>4 Piece Jacquard Quilt Set with Throw Pillow</t>
  </si>
  <si>
    <t>PP001609;PF005405</t>
  </si>
  <si>
    <t>7/26/2021</t>
  </si>
  <si>
    <t>AMAZON,AMAZONDS,DESINC,HDDS,JCPENNEY01,KOHLDSN,MACY02,OVERSCONSIGN,OVERSTOCK01,TGTDVS</t>
  </si>
  <si>
    <t>MP13-7396</t>
  </si>
  <si>
    <t>MP13-774</t>
  </si>
  <si>
    <t>Caelie</t>
  </si>
  <si>
    <t>Rochelle</t>
  </si>
  <si>
    <t>Marissa</t>
  </si>
  <si>
    <t>6 Piece Embroidered Quilt Set with Throw Pillows</t>
  </si>
  <si>
    <t>PF002691</t>
  </si>
  <si>
    <t>AMAZON,AMERSIGNDS,BEALLSDS,BLK01,CSNSTORES,HDDS,JCPENNEY01,KOHLDSN,MACY02,OVERSCONSIGN,OVERSTOCK01,TGTDVS</t>
  </si>
  <si>
    <t>6/8/2015</t>
  </si>
  <si>
    <t>MP13-776</t>
  </si>
  <si>
    <t>PF002680</t>
  </si>
  <si>
    <t>AMAZON,BEALLSDS,CSNSTORES,JCPENNEY01,KOHLDSN,MACY02,NRTPORT,TGTDVS</t>
  </si>
  <si>
    <t>8/5/2015</t>
  </si>
  <si>
    <t>MP13-1422</t>
  </si>
  <si>
    <t>6 Piece Printed Quilt Set with Throw Pillows</t>
  </si>
  <si>
    <t>PF002721;PP000401</t>
  </si>
  <si>
    <t>AMAZON,AMAZONDS,BEALLSDS,JCPENNEY01,MACY02,OLLIIX,OVERSTOCK01,TGTDVS</t>
  </si>
  <si>
    <t>12/28/2015</t>
  </si>
  <si>
    <t>MP13-6872</t>
  </si>
  <si>
    <t>6 Piece Cotton Percale Quilt Set with Throw Pillows</t>
  </si>
  <si>
    <t>AMAZON,BLK01,CSNSTORES,HSNDS,JCPENNEY01,KOHLDSN,MACY02,OVERSTOCK01,TGTDVS</t>
  </si>
  <si>
    <t>MP13-6873</t>
  </si>
  <si>
    <t>AMAZON,BEALLSDS,BLK01,CSNSTORES,JCPENNEY01,KOHLDSN,MACY02,NRTPORT,OVERSTOCK01,TGTDVS</t>
  </si>
  <si>
    <t>MP13-7283</t>
  </si>
  <si>
    <t>PP000407;PF005242</t>
  </si>
  <si>
    <t>AMAZON,AMAZONDS,CSNSTORES,JCPENNEY01,KOHLDSN,MACY02,NRTPORT,OLLIIX,OVERSTOCK01,TGTDVS</t>
  </si>
  <si>
    <t>MP13-7284</t>
  </si>
  <si>
    <t>AMAZON,BLK01,CSNSTORES,JCPENNEY01,KOHLDSN,MACY02,NRTPORT,OLLIIX,OVERSCONSIGN,OVERSTOCK01,TGTDVS</t>
  </si>
  <si>
    <t>MP13-6834</t>
  </si>
  <si>
    <t>6 Piece Printed Cotton Quilt Set with Throw Pillows</t>
  </si>
  <si>
    <t>Grey/Peach</t>
  </si>
  <si>
    <t>PP000448;PF004226</t>
  </si>
  <si>
    <t>1/7/2020</t>
  </si>
  <si>
    <t>8/23/2024</t>
  </si>
  <si>
    <t>AMAZON,AMAZONDS,BLK01,CSNSTORES,DESINC,JCPENNEY01,KOHLDSN,MACY02,OVERSTOCK01,TGTDVS</t>
  </si>
  <si>
    <t>MP13-6835</t>
  </si>
  <si>
    <t>AMAZON,AMAZONDS,BLK01,CSNSTORES,JCPENNEY01,KOHLDSN,OLLIIX,OVERSTOCK01,TGTDVS</t>
  </si>
  <si>
    <t>MP13-2312</t>
  </si>
  <si>
    <t>AMAZON,AMAZONDS,BLK01,FINGERHUTDS,JCPENNEY01,KOHLDSN,MACY02,NRTPORT,OVERSTOCK01,TGTDVS</t>
  </si>
  <si>
    <t>3/3/2017</t>
  </si>
  <si>
    <t>3/13/2017</t>
  </si>
  <si>
    <t>MP13-7948</t>
  </si>
  <si>
    <t>PP001782;PF005733</t>
  </si>
  <si>
    <t>AMAZONDS,CSNSTORES,JCPENNEY01,KOHLDSN,OLLIIX,OVERSTOCK01,TGTDVS</t>
  </si>
  <si>
    <t>MP13-7949</t>
  </si>
  <si>
    <t>MP13-2425</t>
  </si>
  <si>
    <t>PF002744</t>
  </si>
  <si>
    <t>AMAZON,BEALLSDS,CSNSTORES,JCPENNEY01,KOHLDSN,MACY02,OLLIIX,OVERSTOCK01,TGTDVS</t>
  </si>
  <si>
    <t>9/22/2016</t>
  </si>
  <si>
    <t>MP13-7944</t>
  </si>
  <si>
    <t>PP001782;PF005732</t>
  </si>
  <si>
    <t>AMAZONDS,JCPENNEY01,KOHLDSN,OVERSTOCK01</t>
  </si>
  <si>
    <t>MP13-7945</t>
  </si>
  <si>
    <t>AMAZONDS,CSNSTORES,JCPENNEY01,KOHLDSN,MACY02,OVERSTOCK01,TGTDVS</t>
  </si>
  <si>
    <t>MP13-8077</t>
  </si>
  <si>
    <t>6 Piece Cotton Sateen Quilt Set with Throw Pillows</t>
  </si>
  <si>
    <t>PP000484;PF005792</t>
  </si>
  <si>
    <t>5/15/2024</t>
  </si>
  <si>
    <t>AMAZONDS,BEALLSDS,CSNSTORES,JCPENNEY01,KOHLDSN,OLLIIX,OVERSCONSIGN,OVERSTOCK01,TGTDVS</t>
  </si>
  <si>
    <t>MP13-8078</t>
  </si>
  <si>
    <t>10/19/2022</t>
  </si>
  <si>
    <t>AMAZONDS,BEALLSDS,BLK01,CSNSTORES,JCPENNEY01,KOHLDSN,OLLIIX,OVERSTOCK01</t>
  </si>
  <si>
    <t>MP13-3399</t>
  </si>
  <si>
    <t>6 Piece Reversible Jacquard Quilt Set with Throw Pillows</t>
  </si>
  <si>
    <t>BLK01,CSNSTORES,FINGERHUTDS,JCPENNEY01,KOHLDSN,MACY02,OVERSTOCK01,TGTDVS</t>
  </si>
  <si>
    <t>5/22/2017</t>
  </si>
  <si>
    <t>MP13-3400</t>
  </si>
  <si>
    <t>AMAZON,AMAZONDS,AMERSIGNDS,CSNSTORES,FINGERHUTDS,JCPENNEY01,KOHLDSN,MACY02,OLLIIX,OVERSTOCK01,TGTDVS</t>
  </si>
  <si>
    <t>7/10/2017</t>
  </si>
  <si>
    <t>MP13-7423</t>
  </si>
  <si>
    <t>AMAZON,AMAZONDS,CSNSTORES,FINGERHUTDS,JCPENNEY01,KOHLDSN,MACY02,OVERSTOCK01,TGTDVS</t>
  </si>
  <si>
    <t>MP13-7424</t>
  </si>
  <si>
    <t>AMAZON,CSNSTORES,FINGERHUTDS,JCPENNEY01,KOHLDSN,MACY02,OVERSTOCK01,TGTDVS</t>
  </si>
  <si>
    <t>MP13-484</t>
  </si>
  <si>
    <t>Tissa</t>
  </si>
  <si>
    <t>Maya</t>
  </si>
  <si>
    <t>Neda</t>
  </si>
  <si>
    <t>Ivory</t>
  </si>
  <si>
    <t>PF003380</t>
  </si>
  <si>
    <t>BLK01,CSNSTORES,JCPENNEY01,KOHLDSN,OVERSTOCK01,TGTDVS</t>
  </si>
  <si>
    <t>MP13-485</t>
  </si>
  <si>
    <t>MP13-7958</t>
  </si>
  <si>
    <t>PP001783;PF005736</t>
  </si>
  <si>
    <t>8/15/2022</t>
  </si>
  <si>
    <t>JCPENNEY01,KOHLDSN,MACY02,OVERSTOCK01</t>
  </si>
  <si>
    <t>MP13-7959</t>
  </si>
  <si>
    <t>CSNSTORES,JCPENNEY01,KOHLDSN,MACY02,OVERSTOCK01</t>
  </si>
  <si>
    <t>MP13-5578</t>
  </si>
  <si>
    <t>Indigo</t>
  </si>
  <si>
    <t>PF003377;PP000530</t>
  </si>
  <si>
    <t>2/15/2018</t>
  </si>
  <si>
    <t>JCPENNEY01,MACY02,OVERSTOCK01,TGTDVS</t>
  </si>
  <si>
    <t>6/24/2021</t>
  </si>
  <si>
    <t>MP13-5579</t>
  </si>
  <si>
    <t>CSNSTORES,HSNDS,JCPENNEY01,KOHLDSN,MACY02,OVERSTOCK01,TGTDVS</t>
  </si>
  <si>
    <t>9/11/2018</t>
  </si>
  <si>
    <t>MP13-3240</t>
  </si>
  <si>
    <t>Willa</t>
  </si>
  <si>
    <t>Felicity</t>
  </si>
  <si>
    <t>Loraine</t>
  </si>
  <si>
    <t>6 Piece Cotton Quilt Set with Throw Pillows</t>
  </si>
  <si>
    <t>PF002608;PP000533</t>
  </si>
  <si>
    <t>6/1/2024</t>
  </si>
  <si>
    <t>AMAZON,BEALLSDS,CSNSTORES,HDDS,JCPENNEY01,KOHLDSN,LOWESDS,MACY02,TGTDVS</t>
  </si>
  <si>
    <t>5/30/2017</t>
  </si>
  <si>
    <t>MP13-2582</t>
  </si>
  <si>
    <t>Reversible Quilt Set with Throw Pillows</t>
  </si>
  <si>
    <t>PF002447;PP000538</t>
  </si>
  <si>
    <t>AMAZON,CSNSTORES,KOHLDSN,OLLIIX,OVERSTOCK01,TGTDVS</t>
  </si>
  <si>
    <t>7/3/2017</t>
  </si>
  <si>
    <t>MP13-271</t>
  </si>
  <si>
    <t>AMAZON,AMAZONDS,BLK01,JCPENNEY01,MACY02,OLLIIX,OVERSTOCK01,TGTDVS</t>
  </si>
  <si>
    <t>MP13-7124</t>
  </si>
  <si>
    <t>Bedspread</t>
  </si>
  <si>
    <t xml:space="preserve">3 piece Tufted Cotton  bedspread  set</t>
  </si>
  <si>
    <t>PP000641;PF005044</t>
  </si>
  <si>
    <t>BLK01,CSNSTORES,FINGERHUTDS,JCPENNEY01,KOHLDSN,MACY02,NRTPORT,OLLIIX,OVERSCONSIGN,OVERSTOCK01,TGTDVS,WALMARTDS</t>
  </si>
  <si>
    <t>5/21/2020</t>
  </si>
  <si>
    <t>3/12/2021</t>
  </si>
  <si>
    <t>MP13-7125</t>
  </si>
  <si>
    <t>BLK01,CSNSTORES,FINGERHUTDS,JCPENNEY01,KOHLDSN,MACY02,OLLIIX,OVERSTOCK01,TGTDVS,WALMARTDS</t>
  </si>
  <si>
    <t>5/24/2020</t>
  </si>
  <si>
    <t>3/15/2021</t>
  </si>
  <si>
    <t>MP13-5320</t>
  </si>
  <si>
    <t>3 Piece Tufted Cotton Chenille Bedspread Set</t>
  </si>
  <si>
    <t>BLK01,CSNSTORES,FINGERHUTDS,JCPENNEY01,KOHLDSN,MACY02,OLLIIX,OVERSTOCK01,TGTDVS</t>
  </si>
  <si>
    <t>MP13-6497</t>
  </si>
  <si>
    <t>Reversible Bedspread Set</t>
  </si>
  <si>
    <t>Mocha</t>
  </si>
  <si>
    <t>PP000488</t>
  </si>
  <si>
    <t>7/30/2019</t>
  </si>
  <si>
    <t>AMAZON,AMAZONDS,BIGLOTSDS,CSNSTORES,DESINC,JCPENNEY01,KOHLDSN,MACY02,OVERSTOCK01,TGTDVS</t>
  </si>
  <si>
    <t>11/27/2019</t>
  </si>
  <si>
    <t>12/27/2019</t>
  </si>
  <si>
    <t>MP13-6498</t>
  </si>
  <si>
    <t>MP13-6455</t>
  </si>
  <si>
    <t>7/9/2019</t>
  </si>
  <si>
    <t>MP13-2990</t>
  </si>
  <si>
    <t>PF002400</t>
  </si>
  <si>
    <t>5/18/2017</t>
  </si>
  <si>
    <t>AMAZON,AMAZONDS,BLK01,CSNSTORES,JCPENNEY01,KOHLDSN,MACY02,OVERSTOCK01,TGTDVS</t>
  </si>
  <si>
    <t>6/19/2017</t>
  </si>
  <si>
    <t>MP13-6131</t>
  </si>
  <si>
    <t>PF002402;PP000488</t>
  </si>
  <si>
    <t>12/17/2018</t>
  </si>
  <si>
    <t>1/17/2019</t>
  </si>
  <si>
    <t>MP13-6444</t>
  </si>
  <si>
    <t>Twin</t>
  </si>
  <si>
    <t>7/11/2019</t>
  </si>
  <si>
    <t>AMAZON,AMAZONDS,BEALLSDS,BIGLOTSDS,CSNSTORES,JCPENNEY01,KOHLDSN,MACY02,OVERSTOCK01,TGTDVS</t>
  </si>
  <si>
    <t>5/18/2020</t>
  </si>
  <si>
    <t>MP13-6445</t>
  </si>
  <si>
    <t>AMAZON,JCPENNEY01,KOHLDSN,MACY02,OVERSTOCK01,TGTDVS</t>
  </si>
  <si>
    <t>4/10/2020</t>
  </si>
  <si>
    <t>MP13-6129</t>
  </si>
  <si>
    <t>PF002486;PP000488</t>
  </si>
  <si>
    <t>6/26/2024</t>
  </si>
  <si>
    <t>MP13-7960</t>
  </si>
  <si>
    <t>5 Piece Jacquard Bedspread Set with Throw Pillows</t>
  </si>
  <si>
    <t>PP000381;PF005740</t>
  </si>
  <si>
    <t>7/8/2022</t>
  </si>
  <si>
    <t>MP13-7961</t>
  </si>
  <si>
    <t>AMAZONDS,BLK01,CSNSTORES,JCPENNEY01,KOHLDSN,MACY02,OLLIIX,OVERSTOCK01,TGTDVS</t>
  </si>
  <si>
    <t>MP13-7962</t>
  </si>
  <si>
    <t>Burgundy</t>
  </si>
  <si>
    <t>PP000381;PF005741</t>
  </si>
  <si>
    <t>7/28/2022</t>
  </si>
  <si>
    <t>AMAZONDS,BLK01,CSNSTORES,JCPENNEY01,KOHLDSN,MACY02,OVERSTOCK01</t>
  </si>
  <si>
    <t>MP13-7963</t>
  </si>
  <si>
    <t>7/22/2022</t>
  </si>
  <si>
    <t>MP13-7964</t>
  </si>
  <si>
    <t>PP000381;PF005742</t>
  </si>
  <si>
    <t>6/19/2024</t>
  </si>
  <si>
    <t>MP13-7965</t>
  </si>
  <si>
    <t>MP13-8314</t>
  </si>
  <si>
    <t>6/12/2024</t>
  </si>
  <si>
    <t>AMAZON,CSNSTORES,JCPENNEY01,KOHLDSN,OLLIIX</t>
  </si>
  <si>
    <t>MP13-8315</t>
  </si>
  <si>
    <t>MP13-7966</t>
  </si>
  <si>
    <t>Princeton</t>
  </si>
  <si>
    <t>Dartmouth</t>
  </si>
  <si>
    <t>Cambridge</t>
  </si>
  <si>
    <t>5 Piece Reversible Jacquard Bedspread Set</t>
  </si>
  <si>
    <t>PP000487;PF005738</t>
  </si>
  <si>
    <t>MP13-7967</t>
  </si>
  <si>
    <t>MP13-4341</t>
  </si>
  <si>
    <t>PF003392</t>
  </si>
  <si>
    <t>4/26/2017</t>
  </si>
  <si>
    <t>1/8/2018</t>
  </si>
  <si>
    <t>MP13-8289</t>
  </si>
  <si>
    <t>Coverlet &amp; Bedspread</t>
  </si>
  <si>
    <t>4 Piece Seersucker Quilt Set with Throw Pillow</t>
  </si>
  <si>
    <t>8/25/2023</t>
  </si>
  <si>
    <t>MP13-8290</t>
  </si>
  <si>
    <t>AMAZON,AMAZONDS,BLK01,CSNSTORES,JCPENNEY01,KOHLDSN,MACY02,NRTPORT,OVERSTOCK01,TGTDVS</t>
  </si>
  <si>
    <t>MP13-8205</t>
  </si>
  <si>
    <t>PP001862;PF005961</t>
  </si>
  <si>
    <t>MP13-8206</t>
  </si>
  <si>
    <t>AMAZON,BLK01,CSNSTORES,JCPENNEY01,KOHLDSN,MACY02,OVERSTOCK01,TGTDVS</t>
  </si>
  <si>
    <t>MP12-5980</t>
  </si>
  <si>
    <t>DUVET&amp;DUVET SET</t>
  </si>
  <si>
    <t>Duvet Mini Set</t>
  </si>
  <si>
    <t>3-Piece Tufted Cotton Chenille Medallion Duvet Cover Set</t>
  </si>
  <si>
    <t>8/15/2024</t>
  </si>
  <si>
    <t>AMAZON,CSNSTORES,JCPENNEY01,KOHLDSN,OVERSTOCK01,TGTDVS,WALMARTDS</t>
  </si>
  <si>
    <t>4/19/2021</t>
  </si>
  <si>
    <t>MP12-5981</t>
  </si>
  <si>
    <t>CSNSTORES,MACY02,OVERSTOCK01,TGTDVS</t>
  </si>
  <si>
    <t>4/17/2020</t>
  </si>
  <si>
    <t>MP12-5982</t>
  </si>
  <si>
    <t>PF004302;PP000898</t>
  </si>
  <si>
    <t>CSNSTORES,KOHLDSN,MACY02,OVERSTOCK01,WALMARTDS</t>
  </si>
  <si>
    <t>MP12-5983</t>
  </si>
  <si>
    <t>AMAZON,AMAZONDS,CSNSTORES,HSNDS,JCPENNEY01,KOHLDSN,MACY02,OVERSTOCK01,TGTDVS</t>
  </si>
  <si>
    <t>MP12-5978</t>
  </si>
  <si>
    <t>AMAZON,ASHFURNDS,CSNSTORES,OVERSTOCK01,TGTDVS,WALMARTDS</t>
  </si>
  <si>
    <t>7/21/2019</t>
  </si>
  <si>
    <t>4/15/2021</t>
  </si>
  <si>
    <t>MP12-7116</t>
  </si>
  <si>
    <t>3 piece Tufted Cotton duvet cover set</t>
  </si>
  <si>
    <t>3/12/2020</t>
  </si>
  <si>
    <t>AMAZONDS,CSNSTORES,OVERSTOCK01,TGTDVS</t>
  </si>
  <si>
    <t>MP12-7117</t>
  </si>
  <si>
    <t>AMAZONDS,BLK01,CSNSTORES,JCPENNEY01,KOHLDSN,OVERSTOCK01,TGTDVS</t>
  </si>
  <si>
    <t>MP12-7093</t>
  </si>
  <si>
    <t xml:space="preserve">3 Piece Cotton Printed  Duvet Cover Set</t>
  </si>
  <si>
    <t>CSNSTORES,JCPENNEY01,KOHLDSN,MACY02,OVERSTOCK01,TGTDVS,WALMARTDS</t>
  </si>
  <si>
    <t>9/25/2020</t>
  </si>
  <si>
    <t>MP12-7094</t>
  </si>
  <si>
    <t>AMAZON,CSNSTORES,JCPENNEY01,KOHLDSN,MACY02,OVERSTOCK01,TGTDVS,WALMARTDS</t>
  </si>
  <si>
    <t>6/28/2021</t>
  </si>
  <si>
    <t>MP12-6207</t>
  </si>
  <si>
    <t>3 Piece Tufted Cotton Chenille Damask Duvet Cover Set</t>
  </si>
  <si>
    <t>3/25/2019</t>
  </si>
  <si>
    <t>AMAZON,ASHFURNDS,CSNSTORES,HSNDS,JCPENNEY01,KOHLDSN,MACY02,OLLIIX,OVERSTOCK01,TGTDVS,WALMARTDS</t>
  </si>
  <si>
    <t>10/22/2019</t>
  </si>
  <si>
    <t>12/4/2019</t>
  </si>
  <si>
    <t>MP12-6208</t>
  </si>
  <si>
    <t>AMAZON,ASHFURNDS,BLK01,CSNSTORES,MACY02,OLLIIX,OVERSTOCK01,TGTDVS</t>
  </si>
  <si>
    <t>11/25/2019</t>
  </si>
  <si>
    <t>MP12-7104</t>
  </si>
  <si>
    <t>3 piece Tufted Cotton Chenille Damask Duvet Cover Set</t>
  </si>
  <si>
    <t>3/18/2020</t>
  </si>
  <si>
    <t>AMAZON,CSNSTORES,HDDS,JCPENNEY01,OVERSTOCK01,TGTDVS,ZOLA</t>
  </si>
  <si>
    <t>MP12-7105</t>
  </si>
  <si>
    <t>AMAZON,CSNSTORES,HDDS,JCPENNEY01,KOHLDSN,OVERSTOCK01,TGTDVS</t>
  </si>
  <si>
    <t>MP12-6167</t>
  </si>
  <si>
    <t>3 Piece Cotton Printed Duvet Cover Set</t>
  </si>
  <si>
    <t>4/1/2019</t>
  </si>
  <si>
    <t>AMAZON,BIGLOTSDS,BLK01,CSNSTORES,HSNDS,JCPENNEY01,KOHLDSN,MACY02,NRTPORT,OLLIIX,OVERSTOCK01,TGTDVS,WALMARTDS</t>
  </si>
  <si>
    <t>MP12-7837</t>
  </si>
  <si>
    <t>PP001093;PF005654</t>
  </si>
  <si>
    <t>2/24/2022</t>
  </si>
  <si>
    <t>AMAZONDS,CSNSTORES,HOUZZ,JCPENNEY01,KOHLDSN,MACY02,OVERSTOCK01,TGTDVS</t>
  </si>
  <si>
    <t>MP12-7838</t>
  </si>
  <si>
    <t>MP12-7142</t>
  </si>
  <si>
    <t>3 Piece Tufted Cotton Chenille Duvet Cover Set</t>
  </si>
  <si>
    <t>PP001468;PF005062</t>
  </si>
  <si>
    <t>BLK01,DESINC,MACY02,OLLIIX,OVERSTOCK01,TGTDVS,WALMARTDS</t>
  </si>
  <si>
    <t>6/29/2020</t>
  </si>
  <si>
    <t>MP12-7143</t>
  </si>
  <si>
    <t>AMAZON,CSNSTORES,JCPENNEY01,MACY02,NRTPORT,OLLIIX,OVERSTOCK01,TGTDVS,WALMARTDS</t>
  </si>
  <si>
    <t>6/8/2020</t>
  </si>
  <si>
    <t>MP12-5991</t>
  </si>
  <si>
    <t>Pacey</t>
  </si>
  <si>
    <t>Nollie</t>
  </si>
  <si>
    <t>Leena</t>
  </si>
  <si>
    <t>3 Piece Tufted Cotton Chenille Geometric Duvet Cover Set</t>
  </si>
  <si>
    <t>PF004350;PP000942</t>
  </si>
  <si>
    <t>7/10/2018</t>
  </si>
  <si>
    <t>AMAZONDS,CSNSTORES,KOHLDSN,MACY02,OVERSTOCK01,TGTDVS,WALMARTDS</t>
  </si>
  <si>
    <t>5/7/2021</t>
  </si>
  <si>
    <t>MP12-5626</t>
  </si>
  <si>
    <t>Finley</t>
  </si>
  <si>
    <t>Rianon</t>
  </si>
  <si>
    <t>Lucina</t>
  </si>
  <si>
    <t>3 Piece Cotton Waffle Weave Duvet Cover Set</t>
  </si>
  <si>
    <t>PP000854;PF004193</t>
  </si>
  <si>
    <t>Farm House|Modern/Contemporary</t>
  </si>
  <si>
    <t>4/24/2018</t>
  </si>
  <si>
    <t>CSNSTORES,JCPENNEY01,OLLIIX,OVERSTOCK01,TGTDVS</t>
  </si>
  <si>
    <t>2/11/2019</t>
  </si>
  <si>
    <t>MP12-5627</t>
  </si>
  <si>
    <t>BLK01,CSNSTORES,KOHLDSN,OLLIIX,OVERSTOCK01,TGTDVS,WALMARTDS</t>
  </si>
  <si>
    <t>4/15/2019</t>
  </si>
  <si>
    <t>MP12-6161</t>
  </si>
  <si>
    <t>Amaya</t>
  </si>
  <si>
    <t>Joelie</t>
  </si>
  <si>
    <t>Roselle</t>
  </si>
  <si>
    <t>3 Piece Cotton Seersucker Duvet Cover Set</t>
  </si>
  <si>
    <t>PF004573;PP001090</t>
  </si>
  <si>
    <t>Modern/Contemporary|Shabby Chic</t>
  </si>
  <si>
    <t>2/23/2019</t>
  </si>
  <si>
    <t>AMAZONDS,CSNSTORES,MACY02,OLLIIX,TGTDVS</t>
  </si>
  <si>
    <t>MP12-6162</t>
  </si>
  <si>
    <t>CSNSTORES,KOHLDSN,MACY02,NRTPORT,OLLIIX,TGTDVS</t>
  </si>
  <si>
    <t>11/13/2019</t>
  </si>
  <si>
    <t>MP12-8130</t>
  </si>
  <si>
    <t>3 Piece Corduroy Duvet Cover Set</t>
  </si>
  <si>
    <t>PP001830;PF005877</t>
  </si>
  <si>
    <t>CSNSTORES,HDDS,JCPENNEY01,MACY02,OLLIIX,OVERSTOCK01,TGTDVS</t>
  </si>
  <si>
    <t>MP12-8131</t>
  </si>
  <si>
    <t>CSNSTORES,HDDS,JCPENNEY01,KOHLDSN,MACY02,OVERSTOCK01,TGTDVS</t>
  </si>
  <si>
    <t>MP12-6224</t>
  </si>
  <si>
    <t>Bahari</t>
  </si>
  <si>
    <t>Osanna</t>
  </si>
  <si>
    <t>Ceiba</t>
  </si>
  <si>
    <t>3 Piece Tufted Cotton Chenille Palm Duvet Cover Set</t>
  </si>
  <si>
    <t>PF004613;PP001114</t>
  </si>
  <si>
    <t>AMAZONDS,AMERSIGNDS,CSNSTORES,MACY02,OVERSTOCK01,TGTDVS</t>
  </si>
  <si>
    <t>4/6/2020</t>
  </si>
  <si>
    <t>MP12-7298</t>
  </si>
  <si>
    <t>3 Piece Cotton Duvet Cover Set</t>
  </si>
  <si>
    <t>PP001567;PF005263</t>
  </si>
  <si>
    <t>CSNSTORES,JCPENNEY01,KOHLDSN,MACY02,OVERSCONSIGN,OVERSTOCK01,TGTDVS</t>
  </si>
  <si>
    <t>MP12-7299</t>
  </si>
  <si>
    <t>BLK01,CSNSTORES,JCPENNEY01,KOHLDSN,MACY02,OVERSTOCK01,TGTDVS</t>
  </si>
  <si>
    <t>MP12-8158</t>
  </si>
  <si>
    <t>3 Piece Cotton Floral Printed Reversible Duvet Cover Set</t>
  </si>
  <si>
    <t>PP000879;PF005890</t>
  </si>
  <si>
    <t>MP12-8159</t>
  </si>
  <si>
    <t>AMAZON,JCPENNEY01,MACY02,OLLIIX,OVERSTOCK01,TGTDVS</t>
  </si>
  <si>
    <t>MP12-7357</t>
  </si>
  <si>
    <t>PP001599;PF005371</t>
  </si>
  <si>
    <t>CSNSTORES,MACY02,OVERSTOCK01,TGTDVS,ZOLA</t>
  </si>
  <si>
    <t>MP12-7358</t>
  </si>
  <si>
    <t>CSNSTORES,JCPENNEY01,MACY02,ZOLA</t>
  </si>
  <si>
    <t>MP12-6103</t>
  </si>
  <si>
    <t>1/30/2019</t>
  </si>
  <si>
    <t>KOHLDSN,MACY02,OLLIIX,OVERSTOCK01,TGTDVS</t>
  </si>
  <si>
    <t>3/5/2019</t>
  </si>
  <si>
    <t>MP12-6104</t>
  </si>
  <si>
    <t>ASHFURNDS,CSNSTORES,JCPENNEY01,KOHLDSN,MACY02,OVERSTOCK01,TGTDVS</t>
  </si>
  <si>
    <t>MP12-8201</t>
  </si>
  <si>
    <t>3 Piece Clipped Jacquard Duvet Cover Set</t>
  </si>
  <si>
    <t>PP001860;PF005953</t>
  </si>
  <si>
    <t>MP12-8202</t>
  </si>
  <si>
    <t>MP12-7825</t>
  </si>
  <si>
    <t>3 Piece Tufted Cotton Chenille Floral Duvet Cover Set</t>
  </si>
  <si>
    <t>PP001234;PF005648</t>
  </si>
  <si>
    <t>CSNSTORES,KOHLDSN,MACY02,OVERSTOCK01</t>
  </si>
  <si>
    <t>MP12-7826</t>
  </si>
  <si>
    <t>CSNSTORES,MACY02,OVERSTOCK01</t>
  </si>
  <si>
    <t>MP12-6394</t>
  </si>
  <si>
    <t>Warm Grey/White</t>
  </si>
  <si>
    <t>PP001234;PF004710</t>
  </si>
  <si>
    <t>6/5/2019</t>
  </si>
  <si>
    <t>3/31/2020</t>
  </si>
  <si>
    <t>MP12-6395</t>
  </si>
  <si>
    <t>CSNSTORES,JCPENNEY01,MACY02,OVERSTOCK01,TGTDVS</t>
  </si>
  <si>
    <t>5/7/2020</t>
  </si>
  <si>
    <t>MP12-476</t>
  </si>
  <si>
    <t>Duvet&amp;Duvet Set</t>
  </si>
  <si>
    <t>6 Piece Printed Duvet Cover Set</t>
  </si>
  <si>
    <t>PF003375;PP000530</t>
  </si>
  <si>
    <t>AMAZONDS,MACY02,OVERSTOCK01,WALMARTDS</t>
  </si>
  <si>
    <t>MP12-477</t>
  </si>
  <si>
    <t>MP12-7956</t>
  </si>
  <si>
    <t>PP001783;PF005737</t>
  </si>
  <si>
    <t>MACY02</t>
  </si>
  <si>
    <t>MP12-7957</t>
  </si>
  <si>
    <t>AMAZONDS,CSNSTORES,JCPENNEY01,KOHLDSN,OVERSTOCK01,TGTDVS</t>
  </si>
  <si>
    <t>MP12-3832</t>
  </si>
  <si>
    <t>PF003377</t>
  </si>
  <si>
    <t>10/8/2017</t>
  </si>
  <si>
    <t>MP12-3833</t>
  </si>
  <si>
    <t>5/17/2017</t>
  </si>
  <si>
    <t>4/25/2018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</si>
  <si>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</si>
  <si>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</si>
  <si>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</si>
  <si>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</si>
  <si>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</si>
  <si>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</si>
  <si>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</si>
  <si>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1/15/2018</t>
  </si>
  <si>
    <t>MP12-4397</t>
  </si>
  <si>
    <t>7/16/2018</t>
  </si>
  <si>
    <t>MP12-276</t>
  </si>
  <si>
    <t>6 Piece Duvet Cover Set</t>
  </si>
  <si>
    <t>Blue/Brown</t>
  </si>
  <si>
    <t>PF003389;PP000381</t>
  </si>
  <si>
    <t>CSNSTORES,JCPENNEY01,MACY02,NRTPORT,OVERSTOCK01,TGTDVS</t>
  </si>
  <si>
    <t>MP12-277</t>
  </si>
  <si>
    <t>MP12-3736</t>
  </si>
  <si>
    <t>Biloxi</t>
  </si>
  <si>
    <t>Morris</t>
  </si>
  <si>
    <t>Hudson</t>
  </si>
  <si>
    <t>6 Piece Jaquard Duvet Cover Set</t>
  </si>
  <si>
    <t>PF002684;PP000388</t>
  </si>
  <si>
    <t>Glam/Luxuey|Modern/Contemporary</t>
  </si>
  <si>
    <t>BLK01,CSNSTORES,JCPENNEY01,MACY02,OVERSTOCK01</t>
  </si>
  <si>
    <t>5/11/2017</t>
  </si>
  <si>
    <t>MP12-3737</t>
  </si>
  <si>
    <t>CSNSTORES,KOHLDSN,MACY02,OVERSTOCK01,TGTDVS</t>
  </si>
  <si>
    <t>8/25/2017</t>
  </si>
  <si>
    <t>MP12-3053</t>
  </si>
  <si>
    <t>PF002681;PP000388</t>
  </si>
  <si>
    <t>AMAZON,CSNSTORES,MACY02,OVERSTOCK01,TGTDVS</t>
  </si>
  <si>
    <t>5/9/2017</t>
  </si>
  <si>
    <t>MP12-3054</t>
  </si>
  <si>
    <t>MP12-2530</t>
  </si>
  <si>
    <t>4 Piece Microfiber 2-in-1 Duvet Set</t>
  </si>
  <si>
    <t>MACY02,OVERSTOCK01,TGTDVS</t>
  </si>
  <si>
    <t>11/29/2016</t>
  </si>
  <si>
    <t>MP12-2531</t>
  </si>
  <si>
    <t>2/20/2017</t>
  </si>
  <si>
    <t>MP12-4169</t>
  </si>
  <si>
    <t>Holly</t>
  </si>
  <si>
    <t>Sakura</t>
  </si>
  <si>
    <t>7 Piece Cotton Duvet Cover Set</t>
  </si>
  <si>
    <t>Purple/Taupe</t>
  </si>
  <si>
    <t>PF002647</t>
  </si>
  <si>
    <t>2/20/2018</t>
  </si>
  <si>
    <t>MP12-4170</t>
  </si>
  <si>
    <t>4/26/2024</t>
  </si>
  <si>
    <t>CSNSTORES,JCPENNEY01,MACY02,OVERSCONSIGN,OVERSTOCK01,TGTDVS</t>
  </si>
  <si>
    <t>MP12-260</t>
  </si>
  <si>
    <t>MP12-261</t>
  </si>
  <si>
    <t>MP12-3663</t>
  </si>
  <si>
    <t>9 Piece Cotton Twill Reversible Duvet Set</t>
  </si>
  <si>
    <t>AMAZON,BLK01,OVERSTOCK01,TGTDVS</t>
  </si>
  <si>
    <t>8/14/2017</t>
  </si>
  <si>
    <t>MP12-3664</t>
  </si>
  <si>
    <t>4/5/2017</t>
  </si>
  <si>
    <t>AMAZON,OVERSTOCK01,TGTDVS</t>
  </si>
  <si>
    <t>9/5/2017</t>
  </si>
  <si>
    <t>MP12-3665</t>
  </si>
  <si>
    <t>5/23/2017</t>
  </si>
  <si>
    <t>11/21/2017</t>
  </si>
  <si>
    <t>MP12-6185</t>
  </si>
  <si>
    <t>Malia</t>
  </si>
  <si>
    <t>Edna</t>
  </si>
  <si>
    <t>Alicia</t>
  </si>
  <si>
    <t>4 Piece Embroidered Cotton Reversible Duvet Cover Set</t>
  </si>
  <si>
    <t>PF004594;PP001099</t>
  </si>
  <si>
    <t>Cottage/Country|Transitional</t>
  </si>
  <si>
    <t>3/27/2019</t>
  </si>
  <si>
    <t>JCPENNEY01,KOHLDSN,MACY02,OLLIIX,OVERSTOCK01,ZOLA</t>
  </si>
  <si>
    <t>7/23/2021</t>
  </si>
  <si>
    <t>MP12-6186</t>
  </si>
  <si>
    <t>BEALLSDS,CSNSTORES,MACY02,OVERSTOCK01,TGTDVS</t>
  </si>
  <si>
    <t>4/3/2020</t>
  </si>
  <si>
    <t>MP12-8075</t>
  </si>
  <si>
    <t>6 Piece Cotton Sateen Duvet Cover Set</t>
  </si>
  <si>
    <t>PP000484;PF005793</t>
  </si>
  <si>
    <t>AMAZON,JCPENNEY01,KOHLDSN,MACY02,OLLIIX,OVERSTOCK01</t>
  </si>
  <si>
    <t>MP12-8076</t>
  </si>
  <si>
    <t>AMAZON,CSNSTORES,OLLIIX,OVERSTOCK01,TGTDVS</t>
  </si>
  <si>
    <t>MP12-2707</t>
  </si>
  <si>
    <t>PF002758;PP000484</t>
  </si>
  <si>
    <t>AMAZON,AMAZONDS,BLK01,MACY02,OVERSTOCK01,TGTDVS</t>
  </si>
  <si>
    <t>MP12-2708</t>
  </si>
  <si>
    <t>AMAZON,BLK01,MACY02,OLLIIX,OVERSTOCK01,TGTDVS</t>
  </si>
  <si>
    <t>1/4/2017</t>
  </si>
  <si>
    <t>MP12-7215</t>
  </si>
  <si>
    <t>6 Piece Herringbone Duvet Cover Set</t>
  </si>
  <si>
    <t>PP001539;PF005194</t>
  </si>
  <si>
    <t>MP12-7216</t>
  </si>
  <si>
    <t>MP12-4672</t>
  </si>
  <si>
    <t>CSNSTORES,JCPENNEY01,MACY02</t>
  </si>
  <si>
    <t>MP12-4673</t>
  </si>
  <si>
    <t>CSNSTORES,MACY02,TGTDVS</t>
  </si>
  <si>
    <t>4/13/2018</t>
  </si>
  <si>
    <t>MP12-1102</t>
  </si>
  <si>
    <t>Serena</t>
  </si>
  <si>
    <t>Jasmine</t>
  </si>
  <si>
    <t>PF002716</t>
  </si>
  <si>
    <t>AMAZON,CSNSTORES,NRTPORT,OVERSTOCK01,TGTDVS</t>
  </si>
  <si>
    <t>10/29/2015</t>
  </si>
  <si>
    <t>MP12-1103</t>
  </si>
  <si>
    <t>4/16/2024</t>
  </si>
  <si>
    <t>AMAZON,BLK01,CSNSTORES,TGTDVS</t>
  </si>
  <si>
    <t>11/17/2015</t>
  </si>
  <si>
    <t>MP50-4301</t>
  </si>
  <si>
    <t>THROW</t>
  </si>
  <si>
    <t>Filled Throw</t>
  </si>
  <si>
    <t>Oversized Quilted Throw with Scalloped Edges</t>
  </si>
  <si>
    <t>60x72"</t>
  </si>
  <si>
    <t>PF003552</t>
  </si>
  <si>
    <t>1</t>
  </si>
  <si>
    <t>AMAZON,AMAZONDS,BLK01,CSNSTORES,DESINC,KIRKLANDDS,KOHLDSN,MACY02,OLLIIX,TGTDVS,WALMARTDS,ZOLA</t>
  </si>
  <si>
    <t>2/22/2019</t>
  </si>
  <si>
    <t>MP50-3723</t>
  </si>
  <si>
    <t>Oversized Cotton Quilted Throw</t>
  </si>
  <si>
    <t>50x70"</t>
  </si>
  <si>
    <t>AMAZON,ASHFURNDS,BEALLSDS,BLK01,CSNSTORES,KOHLDSN,MACY02,OLLIIX,OVERSTOCK01,TGTDVS,WALMARTDS</t>
  </si>
  <si>
    <t>5/24/2017</t>
  </si>
  <si>
    <t>MP11-5365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</si>
  <si>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</si>
  <si>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</si>
  <si>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</si>
  <si>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</si>
  <si>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</si>
  <si>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</si>
  <si>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</si>
  <si>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</si>
  <si>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AMAZON,CSNSTORES,JCPENNEY01,KOHLDSN,OLLIIX,OVERSTOCK01,TGTDVS,WALMARTDS</t>
  </si>
  <si>
    <t>MP11-5364</t>
  </si>
  <si>
    <t>6/19/2018</t>
  </si>
  <si>
    <t>MPE10-204</t>
  </si>
  <si>
    <t>Madison Park Essentials</t>
  </si>
  <si>
    <t>Serenity</t>
  </si>
  <si>
    <t>Odisha</t>
  </si>
  <si>
    <t>Nepal</t>
  </si>
  <si>
    <t>7 Piece Comforter Set with Cotton Bed Sheets</t>
  </si>
  <si>
    <t>PF003666</t>
  </si>
  <si>
    <t>AMAZONDS,BIGLOTSDS,CSNSTORES,MACY02,OVERSTOCK01,TGTDVS,WALMARTDS</t>
  </si>
  <si>
    <t>9/29/2016</t>
  </si>
  <si>
    <t>MPE10-568</t>
  </si>
  <si>
    <t>Twin XL</t>
  </si>
  <si>
    <t>6/24/2017</t>
  </si>
  <si>
    <t>AMAZON,KOHLDSN,OVERSTOCK01,TGTDVS,WALMARTDS</t>
  </si>
  <si>
    <t>MPE10-205</t>
  </si>
  <si>
    <t>9 Piece Comforter Set with Cotton Bed Sheets</t>
  </si>
  <si>
    <t>CSNSTORES,OVERSTOCK01,TGTDVS</t>
  </si>
  <si>
    <t>9/19/2016</t>
  </si>
  <si>
    <t>MPE10-207</t>
  </si>
  <si>
    <t>AMAZON,BIGLOTSDS,CSNSTORES,HSNDS,JCPENNEY01,KOHLDSN,MACY02,OVERSTOCK01,TGTDVS,WALMARTDS</t>
  </si>
  <si>
    <t>9/28/2016</t>
  </si>
  <si>
    <t>MPE10-208</t>
  </si>
  <si>
    <t>AMAZON,BLK01,HSNDS,JCPENNEY01,KOHLDSN,MACY02,OVERSTOCK01,WALMARTDS</t>
  </si>
  <si>
    <t>11/7/2016</t>
  </si>
  <si>
    <t>MPE10-150</t>
  </si>
  <si>
    <t>PF003665;PP000507</t>
  </si>
  <si>
    <t>JCPENNEY01,MACY02,TGTDVS</t>
  </si>
  <si>
    <t>MPE10-151</t>
  </si>
  <si>
    <t>CSNSTORES,KOHLDSN,OVERSTOCK01,TGTDVS</t>
  </si>
  <si>
    <t>10/20/2016</t>
  </si>
  <si>
    <t>MPE10-153</t>
  </si>
  <si>
    <t>11/10/2016</t>
  </si>
  <si>
    <t>MPE10-727</t>
  </si>
  <si>
    <t>Maible</t>
  </si>
  <si>
    <t>Caldwell</t>
  </si>
  <si>
    <t>Calla</t>
  </si>
  <si>
    <t>PP000877;PF004250</t>
  </si>
  <si>
    <t>3/28/2018</t>
  </si>
  <si>
    <t>AMAZON,BEALLSDS,CSNSTORES,JCPENNEY01,KOHLDSN,MACY02,OVERSTOCK01,ROOMECOM,WALMARTDS</t>
  </si>
  <si>
    <t>11/24/2019</t>
  </si>
  <si>
    <t>2/4/2020</t>
  </si>
  <si>
    <t>MPE10-728</t>
  </si>
  <si>
    <t>AMAZON,AMAZONDS,BEALLSDS,CSNSTORES,JCPENNEY01,KOHLDSN,MACY02,OVERSTOCK01,WALMARTDS</t>
  </si>
  <si>
    <t>6/3/2020</t>
  </si>
  <si>
    <t>MPE10-730</t>
  </si>
  <si>
    <t>AMAZON,BLK01,CSNSTORES,FINGERHUTDS,HSNDS,JCPENNEY01,KOHLDSN,MACY02,NRTPORT,OVERSTOCK01,TGTDVS,WALMARTDS</t>
  </si>
  <si>
    <t>12/31/2019</t>
  </si>
  <si>
    <t>MPE10-731</t>
  </si>
  <si>
    <t>AMAZON,BLK01,CSNSTORES,DESINC,FINGERHUTDS,JCPENNEY01,KOHLDSN,MACY02,OVERSTOCK01</t>
  </si>
  <si>
    <t>3/16/2020</t>
  </si>
  <si>
    <t>MPE10-732</t>
  </si>
  <si>
    <t>PP000877;PF004251</t>
  </si>
  <si>
    <t>AMAZON,CSNSTORES,JCPENNEY01</t>
  </si>
  <si>
    <t>6/1/2020</t>
  </si>
  <si>
    <t>MPE10-733</t>
  </si>
  <si>
    <t>AMAZON,CSNSTORES,FINGERHUTDS,JCPENNEY01,KOHLDSN,OVERSTOCK01,WALMARTDS</t>
  </si>
  <si>
    <t>MPE10-735</t>
  </si>
  <si>
    <t>AMAZON,CSNSTORES,FINGERHUTDS,HSNDS,JCPENNEY01,KOHLDSN,MACY02,NRTPORT,OVERSTOCK01</t>
  </si>
  <si>
    <t>1/9/2020</t>
  </si>
  <si>
    <t>MPE10-736</t>
  </si>
  <si>
    <t>CSNSTORES,HSNDS,JCPENNEY01,KOHLDSN,MACY02,OLLIIX,OVERSTOCK01</t>
  </si>
  <si>
    <t>MPE10-859</t>
  </si>
  <si>
    <t>Blush/Grey</t>
  </si>
  <si>
    <t>PF004932</t>
  </si>
  <si>
    <t>11/8/2019</t>
  </si>
  <si>
    <t>8/21/2024</t>
  </si>
  <si>
    <t>AMAZON,BLK01,CSNSTORES,HOUZZ,JCPENNEY01,OVERSTOCK01,TGTDVS</t>
  </si>
  <si>
    <t>MPE10-860</t>
  </si>
  <si>
    <t>AMAZON,CSNSTORES,HSNDS,JCPENNEY01,KOHLDSN,MACY02,OVERSTOCK01,TGTDVS</t>
  </si>
  <si>
    <t>7/16/2020</t>
  </si>
  <si>
    <t>MPE10-862</t>
  </si>
  <si>
    <t>MPE10-863</t>
  </si>
  <si>
    <t>AMAZON,AMAZONDS,CSNSTORES,HSNDS,JCPENNEY01,MACY02,OVERSTOCK01,TGTDVS,WALMARTDS</t>
  </si>
  <si>
    <t>12/6/2020</t>
  </si>
  <si>
    <t>MPE10-386</t>
  </si>
  <si>
    <t>Central Park</t>
  </si>
  <si>
    <t>Pelham Bay</t>
  </si>
  <si>
    <t>Prospect Park</t>
  </si>
  <si>
    <t>Yellow/Aqua</t>
  </si>
  <si>
    <t>PF003698</t>
  </si>
  <si>
    <t>Modern/Contemporary|Transitional</t>
  </si>
  <si>
    <t>AMAZON,AMAZONDS,CSNSTORES,OVERSTOCK01,TGTDVS,WALMARTDS</t>
  </si>
  <si>
    <t>MPE10-387</t>
  </si>
  <si>
    <t>AMAZON,JCPENNEY01,MACY02,OVERSTOCK01,TGTDVS,WALMARTDS</t>
  </si>
  <si>
    <t>8/30/2017</t>
  </si>
  <si>
    <t>MPE10-388</t>
  </si>
  <si>
    <t>MPE10-389</t>
  </si>
  <si>
    <t>AMERSIGNDS,CSNSTORES,JCPENNEY01,MACY02,OVERSTOCK01,TGTDVS,WALMARTDS</t>
  </si>
  <si>
    <t>9/14/2017</t>
  </si>
  <si>
    <t>MPE10-390</t>
  </si>
  <si>
    <t>AMAZON,HSNDS,JCPENNEY01,OVERSTOCK01,WALMARTDS</t>
  </si>
  <si>
    <t>9/8/2017</t>
  </si>
  <si>
    <t>MPE10-158</t>
  </si>
  <si>
    <t>Knowles</t>
  </si>
  <si>
    <t>Glendale</t>
  </si>
  <si>
    <t>Cabrillo</t>
  </si>
  <si>
    <t>PF003652</t>
  </si>
  <si>
    <t>11/28/2016</t>
  </si>
  <si>
    <t>MPE10-159</t>
  </si>
  <si>
    <t>AMAZON,AMAZONDS,CSNSTORES,MACY02,OVERSTOCK01</t>
  </si>
  <si>
    <t>10/13/2016</t>
  </si>
  <si>
    <t>MPE10-160</t>
  </si>
  <si>
    <t>AMAZON,AMAZONDS,BLK01,CSNSTORES,JCPENNEY01,KOHLDSN,MACY02,OLLIIX,OVERSCONSIGN,OVERSTOCK01,TGTDVS,WALMARTDS</t>
  </si>
  <si>
    <t>10/27/2016</t>
  </si>
  <si>
    <t>MPE10-161</t>
  </si>
  <si>
    <t>11/14/2016</t>
  </si>
  <si>
    <t>MPE10-162</t>
  </si>
  <si>
    <t>MPE10-005</t>
  </si>
  <si>
    <t>PF003651;PP000436</t>
  </si>
  <si>
    <t>JCPENNEY01,OVERSTOCK01,TGTDVS</t>
  </si>
  <si>
    <t>5/26/2015</t>
  </si>
  <si>
    <t>MPE10-006</t>
  </si>
  <si>
    <t>MPE10-007</t>
  </si>
  <si>
    <t>5/25/2015</t>
  </si>
  <si>
    <t>MPE10-008</t>
  </si>
  <si>
    <t>AMAZON,AMAZONDS,BLK01,KOHLDSN,MACY02,OVERSCONSIGN,OVERSTOCK01,TGTDVS</t>
  </si>
  <si>
    <t>MPE10-030</t>
  </si>
  <si>
    <t>6/4/2015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</si>
  <si>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</si>
  <si>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</si>
  <si>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</si>
  <si>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</si>
  <si>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</si>
  <si>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</si>
  <si>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11/26/2019</t>
  </si>
  <si>
    <t>AMAZON,AMAZONDS,CSNSTORES,JCPENNEY01,KOHLDSN,LOWESDS,MACY02,OVERSTOCK01,TGTDVS,WALMARTDS</t>
  </si>
  <si>
    <t>9/23/2020</t>
  </si>
  <si>
    <t>MPE10-880</t>
  </si>
  <si>
    <t>Reversible 8 Piece Comforter Set with Bed Sheets</t>
  </si>
  <si>
    <t>12/5/2019</t>
  </si>
  <si>
    <t>AMAZON,BIGLOTSDS,BLK01,CSNSTORES,HSNDS,JCPENNEY01,KOHLDSN,MACY02,OLLIIX,OVERSTOCK01,TGTDVS,WALMARTDS</t>
  </si>
  <si>
    <t>4/26/2020</t>
  </si>
  <si>
    <t>MPE10-881</t>
  </si>
  <si>
    <t>AMAZON,AMAZONDS,BIGLOTSDS,CSNSTORES,DESINC,JCPENNEY01,KOHLDSN,MACY02,OLLIIX,OVERSTOCK01,TGTDVS</t>
  </si>
  <si>
    <t>7/17/2020</t>
  </si>
  <si>
    <t>MPE10-693</t>
  </si>
  <si>
    <t>Saben</t>
  </si>
  <si>
    <t>Barret</t>
  </si>
  <si>
    <t>Seth</t>
  </si>
  <si>
    <t>PP000497;PF004057</t>
  </si>
  <si>
    <t>10/18/2017</t>
  </si>
  <si>
    <t>AMAZON,AMAZONDS,CSNSTORES,OVERSTOCK01</t>
  </si>
  <si>
    <t>7/18/2018</t>
  </si>
  <si>
    <t>MPE10-694</t>
  </si>
  <si>
    <t>AMAZON,CSNSTORES,KOHLDSN,MACY02,OVERSTOCK01</t>
  </si>
  <si>
    <t>7/31/2018</t>
  </si>
  <si>
    <t>MPE10-696</t>
  </si>
  <si>
    <t>AMAZON,AMAZONDS,CSNSTORES,FINGERHUTDS,JCPENNEY01,KOHLDSN,MACY02,OVERSTOCK01,TGTDVS,WALMARTDS</t>
  </si>
  <si>
    <t>7/17/2018</t>
  </si>
  <si>
    <t>MPE10-697</t>
  </si>
  <si>
    <t>AMAZON,AMAZONDS,JCPENNEY01,KOHLDSN,MACY02,OLLIIX,OVERSTOCK01,TGTDVS,WALMARTDS</t>
  </si>
  <si>
    <t>7/5/2018</t>
  </si>
  <si>
    <t>MPE10-873</t>
  </si>
  <si>
    <t>Patrick</t>
  </si>
  <si>
    <t>Paton</t>
  </si>
  <si>
    <t>Leroy</t>
  </si>
  <si>
    <t>6 Piece Comforter Set with Bed Sheets</t>
  </si>
  <si>
    <t>PF004948;PP001404</t>
  </si>
  <si>
    <t>AMAZONDS,BLK01,JCPENNEY01,OVERSTOCK01,TGTDVS,WALMARTDS</t>
  </si>
  <si>
    <t>3/22/2020</t>
  </si>
  <si>
    <t>MPE10-874</t>
  </si>
  <si>
    <t>8 Piece Comforter Set with Bed Sheets</t>
  </si>
  <si>
    <t>AMAZON,BLK01,CSNSTORES,HDDS,KOHLDSN,OVERSTOCK01,TGTDVS</t>
  </si>
  <si>
    <t>12/13/2019</t>
  </si>
  <si>
    <t>MPE10-875</t>
  </si>
  <si>
    <t>AMAZON,AMAZONDS,CSNSTORES,JCPENNEY01,KOHLDSN,MACY02,OLLIIX,OVERSTOCK01,TGTDVS,WALMARTDS</t>
  </si>
  <si>
    <t>1/30/2020</t>
  </si>
  <si>
    <t>MPE10-876</t>
  </si>
  <si>
    <t>BIGLOTSDS,HDDS,OVERSTOCK01,TGTDVS</t>
  </si>
  <si>
    <t>1/21/2020</t>
  </si>
  <si>
    <t>MPE10-877</t>
  </si>
  <si>
    <t>CSNSTORES,JCPENNEY01,OVERSTOCK01,TGTDVS</t>
  </si>
  <si>
    <t>MPE10-376</t>
  </si>
  <si>
    <t>Lafael</t>
  </si>
  <si>
    <t>Eden</t>
  </si>
  <si>
    <t>Rowan</t>
  </si>
  <si>
    <t>PF003696</t>
  </si>
  <si>
    <t>AMAZON,CSNSTORES,HSNDS,JCPENNEY01,KOHLDSN,OLLIIX,OVERSTOCK01,TGTDVS,WALMARTDS</t>
  </si>
  <si>
    <t>9/3/2017</t>
  </si>
  <si>
    <t>10/9/2017</t>
  </si>
  <si>
    <t>MPE10-377</t>
  </si>
  <si>
    <t>MPE10-380</t>
  </si>
  <si>
    <t>AMAZON,BLK01,CSNSTORES,JCPENNEY01,MACY02,OVERSTOCK01</t>
  </si>
  <si>
    <t>10/10/2017</t>
  </si>
  <si>
    <t>CS10-1378</t>
  </si>
  <si>
    <t>Jeanie</t>
  </si>
  <si>
    <t>Karissa</t>
  </si>
  <si>
    <t>Comforter Set with Bed Sheets</t>
  </si>
  <si>
    <t>PF005938;PP001856</t>
  </si>
  <si>
    <t>CS10-1379</t>
  </si>
  <si>
    <t>BLK01,DESINC,JCPENNEY01,MACY02,OVERSTOCK01,TGTDVS</t>
  </si>
  <si>
    <t>CS10-1380</t>
  </si>
  <si>
    <t>7/13/2021</t>
  </si>
  <si>
    <t>AMAZONDS,BLK01,CSNSTORES,DESINC,JCPENNEY01,KOHLDSN,MACY02,OVERSTOCK01,TGTDVS</t>
  </si>
  <si>
    <t>CS10-1381</t>
  </si>
  <si>
    <t>CS10-1382</t>
  </si>
  <si>
    <t>AMAZON,AMAZONDS,BLK01,DESINC,JCPENNEY01,KOHLDSN,MACY02,OVERSTOCK01,TGTDVS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</si>
  <si>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</si>
  <si>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</si>
  <si>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</si>
  <si>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</si>
  <si>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</si>
  <si>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</si>
  <si>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</si>
  <si>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</si>
  <si>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BLK01,CSNSTORES,DESINC,JCPENNEY01,KOHLDSN,MACY02,OLLIIX,OVERSTOCK01,TGTDVS</t>
  </si>
  <si>
    <t>MPE10-1021</t>
  </si>
  <si>
    <t>BLK01,CSNSTORES,DESINC,JCPENNEY01,KOHLDSN,MACY02,NRTPORT,OLLIIX,OVERSTOCK01,TGTDVS</t>
  </si>
  <si>
    <t>MPE10-1022</t>
  </si>
  <si>
    <t>MPE10-021</t>
  </si>
  <si>
    <t>Claremont</t>
  </si>
  <si>
    <t>Kendall</t>
  </si>
  <si>
    <t>PF003659</t>
  </si>
  <si>
    <t>6/15/2024</t>
  </si>
  <si>
    <t>CSNSTORES,TGTDVS</t>
  </si>
  <si>
    <t>6/19/2015</t>
  </si>
  <si>
    <t>MPE10-022</t>
  </si>
  <si>
    <t>MPE10-023</t>
  </si>
  <si>
    <t>CSNSTORES,HSNDS,JCPENNEY01,KOHLDSN,OLLIIX,OVERSTOCK01</t>
  </si>
  <si>
    <t>5/22/2015</t>
  </si>
  <si>
    <t>MPE10-024</t>
  </si>
  <si>
    <t>BLK01,CSNSTORES,DESINC,KOHLDSN,OVERSTOCK01,TGTDVS</t>
  </si>
  <si>
    <t>6/12/2015</t>
  </si>
  <si>
    <t>MPE10-034</t>
  </si>
  <si>
    <t>BLK01,CSNSTORES,JCPENNEY01,MACY02,NRTPORT,TGTDVS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</si>
  <si>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</si>
  <si>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</si>
  <si>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</si>
  <si>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</si>
  <si>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</si>
  <si>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</si>
  <si>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</si>
  <si>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</si>
  <si>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AMAZON,AMAZONDS,KOHLDSN,NRTPORT,OVERSTOCK01</t>
  </si>
  <si>
    <t>MPE10-895</t>
  </si>
  <si>
    <t>8 Piece Reversible Comforter Set with Bed Sheets</t>
  </si>
  <si>
    <t>AMAZON,CSNSTORES,HDDS,MACY02,OVERSTOCK01,TGTDVS</t>
  </si>
  <si>
    <t>MPE10-896</t>
  </si>
  <si>
    <t>BIGLOTSDS,JCPENNEY01,KOHLDSN,MACY02,OVERSTOCK01,TGTDVS</t>
  </si>
  <si>
    <t>MPE10-897</t>
  </si>
  <si>
    <t>CSNSTORES,HDDS,OVERSTOCK01,TGTDVS</t>
  </si>
  <si>
    <t>MPE10-898</t>
  </si>
  <si>
    <t>BIGLOTSDS,CSNSTORES,HDDS,OVERSTOCK01,TGTDVS</t>
  </si>
  <si>
    <t>MPE10-1031</t>
  </si>
  <si>
    <t>Jaxon</t>
  </si>
  <si>
    <t>Deacon</t>
  </si>
  <si>
    <t>Ryder</t>
  </si>
  <si>
    <t>Stripe Comforter Set with Bed Sheets</t>
  </si>
  <si>
    <t>Aqua/Grey</t>
  </si>
  <si>
    <t>PP001834;PF006113</t>
  </si>
  <si>
    <t>12/22/2023</t>
  </si>
  <si>
    <t>AMAZON,AMAZONDS,CSNSTORES,JCPENNEY01,KOHLDSN,TGTDVS</t>
  </si>
  <si>
    <t>MPE10-1032</t>
  </si>
  <si>
    <t>AMAZON,CSNSTORES,DESINC,JCPENNEY01,KOHLDSN,OLLIIX,OVERSTOCK01,TGTDVS</t>
  </si>
  <si>
    <t>MPE10-1033</t>
  </si>
  <si>
    <t>MPE10-1034</t>
  </si>
  <si>
    <t>AMAZON,CSNSTORES,DESINC,JCPENNEY01,KOHLDSN,TGTDVS</t>
  </si>
  <si>
    <t>MPE10-1035</t>
  </si>
  <si>
    <t>AMAZON,CSNSTORES,KOHLDSN,OVERSTOCK01</t>
  </si>
  <si>
    <t>MPE10-985</t>
  </si>
  <si>
    <t>Blue/Grey</t>
  </si>
  <si>
    <t>PF005879;PP001834</t>
  </si>
  <si>
    <t>11/14/2022</t>
  </si>
  <si>
    <t>MPE10-986</t>
  </si>
  <si>
    <t>AMAZON,BIGLOTSDS,CSNSTORES,DESINC,FINGERHUTDS,JCPENNEY01,KOHLDSN,MACY02,OLLIIX,OVERSTOCK01,TGTDVS</t>
  </si>
  <si>
    <t>MPE10-987</t>
  </si>
  <si>
    <t>AMAZON,BIGLOTSDS,BLK01,CSNSTORES,FINGERHUTDS,JCPENNEY01,KOHLDSN,MACY02,OLLIIX,OVERSTOCK01,TGTDVS</t>
  </si>
  <si>
    <t>MPE10-988</t>
  </si>
  <si>
    <t>AMAZON,CSNSTORES,DESINC,FINGERHUTDS,JCPENNEY01,KOHLDSN,MACY02,OVERSTOCK01,TGTDVS</t>
  </si>
  <si>
    <t>MPE10-989</t>
  </si>
  <si>
    <t>MPE10-1036</t>
  </si>
  <si>
    <t>Taupe/Grey</t>
  </si>
  <si>
    <t>PP001834;PF006114</t>
  </si>
  <si>
    <t>AMAZON,CSNSTORES</t>
  </si>
  <si>
    <t>MPE10-1037</t>
  </si>
  <si>
    <t>MPE10-1038</t>
  </si>
  <si>
    <t>AMAZON</t>
  </si>
  <si>
    <t>MPE10-1039</t>
  </si>
  <si>
    <t>MPE10-1040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</si>
  <si>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</si>
  <si>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</si>
  <si>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</si>
  <si>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</si>
  <si>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</si>
  <si>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</si>
  <si>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</si>
  <si>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</si>
  <si>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MPE10-957</t>
  </si>
  <si>
    <t>7 Piece Comforter Set with Bed Sheets</t>
  </si>
  <si>
    <t>CSNSTORES,FINGERHUTDS,OVERSCONSIGN</t>
  </si>
  <si>
    <t>MPE10-958</t>
  </si>
  <si>
    <t>CSNSTORES,FINGERHUTDS,KOHLDSN,OLLIIX,OVERSTOCK01,TGTDVS</t>
  </si>
  <si>
    <t>MPE10-959</t>
  </si>
  <si>
    <t>MPE10-960</t>
  </si>
  <si>
    <t>BLK01,FINGERHUTDS,JCPENNEY01,KOHLDSN,TGTDVS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</si>
  <si>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</si>
  <si>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</si>
  <si>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</si>
  <si>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</si>
  <si>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</si>
  <si>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</si>
  <si>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</si>
  <si>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</si>
  <si>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CSNSTORES,FINGERHUTDS,JCPENNEY01,KOHLDSN,MACY02,OVERSTOCK01</t>
  </si>
  <si>
    <t>9/14/2020</t>
  </si>
  <si>
    <t>MPE10-796</t>
  </si>
  <si>
    <t>CSNSTORES,FINGERHUTDS,JCPENNEY01,KOHLDSN,MACY02,OLLIIX,OVERSTOCK01</t>
  </si>
  <si>
    <t>12/9/2019</t>
  </si>
  <si>
    <t>MPE10-797</t>
  </si>
  <si>
    <t>CSNSTORES,FINGERHUTDS,JCPENNEY01,KOHLDSN,MACY02,OVERSTOCK01,TGTDVS</t>
  </si>
  <si>
    <t>MPE10-698</t>
  </si>
  <si>
    <t>RIAB</t>
  </si>
  <si>
    <t>Joella</t>
  </si>
  <si>
    <t>Loretta</t>
  </si>
  <si>
    <t>Emma</t>
  </si>
  <si>
    <t>24 Piece Room In a Bag</t>
  </si>
  <si>
    <t>PP000636;PF004062</t>
  </si>
  <si>
    <t>24</t>
  </si>
  <si>
    <t>Glam/Luxury|Casual</t>
  </si>
  <si>
    <t>AAFESDS,AMAZON,AMAZONDS,BLK01,CSNSTORES,FINGERHUTDS,JCPENNEY01,KOHLDSN,MACY02,NRTPORT,OVERSTOCK01,ROOMECOM,TGTDVS,WALMARTDS</t>
  </si>
  <si>
    <t>3/19/2018</t>
  </si>
  <si>
    <t>MPE10-699</t>
  </si>
  <si>
    <t>24 Piece Room in a Bag</t>
  </si>
  <si>
    <t>AMAZON,AMAZONDS,CSNSTORES,FINGERHUTDS,JCPENNEY01,MACY02,NRTPORT,OVERSTOCK01,ROOMECOM,TGTDVS,WALMARTDS</t>
  </si>
  <si>
    <t>7/24/2018</t>
  </si>
  <si>
    <t>MPE10-700</t>
  </si>
  <si>
    <t>7/26/2024</t>
  </si>
  <si>
    <t>AMAZON,CSNSTORES,FINGERHUTDS,MACY02,NRTPORT,OVERSTOCK01,TGTDVS,WALMARTDS</t>
  </si>
  <si>
    <t>4/2/2018</t>
  </si>
  <si>
    <t>MPE10-479</t>
  </si>
  <si>
    <t>PF003691</t>
  </si>
  <si>
    <t>6/1/2017</t>
  </si>
  <si>
    <t>AMAZON,AMAZONDS,BLK01,CSNSTORES,JCPENNEY01,KOHLDSN,OVERSTOCK01,ROOMECOM,TGTDVS,WALMARTDS</t>
  </si>
  <si>
    <t>12/4/2017</t>
  </si>
  <si>
    <t>MPE10-480</t>
  </si>
  <si>
    <t>AMAZON,AMAZONDS,AMERSIGNDS,BLK01,CSNSTORES,JCPENNEY01,MACY02,NRTPORT,OVERSTOCK01,TGTDVS,WALMARTDS</t>
  </si>
  <si>
    <t>12/27/2017</t>
  </si>
  <si>
    <t>MPE10-481</t>
  </si>
  <si>
    <t>AMAZON,AMAZONDS,BLK01,CSNSTORES,JCPENNEY01,KOHLDSN,MACY02,OVERSTOCK01</t>
  </si>
  <si>
    <t>5/7/2018</t>
  </si>
  <si>
    <t>MPE10-765</t>
  </si>
  <si>
    <t>PP000636;PF004504</t>
  </si>
  <si>
    <t>Cottage/Country|Glam/Luxury</t>
  </si>
  <si>
    <t>11/20/2018</t>
  </si>
  <si>
    <t>2/26/2019</t>
  </si>
  <si>
    <t>MPE10-767</t>
  </si>
  <si>
    <t>AMAZON,AMAZONDS,CSNSTORES,KOHLDSN,MACY02,NRTPORT,OVERSTOCK01,WALMARTDS</t>
  </si>
  <si>
    <t>MPE10-476</t>
  </si>
  <si>
    <t>PF003692</t>
  </si>
  <si>
    <t>AMAZON,AMAZONDS,BLK01,CSNSTORES,HSNDS,JCPENNEY01,MACY02,NRTPORT,OLLIIX,OVERSTOCK01,TGTDVS,WALMARTDS</t>
  </si>
  <si>
    <t>12/22/2017</t>
  </si>
  <si>
    <t>MPE10-810</t>
  </si>
  <si>
    <t>PP000636;PF004747</t>
  </si>
  <si>
    <t>7/12/2019</t>
  </si>
  <si>
    <t>MPE10-811</t>
  </si>
  <si>
    <t>6/18/2024</t>
  </si>
  <si>
    <t>AMAZON,AMAZONDS,CSNSTORES,FINGERHUTDS,MACY02,NRTPORT,OVERSTOCK01</t>
  </si>
  <si>
    <t>MPE10-812</t>
  </si>
  <si>
    <t>Delaney</t>
  </si>
  <si>
    <t>Parker</t>
  </si>
  <si>
    <t>Emerson</t>
  </si>
  <si>
    <t>PP000639;PF004751</t>
  </si>
  <si>
    <t>7/22/2019</t>
  </si>
  <si>
    <t>AAFESDS,AMAZON,AMAZONDS,CSNSTORES,JCPENNEY01,NRTPORT,OVERSTOCK01,ROOMECOM,TGTDVS,WALMARTDS</t>
  </si>
  <si>
    <t>MPE10-814</t>
  </si>
  <si>
    <t>AMAZON,AMAZONDS,JCPENNEY01,NRTPORT,OVERSTOCK01,TGTDVS,WALMARTDS</t>
  </si>
  <si>
    <t>5/15/2020</t>
  </si>
  <si>
    <t>MPE10-707</t>
  </si>
  <si>
    <t>PF004065;PP000639</t>
  </si>
  <si>
    <t>AAFESDS,AMAZON,CSNSTORES,FINGERHUTDS,KOHLDSN,MACY02,NRTPORT,OLLIIX,OVERSTOCK01,TGTDVS,WALMARTDS</t>
  </si>
  <si>
    <t>5/7/2019</t>
  </si>
  <si>
    <t>MPE10-708</t>
  </si>
  <si>
    <t>AMAZON,AMAZONDS,BLK01,CSNSTORES,DESINC,FINGERHUTDS,JCPENNEY01,MACY02,NRTPORT,OVERSTOCK01</t>
  </si>
  <si>
    <t>3/21/2018</t>
  </si>
  <si>
    <t>2/7/2019</t>
  </si>
  <si>
    <t>MPE10-709</t>
  </si>
  <si>
    <t>AAFESDS,AMAZON,BLK01,CSNSTORES,FINGERHUTDS,JCPENNEY01,KOHLDSN,NRTPORT,OVERSTOCK01,TGTDVS</t>
  </si>
  <si>
    <t>3/10/2019</t>
  </si>
  <si>
    <t>MPE10-233</t>
  </si>
  <si>
    <t>Jelena</t>
  </si>
  <si>
    <t>Katarina</t>
  </si>
  <si>
    <t>Ivana</t>
  </si>
  <si>
    <t>PF003683</t>
  </si>
  <si>
    <t>AMAZON,CSNSTORES,JCPENNEY01,NRTPORT,OVERSTOCK01,WALMARTDS</t>
  </si>
  <si>
    <t>9/26/2016</t>
  </si>
  <si>
    <t>MPE10-234</t>
  </si>
  <si>
    <t>MPE13-308</t>
  </si>
  <si>
    <t>6 Piece Quilt Set with Cotton Bed Sheets</t>
  </si>
  <si>
    <t>PF003651</t>
  </si>
  <si>
    <t>CSNSTORES,JCPENNEY01,MACY02,OLLIIX,TGTDVS,WALMARTDS</t>
  </si>
  <si>
    <t>9/24/2018</t>
  </si>
  <si>
    <t>MPE13-309</t>
  </si>
  <si>
    <t>8 Piece Quilt Set with Cotton Bed Sheets</t>
  </si>
  <si>
    <t>MPE13-310</t>
  </si>
  <si>
    <t>BLK01,CSNSTORES,JCPENNEY01,KOHLDSN,MACY02,OVERSTOCK01,TGTDVS,WALMARTDS</t>
  </si>
  <si>
    <t>10/2/2017</t>
  </si>
  <si>
    <t>MPE13-311</t>
  </si>
  <si>
    <t>BEALLSDS,BLK01,CSNSTORES,JCPENNEY01,KOHLDSN,MACY02,OVERSTOCK01,TGTDVS</t>
  </si>
  <si>
    <t>MPE13-168</t>
  </si>
  <si>
    <t>PF003676;PP000497</t>
  </si>
  <si>
    <t>JCPENNEY01,TGTDVS</t>
  </si>
  <si>
    <t>11/16/2016</t>
  </si>
  <si>
    <t>MPE13-169</t>
  </si>
  <si>
    <t>5/29/2017</t>
  </si>
  <si>
    <t>MPE13-171</t>
  </si>
  <si>
    <t>AMAZONDS,JCPENNEY01,KOHLDSN,OVERSTOCK01,TGTDVS,WALMARTDS</t>
  </si>
  <si>
    <t>MPE13-172</t>
  </si>
  <si>
    <t>OVERSTOCK01</t>
  </si>
  <si>
    <t>11/23/2016</t>
  </si>
  <si>
    <t>MPE13-804</t>
  </si>
  <si>
    <t>7/5/2019</t>
  </si>
  <si>
    <t>AMAZON,CSNSTORES,JCPENNEY01,KOHLDSN,OLLIIX,OVERSTOCK01,TGTDVS</t>
  </si>
  <si>
    <t>5/11/2020</t>
  </si>
  <si>
    <t>MPE13-805</t>
  </si>
  <si>
    <t>AMAZON,CSNSTORES,TGTDVS</t>
  </si>
  <si>
    <t>2/6/2020</t>
  </si>
  <si>
    <t>MPE13-806</t>
  </si>
  <si>
    <t>AMAZON,AMAZONDS,DESINC,KOHLDSN,OLLIIX,OVERSTOCK01,TGTDVS</t>
  </si>
  <si>
    <t>2/28/2020</t>
  </si>
  <si>
    <t>MPE13-807</t>
  </si>
  <si>
    <t>AMAZON,AMAZONDS,JCPENNEY01,KOHLDSN,MACY02,OVERSTOCK01,TGTDVS</t>
  </si>
  <si>
    <t>1/14/2020</t>
  </si>
  <si>
    <t>MPE13-808</t>
  </si>
  <si>
    <t>AMAZON,CSNSTORES,JCPENNEY01,KOHLDSN,OVERSTOCK01</t>
  </si>
  <si>
    <t>3/13/2020</t>
  </si>
  <si>
    <t>MPE13-508</t>
  </si>
  <si>
    <t>Sybil</t>
  </si>
  <si>
    <t>Nova</t>
  </si>
  <si>
    <t>Sasha</t>
  </si>
  <si>
    <t>PF003699</t>
  </si>
  <si>
    <t>Global Inspired|Casual</t>
  </si>
  <si>
    <t>6/28/2017</t>
  </si>
  <si>
    <t>CSNSTORES,OLLIIX,OVERSTOCK01,WALMARTDS</t>
  </si>
  <si>
    <t>4/9/2018</t>
  </si>
  <si>
    <t>MPE13-509</t>
  </si>
  <si>
    <t>CSNSTORES,OVERSTOCK01</t>
  </si>
  <si>
    <t>MPE13-510</t>
  </si>
  <si>
    <t>MPE13-511</t>
  </si>
  <si>
    <t>1/2/2018</t>
  </si>
  <si>
    <t>MPE13-512</t>
  </si>
  <si>
    <t>BLK01,CSNSTORES,HSNDS,MACY02,OVERSTOCK01</t>
  </si>
  <si>
    <t>4/6/2018</t>
  </si>
  <si>
    <t>5DS13-0166</t>
  </si>
  <si>
    <t>510 Design</t>
  </si>
  <si>
    <t>Oakley</t>
  </si>
  <si>
    <t>Hayley</t>
  </si>
  <si>
    <t>Glen</t>
  </si>
  <si>
    <t>3 Piece Reversible Bedspread Set</t>
  </si>
  <si>
    <t>PF004414;PP000972</t>
  </si>
  <si>
    <t>8/11/2018</t>
  </si>
  <si>
    <t>ASHFURNDS,BLK01,CSNSTORES,FINGERHUTDS,JCPENNEY01,KOHLDSN,MACY02,OLLIIX,TGTDVS,WALMARTDS</t>
  </si>
  <si>
    <t>4/23/2019</t>
  </si>
  <si>
    <t>5DS13-0167</t>
  </si>
  <si>
    <t>AMAZON,AMAZONDS,ASHFURNDS,BEALLSDS,BLK01,CSNSTORES,FINGERHUTDS,JCPENNEY01,KOHLDSN,MACY02,OLLIIX,OVERSTOCK01,TGTDVS,WALMARTDS</t>
  </si>
  <si>
    <t>2/13/2019</t>
  </si>
  <si>
    <t>5DS13-0170</t>
  </si>
  <si>
    <t>PF004416;PP000972</t>
  </si>
  <si>
    <t>AMAZON,ASHFURNDS,BLK01,CSNSTORES,FINGERHUTDS,HSNDS,JCPENNEY01,KOHLDSN,MACY02,OLLIIX,OVERSTOCK01,TGTDVS,WALMARTDS</t>
  </si>
  <si>
    <t>5/8/2019</t>
  </si>
  <si>
    <t>5DS13-0168</t>
  </si>
  <si>
    <t>PF004415;PP000972</t>
  </si>
  <si>
    <t>8/20/2019</t>
  </si>
  <si>
    <t>5DS13-0290</t>
  </si>
  <si>
    <t>PP000972;PF006115</t>
  </si>
  <si>
    <t>2/6/2024</t>
  </si>
  <si>
    <t>5DS13-0291</t>
  </si>
  <si>
    <t>5DS13-0292</t>
  </si>
  <si>
    <t>PP000972;PF006116</t>
  </si>
  <si>
    <t>JCPENNEY01,OVERSTOCK01</t>
  </si>
  <si>
    <t>5DS13-0293</t>
  </si>
  <si>
    <t>5DS13-0032</t>
  </si>
  <si>
    <t>Otto</t>
  </si>
  <si>
    <t>Nash</t>
  </si>
  <si>
    <t>Trace</t>
  </si>
  <si>
    <t>3 Piece Reversible Quilt Set</t>
  </si>
  <si>
    <t>PF004288;PP000894</t>
  </si>
  <si>
    <t>2/8/2018</t>
  </si>
  <si>
    <t>CSNSTORES,JCPENNEY01,KIRKLANDDS,KOHLDSN,MACY02,OLLIIX,TGTDVS,WALMARTDS</t>
  </si>
  <si>
    <t>3/6/2018</t>
  </si>
  <si>
    <t>5DS13-0033</t>
  </si>
  <si>
    <t>BLK01,CSNSTORES,JCPENNEY01,MACY02,OLLIIX,TGTDVS</t>
  </si>
  <si>
    <t>5/16/2018</t>
  </si>
  <si>
    <t>5DS13-0024</t>
  </si>
  <si>
    <t>PF004284;PP000894</t>
  </si>
  <si>
    <t>BEALLSDS,CSNSTORES,JCPENNEY01,MACY02,OLLIIX,OVERSTOCK01,TGTDVS</t>
  </si>
  <si>
    <t>6/25/2018</t>
  </si>
  <si>
    <t>5DS13-0025</t>
  </si>
  <si>
    <t>JCPENNEY01,KIRKLANDDS,KOHLDSN,MACY02,OLLIIX,OVERSTOCK01,TGTDVS</t>
  </si>
  <si>
    <t>6/18/2018</t>
  </si>
  <si>
    <t>5DS13-0028</t>
  </si>
  <si>
    <t>PF004286;PP000894</t>
  </si>
  <si>
    <t>6/7/2024</t>
  </si>
  <si>
    <t>ASHFURNDS,BEALLSDS,BIGLOTSDS,BLK01,CSNSTORES,JCPENNEY01,KIRKLANDDS,MACY02,OLLIIX,OVERSTOCK01,TGTDVS</t>
  </si>
  <si>
    <t>5DS13-0029</t>
  </si>
  <si>
    <t>BEALLSDS,BLK01,CSNSTORES,JCPENNEY01,KIRKLANDDS,MACY02,OLLIIX,OVERSTOCK01,TGTDVS</t>
  </si>
  <si>
    <t>5DS10-0050</t>
  </si>
  <si>
    <t>Shawnee</t>
  </si>
  <si>
    <t>Josefina</t>
  </si>
  <si>
    <t>Stacie</t>
  </si>
  <si>
    <t>8 Piece Comforter Set</t>
  </si>
  <si>
    <t>PF004214</t>
  </si>
  <si>
    <t>AMAZON,AMAZONDS,BEALLSDS,BIGLOTSDS,CSNSTORES,FINGERHUTDS,JCPENNEY01,KOHLDSN,MACY02,NRTPORT,OLLIIX,OVERSTOCK01,ROOMECOM,WALMARTDS</t>
  </si>
  <si>
    <t>4/17/2018</t>
  </si>
  <si>
    <t>5DS10-0052</t>
  </si>
  <si>
    <t>PF004214;PP001563;PP001733</t>
  </si>
  <si>
    <t>AMAZONDS,AMERSIGNDS,CSNSTORES,JCPENNEY01,KOHLDSN,MACY02,OLLIIX,OVERSTOCK01,WALMARTDS</t>
  </si>
  <si>
    <t>8/6/2018</t>
  </si>
  <si>
    <t>5DS10-0255</t>
  </si>
  <si>
    <t xml:space="preserve">8 Piece  Comforter Set</t>
  </si>
  <si>
    <t>PF005657;PP001733</t>
  </si>
  <si>
    <t>5/4/2022</t>
  </si>
  <si>
    <t>AMAZONDS,BEALLSDS,BLK01,CSNSTORES,JCPENNEY01,KOHLDSN,MACY02,NRTPORT,OVERSCONSIGN,OVERSTOCK01,TGTDVS</t>
  </si>
  <si>
    <t>5DS10-0256</t>
  </si>
  <si>
    <t>AMAZONDS,BEALLSDS,BIGLOTSDS,CSNSTORES,JCPENNEY01,KOHLDSN,MACY02,NRTPORT,OLLIIX,OVERSTOCK01</t>
  </si>
  <si>
    <t>5DS10-0257</t>
  </si>
  <si>
    <t>AMAZONDS,BLK01,CSNSTORES,JCPENNEY01,KOHLDSN,MACY02,NRTPORT,OVERSTOCK01</t>
  </si>
  <si>
    <t>5DS10-0222</t>
  </si>
  <si>
    <t>PF004917</t>
  </si>
  <si>
    <t>9/18/2019</t>
  </si>
  <si>
    <t>AMAZON,BEALLSDS,BIGLOTSDS,BLK01,CSNSTORES,FINGERHUTDS,JCPENNEY01,KOHLDSN,MACY02,NRTPORT,OLLIIX,OVERSTOCK01,TGTDVS</t>
  </si>
  <si>
    <t>Declined</t>
  </si>
  <si>
    <t>5DS10-0223</t>
  </si>
  <si>
    <t>AMAZON,AMAZONDS,BIGLOTSDS,BLK01,CSNSTORES,FINGERHUTDS,JCPENNEY01,KOHLDSN,MACY02,NRTPORT,OVERSTOCK01</t>
  </si>
  <si>
    <t>5DS10-0224</t>
  </si>
  <si>
    <t>AMAZON,AMAZONDS,BLK01,JCPENNEY01,MACY02,NRTPORT,OVERSTOCK01</t>
  </si>
  <si>
    <t>5DS10-0274</t>
  </si>
  <si>
    <t>PP001733;PF005710</t>
  </si>
  <si>
    <t>7/7/2022</t>
  </si>
  <si>
    <t>BEALLSDS,BLK01,CSNSTORES,JCPENNEY01,MACY02,NRTPORT,OLLIIX,OVERSTOCK01,TGTDVS</t>
  </si>
  <si>
    <t>5DS10-0275</t>
  </si>
  <si>
    <t>5DS10-0276</t>
  </si>
  <si>
    <t>AMAZONDS,BLK01,CSNSTORES,KOHLDSN,MACY02,NRTPORT,OVERSTOCK01,TGTDVS</t>
  </si>
  <si>
    <t>5DS10-0277</t>
  </si>
  <si>
    <t>Kingwood</t>
  </si>
  <si>
    <t>Elmore</t>
  </si>
  <si>
    <t>8 Piece Embroidered Comforter Set</t>
  </si>
  <si>
    <t>PP001776;PF005725</t>
  </si>
  <si>
    <t>7/12/2022</t>
  </si>
  <si>
    <t>AMAZON,BIGLOTSDS,BLK01,CSNSTORES,FINGERHUTDS,JCPENNEY01,KOHLDSN,MACY02,NRTPORT,OLLIIX,OVERSTOCK01,TGTDVS</t>
  </si>
  <si>
    <t>5DS10-0278</t>
  </si>
  <si>
    <t>AMAZON,BLK01,CSNSTORES,FINGERHUTDS,JCPENNEY01,KOHLDSN,MACY02,NRTPORT,OLLIIX,OVERSTOCK01,TGTDVS</t>
  </si>
  <si>
    <t>5DS10-0279</t>
  </si>
  <si>
    <t>AMAZON,CSNSTORES,FINGERHUTDS,JCPENNEY01,KOHLDSN,MACY02,OLLIIX,OVERSTOCK01,TGTDVS</t>
  </si>
  <si>
    <t>5DS10-0280</t>
  </si>
  <si>
    <t>PP001776;PF005724</t>
  </si>
  <si>
    <t>AMAZONDS,BLK01,CSNSTORES,FINGERHUTDS,JCPENNEY01,MACY02,NRTPORT,OVERSTOCK01,TGTDVS</t>
  </si>
  <si>
    <t>5DS10-0281</t>
  </si>
  <si>
    <t>AMAZONDS,BLK01,CSNSTORES,JCPENNEY01,KOHLDSN,MACY02,NRTPORT,OVERSTOCK01,TGTDVS</t>
  </si>
  <si>
    <t>5DS10-0282</t>
  </si>
  <si>
    <t>5DS10-0218</t>
  </si>
  <si>
    <t>Ramsey</t>
  </si>
  <si>
    <t>Lynda</t>
  </si>
  <si>
    <t>Casey</t>
  </si>
  <si>
    <t>Embroidered 8 Piece Comforter Set</t>
  </si>
  <si>
    <t>PF004870;PP001734</t>
  </si>
  <si>
    <t>8/22/2019</t>
  </si>
  <si>
    <t>AMAZON,AMAZONDS,BIGLOTSDS,CSNSTORES,JCPENNEY01,MACY02,NRTPORT,OVERSCONSIGN,OVERSTOCK01,TGTDVS</t>
  </si>
  <si>
    <t>5DS10-0219</t>
  </si>
  <si>
    <t>AMAZON,AMAZONDS,BIGLOTSDS,BLK01,CSNSTORES,JCPENNEY01,MACY02,NRTPORT,OVERSTOCK01,ROOMECOM,TGTDVS</t>
  </si>
  <si>
    <t>5DS10-0220</t>
  </si>
  <si>
    <t>BLK01,CSNSTORES,JCPENNEY01,KOHLDSN,MACY02,NRTPORT,OLLIIX,OVERSTOCK01,TGTDVS</t>
  </si>
  <si>
    <t>WR13-2947</t>
  </si>
  <si>
    <t>Woolrich</t>
  </si>
  <si>
    <t>Quilt</t>
  </si>
  <si>
    <t>Montana</t>
  </si>
  <si>
    <t>Printed Cotton Oversized Quilt Mini Set</t>
  </si>
  <si>
    <t>PP001497;PF005105</t>
  </si>
  <si>
    <t>6/26/2020</t>
  </si>
  <si>
    <t>4/17/2024</t>
  </si>
  <si>
    <t>AMAZON,BLK01,CSNSTORES,JCPENNEY01,MACY02,OVERSTOCK01,TGTDVS</t>
  </si>
  <si>
    <t>11/23/2021</t>
  </si>
  <si>
    <t>2/16/2022</t>
  </si>
  <si>
    <t>WR13-2948</t>
  </si>
  <si>
    <t>AMAZON,AMAZONDS,CSNSTORES,JCPENNEY01,KOHLDSN,MACY02,OVERSTOCK01,TGTDVS,WALMARTDS</t>
  </si>
  <si>
    <t>12/7/2021</t>
  </si>
  <si>
    <t>WR14-1724</t>
  </si>
  <si>
    <t>Huntington</t>
  </si>
  <si>
    <t>100% Cotton Oversized Quilt Mini Set</t>
  </si>
  <si>
    <t>PF003308</t>
  </si>
  <si>
    <t>AAFESDS,AMAZON,CSNSTORES,KOHLDSN,MACY02,OVERSTOCK01,TGTDVS</t>
  </si>
  <si>
    <t>WR14-1725</t>
  </si>
  <si>
    <t>WR13-3919</t>
  </si>
  <si>
    <t>Mill Creek</t>
  </si>
  <si>
    <t>Oversized Cotton Quilt Set</t>
  </si>
  <si>
    <t>PP000534;PF004793</t>
  </si>
  <si>
    <t>Patchwork</t>
  </si>
  <si>
    <t>7/18/2023</t>
  </si>
  <si>
    <t>WR13-2815</t>
  </si>
  <si>
    <t>8/30/2019</t>
  </si>
  <si>
    <t>WR13-2816</t>
  </si>
  <si>
    <t>WR13-3471</t>
  </si>
  <si>
    <t>Olsen</t>
  </si>
  <si>
    <t>Olsen 3 Piece Oversized Cotton Quilt Set</t>
  </si>
  <si>
    <t>PP001704;PF005621</t>
  </si>
  <si>
    <t>9/20/2021</t>
  </si>
  <si>
    <t>AMAZON,CSNSTORES,DESINC,JCPENNEY01,KOHLDSN,MACY02,OVERSTOCK01,TGTDVS</t>
  </si>
  <si>
    <t>WR13-3472</t>
  </si>
  <si>
    <t>AMAZON,CSNSTORES,JCPENNEY01,KOHLDSN,OLLIIX,OVERSTOCK01</t>
  </si>
  <si>
    <t>WR13-3904</t>
  </si>
  <si>
    <t>PP001704;PF005929</t>
  </si>
  <si>
    <t>2/10/2023</t>
  </si>
  <si>
    <t>AMAZON,BLK01,CSNSTORES,JCPENNEY01,KOHLDSN,OVERSTOCK01,TGTDVS</t>
  </si>
  <si>
    <t>WR13-3905</t>
  </si>
  <si>
    <t>AMAZON,AMAZONDS,BLK01,JCPENNEY01,KOHLDSN,MACY02,OLLIIX,OVERSTOCK01,TGTDVS</t>
  </si>
  <si>
    <t>WR13-3042</t>
  </si>
  <si>
    <t>Spruce Hill</t>
  </si>
  <si>
    <t>Oversized Cotton Quilt Mini Set</t>
  </si>
  <si>
    <t>PP001508;PF005120</t>
  </si>
  <si>
    <t>8/18/2020</t>
  </si>
  <si>
    <t>AMAZON,CSNSTORES,JCPENNEY01,KOHLDSN,MACY02,OLLIIX,OVERSTOCK01,TGTDVS</t>
  </si>
  <si>
    <t>WR13-3043</t>
  </si>
  <si>
    <t>WR14-1730</t>
  </si>
  <si>
    <t>Sunset</t>
  </si>
  <si>
    <t>PF003308;PP000534</t>
  </si>
  <si>
    <t>AMAZON,AMAZONDS,FINGERHUTDS,JCPENNEY01,KOHLDSN,OLLIIX,OVERSTOCK01,TGTDVS</t>
  </si>
  <si>
    <t>WR14-1731</t>
  </si>
  <si>
    <t>AMAZON,FINGERHUTDS,HSNDS,JCPENNEY01,KOHLDSN,TGTDVS</t>
  </si>
  <si>
    <t>WR14-1785</t>
  </si>
  <si>
    <t>Quilt Mini Set</t>
  </si>
  <si>
    <t>AMAZON,CSNSTORES,HDDS,JCPENNEY01,KOHLDSN,OVERSTOCK01</t>
  </si>
  <si>
    <t>WR14-1786</t>
  </si>
  <si>
    <t>WR14-1787</t>
  </si>
  <si>
    <t>AMAZON,AMAZONDS,CSNSTORES,HDDS,JCPENNEY01,KOHLDSN,TGTDVS</t>
  </si>
  <si>
    <t>WR14-1788</t>
  </si>
  <si>
    <t>AMAZON,AMAZONDS,BLK01,HDDS,JCPENNEY01,KOHLDSN,OVERSTOCK01,TGTDVS</t>
  </si>
  <si>
    <t>WR13-2523</t>
  </si>
  <si>
    <t>Tulsa</t>
  </si>
  <si>
    <t>Oversized Plaid Print Cotton Quilt Set</t>
  </si>
  <si>
    <t>Red/Grey</t>
  </si>
  <si>
    <t>PF004511;PP001031</t>
  </si>
  <si>
    <t>WR13-2524</t>
  </si>
  <si>
    <t>WR14-2233</t>
  </si>
  <si>
    <t>Twin Falls</t>
  </si>
  <si>
    <t>Oversized 4 Piece Quilt Set</t>
  </si>
  <si>
    <t>Brown/Blue</t>
  </si>
  <si>
    <t>10/5/2017</t>
  </si>
  <si>
    <t>AMAZON,JCPENNEY01,MACY02,OVERSTOCK01</t>
  </si>
  <si>
    <t>WR14-2234</t>
  </si>
  <si>
    <t>WR13-3918</t>
  </si>
  <si>
    <t>Winter Hills</t>
  </si>
  <si>
    <t>WR14-1728</t>
  </si>
  <si>
    <t>AMAZON,BLK01,CSNSTORES,FINGERHUTDS,JCPENNEY01,KOHLDSN,MACY02,OLLIIX,OVERSCONSIGN,OVERSTOCK01,TGTDVS</t>
  </si>
  <si>
    <t>WR14-1729</t>
  </si>
  <si>
    <t>AMAZON,CSNSTORES,FINGERHUTDS,HDDS,JCPENNEY01,KOHLDSN,MACY02,OLLIIX,OVERSTOCK01,TGTDVS</t>
  </si>
  <si>
    <t>WR14-1726</t>
  </si>
  <si>
    <t>Winter Plains</t>
  </si>
  <si>
    <t>AMAZON,AMAZONDS,CSNSTORES,HDDS,JCPENNEY01,KOHLDSN,MACY02,OLLIIX,TGTDVS</t>
  </si>
  <si>
    <t>WR14-1727</t>
  </si>
  <si>
    <t>AMAZON,AMAZONDS,CSNSTORES,JCPENNEY01,KOHLDSN,MACY02,OLLIIX,OVERSTOCK01</t>
  </si>
  <si>
    <t>WR14-1783</t>
  </si>
  <si>
    <t>Woolrich Check</t>
  </si>
  <si>
    <t>Oversized Quilt Mini Set</t>
  </si>
  <si>
    <t>Gingham</t>
  </si>
  <si>
    <t>CSNSTORES,FINGERHUTDS,HDDS,JCPENNEY01,KOHLDSN,OLLIIX,OVERSTOCK01</t>
  </si>
  <si>
    <t>WR14-1784</t>
  </si>
  <si>
    <t>CSNSTORES,FINGERHUTDS,HDDS,KOHLDSN,OLLIIX,OVERSTOCK01,TGTDVS</t>
  </si>
  <si>
    <t>WR13-2121</t>
  </si>
  <si>
    <t>5 Piece Day Bed Cover Set</t>
  </si>
  <si>
    <t>9/7/2017</t>
  </si>
  <si>
    <t>AMAZON,MACY02,OLLIIX,OVERSTOCK01</t>
  </si>
  <si>
    <t>WR13-2122</t>
  </si>
  <si>
    <t>WR50-1782</t>
  </si>
  <si>
    <t>Quilted Throw</t>
  </si>
  <si>
    <t>AMAZON,BLK01,CSNSTORES,JCPENNEY01,KOHLDSN,MACY02,OLLIIX,TGTDVS,WALMARTDS</t>
  </si>
  <si>
    <t>12/2/2021</t>
  </si>
  <si>
    <t>WR50-1786</t>
  </si>
  <si>
    <t>AMAZON,AMAZONDS,CSNSTORES,KOHLDSN,MACY02,OLLIIX,OVERSTOCK01,TGTDVS</t>
  </si>
  <si>
    <t>WR50-1784</t>
  </si>
  <si>
    <t>AMAZON,BLK01,CSNSTORES,KOHLDSN,MACY02,OVERSCONSIGN,OVERSTOCK01,TGTDVS</t>
  </si>
  <si>
    <t>WR50-1780</t>
  </si>
  <si>
    <t>JCPENNEY01,KOHLDSN,OVERSTOCK01</t>
  </si>
  <si>
    <t>WR11-082</t>
  </si>
  <si>
    <t>Sham</t>
  </si>
  <si>
    <t>Hadley Plaid</t>
  </si>
  <si>
    <t>Euro sham</t>
  </si>
  <si>
    <t>Euro Sham</t>
  </si>
  <si>
    <t>PF003305</t>
  </si>
  <si>
    <t>WR10-2178</t>
  </si>
  <si>
    <t>Bitter Creek</t>
  </si>
  <si>
    <t>Oversized Comforter Set</t>
  </si>
  <si>
    <t>Grey/Brown</t>
  </si>
  <si>
    <t>PF003315</t>
  </si>
  <si>
    <t>Southwest|Transitional</t>
  </si>
  <si>
    <t>10/3/2017</t>
  </si>
  <si>
    <t>AMAZON,BLK01,HDDS,JCPENNEY01</t>
  </si>
  <si>
    <t>WR10-2179</t>
  </si>
  <si>
    <t>9/30/2017</t>
  </si>
  <si>
    <t>AMAZON,AMAZONDS,CSNSTORES,HDDS,JCPENNEY01,OLLIIX,OVERSTOCK01,TGTDVS</t>
  </si>
  <si>
    <t>WR10-2180</t>
  </si>
  <si>
    <t>AMAZON,AMAZONDS,HDDS,JCPENNEY01,OLLIIX,OVERSTOCK01,TGTDVS</t>
  </si>
  <si>
    <t>WR10-2181</t>
  </si>
  <si>
    <t>AMAZON,CSNSTORES,HDDS,JCPENNEY01,KOHLDSN,MACY02,OLLIIX,OVERSTOCK01,TGTDVS</t>
  </si>
  <si>
    <t>WR10-079</t>
  </si>
  <si>
    <t>Oversized Cozy Spun Comforter Set</t>
  </si>
  <si>
    <t>AMAZON,BLK01,CSNSTORES,HDDS,JCPENNEY01,KOHLDSN,OVERSTOCK01</t>
  </si>
  <si>
    <t>WR10-080</t>
  </si>
  <si>
    <t>AMAZON,AMAZONDS,BLK01,CSNSTORES,FINGERHUTDS,HDDS,JCPENNEY01,KOHLDSN,OLLIIX,OVERSTOCK01</t>
  </si>
  <si>
    <t>WR10-081</t>
  </si>
  <si>
    <t>AMAZON,CSNSTORES,FINGERHUTDS,JCPENNEY01,OVERSTOCK01</t>
  </si>
  <si>
    <t>WR10-2191</t>
  </si>
  <si>
    <t>Oversized Denim Comforter Set</t>
  </si>
  <si>
    <t>PF003316</t>
  </si>
  <si>
    <t>Lodge/Cabin|Modern/Contemporary</t>
  </si>
  <si>
    <t>WR10-2192</t>
  </si>
  <si>
    <t>AMAZON,AMAZONDS,CSNSTORES,JCPENNEY01,MACY02,OVERSTOCK01</t>
  </si>
  <si>
    <t>WR10-2193</t>
  </si>
  <si>
    <t>AMAZON,AMAZONDS,BLK01,CSNSTORES,JCPENNEY01,MACY02,OLLIIX,OVERSCONSIGN,OVERSTOCK01,TGTDVS</t>
  </si>
  <si>
    <t>WR10-2194</t>
  </si>
  <si>
    <t>AMAZON,BLK01,CSNSTORES,HDDS,JCPENNEY01,KOHLDSN,MACY02,OLLIIX,OVERSTOCK01,TGTDVS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</si>
  <si>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</si>
  <si>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</si>
  <si>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</si>
  <si>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</si>
  <si>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</si>
  <si>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</si>
  <si>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</si>
  <si>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10/4/2017</t>
  </si>
  <si>
    <t>WR30-425</t>
  </si>
  <si>
    <t>Pieced Oblong Pillow</t>
  </si>
  <si>
    <t>12x20"</t>
  </si>
  <si>
    <t>AMAZON,AMAZONDS,CSNSTORES,OLLIIX,OVERSTOCK01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</si>
  <si>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</si>
  <si>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</si>
  <si>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</si>
  <si>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</si>
  <si>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</si>
  <si>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</si>
  <si>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</si>
  <si>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Farmhouse</t>
  </si>
  <si>
    <t>4/1/2021</t>
  </si>
  <si>
    <t>BLK01,CSNSTORES,KIRKLANDDS,KOHLDSN,MACY02,OLLIIX,OVERSTOCK01,TGTDVS,ZOLA</t>
  </si>
  <si>
    <t>Open</t>
  </si>
  <si>
    <t>LCN10-0106</t>
  </si>
  <si>
    <t>BLK01,CSNSTORES,JCPENNEY01,KIRKLANDDS,KOHLDSN,MACY02,OLLIIX,TGTDVS,ZOLA</t>
  </si>
  <si>
    <t>LCN12-0107</t>
  </si>
  <si>
    <t>3 Piece Organic Cotton Oversized Duvet Cover Set</t>
  </si>
  <si>
    <t>Farmhouse|Modern/Contemporary</t>
  </si>
  <si>
    <t>CSNSTORES,JCPENNEY01,MACY02,OLLIIX,OVERSTOCK01,TGTDVS</t>
  </si>
  <si>
    <t>LCN12-0108</t>
  </si>
  <si>
    <t>BLK01,CSNSTORES,JCPENNEY01,KIRKLANDDS,MACY02,OLLIIX,OVERSTOCK01,TGTDVS,ZOLA</t>
  </si>
  <si>
    <t>JLA10-054</t>
  </si>
  <si>
    <t>Hampton Hill</t>
  </si>
  <si>
    <t>Canovia Springs</t>
  </si>
  <si>
    <t>9 Piece Jacquard Comforter Set</t>
  </si>
  <si>
    <t>PF003270</t>
  </si>
  <si>
    <t>AMAZON,JCPENNEY01,OLLIIX,OVERSTOCK01</t>
  </si>
  <si>
    <t>JLA10-055</t>
  </si>
  <si>
    <t>10 Piece Jacquard Comforter Set</t>
  </si>
  <si>
    <t>10</t>
  </si>
  <si>
    <t>JCPENNEY01,OLLIIX,OVERSTOCK01</t>
  </si>
  <si>
    <t>FB13-1027</t>
  </si>
  <si>
    <t>Velvet Touch</t>
  </si>
  <si>
    <t>3 Piece Luxurious Oversized Quilt Set</t>
  </si>
  <si>
    <t>Linen</t>
  </si>
  <si>
    <t>PF003280</t>
  </si>
  <si>
    <t>BEALLSDS,JCPENNEY01,MACY02,OLLIIX,OVERSTOCK01</t>
  </si>
  <si>
    <t>Restricted</t>
  </si>
  <si>
    <t>FB13-1028</t>
  </si>
  <si>
    <t>AMERSIGNDS,KOHLDSN,MACY02,OLLIIX,OVERSTOCK01</t>
  </si>
  <si>
    <t>JLA13-499</t>
  </si>
  <si>
    <t>Peacock</t>
  </si>
  <si>
    <t>PF003273</t>
  </si>
  <si>
    <t>AMERSIGNDS,JCPENNEY01,MACY02,OLLIIX</t>
  </si>
  <si>
    <t>JLA13-500</t>
  </si>
  <si>
    <t>BLK01,MACY02,OLLIIX</t>
  </si>
  <si>
    <t>FB13-1148</t>
  </si>
  <si>
    <t>PF003287</t>
  </si>
  <si>
    <t>KOHLDSN,MACY02,OLLIIX,OVERSTOCK01</t>
  </si>
  <si>
    <t>FB13-1149</t>
  </si>
  <si>
    <t>BLK01,KOHLDSN,MACY02,OLLIIX,OVERSTOCK01</t>
  </si>
  <si>
    <t>FB41-1131</t>
  </si>
  <si>
    <t>VALANCE</t>
  </si>
  <si>
    <t>Valance</t>
  </si>
  <si>
    <t>Window Valance</t>
  </si>
  <si>
    <t>54x18"</t>
  </si>
  <si>
    <t>4/11/2017</t>
  </si>
  <si>
    <t>FB40-1129</t>
  </si>
  <si>
    <t>WINDOW PANEL</t>
  </si>
  <si>
    <t>Window Panel</t>
  </si>
  <si>
    <t>Curtain Panel</t>
  </si>
  <si>
    <t>54x84"</t>
  </si>
  <si>
    <t>HH11-496</t>
  </si>
  <si>
    <t>Harbor House</t>
  </si>
  <si>
    <t>Chelsea</t>
  </si>
  <si>
    <t>Cotton European Sham</t>
  </si>
  <si>
    <t>PF003320</t>
  </si>
  <si>
    <t>4/19/2024</t>
  </si>
  <si>
    <t>HH11-399</t>
  </si>
  <si>
    <t>Coastline</t>
  </si>
  <si>
    <t>PF003317</t>
  </si>
  <si>
    <t>AMAZON,AMAZONDS,CSNSTORES,DESINC,HOUZZ,MACY02,OVERSTOCK01</t>
  </si>
  <si>
    <t>HH11-705</t>
  </si>
  <si>
    <t>Crystal Beach</t>
  </si>
  <si>
    <t>PF003321</t>
  </si>
  <si>
    <t>AMAZON,CSNSTORES,HOUZZ,JCPENNEY01,OLLIIX,OVERSTOCK01</t>
  </si>
  <si>
    <t>HH11-1228A</t>
  </si>
  <si>
    <t>Maya Bay</t>
  </si>
  <si>
    <t>PF003324</t>
  </si>
  <si>
    <t>AMAZONDS,CSNSTORES,JCPENNEY01,MACY02,OLLIIX,OVERSTOCK01</t>
  </si>
  <si>
    <t>HH10-1689</t>
  </si>
  <si>
    <t>Anslee</t>
  </si>
  <si>
    <t>3 Piece Cotton Yarn Dyed Comforter Set</t>
  </si>
  <si>
    <t>PF004247;PP000875</t>
  </si>
  <si>
    <t>12/14/2017</t>
  </si>
  <si>
    <t>AMAZON,CSNSTORES,JCPENNEY01,OLLIIX,OVERSTOCK01</t>
  </si>
  <si>
    <t>HH10-093</t>
  </si>
  <si>
    <t>Beach House</t>
  </si>
  <si>
    <t>Comforter Set</t>
  </si>
  <si>
    <t>PF003326</t>
  </si>
  <si>
    <t>5/24/2024</t>
  </si>
  <si>
    <t>MACY02,OVERSTOCK01</t>
  </si>
  <si>
    <t>HH10-094</t>
  </si>
  <si>
    <t>AMAZON,CSNSTORES,KOHLDSN,MACY02</t>
  </si>
  <si>
    <t>HH10-095</t>
  </si>
  <si>
    <t>HH10-096</t>
  </si>
  <si>
    <t>HH10-097</t>
  </si>
  <si>
    <t>HH10-494</t>
  </si>
  <si>
    <t>Cotton Comforter Set</t>
  </si>
  <si>
    <t>AMAZONDS,CSNSTORES,KOHLDSN,OLLIIX,OVERSTOCK01</t>
  </si>
  <si>
    <t>HH10-495</t>
  </si>
  <si>
    <t>AMAZON,BEALLSDS,CSNSTORES,KOHLDSN,MACY02,OLLIIX,OVERSTOCK01</t>
  </si>
  <si>
    <t>HH10-480</t>
  </si>
  <si>
    <t>Oversized Cotton Jacquard Comforter Set</t>
  </si>
  <si>
    <t>HH10-396</t>
  </si>
  <si>
    <t>OLLIIX,OVERSTOCK01</t>
  </si>
  <si>
    <t>HH10-397</t>
  </si>
  <si>
    <t>AMAZONDS,BLK01,CSNSTORES,KOHLDSN,MACY02,OLLIIX,OVERSTOCK01</t>
  </si>
  <si>
    <t>HH10-398</t>
  </si>
  <si>
    <t>AMAZON,CSNSTORES,OLLIIX</t>
  </si>
  <si>
    <t>HH10-415</t>
  </si>
  <si>
    <t>AMAZON,AMAZONDS,CSNSTORES,MACY02,NRTPORT,OLLIIX,OVERSTOCK01</t>
  </si>
  <si>
    <t>HH10-1544</t>
  </si>
  <si>
    <t>6 Piece Oversized Cotton Jacquard Comforter Set</t>
  </si>
  <si>
    <t>PF003318</t>
  </si>
  <si>
    <t>HH10-1545</t>
  </si>
  <si>
    <t>AMAZON,AMAZONDS,BEALLSDS,CSNSTORES,HOUZZ,MACY02,OLLIIX,OVERSTOCK01</t>
  </si>
  <si>
    <t>HH10-1546</t>
  </si>
  <si>
    <t>AMAZON,AMAZONDS,CSNSTORES,KOHLDSN,MACY02,OLLIIX,OVERSTOCK01</t>
  </si>
  <si>
    <t>HH10-1547</t>
  </si>
  <si>
    <t>AMAZON,AMAZONDS,CSNSTORES,KOHLDSN,MACY02,OVERSTOCK01</t>
  </si>
  <si>
    <t>HH10-702</t>
  </si>
  <si>
    <t>HH10-703</t>
  </si>
  <si>
    <t>AMAZONDS,CSNSTORES,HOUZZ,JCPENNEY01,MACY02,OLLIIX,OVERSTOCK01</t>
  </si>
  <si>
    <t>HH10-704</t>
  </si>
  <si>
    <t>HH10-1683</t>
  </si>
  <si>
    <t>Hallie</t>
  </si>
  <si>
    <t>6 Piece Cotton Comforter Set</t>
  </si>
  <si>
    <t>PF004246</t>
  </si>
  <si>
    <t>HH10-1684</t>
  </si>
  <si>
    <t>AMAZON,CSNSTORES,HSNDS,JCPENNEY01,MACY02,OVERSTOCK01</t>
  </si>
  <si>
    <t>HH10-1685</t>
  </si>
  <si>
    <t>AMAZON,AMAZONDS,JCPENNEY01,KOHLDSN,MACY02,OLLIIX,OVERSTOCK01,ROOMECOM</t>
  </si>
  <si>
    <t>HH10-1686</t>
  </si>
  <si>
    <t>BLK01,HSNDS,JCPENNEY01,MACY02,OVERSTOCK01</t>
  </si>
  <si>
    <t>HH10-1799</t>
  </si>
  <si>
    <t>Livia</t>
  </si>
  <si>
    <t>PP001574;PF005294</t>
  </si>
  <si>
    <t>1/8/2021</t>
  </si>
  <si>
    <t>HH10-1800</t>
  </si>
  <si>
    <t>BEALLSDS,BLK01,CSNSTORES,JCPENNEY01,KOHLDSN,MACY02,OVERSTOCK01</t>
  </si>
  <si>
    <t>HH10-1801</t>
  </si>
  <si>
    <t>CSNSTORES,MACY02,OLLIIX,OVERSTOCK01</t>
  </si>
  <si>
    <t>HH10-1802</t>
  </si>
  <si>
    <t>HH10-1618</t>
  </si>
  <si>
    <t>Lorelai</t>
  </si>
  <si>
    <t>Cotton Printed 6 Piece Comforter Set</t>
  </si>
  <si>
    <t>PF003337</t>
  </si>
  <si>
    <t>4/7/2024</t>
  </si>
  <si>
    <t>AMAZON,CSNSTORES,OVERSTOCK01,ROOMECOM</t>
  </si>
  <si>
    <t>HH10-1619</t>
  </si>
  <si>
    <t>HH10-1620</t>
  </si>
  <si>
    <t>BLK01,CSNSTORES,HOUZZ,JCPENNEY01,MACY02,OLLIIX,OVERSCONSIGN,OVERSTOCK01</t>
  </si>
  <si>
    <t>HH10-1621</t>
  </si>
  <si>
    <t>AMAZON,CSNSTORES,MACY02,OVERSTOCK01</t>
  </si>
  <si>
    <t>HH10-1222</t>
  </si>
  <si>
    <t>HH10-1223</t>
  </si>
  <si>
    <t>AMAZON,OLLIIX,OVERSTOCK01</t>
  </si>
  <si>
    <t>HH10-1224</t>
  </si>
  <si>
    <t>AMAZON,AMAZONDS,CSNSTORES,OLLIIX,OVERSTOCK01,ROOMECOM</t>
  </si>
  <si>
    <t>HH10-1225</t>
  </si>
  <si>
    <t>AMAZONDS,BEALLSDS</t>
  </si>
  <si>
    <t>HH10-1789</t>
  </si>
  <si>
    <t>Meadow</t>
  </si>
  <si>
    <t>5 Piece Cotton Comforter Set</t>
  </si>
  <si>
    <t>PP001457;PF005030</t>
  </si>
  <si>
    <t>BEALLSDS,CSNSTORES,KOHLDSN,MACY02,OLLIIX,OVERSTOCK01</t>
  </si>
  <si>
    <t>HH10-1790</t>
  </si>
  <si>
    <t>CSNSTORES,DESINC,JCPENNEY01,KOHLDSN,MACY02,OVERSTOCK01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</si>
  <si>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</si>
  <si>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</si>
  <si>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</si>
  <si>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</si>
  <si>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</si>
  <si>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</si>
  <si>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</si>
  <si>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5/7/2024</t>
  </si>
  <si>
    <t>HH10-1825</t>
  </si>
  <si>
    <t>HH10-1826</t>
  </si>
  <si>
    <t>CSNSTORES,DESINC,KOHLDSN,MACY02,OLLIIX,OVERSTOCK01</t>
  </si>
  <si>
    <t>HH10-1827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</si>
  <si>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</si>
  <si>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</si>
  <si>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</si>
  <si>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</si>
  <si>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</si>
  <si>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</si>
  <si>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HH10-1838</t>
  </si>
  <si>
    <t>HH10-1839</t>
  </si>
  <si>
    <t>HH10-1840</t>
  </si>
  <si>
    <t>AMAZON,OLLIIX</t>
  </si>
  <si>
    <t>HH10-1345</t>
  </si>
  <si>
    <t>Suzanna</t>
  </si>
  <si>
    <t>Comforter Mini set</t>
  </si>
  <si>
    <t>PF003327</t>
  </si>
  <si>
    <t>5/19/2024</t>
  </si>
  <si>
    <t>HH10-1346</t>
  </si>
  <si>
    <t>AMAZON,AMAZONDS,JCPENNEY01,MACY02,OLLIIX,OVERSTOCK01</t>
  </si>
  <si>
    <t>HH10-1646</t>
  </si>
  <si>
    <t>Cotton Comforter Mini Set</t>
  </si>
  <si>
    <t>PP000337</t>
  </si>
  <si>
    <t>10/6/2017</t>
  </si>
  <si>
    <t>AMAZON,KOHLDSN,MACY02,OLLIIX,OVERSTOCK01</t>
  </si>
  <si>
    <t>HH10-1647</t>
  </si>
  <si>
    <t>AMAZON,AMERSIGNDS,KOHLDSN,MACY02,OLLIIX,OVERSTOCK01</t>
  </si>
  <si>
    <t>HH13-1547</t>
  </si>
  <si>
    <t>Seaside</t>
  </si>
  <si>
    <t>4 Piece Cotton Reversible Embroidered Quilt Set with Throw Pillow</t>
  </si>
  <si>
    <t>PF003330</t>
  </si>
  <si>
    <t>HH13-1548</t>
  </si>
  <si>
    <t>HH13-1835</t>
  </si>
  <si>
    <t>PP001816;PF005828</t>
  </si>
  <si>
    <t>11/2/2022</t>
  </si>
  <si>
    <t>AMAZONDS,MACY02,OLLIIX,OVERSTOCK01</t>
  </si>
  <si>
    <t>HH13-1836</t>
  </si>
  <si>
    <t>AMAZONDS,CSNSTORES,KOHLDSN,MACY02,OLLIIX,OVERSTOCK01</t>
  </si>
  <si>
    <t>HH12-1691</t>
  </si>
  <si>
    <t>3 Piece Cotton Yarn Dyed Duvet Cover Set</t>
  </si>
  <si>
    <t>AMAZON,CSNSTORES,OLLIIX,OVERSTOCK01</t>
  </si>
  <si>
    <t>HH12-1692</t>
  </si>
  <si>
    <t>HH12-275</t>
  </si>
  <si>
    <t>2 Piece Duvet Cover Set</t>
  </si>
  <si>
    <t>HH12-099</t>
  </si>
  <si>
    <t>3 Piece Duvet Cover Set</t>
  </si>
  <si>
    <t>AMAZON,HSNDS,MACY02,OLLIIX,OVERSTOCK01</t>
  </si>
  <si>
    <t>HH12-100</t>
  </si>
  <si>
    <t>MACY02,OLLIIX</t>
  </si>
  <si>
    <t>HH12-248</t>
  </si>
  <si>
    <t>CSNSTORES,KOHLDSN,OLLIIX</t>
  </si>
  <si>
    <t>HH12-249</t>
  </si>
  <si>
    <t>AMAZON,CSNSTORES,OVERSTOCK01</t>
  </si>
  <si>
    <t>HH12-1542</t>
  </si>
  <si>
    <t>Duvet Cover Mini Set</t>
  </si>
  <si>
    <t>BLK01,MACY02,OLLIIX,OVERSTOCK01</t>
  </si>
  <si>
    <t>HH12-1543</t>
  </si>
  <si>
    <t>AMAZONDS,BLK01,HOUZZ,OVERSTOCK01</t>
  </si>
  <si>
    <t>HH12-1545</t>
  </si>
  <si>
    <t>5 Piece Duvet Set</t>
  </si>
  <si>
    <t>HH12-1546</t>
  </si>
  <si>
    <t>DESINC,JCPENNEY01,OLLIIX</t>
  </si>
  <si>
    <t>HH12-1687</t>
  </si>
  <si>
    <t>5 Piece Cotton Duvet Cover Set</t>
  </si>
  <si>
    <t>HH12-1688</t>
  </si>
  <si>
    <t>CSNSTORES,JCPENNEY01,MACY02,OVERSTOCK01</t>
  </si>
  <si>
    <t>HH12-1803</t>
  </si>
  <si>
    <t>1/13/2021</t>
  </si>
  <si>
    <t>HH12-1804</t>
  </si>
  <si>
    <t>HH12-1622</t>
  </si>
  <si>
    <t>Cotton Printed 5 Piece Duvet Cover Set</t>
  </si>
  <si>
    <t>CSNSTORES,JCPENNEY01</t>
  </si>
  <si>
    <t>HH12-1623</t>
  </si>
  <si>
    <t>CSNSTORES,KOHLDSN,OLLIIX,OVERSTOCK01</t>
  </si>
  <si>
    <t>HH12-1226</t>
  </si>
  <si>
    <t>AMAZON,AMERSIGNDS,BEALLSDS,CSNSTORES,JCPENNEY01,MACY02,OLLIIX,OVERSTOCK01</t>
  </si>
  <si>
    <t>HH12-1227</t>
  </si>
  <si>
    <t>AMAZON,BEALLSDS,CSNSTORES,MACY02,OLLIIX,OVERSTOCK01</t>
  </si>
  <si>
    <t>HH12-1828</t>
  </si>
  <si>
    <t>5 Piece Cotton Jaquard Duvet Set</t>
  </si>
  <si>
    <t>6/2/2024</t>
  </si>
  <si>
    <t>HH12-1829</t>
  </si>
  <si>
    <t>HH12-1841</t>
  </si>
  <si>
    <t>5 Piece Cotton Duvet Cover Set with Throw Pillows</t>
  </si>
  <si>
    <t>AMAZON,OVERSTOCK01</t>
  </si>
  <si>
    <t>HH12-1842</t>
  </si>
  <si>
    <t>HH12-1347</t>
  </si>
  <si>
    <t>7/25/2024</t>
  </si>
  <si>
    <t>ASHFURNDS</t>
  </si>
  <si>
    <t>HH12-1348</t>
  </si>
  <si>
    <t>AMAZON,NRTPORT,OVERSTOCK01</t>
  </si>
  <si>
    <t>HH12-1648</t>
  </si>
  <si>
    <t>Cotton Duvet Mini Set</t>
  </si>
  <si>
    <t>BEALLSDS,DESINC,MACY02,OVERSTOCK01</t>
  </si>
  <si>
    <t>HH12-1649</t>
  </si>
  <si>
    <t xml:space="preserve">Cotton Duvet  Mini Set</t>
  </si>
  <si>
    <t>AMAZON,MACY02,NRTPORT,OVERSTOCK01</t>
  </si>
  <si>
    <t>HH30-1694</t>
  </si>
  <si>
    <t>Embroidered Cotton Oblong Decorative Pillow</t>
  </si>
  <si>
    <t>PP000875</t>
  </si>
  <si>
    <t>AMAZON,AMAZONDS,BEALLSDS,BLK01,CSNSTORES,MACY02,OLLIIX,OVERSTOCK01</t>
  </si>
  <si>
    <t>HH30-1693</t>
  </si>
  <si>
    <t>Embroidered Cotton Square Decorative Pillow</t>
  </si>
  <si>
    <t>HH30-106</t>
  </si>
  <si>
    <t>Oblong Pillow</t>
  </si>
  <si>
    <t>BLK01,CSNSTORES,HOUZZ,MACY02,OLLIIX,OVERSTOCK01</t>
  </si>
  <si>
    <t>HH30-272</t>
  </si>
  <si>
    <t>Decorative Pillow</t>
  </si>
  <si>
    <t>MACY02,OLLIIX,OVERSTOCK01,ROOMECOM</t>
  </si>
  <si>
    <t>HH30-255</t>
  </si>
  <si>
    <t>Cotton Oblong Pillow</t>
  </si>
  <si>
    <t>12x18"</t>
  </si>
  <si>
    <t>HH30-497</t>
  </si>
  <si>
    <t>Cotton Square Pillow</t>
  </si>
  <si>
    <t>16x16"</t>
  </si>
  <si>
    <t>CSNSTORES,OLLIIX,OVERSTOCK01</t>
  </si>
  <si>
    <t>HH30-402A</t>
  </si>
  <si>
    <t>12x16"</t>
  </si>
  <si>
    <t>HH30-401A</t>
  </si>
  <si>
    <t>Square Pillow</t>
  </si>
  <si>
    <t>8/24/2024</t>
  </si>
  <si>
    <t>AMAZON,CSNSTORES,DESINC,OLLIIX,OVERSTOCK01</t>
  </si>
  <si>
    <t>HH30-709A</t>
  </si>
  <si>
    <t>Quilted Bolster Pillow</t>
  </si>
  <si>
    <t>D7x18"</t>
  </si>
  <si>
    <t>HH30-708A</t>
  </si>
  <si>
    <t>Embroidered Oblong Pillow</t>
  </si>
  <si>
    <t>AMAZON,AMAZONDS,CSNSTORES,HOUZZ,JCPENNEY01,KOHLDSN,NRTPORT,OLLIIX,OVERSTOCK01</t>
  </si>
  <si>
    <t>HH30-706A</t>
  </si>
  <si>
    <t>Pieced Square Pillow</t>
  </si>
  <si>
    <t>HH30-1230A</t>
  </si>
  <si>
    <t>HH30-1229A</t>
  </si>
  <si>
    <t>AMAZON,AMAZONDS,CSNSTORES,JCPENNEY01,MACY02,OLLIIX,OVERSTOCK01,ROOMECOM</t>
  </si>
  <si>
    <t>HH30-1650</t>
  </si>
  <si>
    <t>AMAZON,AMAZONDS,JCPENNEY01,KOHLDSN,MACY02,OLLIIX,OVERSTOCK01</t>
  </si>
  <si>
    <t>HH30-1651</t>
  </si>
  <si>
    <t>10/12/2017</t>
  </si>
  <si>
    <t>AMAZON,CSNSTORES,DESINC,JCPENNEY01,KOHLDSN,MACY02,OLLIIX</t>
  </si>
  <si>
    <t>II11-593</t>
  </si>
  <si>
    <t>INK+IVY</t>
  </si>
  <si>
    <t>Camila</t>
  </si>
  <si>
    <t>Cotton Quilted Euro Sham</t>
  </si>
  <si>
    <t>PF003361;PP000437;PF005628</t>
  </si>
  <si>
    <t>Mid-Century</t>
  </si>
  <si>
    <t>AMAZON,AMAZONDS,KIRKLANDDS,KOHLDSN,MACY02,OLLIIX,OVERSTOCK01,TGTDVS</t>
  </si>
  <si>
    <t>II11-930</t>
  </si>
  <si>
    <t>PP000362</t>
  </si>
  <si>
    <t>9/15/2017</t>
  </si>
  <si>
    <t>AMAZON,KOHLDSN,MACY02,OLLIIX,OVERSTOCK01,TGTDVS</t>
  </si>
  <si>
    <t>II11-1077</t>
  </si>
  <si>
    <t>PP000362;PP001094;PP001321;PF004815</t>
  </si>
  <si>
    <t>6/23/2024</t>
  </si>
  <si>
    <t>AMAZON,AMAZONDS,CSNSTORES,JCPENNEY01,KOHLDSN,MACY02,OLLIIX,OVERSTOCK01,TGTDVS</t>
  </si>
  <si>
    <t>II11-229</t>
  </si>
  <si>
    <t>PF003342;PP000439;PP000478</t>
  </si>
  <si>
    <t>II11-227</t>
  </si>
  <si>
    <t>PF003343;PP000454;PP000508</t>
  </si>
  <si>
    <t>AMAZON,BLK01,CSNSTORES,HOUZZ,KOHLDSN,MACY02,OLLIIX,OVERSTOCK01,TGTDVS</t>
  </si>
  <si>
    <t>II11-550</t>
  </si>
  <si>
    <t>Cotton Embroidered Euro Sham</t>
  </si>
  <si>
    <t>PF003356;PP000371;PP000486</t>
  </si>
  <si>
    <t>AMAZON,AMAZONDS,ASHFURNDS,BLK01,CSNSTORES,MACY02,OLLIIX,OVERSTOCK01,TGTDVS</t>
  </si>
  <si>
    <t>II11-600</t>
  </si>
  <si>
    <t>Jane</t>
  </si>
  <si>
    <t>Embroidered Euro Sham</t>
  </si>
  <si>
    <t>PF001679;PP000451</t>
  </si>
  <si>
    <t>II10-596</t>
  </si>
  <si>
    <t>Masie</t>
  </si>
  <si>
    <t>3 Piece Elastic Embroidered Cotton Comforter Set</t>
  </si>
  <si>
    <t>II10-597</t>
  </si>
  <si>
    <t>II10-781</t>
  </si>
  <si>
    <t>Alpine</t>
  </si>
  <si>
    <t>3 Piece Comforter Mini Set</t>
  </si>
  <si>
    <t>PF001637;PP000371</t>
  </si>
  <si>
    <t>Ikat</t>
  </si>
  <si>
    <t>AMAZON,AMAZONDS,KOHLDSN,MACY02,OLLIIX,TGTDVS</t>
  </si>
  <si>
    <t>II10-782</t>
  </si>
  <si>
    <t>6/30/2017</t>
  </si>
  <si>
    <t>7/9/2024</t>
  </si>
  <si>
    <t>II10-552</t>
  </si>
  <si>
    <t>PF001636;PP000371</t>
  </si>
  <si>
    <t>AMAZON,AMERSIGNDS,BLK01,KOHLDSN,MACY02,OLLIIX,OVERSTOCK01,TGTDVS</t>
  </si>
  <si>
    <t>II10-553</t>
  </si>
  <si>
    <t>AMAZON,AMAZONDS,AMERSIGNDS,BLK01,CSNSTORES,KOHLDSN,MACY02,OLLIIX,OVERSTOCK01,TGTDVS</t>
  </si>
  <si>
    <t>II10-785</t>
  </si>
  <si>
    <t>PF001638;PP000371</t>
  </si>
  <si>
    <t>II10-786</t>
  </si>
  <si>
    <t>AMAZON,CSNSTORES,DESINC,KOHLDSN,MACY02,OLLIIX,OVERSTOCK01,TGTDVS</t>
  </si>
  <si>
    <t>II10-1112</t>
  </si>
  <si>
    <t>Arizona</t>
  </si>
  <si>
    <t>PP001500;PF005109</t>
  </si>
  <si>
    <t>Boho</t>
  </si>
  <si>
    <t>10/3/2020</t>
  </si>
  <si>
    <t>AMAZON,BLK01,CSNSTORES,HOUZZ,JCPENNEY01,MACY02,OLLIIX,OVERSTOCK01,TGTDVS</t>
  </si>
  <si>
    <t>II10-1113</t>
  </si>
  <si>
    <t>AMAZON,AMAZONDS,CSNSTORES,HSNDS,KOHLDSN,MACY02,OLLIIX,OVERSTOCK01,TGTDVS</t>
  </si>
  <si>
    <t>II10-1116</t>
  </si>
  <si>
    <t>Cody</t>
  </si>
  <si>
    <t>Gray/Yellow</t>
  </si>
  <si>
    <t>PP001505;PF005117</t>
  </si>
  <si>
    <t>10/21/2020</t>
  </si>
  <si>
    <t>AMAZON,CSNSTORES,JCPENNEY01,KOHLDSN,NRTPORT,OLLIIX,OVERSTOCK01,TGTDVS</t>
  </si>
  <si>
    <t>II10-1117</t>
  </si>
  <si>
    <t>II10-1052</t>
  </si>
  <si>
    <t>Ellipse</t>
  </si>
  <si>
    <t>Cotton Jacquard Comforter Set</t>
  </si>
  <si>
    <t>PP001094;PF004582</t>
  </si>
  <si>
    <t>3/1/2019</t>
  </si>
  <si>
    <t>AMAZONDS,CSNSTORES,JCPENNEY01,KIRKLANDDS,KOHLDSN,MACY02,OLLIIX,OVERSCONSIGN,OVERSTOCK01,ROOMECOM,TGTDVS</t>
  </si>
  <si>
    <t>II10-1053</t>
  </si>
  <si>
    <t>CSNSTORES,KIRKLANDDS,MACY02,OLLIIX,OVERSTOCK01,TGTDVS</t>
  </si>
  <si>
    <t>II10-1069</t>
  </si>
  <si>
    <t>PP001094;PF004766</t>
  </si>
  <si>
    <t>8/29/2019</t>
  </si>
  <si>
    <t>II10-1070</t>
  </si>
  <si>
    <t>8/28/2019</t>
  </si>
  <si>
    <t>CSNSTORES,DESINC,KOHLDSN,MACY02,OLLIIX</t>
  </si>
  <si>
    <t>II10-1093</t>
  </si>
  <si>
    <t>Imani</t>
  </si>
  <si>
    <t>Cotton Printed Comforter Set with Chenille</t>
  </si>
  <si>
    <t>PF005068</t>
  </si>
  <si>
    <t>Global</t>
  </si>
  <si>
    <t>3/30/2020</t>
  </si>
  <si>
    <t>II10-1094</t>
  </si>
  <si>
    <t>II10-1089</t>
  </si>
  <si>
    <t>PF005067</t>
  </si>
  <si>
    <t>AMAZON,ASHFURNDS,CSNSTORES,KOHLDSN,MACY02,NRTPORT,OLLIIX,OVERSTOCK01,TGTDVS,ZOLA</t>
  </si>
  <si>
    <t>II10-1090</t>
  </si>
  <si>
    <t>AMAZON,AMAZONDS,AMERSIGNDS,ASHFURNDS,BLK01,CSNSTORES,FINGERHUTDS,KIRKLANDDS,KOHLDSN,MACY02,OLLIIX,OVERSTOCK01,ROOMECOM,TGTDVS,ZOLA</t>
  </si>
  <si>
    <t>II10-994</t>
  </si>
  <si>
    <t>PF004112</t>
  </si>
  <si>
    <t>12/26/2017</t>
  </si>
  <si>
    <t>AMAZON,ASHFURNDS,BEALLSDS,BLK01,CSNSTORES,HSNDS,JCPENNEY01,KIRKLANDDS,KOHLDSN,MACY02,OLLIIX,OVERSCONSIGN,OVERSTOCK01,TGTDVS,ZOLA</t>
  </si>
  <si>
    <t>II10-995</t>
  </si>
  <si>
    <t>AMAZON,AMAZONDS,AMERSIGNDS,ASHFURNDS,BEALLSDS,CSNSTORES,JCPENNEY01,KIRKLANDDS,KOHLDSN,MACY02,OLLIIX,OVERSTOCK01,ROOMECOM,TGTDVS</t>
  </si>
  <si>
    <t>II10-1274</t>
  </si>
  <si>
    <t>White/Navy</t>
  </si>
  <si>
    <t>PP000428;PF005760</t>
  </si>
  <si>
    <t>9/27/2022</t>
  </si>
  <si>
    <t>AMAZONDS,CSNSTORES,FINGERHUTDS,JCPENNEY01,KOHLDSN,MACY02,NRTPORT,OLLIIX,OVERSTOCK01,TGTDVS</t>
  </si>
  <si>
    <t>II10-1275</t>
  </si>
  <si>
    <t>AMAZONDS,AMERSIGNDS,CSNSTORES,FINGERHUTDS,JCPENNEY01,KOHLDSN,MACY02,NRTPORT,OLLIIX,OVERSTOCK01,TGTDVS,ZOLA</t>
  </si>
  <si>
    <t>II10-1104</t>
  </si>
  <si>
    <t>Kara</t>
  </si>
  <si>
    <t>3 Piece Cotton Jacquard Comforter Set</t>
  </si>
  <si>
    <t>PP001486;PF005087</t>
  </si>
  <si>
    <t>4/7/2020</t>
  </si>
  <si>
    <t>AMAZON,BLK01,CSNSTORES,HDDS,JCPENNEY01,MACY02,OVERSTOCK01,ROOMECOM,TGTDVS,ZOLA</t>
  </si>
  <si>
    <t>II10-1105</t>
  </si>
  <si>
    <t>AMAZON,AMAZONDS,BLK01,HDDS,JCPENNEY01,KIRKLANDDS,KOHLDSN,MACY02,OLLIIX,OVERSTOCK01,TGTDVS</t>
  </si>
  <si>
    <t>II10-1149</t>
  </si>
  <si>
    <t>PP001486;PF005293</t>
  </si>
  <si>
    <t>1/19/2021</t>
  </si>
  <si>
    <t>II10-1150</t>
  </si>
  <si>
    <t>II10-1270</t>
  </si>
  <si>
    <t>PP001486;PF005762</t>
  </si>
  <si>
    <t>8/23/2022</t>
  </si>
  <si>
    <t>6/11/2024</t>
  </si>
  <si>
    <t>II10-1271</t>
  </si>
  <si>
    <t>AMAZONDS,JCPENNEY01,KOHLDSN,MACY02,OLLIIX,OVERSTOCK01</t>
  </si>
  <si>
    <t>II10-1266</t>
  </si>
  <si>
    <t>PP001486;PF005761</t>
  </si>
  <si>
    <t>AMAZONDS,JCPENNEY01,MACY02,OLLIIX,OVERSTOCK01,TGTDVS</t>
  </si>
  <si>
    <t>II10-1267</t>
  </si>
  <si>
    <t>AMAZONDS,JCPENNEY01,KOHLDSN,OLLIIX,TGTDVS</t>
  </si>
  <si>
    <t>II10-1108</t>
  </si>
  <si>
    <t>Marta</t>
  </si>
  <si>
    <t>3 Piece Cotton and Flax Linen Blend Comforter Set</t>
  </si>
  <si>
    <t>PP001488;PF005094</t>
  </si>
  <si>
    <t>7/30/2020</t>
  </si>
  <si>
    <t>AMAZONDS,CSNSTORES,FINGERHUTDS,KOHLDSN,MACY02,OLLIIX,OVERSCONSIGN,OVERSTOCK01,TGTDVS,ZOLA</t>
  </si>
  <si>
    <t>II10-1109</t>
  </si>
  <si>
    <t>AMAZONDS,ASHFURNDS,CSNSTORES,FINGERHUTDS,JCPENNEY01,KOHLDSN,MACY02,OLLIIX,OVERSTOCK01,TGTDVS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</si>
  <si>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</si>
  <si>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</si>
  <si>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</si>
  <si>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</si>
  <si>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</si>
  <si>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</si>
  <si>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</si>
  <si>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II10-1248</t>
  </si>
  <si>
    <t>PP001321;PF005708</t>
  </si>
  <si>
    <t>5/5/2022</t>
  </si>
  <si>
    <t>FINGERHUTDS,JCPENNEY01,OVERSTOCK01,TGTDVS</t>
  </si>
  <si>
    <t>II10-1249</t>
  </si>
  <si>
    <t>II10-1061</t>
  </si>
  <si>
    <t>PP001321;PF004763</t>
  </si>
  <si>
    <t>AMAZON,BLK01,CSNSTORES,FINGERHUTDS,JCPENNEY01,KIRKLANDDS,KOHLDSN,MACY02,OLLIIX,OVERSTOCK01,TGTDVS,ZOLA</t>
  </si>
  <si>
    <t>II10-1062</t>
  </si>
  <si>
    <t>AMAZON,AMAZONDS,AMERSIGNDS,BLK01,CSNSTORES,JCPENNEY01,KOHLDSN,MACY02,OLLIIX,OVERSTOCK01,TGTDVS</t>
  </si>
  <si>
    <t>II10-1124</t>
  </si>
  <si>
    <t>PP001321;PF005135</t>
  </si>
  <si>
    <t>AMAZON,AMAZONDS,CSNSTORES,JCPENNEY01,MACY02,OLLIIX,OVERSTOCK01,TGTDVS</t>
  </si>
  <si>
    <t>II10-1125</t>
  </si>
  <si>
    <t>AMAZON,AMAZONDS,CSNSTORES,HDDS,JCPENNEY01,KOHLDSN,MACY02,OLLIIX,OVERSTOCK01,TGTDVS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</si>
  <si>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</si>
  <si>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</si>
  <si>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</si>
  <si>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</si>
  <si>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</si>
  <si>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</si>
  <si>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AMAZON,CSNSTORES,KOHLDSN,MACY02,OLLIIX,OVERSTOCK01,TGTDVS</t>
  </si>
  <si>
    <t>II10-1131</t>
  </si>
  <si>
    <t>AMAZON,CSNSTORES,KIRKLANDDS,KOHLDSN,MACY02,OVERSTOCK01,TGTDVS</t>
  </si>
  <si>
    <t>II10-1056</t>
  </si>
  <si>
    <t>Off White/Gray</t>
  </si>
  <si>
    <t>PP001095;PF004583</t>
  </si>
  <si>
    <t>BOHO</t>
  </si>
  <si>
    <t>2/27/2019</t>
  </si>
  <si>
    <t>AMAZON,BEALLSDS,CSNSTORES,JCPENNEY01,MACY02,OLLIIX,OVERSTOCK01,TGTDVS</t>
  </si>
  <si>
    <t>II10-1057</t>
  </si>
  <si>
    <t>AMAZON,BEALLSDS,CSNSTORES,KOHLDSN,MACY02,OLLIIX,OVERSTOCK01,TGTDVS,ZOLA</t>
  </si>
  <si>
    <t>II10-1100</t>
  </si>
  <si>
    <t>Rhea</t>
  </si>
  <si>
    <t>Cotton Jacquard Comforter Mini Set</t>
  </si>
  <si>
    <t>Grey/Black</t>
  </si>
  <si>
    <t>PF005086;PP001731</t>
  </si>
  <si>
    <t>II10-1101</t>
  </si>
  <si>
    <t>6/17/2024</t>
  </si>
  <si>
    <t>AMAZON,JCPENNEY01,KOHLDSN,OLLIIX,OVERSTOCK01,TGTDVS</t>
  </si>
  <si>
    <t>II10-1038</t>
  </si>
  <si>
    <t>Ivory/Charcoal</t>
  </si>
  <si>
    <t>PF004418;PP001731</t>
  </si>
  <si>
    <t>8/30/2018</t>
  </si>
  <si>
    <t>AMAZON,AMAZONDS,AMERSIGNDS,CSNSTORES,FINGERHUTDS,JCPENNEY01,KIRKLANDDS,KOHLDSN,MACY02,OLLIIX,OVERSTOCK01,TGTDVS,ZOLA</t>
  </si>
  <si>
    <t>II10-1039</t>
  </si>
  <si>
    <t>AMAZON,CSNSTORES,FINGERHUTDS,JCPENNEY01,KOHLDSN,MACY02,OLLIIX,OVERSTOCK01,ROOMECOM,TGTDVS,ZOLA</t>
  </si>
  <si>
    <t>II10-1311</t>
  </si>
  <si>
    <t>Tahli</t>
  </si>
  <si>
    <t>3 Piece Cotton Blend Chenille Comforter Set</t>
  </si>
  <si>
    <t>Green/Ivory</t>
  </si>
  <si>
    <t>PF006075</t>
  </si>
  <si>
    <t>6/24/2024</t>
  </si>
  <si>
    <t>KOHLDSN,OVERSTOCK01,TGTDVS</t>
  </si>
  <si>
    <t>II10-1312</t>
  </si>
  <si>
    <t>8/28/2024</t>
  </si>
  <si>
    <t>KOHLDSN,OVERSTOCK01,TGTDVS,ZOLA</t>
  </si>
  <si>
    <t>II13-1042</t>
  </si>
  <si>
    <t>3 Piece Printed Cotton Quilt Set</t>
  </si>
  <si>
    <t>11/18/2018</t>
  </si>
  <si>
    <t>II13-1043</t>
  </si>
  <si>
    <t>9/4/2024</t>
  </si>
  <si>
    <t>II13-1201</t>
  </si>
  <si>
    <t>Pomona</t>
  </si>
  <si>
    <t>3 Piece Embroidered Cotton Quilt Set</t>
  </si>
  <si>
    <t>PP000486;PF005524</t>
  </si>
  <si>
    <t>Chevron</t>
  </si>
  <si>
    <t>9/1/2021</t>
  </si>
  <si>
    <t>JCPENNEY01,KIRKLANDDS,OLLIIX</t>
  </si>
  <si>
    <t>II13-1202</t>
  </si>
  <si>
    <t>AMAZON,CSNSTORES,JCPENNEY01,MACY02,OLLIIX,OVERSCONSIGN,OVERSTOCK01</t>
  </si>
  <si>
    <t>II13-564</t>
  </si>
  <si>
    <t>PF001639;PP000486</t>
  </si>
  <si>
    <t>II13-565</t>
  </si>
  <si>
    <t>AMAZON,BLK01,CSNSTORES,JCPENNEY01,MACY02,OLLIIX,OVERSTOCK01,TGTDVS</t>
  </si>
  <si>
    <t>II13-1246</t>
  </si>
  <si>
    <t>Salar</t>
  </si>
  <si>
    <t>3 Piece Printed Cotton Quilt Set with Trims</t>
  </si>
  <si>
    <t>PP001746;PF005675</t>
  </si>
  <si>
    <t>II13-1247</t>
  </si>
  <si>
    <t>CSNSTORES,JCPENNEY01,KOHLDSN,MACY02,OLLIIX,OVERSTOCK01,TGTDVS</t>
  </si>
  <si>
    <t>II12-783</t>
  </si>
  <si>
    <t>3 Piece Duvet Cover Mini Set</t>
  </si>
  <si>
    <t>II12-784</t>
  </si>
  <si>
    <t>AMAZON,CSNSTORES,JCPENNEY01,MACY02,OVERSTOCK01,TGTDVS</t>
  </si>
  <si>
    <t>II12-554</t>
  </si>
  <si>
    <t>II12-555</t>
  </si>
  <si>
    <t>II12-787</t>
  </si>
  <si>
    <t>II12-788</t>
  </si>
  <si>
    <t>AMAZON,CSNSTORES,MACY02,TGTDVS</t>
  </si>
  <si>
    <t>II12-1114</t>
  </si>
  <si>
    <t>II12-1115</t>
  </si>
  <si>
    <t>II12-1118</t>
  </si>
  <si>
    <t>AMAZON,CSNSTORES,KIRKLANDDS,MACY02,OLLIIX,OVERSTOCK01,TGTDVS</t>
  </si>
  <si>
    <t>II12-1119</t>
  </si>
  <si>
    <t>II12-1054</t>
  </si>
  <si>
    <t>Cotton Jacquard Duvet Cover Set</t>
  </si>
  <si>
    <t>AMAZON,CSNSTORES,JCPENNEY01,MACY02,OVERSTOCK01,TGTDVS,ZOLA</t>
  </si>
  <si>
    <t>II12-1055</t>
  </si>
  <si>
    <t>AMAZON,AMAZONDS,CSNSTORES,MACY02,OVERSCONSIGN,OVERSTOCK01,TGTDVS,ZOLA</t>
  </si>
  <si>
    <t>II12-1071</t>
  </si>
  <si>
    <t>CSNSTORES,JCPENNEY01,MACY02,OVERSTOCK01,TGTDVS,ZOLA</t>
  </si>
  <si>
    <t>II12-1072</t>
  </si>
  <si>
    <t>CSNSTORES,JCPENNEY01,OLLIIX</t>
  </si>
  <si>
    <t>II12-1095</t>
  </si>
  <si>
    <t>Cotton Printed Duvet Cover Set with Chenille</t>
  </si>
  <si>
    <t>AMAZON,CSNSTORES,OLLIIX,TGTDVS</t>
  </si>
  <si>
    <t>II12-1096</t>
  </si>
  <si>
    <t>II12-1091</t>
  </si>
  <si>
    <t>4/23/2020</t>
  </si>
  <si>
    <t>8/14/2024</t>
  </si>
  <si>
    <t>AMERSIGNDS,CSNSTORES,HSNDS,KOHLDSN,MACY02,OLLIIX,OVERSTOCK01,TGTDVS</t>
  </si>
  <si>
    <t>II12-1092</t>
  </si>
  <si>
    <t>AMAZON,ASHFURNDS,BLK01,HSNDS,JCPENNEY01,KOHLDSN,MACY02,OVERSTOCK01,TGTDVS</t>
  </si>
  <si>
    <t>II12-996</t>
  </si>
  <si>
    <t>AMAZON,ASHFURNDS,CSNSTORES,HSNDS,KOHLDSN,MACY02,OVERSTOCK01,ROOMECOM,TGTDVS</t>
  </si>
  <si>
    <t>II12-997</t>
  </si>
  <si>
    <t>AMAZON,CSNSTORES,HSNDS,KOHLDSN,MACY02,OVERSTOCK01,ROOMECOM,TGTDVS</t>
  </si>
  <si>
    <t>II12-1276</t>
  </si>
  <si>
    <t>AMAZONDS,AMERSIGNDS,CSNSTORES,KOHLDSN,MACY02,OVERSTOCK01,TGTDVS</t>
  </si>
  <si>
    <t>II12-1277</t>
  </si>
  <si>
    <t>II12-1106</t>
  </si>
  <si>
    <t>3 Piece Cotton Jacquard Duvet Cover Set</t>
  </si>
  <si>
    <t>AMAZON,AMAZONDS,JCPENNEY01,KOHLDSN,OVERSTOCK01,TGTDVS</t>
  </si>
  <si>
    <t>II12-1107</t>
  </si>
  <si>
    <t>II12-1151</t>
  </si>
  <si>
    <t>1/21/2021</t>
  </si>
  <si>
    <t>II12-1152</t>
  </si>
  <si>
    <t>1/26/2021</t>
  </si>
  <si>
    <t>JCPENNEY01,KOHLDSN,OVERSTOCK01,TGTDVS</t>
  </si>
  <si>
    <t>II12-1272</t>
  </si>
  <si>
    <t>AMAZONDS,CSNSTORES,KOHLDSN,MACY02,OLLIIX,TGTDVS</t>
  </si>
  <si>
    <t>II12-1273</t>
  </si>
  <si>
    <t>II12-1268</t>
  </si>
  <si>
    <t>AMAZONDS,CSNSTORES,KOHLDSN,MACY02,OLLIIX,OVERSTOCK01,TGTDVS</t>
  </si>
  <si>
    <t>II12-1269</t>
  </si>
  <si>
    <t>AMAZONDS,CSNSTORES,JCPENNEY01,KOHLDSN,MACY02</t>
  </si>
  <si>
    <t>II12-1110</t>
  </si>
  <si>
    <t>3 Piece Flax and Cotton Blended Duvet Cover Set</t>
  </si>
  <si>
    <t>7/31/2020</t>
  </si>
  <si>
    <t>AMAZONDS,CSNSTORES,KOHLDSN,OLLIIX,OVERSTOCK01,TGTDVS</t>
  </si>
  <si>
    <t>II12-1111</t>
  </si>
  <si>
    <t>AMAZONDS,CSNSTORES,KOHLDSN,MACY02,NRTPORT,OVERSTOCK01,TGTDVS</t>
  </si>
  <si>
    <t>II12-1317</t>
  </si>
  <si>
    <t>3 Piece Cotton Duvet Cover Set with Chenille Tufting</t>
  </si>
  <si>
    <t>II12-1318</t>
  </si>
  <si>
    <t>II12-1250</t>
  </si>
  <si>
    <t>AMAZON,CSNSTORES,KOHLDSN,OVERSTOCK01,TGTDVS</t>
  </si>
  <si>
    <t>II12-1251</t>
  </si>
  <si>
    <t>II12-1063</t>
  </si>
  <si>
    <t>AMAZON,CSNSTORES,KOHLDSN,OVERSTOCK01,TGTDVS,ZOLA</t>
  </si>
  <si>
    <t>II12-1064</t>
  </si>
  <si>
    <t>AMAZON,KOHLDSN,MACY02,OVERSTOCK01,TGTDVS</t>
  </si>
  <si>
    <t>II12-1126</t>
  </si>
  <si>
    <t>9/30/2020</t>
  </si>
  <si>
    <t>AMAZON,CSNSTORES,JCPENNEY01,KIRKLANDDS,KOHLDSN,MACY02,OLLIIX,OVERSTOCK01,TGTDVS</t>
  </si>
  <si>
    <t>II12-1127</t>
  </si>
  <si>
    <t>II12-1132</t>
  </si>
  <si>
    <t>Cotton Printed Duvet Cover Set with Trims</t>
  </si>
  <si>
    <t>AMAZON,CSNSTORES,MACY02,OVERSTOCK01,TGTDVS,ZOLA</t>
  </si>
  <si>
    <t>II12-1133</t>
  </si>
  <si>
    <t>AMAZON,CSNSTORES,JCPENNEY01,KIRKLANDDS,MACY02,OVERSTOCK01,TGTDVS,ZOLA</t>
  </si>
  <si>
    <t>II12-1058</t>
  </si>
  <si>
    <t>AMAZON,BEALLSDS,CSNSTORES,MACY02,OVERSTOCK01,TGTDVS</t>
  </si>
  <si>
    <t>II12-1059</t>
  </si>
  <si>
    <t>II12-1102</t>
  </si>
  <si>
    <t>Cotton Jacquard Duvet Cover Mini Set</t>
  </si>
  <si>
    <t>II12-1103</t>
  </si>
  <si>
    <t>II12-1040</t>
  </si>
  <si>
    <t>AMAZON,CSNSTORES,OLLIIX,OVERSTOCK01,ROOMECOM,TGTDVS</t>
  </si>
  <si>
    <t>II12-1041</t>
  </si>
  <si>
    <t>AMAZON,AMERSIGNDS,CSNSTORES,JCPENNEY01,KOHLDSN,MACY02,OVERSTOCK01,TGTDVS</t>
  </si>
  <si>
    <t>II12-1313</t>
  </si>
  <si>
    <t>3 Piece Cotton Blend Chenille Duvet Cover Set</t>
  </si>
  <si>
    <t>CSNSTORES,KOHLDSN,OLLIIX,OVERSTOCK01,TGTDVS</t>
  </si>
  <si>
    <t>II12-1314</t>
  </si>
  <si>
    <t>CSNSTORES,JCPENNEY01,KOHLDSN,OVERSTOCK01,TGTDVS,ZOLA</t>
  </si>
  <si>
    <t>II12-598</t>
  </si>
  <si>
    <t>3 Piece Elastic Embroidered Cotton Duvet Cover Set</t>
  </si>
  <si>
    <t>AMAZONDS,MACY02,TGTDVS</t>
  </si>
  <si>
    <t>II12-599</t>
  </si>
  <si>
    <t>II30-998</t>
  </si>
  <si>
    <t>Bea</t>
  </si>
  <si>
    <t>Embroidered Cotton Oblong Pillow with Tassels</t>
  </si>
  <si>
    <t>Oblong</t>
  </si>
  <si>
    <t>1/6/2018</t>
  </si>
  <si>
    <t>AMAZON,AMAZONDS,ASHFURNDS,KIRKLANDDS,KOHLDSN,MACY02,OLLIIX,OVERSTOCK01,TGTDVS</t>
  </si>
  <si>
    <t>II30-1086</t>
  </si>
  <si>
    <t>Daria</t>
  </si>
  <si>
    <t>PP001463</t>
  </si>
  <si>
    <t>2/18/2020</t>
  </si>
  <si>
    <t>AMAZON,BLK01,CSNSTORES,MACY02,OVERSTOCK01,TGTDVS</t>
  </si>
  <si>
    <t>II30-549</t>
  </si>
  <si>
    <t>Fleur</t>
  </si>
  <si>
    <t>Embroidered Square Pillow</t>
  </si>
  <si>
    <t>PF003356;PP000486</t>
  </si>
  <si>
    <t>Global Inspired|Mid-Century</t>
  </si>
  <si>
    <t>BLK01,JCPENNEY01,MACY02,OLLIIX</t>
  </si>
  <si>
    <t>II30-1085</t>
  </si>
  <si>
    <t>Kerala</t>
  </si>
  <si>
    <t>20x20"</t>
  </si>
  <si>
    <t>PP001462</t>
  </si>
  <si>
    <t>II30-1078</t>
  </si>
  <si>
    <t>Riko</t>
  </si>
  <si>
    <t>Cotton Embroidered Square Pillow</t>
  </si>
  <si>
    <t>PP001094;PP001321;PP001341;PF004816</t>
  </si>
  <si>
    <t>AMAZON,MACY02,OLLIIX,OVERSTOCK01,TGTDVS</t>
  </si>
  <si>
    <t>II30-609</t>
  </si>
  <si>
    <t>Cotton Embroidered Decorative Square Pillow</t>
  </si>
  <si>
    <t>PF003362;PP000451;PP000464;PF005628</t>
  </si>
  <si>
    <t>AMAZON,AMAZONDS,ASHFURNDS,CSNSTORES,HSNDS,KOHLDSN,MACY02,OLLIIX,OVERSTOCK01,TGTDVS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</si>
  <si>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</si>
  <si>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</si>
  <si>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</si>
  <si>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</si>
  <si>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</si>
  <si>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</si>
  <si>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</si>
  <si>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Casual|Global Inspired</t>
  </si>
  <si>
    <t>1/30/2017</t>
  </si>
  <si>
    <t>MPP13-050</t>
  </si>
  <si>
    <t>4 Piece Cotton Quilt Set with Trhow Pillow</t>
  </si>
  <si>
    <t>AMAZON,BLK01,CSNSTORES,JCPENNEY01,KOHLDSN,OLLIIX,OVERSTOCK01,TGTDVS</t>
  </si>
  <si>
    <t>MPS10-341</t>
  </si>
  <si>
    <t>Madison Park Signature</t>
  </si>
  <si>
    <t>Barely There</t>
  </si>
  <si>
    <t>PF004048;PP000586</t>
  </si>
  <si>
    <t>10/25/2017</t>
  </si>
  <si>
    <t>6/16/2024</t>
  </si>
  <si>
    <t>CSNSTORES,OLLIIX,OVERSTOCK01,TGTDVS</t>
  </si>
  <si>
    <t>MPS10-342</t>
  </si>
  <si>
    <t>AMAZON,AMERSIGNDS,CSNSTORES,JCPENNEY01,KIRKLANDDS,OLLIIX,OVERSTOCK01,TGTDVS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</si>
  <si>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</si>
  <si>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</si>
  <si>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</si>
  <si>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</si>
  <si>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</si>
  <si>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</si>
  <si>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MPS10-499</t>
  </si>
  <si>
    <t>9 Piece Oversized Jacquard Comforter Set with Euro Shams and Throw Pillows</t>
  </si>
  <si>
    <t>MPS10-207</t>
  </si>
  <si>
    <t>Chateau</t>
  </si>
  <si>
    <t>PF003291</t>
  </si>
  <si>
    <t>Cottage/Country|Traditional</t>
  </si>
  <si>
    <t>BLK01,CSNSTORES,MACY02,OLLIIX,OVERSTOCK01</t>
  </si>
  <si>
    <t>MPS10-208</t>
  </si>
  <si>
    <t>MPS10-463</t>
  </si>
  <si>
    <t>Essence</t>
  </si>
  <si>
    <t>Oversized Cotton Clipped Jacquard Comforter Set with Euro Shams and Throw Pillows</t>
  </si>
  <si>
    <t>PP001967;PF005183</t>
  </si>
  <si>
    <t>AMAZON,BLK01,CASTLEGATE,CSNSTORES,JCPENNEY01,KOHLDSN,MACY02,OLLIIX,OVERSCONSIGN,OVERSTOCK01,TGTDVS</t>
  </si>
  <si>
    <t>MPS10-464</t>
  </si>
  <si>
    <t>AMAZON,BLK01,CASTLEGATE,CSNSTORES,DESINC,JCPENNEY01,KOHLDSN,MACY02,OLLIIX,OVERSTOCK01,TGTDVS</t>
  </si>
  <si>
    <t>MPS10-496</t>
  </si>
  <si>
    <t>PP001967;PF005935</t>
  </si>
  <si>
    <t>5/4/2023</t>
  </si>
  <si>
    <t>MPS10-497</t>
  </si>
  <si>
    <t>AMAZONDS,AMERSIGNDS,BLK01,CSNSTORES,JCPENNEY01,KOHLDSN,MACY02,OLLIIX,OVERSTOCK01,TGTDVS</t>
  </si>
  <si>
    <t>MPS10-312</t>
  </si>
  <si>
    <t>PF003303</t>
  </si>
  <si>
    <t>MPS10-313</t>
  </si>
  <si>
    <t>AMAZON,AMAZONDS,CSNSTORES,MACY02,OLLIIX,OVERSTOCK01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</si>
  <si>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</si>
  <si>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</si>
  <si>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</si>
  <si>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</si>
  <si>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</si>
  <si>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</si>
  <si>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BLK01,CSNSTORES,JCPENNEY01,KOHLDSN,MACY02,OLLIIX,OVERSTOCK01</t>
  </si>
  <si>
    <t>MPS10-485</t>
  </si>
  <si>
    <t>9 Piece Geometric Oversized Jacquard Comforter Set</t>
  </si>
  <si>
    <t>MPS10-310</t>
  </si>
  <si>
    <t>Hollywood Glam</t>
  </si>
  <si>
    <t>PF003302</t>
  </si>
  <si>
    <t>Global Inspired|Modern/Contemporary</t>
  </si>
  <si>
    <t>AMAZON,ASHFURNDS,CSNSTORES,OLLIIX,OVERSTOCK01</t>
  </si>
  <si>
    <t>MPS10-311</t>
  </si>
  <si>
    <t>AMAZON,AMERSIGNDS,JCPENNEY01,KOHLDSN,MACY02,OLLIIX,OVERSTOCK01</t>
  </si>
  <si>
    <t>MPS10-456</t>
  </si>
  <si>
    <t>Manor</t>
  </si>
  <si>
    <t>Comforter Queen 8 Piece Set</t>
  </si>
  <si>
    <t>PP001475;PF005072</t>
  </si>
  <si>
    <t>3/3/2020</t>
  </si>
  <si>
    <t>CSNSTORES,KOHLDSN,MACY02,OLLIIX</t>
  </si>
  <si>
    <t>MPS10-457</t>
  </si>
  <si>
    <t>Comforter King 9 Piece Set</t>
  </si>
  <si>
    <t>AMERSIGNDS,CSNSTORES,KOHLDSN,MACY02,NRTPORT,OLLIIX,OVERSTOCK01</t>
  </si>
  <si>
    <t>MPS10-458</t>
  </si>
  <si>
    <t>Sanctuary</t>
  </si>
  <si>
    <t>Taupe/Gold</t>
  </si>
  <si>
    <t>PP001476;PF005073</t>
  </si>
  <si>
    <t>JCPENNEY01,MACY02,OLLIIX,OVERSTOCK01</t>
  </si>
  <si>
    <t>MPS10-459</t>
  </si>
  <si>
    <t>CSNSTORES,KOHLDSN,MACY02,OLLIIX,OVERSTOCK01</t>
  </si>
  <si>
    <t>MPS10-257</t>
  </si>
  <si>
    <t>Shades of Grey</t>
  </si>
  <si>
    <t>PF003293</t>
  </si>
  <si>
    <t>AMAZON,BLK01,CSNSTORES,JCPENNEY01,KOHLDSN,MACY02,OLLIIX,OVERSTOCK01</t>
  </si>
  <si>
    <t>MPS10-258</t>
  </si>
  <si>
    <t>5/12/2024</t>
  </si>
  <si>
    <t>AMAZON,AMAZONDS,BLK01,CSNSTORES,JCPENNEY01,MACY02,OLLIIX,OVERSTOCK01</t>
  </si>
  <si>
    <t>MPS10-345</t>
  </si>
  <si>
    <t>Urban Cabin</t>
  </si>
  <si>
    <t>PF004061;PP001989</t>
  </si>
  <si>
    <t>11/30/2017</t>
  </si>
  <si>
    <t>5/5/2024</t>
  </si>
  <si>
    <t>AMAZON,CSNSTORES,MACY02,NRTPORT,OLLIIX,OVERSTOCK01,TGTDVS</t>
  </si>
  <si>
    <t>MPS10-346</t>
  </si>
  <si>
    <t>MPS13-500</t>
  </si>
  <si>
    <t>4 Piece Oversized Reversible Matelasse Quilt Set with Throw Pillow</t>
  </si>
  <si>
    <t>PP001854;PF005936</t>
  </si>
  <si>
    <t>4/6/2023</t>
  </si>
  <si>
    <t>MPS13-501</t>
  </si>
  <si>
    <t>BLK01,CSNSTORES,JCPENNEY01,KOHLDSN,MACY02,NRTPORT,OLLIIX,OVERSTOCK01</t>
  </si>
  <si>
    <t>MPS13-274</t>
  </si>
  <si>
    <t>3 Piece Hand Quilted Cotton Quilt Set</t>
  </si>
  <si>
    <t>PF003298;PP000712</t>
  </si>
  <si>
    <t>4/15/2017</t>
  </si>
  <si>
    <t>BLK01,JCPENNEY01,MACY02,OLLIIX,OVERSTOCK01</t>
  </si>
  <si>
    <t>MPS13-275</t>
  </si>
  <si>
    <t>MPS13-272</t>
  </si>
  <si>
    <t>PF003297;PP000712</t>
  </si>
  <si>
    <t>MACY02,OLLIIX,OVERSTOCK01</t>
  </si>
  <si>
    <t>MPS13-273</t>
  </si>
  <si>
    <t>MPS13-270</t>
  </si>
  <si>
    <t>PF003296;PP000712</t>
  </si>
  <si>
    <t>JCPENNEY01,KIRKLANDDS,KOHLDSN,MACY02,OLLIIX,OVERSTOCK01</t>
  </si>
  <si>
    <t>MPS13-271</t>
  </si>
  <si>
    <t>CSNSTORES,JCPENNEY01,KIRKLANDDS,KOHLDSN,MACY02,NRTPORT,OLLIIX,OVERSTOCK01</t>
  </si>
  <si>
    <t>NS11-3657</t>
  </si>
  <si>
    <t>N Natori</t>
  </si>
  <si>
    <t>Bed Skirt&amp;Sham</t>
  </si>
  <si>
    <t>Cocoon</t>
  </si>
  <si>
    <t>Quilt Top Euro Sham</t>
  </si>
  <si>
    <t>PP001696;PF005609</t>
  </si>
  <si>
    <t>11/2/2021</t>
  </si>
  <si>
    <t>AMAZONDS,CSNSTORES,MACY02,OLLIIX</t>
  </si>
  <si>
    <t>NS11-1824A</t>
  </si>
  <si>
    <t>Cherry Blossom</t>
  </si>
  <si>
    <t>PF002589</t>
  </si>
  <si>
    <t>NS11-3253</t>
  </si>
  <si>
    <t>Hanae</t>
  </si>
  <si>
    <t>Cotton Blend Yarn Dyed Euro Sham</t>
  </si>
  <si>
    <t>26x26"</t>
  </si>
  <si>
    <t>PP000991;PF004456</t>
  </si>
  <si>
    <t>9/30/2018</t>
  </si>
  <si>
    <t>NS11-3247</t>
  </si>
  <si>
    <t>PP000991;PF004455;PP000992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</si>
  <si>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</si>
  <si>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</si>
  <si>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</si>
  <si>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</si>
  <si>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</si>
  <si>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</si>
  <si>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NS10-1848</t>
  </si>
  <si>
    <t>PF002588</t>
  </si>
  <si>
    <t>NS10-1849</t>
  </si>
  <si>
    <t>NS10-3249</t>
  </si>
  <si>
    <t>Cotton Blend Yarn Dyed 3 Piece Comforter Set</t>
  </si>
  <si>
    <t>NS10-3250</t>
  </si>
  <si>
    <t>CSNSTORES,HSNDS,KOHLDSN,MACY02,OLLIIX,OVERSTOCK01</t>
  </si>
  <si>
    <t>NS10-3243</t>
  </si>
  <si>
    <t>PP000991;PF004455</t>
  </si>
  <si>
    <t>NS10-3244</t>
  </si>
  <si>
    <t>AMERSIGNDS,CSNSTORES,JCPENNEY01,MACY02,OLLIIX,OVERSTOCK01</t>
  </si>
  <si>
    <t>NS10-3255</t>
  </si>
  <si>
    <t>Sakura Blossom</t>
  </si>
  <si>
    <t>3 Piece Cotton Sateen Printed Comforter Set</t>
  </si>
  <si>
    <t>Lilac</t>
  </si>
  <si>
    <t>PP000992;PF004457</t>
  </si>
  <si>
    <t>9/28/2018</t>
  </si>
  <si>
    <t>6/9/2024</t>
  </si>
  <si>
    <t>AMAZON,CSNSTORES,HSNDS,KOHLDSN,MACY02,OVERSTOCK01</t>
  </si>
  <si>
    <t>NS10-3256</t>
  </si>
  <si>
    <t>NS10-3653</t>
  </si>
  <si>
    <t>3 Piece Quilt Top Comforter Mini Set</t>
  </si>
  <si>
    <t>AMAZON,AMERSIGNDS,CSNSTORES,OLLIIX</t>
  </si>
  <si>
    <t>NS10-3654</t>
  </si>
  <si>
    <t>NS12-3707</t>
  </si>
  <si>
    <t>3 Piece Oversized Reversible Seersucker Duvet Cover Mini Set</t>
  </si>
  <si>
    <t>AMAZONDS,CSNSTORES,MACY02,OVERSTOCK01</t>
  </si>
  <si>
    <t>NS12-3708</t>
  </si>
  <si>
    <t>NS12-3655</t>
  </si>
  <si>
    <t>3 Piece Quilt Top Duvet Cover Mini Set</t>
  </si>
  <si>
    <t>NS12-3656</t>
  </si>
  <si>
    <t>NS12-2005</t>
  </si>
  <si>
    <t>NS12-2006</t>
  </si>
  <si>
    <t>AMAZON,MACY02,OVERSTOCK01</t>
  </si>
  <si>
    <t>NS12-3251</t>
  </si>
  <si>
    <t>Cotton Blend Yarn Dyed 3 Piece Duvet Cover Set</t>
  </si>
  <si>
    <t>NS12-3252</t>
  </si>
  <si>
    <t>DESINC,KOHLDSN,MACY02,OLLIIX</t>
  </si>
  <si>
    <t>NS12-3245</t>
  </si>
  <si>
    <t>NS12-3246</t>
  </si>
  <si>
    <t>NS12-3257</t>
  </si>
  <si>
    <t>3 Piece Cotton Sateen Printed Duvet Cover Set</t>
  </si>
  <si>
    <t>AMAZON,BLK01,CSNSTORES,MACY02,OVERSTOCK01</t>
  </si>
  <si>
    <t>NS12-3258</t>
  </si>
  <si>
    <t>AMAZON,JCPENNEY01,KOHLDSN,MACY02,OVERSTOCK01</t>
  </si>
  <si>
    <t>NS30-1826A</t>
  </si>
  <si>
    <t>PF002591</t>
  </si>
  <si>
    <t>NS30-3254</t>
  </si>
  <si>
    <t>PP000991</t>
  </si>
  <si>
    <t>NS30-3248</t>
  </si>
  <si>
    <t>CSNSTORES,KOHLDSN,OVERSCONSIGN,OVERSTOCK01</t>
  </si>
  <si>
    <t>NS30-3259</t>
  </si>
  <si>
    <t>PP000992;PF004458</t>
  </si>
  <si>
    <t>II95B-0152</t>
  </si>
  <si>
    <t>ART</t>
  </si>
  <si>
    <t>AWD</t>
  </si>
  <si>
    <t>Awd</t>
  </si>
  <si>
    <t>Henna</t>
  </si>
  <si>
    <t>Framed Medallion Rice Paper Shadow Box Wall Decor</t>
  </si>
  <si>
    <t>See below</t>
  </si>
  <si>
    <t>PP001873</t>
  </si>
  <si>
    <t>6/6/2023</t>
  </si>
  <si>
    <t>6/13/2024</t>
  </si>
  <si>
    <t>II167-907</t>
  </si>
  <si>
    <t>Wall Decor</t>
  </si>
  <si>
    <t>Ranger</t>
  </si>
  <si>
    <t>Layered Triangles Wood Wall Decor</t>
  </si>
  <si>
    <t>PF003047</t>
  </si>
  <si>
    <t>Industrial</t>
  </si>
  <si>
    <t>8/2/2017</t>
  </si>
  <si>
    <t>ASHFURNDS,ROOMECOM,ZOLA</t>
  </si>
  <si>
    <t>II167-905</t>
  </si>
  <si>
    <t>Savoy</t>
  </si>
  <si>
    <t>Distressed Black Metal Wall Decor</t>
  </si>
  <si>
    <t>PF003045</t>
  </si>
  <si>
    <t>AMAZON,AMAZONDS,CSNSTORES,KIRKLANDDS,KOHLDSN,OLLIIX,OVERSTOCK01</t>
  </si>
  <si>
    <t>IIF22-0039</t>
  </si>
  <si>
    <t>Topi</t>
  </si>
  <si>
    <t>Natural Wood Slice Mosaic Wall Decor</t>
  </si>
  <si>
    <t>PF000990;PP000059</t>
  </si>
  <si>
    <t>AMERSIGNDS,CSNSTORES,KOHLDSN,OLLIIX,ROOMECOM</t>
  </si>
  <si>
    <t>II95C-0154</t>
  </si>
  <si>
    <t>CANVAS</t>
  </si>
  <si>
    <t>Canvas</t>
  </si>
  <si>
    <t>Botanical Waterfall</t>
  </si>
  <si>
    <t>Eucalyptus 2-piece Framed Canvas Wall Decor Set</t>
  </si>
  <si>
    <t>Other</t>
  </si>
  <si>
    <t>6/1/2023</t>
  </si>
  <si>
    <t>CSNSTORES,KIRKLANDDS,OLLIIX,OVERSTOCK01,TGTDVS</t>
  </si>
  <si>
    <t>II95C-0142</t>
  </si>
  <si>
    <t>Celestial Orbit Navy</t>
  </si>
  <si>
    <t>Silver Foil Abstract 2-piece Canvas Wall Art Set</t>
  </si>
  <si>
    <t>PP000800</t>
  </si>
  <si>
    <t>AMAZON,AMAZONDS,AMERSIGNDS,ASHFURNDS,KIRKLANDDS,OLLIIX,OVERSTOCK01,ROOMECOM</t>
  </si>
  <si>
    <t>II95C-0150</t>
  </si>
  <si>
    <t>Desert Serenity</t>
  </si>
  <si>
    <t>Hand Embellished Abstract 2-piece Framed Canvas Wall Art Set</t>
  </si>
  <si>
    <t>PP001871</t>
  </si>
  <si>
    <t>4/13/2023</t>
  </si>
  <si>
    <t>KIRKLANDDS,OLLIIX,OVERSTOCK01</t>
  </si>
  <si>
    <t>II95C-0061</t>
  </si>
  <si>
    <t>Rolling Waves</t>
  </si>
  <si>
    <t>Triptych 3-piece Canvas Wall Art Set</t>
  </si>
  <si>
    <t>PF001917</t>
  </si>
  <si>
    <t>AMERSIGNDS,ASHFURNDS,BLK01,DESINC,KIRKLANDDS,KOHLDSN,ROOMECOM,TGTDVS</t>
  </si>
  <si>
    <t>II95C-0072</t>
  </si>
  <si>
    <t>Two Black Dominos</t>
  </si>
  <si>
    <t>2-piece Canvas Wall Art Set</t>
  </si>
  <si>
    <t>PF001935</t>
  </si>
  <si>
    <t>Still Life</t>
  </si>
  <si>
    <t>AMAZON,AMAZONDS,AMERSIGNDS,ASHFURNDS,KIRKLANDDS,KOHLDSN,MACY02,OLLIIX,OVERSTOCK01,TGTDVS</t>
  </si>
  <si>
    <t>II95F-0155</t>
  </si>
  <si>
    <t>DEC. MIRROR</t>
  </si>
  <si>
    <t>Decor Mirror</t>
  </si>
  <si>
    <t>Natural Rattan Rectangle Wall Mirror</t>
  </si>
  <si>
    <t>8/29/2023</t>
  </si>
  <si>
    <t>CSNSTORES,HOUZZ,LAMPDS,OLLIIX,OVERSTOCK01,TGTDVS,ZOLA</t>
  </si>
  <si>
    <t>II95F-0153</t>
  </si>
  <si>
    <t>Remi</t>
  </si>
  <si>
    <t>Arched Wood Wall Mirror</t>
  </si>
  <si>
    <t>6/20/2023</t>
  </si>
  <si>
    <t>AMAZON,LAMPDS,OLLIIX,OVERSTOCK01</t>
  </si>
  <si>
    <t>ID95C-0027</t>
  </si>
  <si>
    <t xml:space="preserve">Intelligent Design </t>
  </si>
  <si>
    <t>Flight Time</t>
  </si>
  <si>
    <t>Novelty</t>
  </si>
  <si>
    <t>4/21/2017</t>
  </si>
  <si>
    <t>CSNSTORES,KIRKLANDDS,KOHLDSN,OLLIIX,ROOMECOM</t>
  </si>
  <si>
    <t>MP95A-0115</t>
  </si>
  <si>
    <t>ALT. GRAPHICS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</si>
  <si>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</si>
  <si>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</si>
  <si>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</si>
  <si>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</si>
  <si>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</si>
  <si>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</si>
  <si>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AMAZON,AMERSIGNDS,ASHFURNDS,CSNSTORES,KOHLDSN,LAMPDS,OLLIIX,ROOMECOM</t>
  </si>
  <si>
    <t>MP95A-0001</t>
  </si>
  <si>
    <t>Moroccan Tile</t>
  </si>
  <si>
    <t>4-piece Framed Art Set</t>
  </si>
  <si>
    <t>PF001830</t>
  </si>
  <si>
    <t>AMAZON,AMERSIGNDS,CSNSTORES,HOUZZ,KOHLDSN,OLLIIX,TGTDVS</t>
  </si>
  <si>
    <t>MP95B-0217</t>
  </si>
  <si>
    <t>Perched Birds</t>
  </si>
  <si>
    <t>Hand Painted Wood Plank Panel Wall Decor</t>
  </si>
  <si>
    <t>AMAZON,AMAZONDS,AMERSIGNDS,BIGLOTSDS,BLK01,CSNSTORES,DESINC,KIRKLANDDS,KOHLDSN,OVERSTOCK01,ROOMECOM,TGTDVS</t>
  </si>
  <si>
    <t>MP95B-0319</t>
  </si>
  <si>
    <t>Radiant</t>
  </si>
  <si>
    <t>Half-moon 2-piece Metal Wall Decor Set</t>
  </si>
  <si>
    <t>Gold</t>
  </si>
  <si>
    <t>10/31/2023</t>
  </si>
  <si>
    <t>OLLIIX</t>
  </si>
  <si>
    <t>MP95B-0288</t>
  </si>
  <si>
    <t>Framed Graphics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</si>
  <si>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</si>
  <si>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</si>
  <si>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</si>
  <si>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</si>
  <si>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</si>
  <si>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AMAZON,AMERSIGNDS,KIRKLANDDS,OLLIIX,TGTDVS</t>
  </si>
  <si>
    <t>MP95B-0262</t>
  </si>
  <si>
    <t>Avant Garden</t>
  </si>
  <si>
    <t>Dried Flower 2-piece Shadow Box Wall Decor Set</t>
  </si>
  <si>
    <t>PF005412</t>
  </si>
  <si>
    <t>2/9/2021</t>
  </si>
  <si>
    <t>5/9/2024</t>
  </si>
  <si>
    <t>AMAZON,CSNSTORES,JCPENNEY01,KIRKLANDDS,KOHLDSN,MACY02,OLLIIX,OVERSTOCK01,TGTDVS,ZOLA</t>
  </si>
  <si>
    <t>MP95B-0190</t>
  </si>
  <si>
    <t>Montage</t>
  </si>
  <si>
    <t>Distressed Black and White Medallion Tile 3-piece Wall Decor Set</t>
  </si>
  <si>
    <t>PP001181;PF004678</t>
  </si>
  <si>
    <t>1/31/2019</t>
  </si>
  <si>
    <t>BIGLOTSDS,CSNSTORES,DESINC,KIRKLANDDS,KOHLDSN,NRTPORT,OVERSTOCK01</t>
  </si>
  <si>
    <t>MP95B-0270</t>
  </si>
  <si>
    <t>Patterned Tiles</t>
  </si>
  <si>
    <t>Distressed Navy Blue Medallion 3-piece Wall Decor Set</t>
  </si>
  <si>
    <t>PF005466</t>
  </si>
  <si>
    <t>4/27/2021</t>
  </si>
  <si>
    <t>BEALLSDS,CSNSTORES,DESINC,JCPENNEY01,KIRKLANDDS,KOHLDSN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</si>
  <si>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</si>
  <si>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</si>
  <si>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</si>
  <si>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</si>
  <si>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</si>
  <si>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AMAZONDS,AMERSIGNDS,BEALLSDS,CSNSTORES,JCPENNEY01,OLLIIX,OVERSTOCK01,TGTDVS</t>
  </si>
  <si>
    <t>MP95B-0295</t>
  </si>
  <si>
    <t>Solana</t>
  </si>
  <si>
    <t>Framed Abstract Coastal Rice Paper 3-piece Shadowbox Wall Decor Set</t>
  </si>
  <si>
    <t>PP001738</t>
  </si>
  <si>
    <t>5/20/2024</t>
  </si>
  <si>
    <t>AMAZONDS,BLK01,CSNSTORES,KIRKLANDDS,OLLIIX,TGTDVS,ZOLA</t>
  </si>
  <si>
    <t>MP95G-0260</t>
  </si>
  <si>
    <t>Tala</t>
  </si>
  <si>
    <t>Framed Geometric Rice Paper Panel 2-piece Shadowbox Wall Decor Set</t>
  </si>
  <si>
    <t>PF005354</t>
  </si>
  <si>
    <t>5/6/2021</t>
  </si>
  <si>
    <t>AMAZONDS,CSNSTORES,JCPENNEY01,KIRKLANDDS,KOHLDSN,OLLIIX,OVERSTOCK01,TGTDVS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</si>
  <si>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</si>
  <si>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</si>
  <si>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</si>
  <si>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</si>
  <si>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</si>
  <si>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</si>
  <si>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AMAZON,AMAZONDS,AMERSIGNDS,BLK01,CSNSTORES,JCPENNEY01,KIRKLANDDS,MACY02,OLLIIX,OVERSTOCK01,TGTDVS,ZOLA</t>
  </si>
  <si>
    <t>MP95B-0252</t>
  </si>
  <si>
    <t>Boho Notion</t>
  </si>
  <si>
    <t>White Medallion Wood Wall Decor</t>
  </si>
  <si>
    <t>PP001436;PF005003</t>
  </si>
  <si>
    <t>AMAZON,BLK01,CSNSTORES,DESINC,KOHLDSN,OLLIIX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</si>
  <si>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</si>
  <si>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</si>
  <si>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</si>
  <si>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</si>
  <si>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</si>
  <si>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</si>
  <si>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AMAZON,AMERSIGNDS,CSNSTORES,JCPENNEY01,KIRKLANDDS,KOHLDSN,OLLIIX,OVERSTOCK01</t>
  </si>
  <si>
    <t>MP95B-0263</t>
  </si>
  <si>
    <t>Bronze</t>
  </si>
  <si>
    <t>AMAZONDS,AMERSIGNDS,CSNSTORES,JCPENNEY01,KIRKLANDDS,KOHLDSN,OLLIIX,OVERSTOCK01,TGTDVS</t>
  </si>
  <si>
    <t>MP95B-0230</t>
  </si>
  <si>
    <t>PP001413;PF004959</t>
  </si>
  <si>
    <t>10/2/2019</t>
  </si>
  <si>
    <t>AMAZON,AMERSIGNDS,CSNSTORES,JCPENNEY01,KIRKLANDDS,KOHLDSN,OLLIIX,OVERSTOCK01,TGTDVS</t>
  </si>
  <si>
    <t>MP95B-0231</t>
  </si>
  <si>
    <t>Damask Wood Panel</t>
  </si>
  <si>
    <t>Two-tone Geometric Wall Decor</t>
  </si>
  <si>
    <t>Wood</t>
  </si>
  <si>
    <t>PP001412;PF004958</t>
  </si>
  <si>
    <t>AMAZON,CSNSTORES,JCPENNEY01,KIRKLANDDS,KOHLDSN,OLLIIX,TGTDVS</t>
  </si>
  <si>
    <t>MP95B-0241</t>
  </si>
  <si>
    <t>Ella</t>
  </si>
  <si>
    <t>Round Natural Fiber and Mirror 3-piece Wall Decor Set</t>
  </si>
  <si>
    <t>PP001424;PF004976</t>
  </si>
  <si>
    <t>11/4/2019</t>
  </si>
  <si>
    <t>CSNSTORES,KIRKLANDDS,OLLIIX,TGTDVS</t>
  </si>
  <si>
    <t>MP95B-0291</t>
  </si>
  <si>
    <t>Florian</t>
  </si>
  <si>
    <t>Grey Laser Cut Wood 2-piece Panel Wall Decor Set</t>
  </si>
  <si>
    <t>Reclaimed Grey</t>
  </si>
  <si>
    <t>PP001717</t>
  </si>
  <si>
    <t>AMAZONDS,AMERSIGNDS,CSNSTORES,KIRKLANDDS,OLLIIX,OVERSTOCK01,TGTDVS</t>
  </si>
  <si>
    <t>MP95B-0250</t>
  </si>
  <si>
    <t>Golden Gingko Leaves</t>
  </si>
  <si>
    <t>3-piece Metal Wall Decor Set</t>
  </si>
  <si>
    <t>Black/Gold</t>
  </si>
  <si>
    <t>PP001434;PF005000</t>
  </si>
  <si>
    <t>12/30/2019</t>
  </si>
  <si>
    <t>ASHFURNDS,CSNSTORES,JCPENNEY01,KOHLDSN,OVERSTOCK01</t>
  </si>
  <si>
    <t>MP95B-0274</t>
  </si>
  <si>
    <t>Laurel Branches</t>
  </si>
  <si>
    <t>Laser Cut Tree Framed Panel Wall Decor</t>
  </si>
  <si>
    <t>PP001634</t>
  </si>
  <si>
    <t>9/18/2021</t>
  </si>
  <si>
    <t>AMAZON,AMAZONDS,AMERSIGNDS,CSNSTORES,HOUZZ,KIRKLANDDS,KOHLDSN,OLLIIX,OVERSTOCK01,TGTDVS</t>
  </si>
  <si>
    <t>MP95B-0275</t>
  </si>
  <si>
    <t>PP001635</t>
  </si>
  <si>
    <t>AMAZONDS,AMERSIGNDS,HOUZZ,JCPENNEY01,KIRKLANDDS,KOHLDSN,MACY02,OLLIIX,OVERSTOCK01,TGTDVS</t>
  </si>
  <si>
    <t>MP95B-0273</t>
  </si>
  <si>
    <t>Leah</t>
  </si>
  <si>
    <t xml:space="preserve">Leah </t>
  </si>
  <si>
    <t>Round Two-tone Medallion Wall Decor</t>
  </si>
  <si>
    <t>Natural/White</t>
  </si>
  <si>
    <t>PP001633</t>
  </si>
  <si>
    <t>AMAZON,JCPENNEY01,KIRKLANDDS,KOHLDSN,OLLIIX,TGTDVS</t>
  </si>
  <si>
    <t>MP95B-0244</t>
  </si>
  <si>
    <t>Legion</t>
  </si>
  <si>
    <t>Multi-colored Geometric Metal Discs Wall Decor</t>
  </si>
  <si>
    <t>PP001427;PF004979</t>
  </si>
  <si>
    <t>MP167-0357</t>
  </si>
  <si>
    <t>Lenzie</t>
  </si>
  <si>
    <t>Multi-colored Lily Pad Leaves 2-piece Metal Wall Decor Set</t>
  </si>
  <si>
    <t>AMAZON,AMAZONDS,AMERSIGNDS,CSNSTORES,JCPENNEY01,KIRKLANDDS,KOHLDSN,LAMPDS,NRTPORT,OLLIIX,OVERSTOCK01,ROOMECOM</t>
  </si>
  <si>
    <t>MP167-0098</t>
  </si>
  <si>
    <t>Mandal Panel</t>
  </si>
  <si>
    <t>Two-tone Geometric 3-piece Wood Wall Decor Set</t>
  </si>
  <si>
    <t>PF003106</t>
  </si>
  <si>
    <t>AMAZON,KIRKLANDDS,MACY02,OLLIIX,OVERSTOCK01,TGTDVS</t>
  </si>
  <si>
    <t>MP95B-0257</t>
  </si>
  <si>
    <t>Medallion Trio</t>
  </si>
  <si>
    <t>Distressed White Floral 3-piece Carved Wood Wall Decor Set</t>
  </si>
  <si>
    <t>PF005258</t>
  </si>
  <si>
    <t>11/28/2020</t>
  </si>
  <si>
    <t>AMAZON,ASHFURNDS,BLK01,CSNSTORES,DESINC,HDDS,JCPENNEY01,KOHLDSN,OLLIIX,OVERSTOCK01,ROOMECOM,TGTDVS</t>
  </si>
  <si>
    <t>MP95B-0224</t>
  </si>
  <si>
    <t>Paper Cloaked Leaves</t>
  </si>
  <si>
    <t>Metal Framed Decor Panel</t>
  </si>
  <si>
    <t>6/27/2024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</si>
  <si>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</si>
  <si>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</si>
  <si>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</si>
  <si>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</si>
  <si>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</si>
  <si>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</si>
  <si>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AMAZON,ASHFURNDS,CSNSTORES,KIRKLANDDS,OLLIIX,OVERSTOCK01,ROOMECOM,TGTDVS</t>
  </si>
  <si>
    <t>MP95B-0277</t>
  </si>
  <si>
    <t>AMAZON,CSNSTORES,KIRKLANDDS,KOHLDSN,OLLIIX,OVERSTOCK01,TGTDVS</t>
  </si>
  <si>
    <t>MP95B-0296</t>
  </si>
  <si>
    <t>Spice</t>
  </si>
  <si>
    <t>6/2/2022</t>
  </si>
  <si>
    <t>AMAZONDS,CSNSTORES,KIRKLANDDS,KOHLDSN,OLLIIX,TGTDVS</t>
  </si>
  <si>
    <t>MP95C-0285</t>
  </si>
  <si>
    <t>Auric Beam</t>
  </si>
  <si>
    <t>Gold Foil Abstract Framed Canvas Wall Art</t>
  </si>
  <si>
    <t>PP001664</t>
  </si>
  <si>
    <t>AMERSIGNDS,JCPENNEY01,KIRKLANDDS,KOHLDSN,OLLIIX,OVERSTOCK01,TGTDVS</t>
  </si>
  <si>
    <t>MP95C-0207</t>
  </si>
  <si>
    <t>Autumn Forest</t>
  </si>
  <si>
    <t>Triptych 3-piece Textured Canvas Wall Art Set</t>
  </si>
  <si>
    <t>Landscape</t>
  </si>
  <si>
    <t>4/17/2019</t>
  </si>
  <si>
    <t>AMAZON,KIRKLANDDS,ROOMECOM,TGTDVS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</si>
  <si>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</si>
  <si>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</si>
  <si>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</si>
  <si>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</si>
  <si>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</si>
  <si>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</si>
  <si>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</si>
  <si>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</si>
  <si>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10/6/2023</t>
  </si>
  <si>
    <t>AMAZON,MACY02,OLLIIX</t>
  </si>
  <si>
    <t>ID95C-0058</t>
  </si>
  <si>
    <t>Golden Retriever Canvas Wall Art</t>
  </si>
  <si>
    <t>Golden Retriever/Blue Multi</t>
  </si>
  <si>
    <t>MP95C-0226</t>
  </si>
  <si>
    <t>Blue Midst Forest</t>
  </si>
  <si>
    <t>Gold Foil Triptych 3-piece Canvas Wall Art Set</t>
  </si>
  <si>
    <t>Blue Multi</t>
  </si>
  <si>
    <t>PP001407;PF004953</t>
  </si>
  <si>
    <t>9/6/2019</t>
  </si>
  <si>
    <t>AMAZON,CSNSTORES,JCPENNEY01,KIRKLANDDS,KOHLDSN,OLLIIX,OVERSTOCK01</t>
  </si>
  <si>
    <t>MP95C-0216</t>
  </si>
  <si>
    <t>Dewy Forest</t>
  </si>
  <si>
    <t>Gold Foil Abstract 3-piece Canvas Wall Art Set</t>
  </si>
  <si>
    <t>PP001323;PF004768</t>
  </si>
  <si>
    <t>6/10/2019</t>
  </si>
  <si>
    <t>AMAZON,AMAZONDS,BLK01,CSNSTORES,KIRKLANDDS,KOHLDSN,OLLIIX,TGTDVS</t>
  </si>
  <si>
    <t>MP95C-0052</t>
  </si>
  <si>
    <t>PF001944</t>
  </si>
  <si>
    <t>AMAZON,ASHFURNDS,BEALLSDS,BLK01,CSNSTORES,KIRKLANDDS,OVERSTOCK01,ROOMECOM</t>
  </si>
  <si>
    <t>MP95C-0009</t>
  </si>
  <si>
    <t>PF001837</t>
  </si>
  <si>
    <t>AMAZON,CSNSTORES,KIRKLANDDS,KOHLDSN,OLLIIX</t>
  </si>
  <si>
    <t>MP95C-0041</t>
  </si>
  <si>
    <t>Forest Reflections</t>
  </si>
  <si>
    <t>PF001911</t>
  </si>
  <si>
    <t>AMAZON,ASHFURNDS,KIRKLANDDS,KOHLDSN,LAMPDS,OLLIIX,TGTDVS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</si>
  <si>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</si>
  <si>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</si>
  <si>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</si>
  <si>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</si>
  <si>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</si>
  <si>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</si>
  <si>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11/5/2018</t>
  </si>
  <si>
    <t>AMAZON,AMAZONDS,AMERSIGNDS,BEALLSDS,CSNSTORES,KIRKLANDDS,KOHLDSN,MACY02,OVERSTOCK01,ROOMECOM,TGTDVS</t>
  </si>
  <si>
    <t>MP95C-0268</t>
  </si>
  <si>
    <t>PF005465</t>
  </si>
  <si>
    <t>4/23/2021</t>
  </si>
  <si>
    <t>AMAZON,AMAZONDS,AMERSIGNDS,CSNSTORES,KIRKLANDDS,KOHLDSN,OLLIIX,OVERSTOCK01,ROOMECOM,TGTDVS</t>
  </si>
  <si>
    <t>MP95C-0037</t>
  </si>
  <si>
    <t>Linen Botanicals</t>
  </si>
  <si>
    <t>Illustration 3-piece Canvas Wall Art Set</t>
  </si>
  <si>
    <t>PF001908</t>
  </si>
  <si>
    <t>BIGLOTSDS,BLK01,CSNSTORES,KIRKLANDDS,MACY02,OLLIIX,TGTDVS</t>
  </si>
  <si>
    <t>MP95C-0155</t>
  </si>
  <si>
    <t>Luminous</t>
  </si>
  <si>
    <t>Heavily Embellished 3-piece Canvas Wall Art Set</t>
  </si>
  <si>
    <t>PF004270</t>
  </si>
  <si>
    <t>3/18/2018</t>
  </si>
  <si>
    <t>CSNSTORES,KIRKLANDDS,KOHLDSN,OVERSTOCK01,ROOMECOM</t>
  </si>
  <si>
    <t>MP95C-0269</t>
  </si>
  <si>
    <t>AMAZON,BEALLSDS,KOHLDSN,OVERSTOCK01,ROOMECOM</t>
  </si>
  <si>
    <t>MP95C-0158</t>
  </si>
  <si>
    <t>PP000926</t>
  </si>
  <si>
    <t>5/24/2018</t>
  </si>
  <si>
    <t>AMAZON,AMERSIGNDS,CSNSTORES,KIRKLANDDS,KOHLDSN,LAMPDS,NRTPORT,OVERSTOCK01</t>
  </si>
  <si>
    <t>MP95C-0208</t>
  </si>
  <si>
    <t>Luminous Bloom</t>
  </si>
  <si>
    <t>Gold Foil and Hand Embellished Floral Canvas Wall Art</t>
  </si>
  <si>
    <t>AMAZON,AMERSIGNDS,KIRKLANDDS,KOHLDSN,MACY02,OLLIIX</t>
  </si>
  <si>
    <t>MP95C-0125</t>
  </si>
  <si>
    <t>Midnight Tide Blue</t>
  </si>
  <si>
    <t>Abstract 5-piece Canvas Wall Art Set</t>
  </si>
  <si>
    <t>PP000603</t>
  </si>
  <si>
    <t>9/13/2017</t>
  </si>
  <si>
    <t>AMERSIGNDS,BEALLSDS,ROOMECOM,TGTDVS</t>
  </si>
  <si>
    <t>MP95C-0284</t>
  </si>
  <si>
    <t>Moving Midas</t>
  </si>
  <si>
    <t>Gold Foil Abstract 2-piece Framed Canvas Wall Art Set</t>
  </si>
  <si>
    <t>PP001663</t>
  </si>
  <si>
    <t>AMAZON,AMERSIGNDS,JCPENNEY01,KIRKLANDDS,LAMPDS,MACY02,OLLIIX,OVERSTOCK01,ROOMECOM</t>
  </si>
  <si>
    <t>MP95C-0205</t>
  </si>
  <si>
    <t>Radiant Flatland</t>
  </si>
  <si>
    <t>Hand Embellished Glitter 2-piece Canvas Wall Art Set</t>
  </si>
  <si>
    <t>5/14/2019</t>
  </si>
  <si>
    <t>AMAZON,CSNSTORES,KOHLDSN,OLLIIX,OVERSTOCK01</t>
  </si>
  <si>
    <t>ID95C-0049</t>
  </si>
  <si>
    <t>Sunshine Animals</t>
  </si>
  <si>
    <t>Lamb Canvas Wall Art</t>
  </si>
  <si>
    <t>Lamb/Green Multi</t>
  </si>
  <si>
    <t>AMAZON,DESINC,OLLIIX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</si>
  <si>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</si>
  <si>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</si>
  <si>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</si>
  <si>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</si>
  <si>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</si>
  <si>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AMAZON,CSNSTORES,DESINC,KOHLDSN,OVERSTOCK01,ROOMECOM</t>
  </si>
  <si>
    <t>MP95C-0197</t>
  </si>
  <si>
    <t>Winter Glaze</t>
  </si>
  <si>
    <t>PP001172;PF004665</t>
  </si>
  <si>
    <t>2/21/2019</t>
  </si>
  <si>
    <t>AMAZON,AMAZONDS,AMERSIGNDS,KIRKLANDDS,TGTDVS</t>
  </si>
  <si>
    <t>MP95C-0103A</t>
  </si>
  <si>
    <t>Blue Bliss</t>
  </si>
  <si>
    <t>Abstract 5-piece Gallery Framed Canvas Wall Art Set</t>
  </si>
  <si>
    <t>PF002001</t>
  </si>
  <si>
    <t>ASHFURNDS,CSNSTORES,HOUZZ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</si>
  <si>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</si>
  <si>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</si>
  <si>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</si>
  <si>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</si>
  <si>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</si>
  <si>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</si>
  <si>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AMAZON,AMAZONDS,AMERSIGNDS,CSNSTORES,KIRKLANDDS,KOHLDSN,MACY02,OLLIIX,OVERSTOCK01,TGTDVS</t>
  </si>
  <si>
    <t>MP95C-0133</t>
  </si>
  <si>
    <t>Blue Lagoon 2</t>
  </si>
  <si>
    <t>Abstract 2-piece Framed Canvas Wall Art Set</t>
  </si>
  <si>
    <t>PP000609</t>
  </si>
  <si>
    <t>AMAZON,ASHFURNDS,BEALLSDS,DESINC,OLLIIX,TGTDVS</t>
  </si>
  <si>
    <t>MP95C-0117</t>
  </si>
  <si>
    <t>Ethereal</t>
  </si>
  <si>
    <t>Diptych 2-piece Framed Canvas Wall Art Set</t>
  </si>
  <si>
    <t>PF002035</t>
  </si>
  <si>
    <t>8/26/2017</t>
  </si>
  <si>
    <t>AMAZON,AMERSIGNDS,CSNSTORES,KOHLDSN,ROOMECOM,TGTDVS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</si>
  <si>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</si>
  <si>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</si>
  <si>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</si>
  <si>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</si>
  <si>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</si>
  <si>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</si>
  <si>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AMAZON,AMERSIGNDS,CSNSTORES,KIRKLANDDS,KOHLDSN,OLLIIX,ROOMECOM</t>
  </si>
  <si>
    <t>MP95C-0101</t>
  </si>
  <si>
    <t>Grey Surrounding</t>
  </si>
  <si>
    <t>Silver Foil Abstract 3-piece Framed Canvas Wall Art Set</t>
  </si>
  <si>
    <t>PF001999</t>
  </si>
  <si>
    <t>KIRKLANDDS,KOHLDSN,OLLIIX,OVERSTOCK01</t>
  </si>
  <si>
    <t>MP95C-0062</t>
  </si>
  <si>
    <t>Ocean Seashells</t>
  </si>
  <si>
    <t>4-piece Framed Canvas Wall Art Set</t>
  </si>
  <si>
    <t>PF001950</t>
  </si>
  <si>
    <t>4/22/2017</t>
  </si>
  <si>
    <t>AMAZON,AMERSIGNDS,DESINC,HOUZZ,KIRKLANDDS,OLLIIX,OVERSTOCK01,TGTDVS</t>
  </si>
  <si>
    <t>ID95C-0043</t>
  </si>
  <si>
    <t>Pet Portrait</t>
  </si>
  <si>
    <t>Rosie the Feline Framed Canvas Wall Art</t>
  </si>
  <si>
    <t>Rosie Feline</t>
  </si>
  <si>
    <t>DESINC</t>
  </si>
  <si>
    <t>MP95C-0146A</t>
  </si>
  <si>
    <t>Seascape</t>
  </si>
  <si>
    <t>PP000790</t>
  </si>
  <si>
    <t>CSNSTORES,KIRKLANDDS,KOHLDSN,MACY02,OLLIIX,TGTDVS</t>
  </si>
  <si>
    <t>MP95C-0300</t>
  </si>
  <si>
    <t>Natural Essence</t>
  </si>
  <si>
    <t>Hand Embellished Abstract 5-piece Gallery Canvas Wall Art Set</t>
  </si>
  <si>
    <t>PP001780</t>
  </si>
  <si>
    <t>5/30/2022</t>
  </si>
  <si>
    <t>CSNSTORES,DESINC,JCPENNEY01,KIRKLANDDS,MACY02,OVERSTOCK01,TGTDVS</t>
  </si>
  <si>
    <t>MP95D-0303</t>
  </si>
  <si>
    <t>CLOCKS</t>
  </si>
  <si>
    <t>Clocks(161)</t>
  </si>
  <si>
    <t>23.6" Wood Wall Clock</t>
  </si>
  <si>
    <t>Natural/Black</t>
  </si>
  <si>
    <t>PP001422</t>
  </si>
  <si>
    <t>9/5/2022</t>
  </si>
  <si>
    <t>AMAZON,CSNSTORES,JCPENNEY01,KIRKLANDDS,KOHLDSN,OVERSTOCK01,TGTDVS,ZOLA</t>
  </si>
  <si>
    <t>MP95D-0239</t>
  </si>
  <si>
    <t>Natural/Grey</t>
  </si>
  <si>
    <t>PP001422;PF004974</t>
  </si>
  <si>
    <t>12/6/2019</t>
  </si>
  <si>
    <t>ASHFURNDS,JCPENNEY01,KIRKLANDDS,KOHLDSN,MACY02,OLLIIX,OVERSTOCK01,ZOLA</t>
  </si>
  <si>
    <t>MP95F-0315</t>
  </si>
  <si>
    <t>Adaline</t>
  </si>
  <si>
    <t>Arched Metal Floral Wall Mirror</t>
  </si>
  <si>
    <t>25.75"H</t>
  </si>
  <si>
    <t>AMAZON,AMAZONDS,CSNSTORES,DESINC,NRTPORT,OLLIIX,OVERSTOCK01,TGTDVS</t>
  </si>
  <si>
    <t>MP95F-0318</t>
  </si>
  <si>
    <t>Adelaide</t>
  </si>
  <si>
    <t>Gold Scalloped Wood Wall Mirror</t>
  </si>
  <si>
    <t>MP95F-0320</t>
  </si>
  <si>
    <t>Lilbeth</t>
  </si>
  <si>
    <t>Beaded Arch Wall Decor Mirror</t>
  </si>
  <si>
    <t>CSNSTORES,DESINC,HOUZZ,MACY02,OLLIIX,OVERSTOCK01,TGTDVS</t>
  </si>
  <si>
    <t>MP95F-0267</t>
  </si>
  <si>
    <t>Mirrors</t>
  </si>
  <si>
    <t>Cove</t>
  </si>
  <si>
    <t>Natural Jute Rope Round Wall Mirror 26"</t>
  </si>
  <si>
    <t>PF005440</t>
  </si>
  <si>
    <t>AMERSIGNDS,CSNSTORES,JCPENNEY01,KOHLDSN,OVERSTOCK01,TGTDVS</t>
  </si>
  <si>
    <t>MP160-0181</t>
  </si>
  <si>
    <t>Fiore</t>
  </si>
  <si>
    <t>Sunburst Wall Decor Mirror 29.5"D</t>
  </si>
  <si>
    <t>29.5" Dia</t>
  </si>
  <si>
    <t>AMERSIGNDS,CSNSTORES,DESINC,HDDS,KOHLDSN,LAMPDS,OLLIIX,OVERSTOCK01,TGTDVS</t>
  </si>
  <si>
    <t>MP160-0230</t>
  </si>
  <si>
    <t>Sunburst Wall Decor Mirror 14.5"D</t>
  </si>
  <si>
    <t>14.5" Dia</t>
  </si>
  <si>
    <t>AMAZONDS,ASHFURNDS,CSNSTORES,DESINC,KIRKLANDDS,KOHLDSN,LAMPDS,OLLIIX,OVERSTOCK01,ROOMECOM</t>
  </si>
  <si>
    <t>MP95F-0265</t>
  </si>
  <si>
    <t>PF005437</t>
  </si>
  <si>
    <t>AMAZON,CSNSTORES,KOHLDSN,TGTDVS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</si>
  <si>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</si>
  <si>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</si>
  <si>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</si>
  <si>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</si>
  <si>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</si>
  <si>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</si>
  <si>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</si>
  <si>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</si>
  <si>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AMAZON,AMERSIGNDS,CSNSTORES,KIRKLANDDS,OLLIIX,OVERSTOCK01,ROOMECOM</t>
  </si>
  <si>
    <t>MP95G-0286</t>
  </si>
  <si>
    <t>FRAMED GRAPHICS</t>
  </si>
  <si>
    <t>Abstract Reveal</t>
  </si>
  <si>
    <t>Framed Glass and Gallery Matted Wall Art</t>
  </si>
  <si>
    <t>PP001665</t>
  </si>
  <si>
    <t>AMAZON,AMAZONDS,AMERSIGNDS,DESINC,HDDS,JCPENNEY01,KIRKLANDDS,OVERSTOCK01,TGTDVS</t>
  </si>
  <si>
    <t>MP95G-0307</t>
  </si>
  <si>
    <t>Ashlar</t>
  </si>
  <si>
    <t>Hand Painted Abstract Framed Glass and Matted Wall Art</t>
  </si>
  <si>
    <t>10/26/2022</t>
  </si>
  <si>
    <t>AMAZON,AMERSIGNDS,ASHFURNDS,BLK01,CSNSTORES,DESINC,JCPENNEY01,KIRKLANDDS,KOHLDSN,MACY02,OLLIIX,TGTDVS</t>
  </si>
  <si>
    <t>MP95G-0253</t>
  </si>
  <si>
    <t>Feminine Figures</t>
  </si>
  <si>
    <t>Sketch 2-piece Framed Glass and Matted Wall Art Set</t>
  </si>
  <si>
    <t>PP001456;PF005028</t>
  </si>
  <si>
    <t>Figurative</t>
  </si>
  <si>
    <t>ASHFURNDS,CSNSTORES,HDDS,HOUZZ,JCPENNEY01,KIRKLANDDS,KOHLDSN,LAMPDS,OLLIIX,OVERSTOCK01,ROOMECOM,TGTDVS</t>
  </si>
  <si>
    <t>MP95G-0256</t>
  </si>
  <si>
    <t>Linden</t>
  </si>
  <si>
    <t>Fern 2-piece Framed Glass Wall Art Set</t>
  </si>
  <si>
    <t>9/7/2020</t>
  </si>
  <si>
    <t>AMAZONDS,JCPENNEY01,KIRKLANDDS,KOHLDSN,OLLIIX,OVERSTOCK01,ROOMECOM,TGTDVS</t>
  </si>
  <si>
    <t>MP95G-0006</t>
  </si>
  <si>
    <t>Natural Agate Trio</t>
  </si>
  <si>
    <t>Real Stone Framed Glass and Double Matted Wall Art</t>
  </si>
  <si>
    <t>PF001834</t>
  </si>
  <si>
    <t>AMAZON,CSNSTORES,HDDS,KOHLDSN,OLLIIX,OVERSTOCK01</t>
  </si>
  <si>
    <t>MP95G-0298</t>
  </si>
  <si>
    <t>Fair Florets</t>
  </si>
  <si>
    <t>3-piece Framed Glass Wall Art Set</t>
  </si>
  <si>
    <t>Beige</t>
  </si>
  <si>
    <t>PP001778</t>
  </si>
  <si>
    <t>6/1/2022</t>
  </si>
  <si>
    <t>AMAZONDS,AMERSIGNDS,CSNSTORES,JCPENNEY01,KIRKLANDDS,KOHLDSN,MACY02,OLLIIX,OVERSTOCK01,TGTDVS,ZOLA</t>
  </si>
  <si>
    <t>MPS95A-0023</t>
  </si>
  <si>
    <t>Sunburst</t>
  </si>
  <si>
    <t>Hand Painted Dimensional Resin Wall Art</t>
  </si>
  <si>
    <t>30x30"</t>
  </si>
  <si>
    <t>PF002029</t>
  </si>
  <si>
    <t>10/13/2017</t>
  </si>
  <si>
    <t>AMAZONDS,CSNSTORES,HDDS,OLLIIX,ZOLA</t>
  </si>
  <si>
    <t>MPS95A-0038</t>
  </si>
  <si>
    <t>PF005495</t>
  </si>
  <si>
    <t>AMAZON,AMAZONDS,CSNSTORES,JCPENNEY01,KIRKLANDDS,KOHLDSN,OLLIIX,TGTDVS</t>
  </si>
  <si>
    <t>MPS95B-0040</t>
  </si>
  <si>
    <t>Hand Painted Triptych 3-piece Dimensional Resin Wall Art Set</t>
  </si>
  <si>
    <t>3-Piece</t>
  </si>
  <si>
    <t>AMAZONDS,CSNSTORES,JCPENNEY01,KIRKLANDDS,LAMPDS,MACY02,OVERSTOCK01</t>
  </si>
  <si>
    <t>MPS95B-0044</t>
  </si>
  <si>
    <t>10/21/2023</t>
  </si>
  <si>
    <t>AMAZON,AMAZONDS,CSNSTORES,DESINC,OLLIIX,OVERSTOCK01</t>
  </si>
  <si>
    <t>MPS95F-0041</t>
  </si>
  <si>
    <t>Marlowe</t>
  </si>
  <si>
    <t>Gold Beaded Round Wall Mirror 3-piece set</t>
  </si>
  <si>
    <t>PP001618</t>
  </si>
  <si>
    <t>AMAZONDS,BLK01,CSNSTORES,OLLIIX</t>
  </si>
  <si>
    <t>MPS95F-0039</t>
  </si>
  <si>
    <t>Eclipse</t>
  </si>
  <si>
    <t>Gold Trio Wall Mirror</t>
  </si>
  <si>
    <t>PP001769</t>
  </si>
  <si>
    <t>6/29/2022</t>
  </si>
  <si>
    <t>CSNSTORES,KOHLDSN,OLLIIX,ZOLA</t>
  </si>
  <si>
    <t>MPS95F-0036</t>
  </si>
  <si>
    <t>Beaded Round Wall Mirror 27"D</t>
  </si>
  <si>
    <t>27" Dia</t>
  </si>
  <si>
    <t>PF005436</t>
  </si>
  <si>
    <t>AMAZON,CSNSTORES,HDDS,JCPENNEY01,KOHLDSN,OLLIIX,ROOMECOM,TGTDVS</t>
  </si>
  <si>
    <t>MPS95F-0037</t>
  </si>
  <si>
    <t>Beaded Round Wall Mirror 36"D</t>
  </si>
  <si>
    <t>36" Dia</t>
  </si>
  <si>
    <t>PF005435</t>
  </si>
  <si>
    <t>CSNSTORES,DESINC,HDDS,KIRKLANDDS,KOHLDSN,OLLIIX,TGTDVS</t>
  </si>
  <si>
    <t>MPS95F-0034</t>
  </si>
  <si>
    <t>9/5/2020</t>
  </si>
  <si>
    <t>AMAZON,AMAZONDS,AMERSIGNDS,CSNSTORES,KIRKLANDDS,LAMPDS,OLLIIX,TGTDVS</t>
  </si>
  <si>
    <t>MPS160-279</t>
  </si>
  <si>
    <t>AMAZONDS,AMERSIGNDS,CSNSTORES,HDDS,KOHLDSN,LAMPDS,OLLIIX,OVERSTOCK01,ROOMECOM,TGTDVS</t>
  </si>
  <si>
    <t>MPS95F-0035</t>
  </si>
  <si>
    <t>AMAZON,CSNSTORES,ROOMECOM,TGTDVS</t>
  </si>
  <si>
    <t>MPS160-339</t>
  </si>
  <si>
    <t>11/6/2018</t>
  </si>
  <si>
    <t>AMAZON,AMERSIGNDS,CSNSTORES,LAMPDS,OLLIIX,OVERSTOCK01</t>
  </si>
  <si>
    <t>MPS95F-0042</t>
  </si>
  <si>
    <t>11/26/2022</t>
  </si>
  <si>
    <t>AMERSIGNDS,CSNSTORES,HDDS,KOHLDSN,OVERSTOCK01</t>
  </si>
  <si>
    <t>MPS95F-0043</t>
  </si>
  <si>
    <t>CSNSTORES,HDDS,KOHLDSN,OLLIIX,OVERSTOCK01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</si>
  <si>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</si>
  <si>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</si>
  <si>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</si>
  <si>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</si>
  <si>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</si>
  <si>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</si>
  <si>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AMAZON,AMAZONDS,AMERSIGNDS,CSNSTORES,HDDS,KOHLDSN,MACY02,NRTPORT,OLLIIX,OVERSTOCK01,ROOMECOM</t>
  </si>
  <si>
    <t>MPS162-347</t>
  </si>
  <si>
    <t>9/9/2019</t>
  </si>
  <si>
    <t>AMAZON,AMERSIGNDS,CSNSTORES,HDDS,KOHLDSN,NRTPORT,OLLIIX,OVERSTOCK01,ZOLA</t>
  </si>
  <si>
    <t>MPS162-248</t>
  </si>
  <si>
    <t>Aurora</t>
  </si>
  <si>
    <t>Blue and Bronze Decorative Glass Vases 3-piece set</t>
  </si>
  <si>
    <t>Blue Metal</t>
  </si>
  <si>
    <t>PF002984</t>
  </si>
  <si>
    <t>AMAZON,AMERSIGNDS,CSNSTORES,HOUZZ,KOHLDSN,LAMPDS,MACY02,OLLIIX,OVERSTOCK01,ROOMECOM</t>
  </si>
  <si>
    <t>MT95B-0077</t>
  </si>
  <si>
    <t>Martha Stewart</t>
  </si>
  <si>
    <t>Elements</t>
  </si>
  <si>
    <t>Geometric MDF Wood Carved Wall Decor 3 Piece Set</t>
  </si>
  <si>
    <t>MT Perry Street</t>
  </si>
  <si>
    <t>11/12/2022</t>
  </si>
  <si>
    <t>AMAZONDS,ASHFURNDS,CSNSTORES,JCPENNEY01,OLLIIX,OVERSTOCK01,TGTDVS</t>
  </si>
  <si>
    <t>MT95B-0064</t>
  </si>
  <si>
    <t>Cerulean Stones</t>
  </si>
  <si>
    <t>Framed Blue Agate Shadowbox Wall Decor Panel</t>
  </si>
  <si>
    <t>PP001689</t>
  </si>
  <si>
    <t>11/22/2021</t>
  </si>
  <si>
    <t>AMAZON,CSNSTORES,HDDS,JCPENNEY01,KIRKLANDDS,KOHLDSN,LAMPDS,MACY02,OLLIIX,OVERSTOCK01,TGTDVS</t>
  </si>
  <si>
    <t>MT95B-0065</t>
  </si>
  <si>
    <t>Indigo Shells</t>
  </si>
  <si>
    <t>Framed Sea Urchin Shadow Box Wall Decor</t>
  </si>
  <si>
    <t>PP001690</t>
  </si>
  <si>
    <t>CSNSTORES,OLLIIX,TGTDVS</t>
  </si>
  <si>
    <t>MT167-0023</t>
  </si>
  <si>
    <t>Faye</t>
  </si>
  <si>
    <t>Gold Foil Metal Ginkgo Leaf Wall Decor</t>
  </si>
  <si>
    <t>AMAZON,CSNSTORES,JCPENNEY01,KOHLDSN,OLLIIX,OVERSTOCK01,ROOMECOM,ZOLA</t>
  </si>
  <si>
    <t>MT95C-0036A</t>
  </si>
  <si>
    <t>Blue Drift</t>
  </si>
  <si>
    <t>PF005355</t>
  </si>
  <si>
    <t>1/20/2021</t>
  </si>
  <si>
    <t>AMAZON,CSNSTORES,HDDS,JCPENNEY01,KIRKLANDDS,OLLIIX,OVERSTOCK01,ROOMECOM,TGTDVS,ZOLA</t>
  </si>
  <si>
    <t>MT95C-0005</t>
  </si>
  <si>
    <t>French Herbarium</t>
  </si>
  <si>
    <t>2-piece Framed Canvas Wall Art Set</t>
  </si>
  <si>
    <t>MT Bedford</t>
  </si>
  <si>
    <t>6/12/2019</t>
  </si>
  <si>
    <t>AMAZON,ASHFURNDS,BLK01,CSNSTORES,DESINC,KIRKLANDDS,KOHLDSN,OLLIIX,ROOMECOM,TGTDVS,ZOLA</t>
  </si>
  <si>
    <t>MT95C-0006</t>
  </si>
  <si>
    <t>Herbal Botany</t>
  </si>
  <si>
    <t>4-piece Botanical Illustration Framed Canvas Wall Art Set</t>
  </si>
  <si>
    <t>6/1/2019</t>
  </si>
  <si>
    <t>AMAZON,AMAZONDS,AMERSIGNDS,CSNSTORES,DESINC,HOUZZ,JCPENNEY01,KIRKLANDDS,KOHLDSN,OLLIIX,OVERSTOCK01,TGTDVS</t>
  </si>
  <si>
    <t>MT95C-0024</t>
  </si>
  <si>
    <t>Lake Walk</t>
  </si>
  <si>
    <t>Abstract Landscape Framed Canvas Wall Art</t>
  </si>
  <si>
    <t>PP001443;PF005010</t>
  </si>
  <si>
    <t>AMAZON,BLK01,CSNSTORES,DESINC,JCPENNEY01,KIRKLANDDS,KOHLDSN,OLLIIX,OVERSTOCK01,ROOMECOM,ZOLA</t>
  </si>
  <si>
    <t>MT95C-0035</t>
  </si>
  <si>
    <t>Vista</t>
  </si>
  <si>
    <t>Abstract Landscape 5-piece Gallery Canvas Wall Art Set</t>
  </si>
  <si>
    <t>PF005278</t>
  </si>
  <si>
    <t>11/20/2020</t>
  </si>
  <si>
    <t>AMAZON,CSNSTORES,HDDS,JCPENNEY01,KOHLDSN,MACY02,OLLIIX,ROOMECOM,TGTDVS</t>
  </si>
  <si>
    <t>MT160-0021</t>
  </si>
  <si>
    <t>Gold Gingko Leaf Round Wall Mirror 30.5"</t>
  </si>
  <si>
    <t>7/9/2020</t>
  </si>
  <si>
    <t>AMAZONDS,AMERSIGNDS,ASHFURNDS,CSNSTORES,HDDS,JCPENNEY01,KIRKLANDDS,KOHLDSN,OLLIIX,OVERSTOCK01,ROOMECOM,TGTDVS</t>
  </si>
  <si>
    <t>MT160-0011</t>
  </si>
  <si>
    <t>Katonah</t>
  </si>
  <si>
    <t>Black Round Wall Mirror 36"</t>
  </si>
  <si>
    <t>6/3/2019</t>
  </si>
  <si>
    <t>MT95F-0078</t>
  </si>
  <si>
    <t>Natural Rattan Round Wall Mirror</t>
  </si>
  <si>
    <t>MT Lily Pond</t>
  </si>
  <si>
    <t>MT95F-0080</t>
  </si>
  <si>
    <t>Regina</t>
  </si>
  <si>
    <t>Gold Arched Wall Mirror</t>
  </si>
  <si>
    <t>Cottage/Country|Farm House|Glam/Luxury</t>
  </si>
  <si>
    <t>MT95G-0029</t>
  </si>
  <si>
    <t>Across The Plains 1</t>
  </si>
  <si>
    <t>Framed Glass and Double Matted Abstract Landscape Wall Art</t>
  </si>
  <si>
    <t>PP001448;PF005015</t>
  </si>
  <si>
    <t>AMAZON,CSNSTORES,HDDS,KIRKLANDDS,KOHLDSN,OLLIIX,TGTDVS</t>
  </si>
  <si>
    <t>MT95G-0030</t>
  </si>
  <si>
    <t>Estuary</t>
  </si>
  <si>
    <t>Abstract Landscape Framed Glass Wall Art</t>
  </si>
  <si>
    <t>PP001449;PF005016</t>
  </si>
  <si>
    <t>AMAZONDS,ASHFURNDS,BLK01,CSNSTORES,DESINC,KIRKLANDDS,MACY02,OLLIIX,ZOLA</t>
  </si>
  <si>
    <t>MT95G-0003</t>
  </si>
  <si>
    <t>Lady Fern Collection</t>
  </si>
  <si>
    <t>Botanical Illustration 3-piece Framed Glass and Single Matted Wall Art Set</t>
  </si>
  <si>
    <t>AMAZONDS,BLK01,CSNSTORES,JCPENNEY01,KIRKLANDDS,KOHLDSN,OLLIIX</t>
  </si>
  <si>
    <t>UH95C-0030</t>
  </si>
  <si>
    <t>Urban Habitat</t>
  </si>
  <si>
    <t>Cosmic Curl</t>
  </si>
  <si>
    <t>3-piece Framed Canvas Wall Art Set</t>
  </si>
  <si>
    <t>Black/Taupe</t>
  </si>
  <si>
    <t>PP001611</t>
  </si>
  <si>
    <t>2/10/2021</t>
  </si>
  <si>
    <t>AMERSIGNDS,OLLIIX</t>
  </si>
  <si>
    <t>UH95C-0002</t>
  </si>
  <si>
    <t>Gilded Feathers</t>
  </si>
  <si>
    <t>Gold Foil 2-piece Canvas Wall Art Set</t>
  </si>
  <si>
    <t>PF001877</t>
  </si>
  <si>
    <t>AMAZON,KIRKLANDDS,OVERSTOCK01</t>
  </si>
  <si>
    <t>BASI16-0175</t>
  </si>
  <si>
    <t>BASI</t>
  </si>
  <si>
    <t>Sleep Philosophy</t>
  </si>
  <si>
    <t>MATT PAD/TOPPER</t>
  </si>
  <si>
    <t>Mattress Pad</t>
  </si>
  <si>
    <t>Deep Pocket Waterproof Mattress Pad</t>
  </si>
  <si>
    <t>PF002392</t>
  </si>
  <si>
    <t>BIGLOTSDS,BLK01,CSNSTORES,HDDS,JCPENNEY01,KOHLDSN,MACY02,OLLIIX,OVERSTOCK01,TGTDVS,WALMARTDS</t>
  </si>
  <si>
    <t>BASI16-0176</t>
  </si>
  <si>
    <t>BIGLOTSDS,BLK01,CSNSTORES,HDDS,JCPENNEY01,KOHLDSN,MACY02,NRTPORT,OLLIIX,OVERSTOCK01,TGTDVS</t>
  </si>
  <si>
    <t>4/9/2015</t>
  </si>
  <si>
    <t>BASI16-0177</t>
  </si>
  <si>
    <t>BASI16-0178</t>
  </si>
  <si>
    <t>BIGLOTSDS,BLK01,CSNSTORES,HDDS,JCPENNEY01,KOHLDSN,MACY02,NRTPORT,OLLIIX,OVERSTOCK01,TGTDVS,WALMARTDS,ZOLA</t>
  </si>
  <si>
    <t>4/10/2015</t>
  </si>
  <si>
    <t>BASI16-0179</t>
  </si>
  <si>
    <t>BLK01,CSNSTORES,HDDS,JCPENNEY01,KOHLDSN,MACY02,OLLIIX,OVERSTOCK01,TGTDVS,WALMARTDS,ZOLA</t>
  </si>
  <si>
    <t>BASI16-0180</t>
  </si>
  <si>
    <t>BASI16-0289</t>
  </si>
  <si>
    <t>Holden</t>
  </si>
  <si>
    <t>Amity</t>
  </si>
  <si>
    <t>Waterproof Sofa Bed Mattress Pad</t>
  </si>
  <si>
    <t>Queen 60x72"</t>
  </si>
  <si>
    <t>AMAZON,AMAZONDS,BIGLOTSDS,CSNSTORES,HDDS,JCPENNEY01,KOHLDSN,MACY02,NRTPORT,OLLIIX,OVERSTOCK01,TGTDVS,WALMARTDS</t>
  </si>
  <si>
    <t>1/8/2016</t>
  </si>
  <si>
    <t>BASI16-0236</t>
  </si>
  <si>
    <t>Highline</t>
  </si>
  <si>
    <t>Montview</t>
  </si>
  <si>
    <t>3M Microfiber Mattress Pad</t>
  </si>
  <si>
    <t>PF002082</t>
  </si>
  <si>
    <t>BIGLOTSDS,CSNSTORES,JCPENNEY01,KOHLDSN,MACY02,OVERSTOCK01,TGTDVS</t>
  </si>
  <si>
    <t>BASI16-0237</t>
  </si>
  <si>
    <t>BIGLOTSDS,CSNSTORES,JCPENNEY01,KOHLDSN,MACY02,OLLIIX,TGTDVS</t>
  </si>
  <si>
    <t>6/15/2015</t>
  </si>
  <si>
    <t>BASI16-0238</t>
  </si>
  <si>
    <t>BLK01,CSNSTORES,FINGERHUTDS,JCPENNEY01,KOHLDSN,MACY02,OVERSTOCK01,TGTDVS,WALMARTDS</t>
  </si>
  <si>
    <t>8/28/2015</t>
  </si>
  <si>
    <t>BASI16-0239</t>
  </si>
  <si>
    <t>BIGLOTSDS,BLK01,CSNSTORES,FINGERHUTDS,JCPENNEY01,KOHLDSN,MACY02,OLLIIX,OVERSTOCK01,TGTDVS,ZOLA</t>
  </si>
  <si>
    <t>BASI16-0240</t>
  </si>
  <si>
    <t>BIGLOTSDS,BLK01,CSNSTORES,FINGERHUTDS,JCPENNEY01,KOHLDSN,OLLIIX,OVERSTOCK01,TGTDVS</t>
  </si>
  <si>
    <t>10/3/2016</t>
  </si>
  <si>
    <t>BASI16-0591</t>
  </si>
  <si>
    <t>2-in-1</t>
  </si>
  <si>
    <t>Cool/Warm Reversible Waterproof and Stain Release Mattress Pad</t>
  </si>
  <si>
    <t>PP001897;PF006054</t>
  </si>
  <si>
    <t>9/13/2023</t>
  </si>
  <si>
    <t>BLK01,JCPENNEY01,KOHLDSN,NRTPORT,TGTDVS</t>
  </si>
  <si>
    <t>BASI16-0592</t>
  </si>
  <si>
    <t>9/1/2023</t>
  </si>
  <si>
    <t>AMAZON,BLK01,DESINC,JCPENNEY01,KOHLDSN,MACY02,NRTPORT,OVERSTOCK01,TGTDVS</t>
  </si>
  <si>
    <t>BASI16-0593</t>
  </si>
  <si>
    <t>AMAZON,AMAZONDS,BLK01,JCPENNEY01,KOHLDSN,MACY02,NRTPORT,TGTDVS</t>
  </si>
  <si>
    <t>BASI16-0594</t>
  </si>
  <si>
    <t>All Natural</t>
  </si>
  <si>
    <t>Cotton Percale Quilted Mattress Pad</t>
  </si>
  <si>
    <t>PF002096;PP001901</t>
  </si>
  <si>
    <t>BASI16-0327</t>
  </si>
  <si>
    <t>PF002096</t>
  </si>
  <si>
    <t>4/11/2016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</si>
  <si>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</si>
  <si>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</si>
  <si>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</si>
  <si>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</si>
  <si>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</si>
  <si>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</si>
  <si>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AMAZON,KOHLDSN,MACY02,TGTDVS,WALMARTDS</t>
  </si>
  <si>
    <t>9/11/2016</t>
  </si>
  <si>
    <t>4/25/2017</t>
  </si>
  <si>
    <t>BASI16-0416</t>
  </si>
  <si>
    <t>AMAZON,KOHLDSN,NRTPORT,TGTDVS,WALMARTDS</t>
  </si>
  <si>
    <t>4/28/2017</t>
  </si>
  <si>
    <t>BASI16-0382</t>
  </si>
  <si>
    <t>BLK01,JCPENNEY01,KOHLDSN,TGTDVS</t>
  </si>
  <si>
    <t>BASI16-0383</t>
  </si>
  <si>
    <t>AMAZON,JCPENNEY01,KOHLDSN,MACY02,NRTPORT,OVERSTOCK01,TGTDVS,WALMARTDS,ZOLA</t>
  </si>
  <si>
    <t>BASI16-0384</t>
  </si>
  <si>
    <t>AMAZON,AMAZONDS,JCPENNEY01,KOHLDSN,MACY02,TGTDVS,ZOLA</t>
  </si>
  <si>
    <t>BASI16-0417</t>
  </si>
  <si>
    <t>3" Gel Memory Foam</t>
  </si>
  <si>
    <t>All Season Reversible Hypoallergenic Cooling Mattress Topper</t>
  </si>
  <si>
    <t>PF002106</t>
  </si>
  <si>
    <t>BIGLOTSDS,KOHLDSN,MACY02,TGTDVS,WALMARTDS</t>
  </si>
  <si>
    <t>9/27/2016</t>
  </si>
  <si>
    <t>BASI16-0418</t>
  </si>
  <si>
    <t>AMAZON,KOHLDSN,MACY02,TGTDVS</t>
  </si>
  <si>
    <t>10/14/2016</t>
  </si>
  <si>
    <t>BASI16-0419</t>
  </si>
  <si>
    <t>AMAZON,BIGLOTSDS,BLK01,CSNSTORES,KOHLDSN,MACY02,OVERSTOCK01,TGTDVS,WALMARTDS</t>
  </si>
  <si>
    <t>BASI16-0420</t>
  </si>
  <si>
    <t>BIGLOTSDS,KOHLDSN,MACY02,TGTDVS,ZOLA</t>
  </si>
  <si>
    <t>BASI16-0421</t>
  </si>
  <si>
    <t>BIGLOTSDS,KOHLDSN,TGTDVS</t>
  </si>
  <si>
    <t>BASI16-0386</t>
  </si>
  <si>
    <t>2" Gel Memory Foam with 3M Cover</t>
  </si>
  <si>
    <t>Mattress Topper</t>
  </si>
  <si>
    <t>PF002107</t>
  </si>
  <si>
    <t>JCPENNEY01,KOHLDSN,OLLIIX,TGTDVS</t>
  </si>
  <si>
    <t>5/8/2017</t>
  </si>
  <si>
    <t>BASI16-0555</t>
  </si>
  <si>
    <t>2" Memory Foam Mattress Topper</t>
  </si>
  <si>
    <t>9/25/2018</t>
  </si>
  <si>
    <t>JCPENNEY01,OVERSTOCK01,ZOLA</t>
  </si>
  <si>
    <t>3/4/2021</t>
  </si>
  <si>
    <t>BASI16-0387</t>
  </si>
  <si>
    <t>BLK01,KOHLDSN,MACY02,ZOLA</t>
  </si>
  <si>
    <t>8/23/2017</t>
  </si>
  <si>
    <t>BASI16-0388</t>
  </si>
  <si>
    <t>JCPENNEY01,KOHLDSN,MACY02,OLLIIX,OVERSTOCK01,TGTDVS,ZOLA</t>
  </si>
  <si>
    <t>4/3/2017</t>
  </si>
  <si>
    <t>BASI16-0389</t>
  </si>
  <si>
    <t>12/23/2019</t>
  </si>
  <si>
    <t>BASI16-0391</t>
  </si>
  <si>
    <t>3" Gel Memory Foam with 3M Cover</t>
  </si>
  <si>
    <t>PF002108</t>
  </si>
  <si>
    <t>11/24/2016</t>
  </si>
  <si>
    <t>BASI16-0468</t>
  </si>
  <si>
    <t>AMAZON,AMAZONDS,KOHLDSN,OVERSTOCK01,TGTDVS</t>
  </si>
  <si>
    <t>7/9/2017</t>
  </si>
  <si>
    <t>8/2/2020</t>
  </si>
  <si>
    <t>BASI16-0392</t>
  </si>
  <si>
    <t>AMAZON,JCPENNEY01,KOHLDSN,OVERSTOCK01,TGTDVS</t>
  </si>
  <si>
    <t>BASI16-0393</t>
  </si>
  <si>
    <t>10/12/2016</t>
  </si>
  <si>
    <t>BASI16-0394</t>
  </si>
  <si>
    <t>JCPENNEY01,KOHLDSN,MACY02,OLLIIX,OVERSTOCK01,TGTDVS</t>
  </si>
  <si>
    <t>11/11/2016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</si>
  <si>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</si>
  <si>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</si>
  <si>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</si>
  <si>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</si>
  <si>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</si>
  <si>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BEALLSDS,TGTDVS</t>
  </si>
  <si>
    <t>12/27/2016</t>
  </si>
  <si>
    <t>BASI16-0476</t>
  </si>
  <si>
    <t>BASI16-0477</t>
  </si>
  <si>
    <t>TGTDVS</t>
  </si>
  <si>
    <t>4/10/2017</t>
  </si>
  <si>
    <t>BASI16-0478</t>
  </si>
  <si>
    <t>BEALLSDS,JCPENNEY01,KOHLDSN,TGTDVS,ZOLA</t>
  </si>
  <si>
    <t>1/17/2017</t>
  </si>
  <si>
    <t>BASI16-0479</t>
  </si>
  <si>
    <t>BLK01,KOHLDSN,OLLIIX,TGTDVS</t>
  </si>
  <si>
    <t>BASI16-0450</t>
  </si>
  <si>
    <t>4" Gel Memory Foam with 3M Cover</t>
  </si>
  <si>
    <t>4" Memory Foam Mattress Topper</t>
  </si>
  <si>
    <t>PF002109</t>
  </si>
  <si>
    <t>10/21/2016</t>
  </si>
  <si>
    <t>BASI16-0451</t>
  </si>
  <si>
    <t>12/3/2016</t>
  </si>
  <si>
    <t>BASI16-0452</t>
  </si>
  <si>
    <t>BASI16-0453</t>
  </si>
  <si>
    <t>BASI16-0454</t>
  </si>
  <si>
    <t>BLK01,CSNSTORES,KOHLDSN,OVERSTOCK01,TGTDVS</t>
  </si>
  <si>
    <t>12/12/2016</t>
  </si>
  <si>
    <t>BASI30-0531</t>
  </si>
  <si>
    <t>Pillow Insert</t>
  </si>
  <si>
    <t>Memory Foam</t>
  </si>
  <si>
    <t>Knee Pillow</t>
  </si>
  <si>
    <t>Standard</t>
  </si>
  <si>
    <t>AMAZON,AMAZONDS,BLK01,CSNSTORES,JCPENNEY01,KOHLDSN,MACY02,OLLIIX,OVERSTOCK01,TGTDVS,WALMARTDS,ZOLA</t>
  </si>
  <si>
    <t>5/13/2021</t>
  </si>
  <si>
    <t>7/19/2021</t>
  </si>
  <si>
    <t>BASI30-0524</t>
  </si>
  <si>
    <t>Rayon from Bamboo</t>
  </si>
  <si>
    <t>Shredded Memory Foam Pillow with Rayon from Bamboo Blend Cover</t>
  </si>
  <si>
    <t>PP000941</t>
  </si>
  <si>
    <t>Classic</t>
  </si>
  <si>
    <t>DESINC,JCPENNEY01,MACY02,OLLIIX,OVERSTOCK01,ZOLA</t>
  </si>
  <si>
    <t>4/30/2020</t>
  </si>
  <si>
    <t>BASI30-0525</t>
  </si>
  <si>
    <t>BLK01,JCPENNEY01,MACY02,OLLIIX,OVERSTOCK01,ZOLA</t>
  </si>
  <si>
    <t>BASI30-0526</t>
  </si>
  <si>
    <t>Body Pillow</t>
  </si>
  <si>
    <t>JCPENNEY01,KOHLDSN,MACY02,NRTPORT,OLLIIX,TGTDVS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</si>
  <si>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</si>
  <si>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</si>
  <si>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</si>
  <si>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</si>
  <si>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</si>
  <si>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</si>
  <si>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</si>
  <si>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HDDS,KOHLDSN,MACY02,OVERSTOCK01</t>
  </si>
  <si>
    <t>BASI51-0324</t>
  </si>
  <si>
    <t>AMAZON,MACY02,OVERSTOCK01,WALMARTDS</t>
  </si>
  <si>
    <t>BASI10-0314</t>
  </si>
  <si>
    <t>Protector</t>
  </si>
  <si>
    <t>Bed Guardian</t>
  </si>
  <si>
    <t>3M Scotchgard Comforter Protector</t>
  </si>
  <si>
    <t>PF002095</t>
  </si>
  <si>
    <t>AMAZON,KOHLDSN,MACY02,OLLIIX,OVERSTOCK01,TGTDVS,WALMARTDS</t>
  </si>
  <si>
    <t>12/23/2015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</si>
  <si>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</si>
  <si>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</si>
  <si>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</si>
  <si>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</si>
  <si>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</si>
  <si>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</si>
  <si>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HOUZZ,KOHLDSN,MACY02,OLLIIX,TGTDVS</t>
  </si>
  <si>
    <t>10/5/2015</t>
  </si>
  <si>
    <t>BASI10-0257</t>
  </si>
  <si>
    <t>6/17/2015</t>
  </si>
  <si>
    <t>BASI10-0258</t>
  </si>
  <si>
    <t>DESINC,KIRKLANDDS,MACY02,OLLIIX,OVERSTOCK01</t>
  </si>
  <si>
    <t>6/26/2015</t>
  </si>
  <si>
    <t>BASI10-0576</t>
  </si>
  <si>
    <t>Energy Recovery</t>
  </si>
  <si>
    <t>Energy Recovery Oversized Down Alternative Comforter</t>
  </si>
  <si>
    <t>PF005643;PP001727</t>
  </si>
  <si>
    <t>2/1/2022</t>
  </si>
  <si>
    <t>KOHLDSN,OLLIIX,OVERSTOCK01,TGTDVS</t>
  </si>
  <si>
    <t>BASI10-0577</t>
  </si>
  <si>
    <t>JCPENNEY01,KOHLDSN,MACY02,TGTDVS</t>
  </si>
  <si>
    <t>BASI10-0578</t>
  </si>
  <si>
    <t>JCPENNEY01,KOHLDSN,MACY02,OLLIIX</t>
  </si>
  <si>
    <t>BASI10-0297</t>
  </si>
  <si>
    <t>Maximum Warmth</t>
  </si>
  <si>
    <t>Cotton Down Alternative Featherless Comforter</t>
  </si>
  <si>
    <t>PF002093</t>
  </si>
  <si>
    <t>AMAZON,JCPENNEY01,OVERSTOCK01,TGTDVS</t>
  </si>
  <si>
    <t>4/19/2016</t>
  </si>
  <si>
    <t>BASI10-0298</t>
  </si>
  <si>
    <t>CSNSTORES,KOHLDSN,MACY02,TGTDVS</t>
  </si>
  <si>
    <t>4/6/2016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</si>
  <si>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</si>
  <si>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</si>
  <si>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</si>
  <si>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</si>
  <si>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</si>
  <si>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KOHLDSN,MACY02,TGTDVS</t>
  </si>
  <si>
    <t>BASI10-0582</t>
  </si>
  <si>
    <t>AMAZONDS,BLK01,CSNSTORES,JCPENNEY01,KOHLDSN,MACY02,OLLIIX,OVERSTOCK01,TGTDVS,ZOLA</t>
  </si>
  <si>
    <t>BASI10-0583</t>
  </si>
  <si>
    <t>BASI10-0293</t>
  </si>
  <si>
    <t>Warmer</t>
  </si>
  <si>
    <t>6/27/2016</t>
  </si>
  <si>
    <t>BASI10-0294</t>
  </si>
  <si>
    <t>JCPENNEY01,OLLIIX,TGTDVS</t>
  </si>
  <si>
    <t>1/7/2016</t>
  </si>
  <si>
    <t>BASI10-0295</t>
  </si>
  <si>
    <t>JCPENNEY01,MACY02,OLLIIX,OVERSTOCK01,TGTDVS</t>
  </si>
  <si>
    <t>1/21/2016</t>
  </si>
  <si>
    <t>BASI10-0290</t>
  </si>
  <si>
    <t>Year Round Warmth</t>
  </si>
  <si>
    <t>11/15/2016</t>
  </si>
  <si>
    <t>BASI10-0291</t>
  </si>
  <si>
    <t>AMAZONDS,BLK01,CSNSTORES,JCPENNEY01,KOHLDSN,MACY02,OLLIIX,OVERSTOCK01</t>
  </si>
  <si>
    <t>12/30/2015</t>
  </si>
  <si>
    <t>BASI10-0292</t>
  </si>
  <si>
    <t>AMAZONDS,BLK01,CSNSTORES,KOHLDSN,MACY02,OVERSTOCK01</t>
  </si>
  <si>
    <t>2/16/2016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</si>
  <si>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</si>
  <si>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</si>
  <si>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</si>
  <si>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</si>
  <si>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</si>
  <si>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</si>
  <si>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AMAZON,AMAZONDS,BIGLOTSDS,BLK01,CSNSTORES,FINGERHUTDS,HDDS,JCPENNEY01,KOHLDSN,MACY02,NRTPORT,OLLIIX,OVERSTOCK01,TGTDVS,WALMARTDS</t>
  </si>
  <si>
    <t>2/21/2017</t>
  </si>
  <si>
    <t>MP16-3145</t>
  </si>
  <si>
    <t>AMAZON,BIGLOTSDS,CSNSTORES,FINGERHUTDS,HDDS,JCPENNEY01,KOHLDSN,MACY02,OLLIIX,OVERSTOCK01</t>
  </si>
  <si>
    <t>MP16-3146</t>
  </si>
  <si>
    <t>AMAZON,BLK01,CSNSTORES,FINGERHUTDS,HDDS,JCPENNEY01,KOHLDSN,MACY02,NRTPORT,OLLIIX,OVERSTOCK01,TGTDVS,WALMARTDS</t>
  </si>
  <si>
    <t>MP16-3147</t>
  </si>
  <si>
    <t>AMAZONDS,BEALLSDS,BIGLOTSDS,BLK01,CSNSTORES,FINGERHUTDS,HDDS,JCPENNEY01,KOHLDSN,MACY02,NRTPORT,OLLIIX,OVERSTOCK01,TGTDVS,WALMARTDS,ZOLA</t>
  </si>
  <si>
    <t>1/31/2017</t>
  </si>
  <si>
    <t>MP16-3148</t>
  </si>
  <si>
    <t>AMAZON,AMAZONDS,BIGLOTSDS,BLK01,CSNSTORES,FINGERHUTDS,HDDS,JCPENNEY01,KOHLDSN,MACY02,NRTPORT,OLLIIX,OVERSTOCK01,TGTDVS,WALMARTDS,ZOLA</t>
  </si>
  <si>
    <t>2/13/2017</t>
  </si>
  <si>
    <t>MP16-3149</t>
  </si>
  <si>
    <t>AMAZON,BLK01,CSNSTORES,FINGERHUTDS,HDDS,HOUZZ,JCPENNEY01,KOHLDSN,MACY02,NRTPORT,OVERSTOCK01,TGTDVS,WALMARTDS</t>
  </si>
  <si>
    <t>2/17/2017</t>
  </si>
  <si>
    <t>BASI16-0032</t>
  </si>
  <si>
    <t>Quiet Nights</t>
  </si>
  <si>
    <t>Ensure</t>
  </si>
  <si>
    <t>300 Thread Count Cotton Sateen Waterproof Mattress Pad</t>
  </si>
  <si>
    <t>PF002048</t>
  </si>
  <si>
    <t>BLK01,CSNSTORES,FINGERHUTDS,KOHLDSN,MACY02,NRTPORT,OVERSTOCK01,TGTDVS</t>
  </si>
  <si>
    <t>BASI16-0032TXL</t>
  </si>
  <si>
    <t>BLK01,FINGERHUTDS,JCPENNEY01,KOHLDSN,MACY02,OVERSTOCK01</t>
  </si>
  <si>
    <t>BASI16-0033</t>
  </si>
  <si>
    <t>AMAZON,CSNSTORES,FINGERHUTDS,JCPENNEY01,KOHLDSN,MACY02,OLLIIX,OVERSTOCK01,TGTDVS,WALMARTDS</t>
  </si>
  <si>
    <t>1/20/2015</t>
  </si>
  <si>
    <t>BASI16-0034</t>
  </si>
  <si>
    <t>AMAZON,AMAZONDS,BLK01,CSNSTORES,FINGERHUTDS,JCPENNEY01,KOHLDSN,MACY02,NRTPORT,OLLIIX,OVERSCONSIGN,OVERSTOCK01,TGTDVS,WALMARTDS</t>
  </si>
  <si>
    <t>BASI16-0035</t>
  </si>
  <si>
    <t>AMAZON,BLK01,CSNSTORES,FINGERHUTDS,JCPENNEY01,KOHLDSN,MACY02,OLLIIX,OVERSTOCK01,TGTDVS,WALMARTDS</t>
  </si>
  <si>
    <t>MP51-541</t>
  </si>
  <si>
    <t>Windom</t>
  </si>
  <si>
    <t>Prospect</t>
  </si>
  <si>
    <t>Lightweight Down Alternative Blanket with Satin Trim</t>
  </si>
  <si>
    <t>PF002065</t>
  </si>
  <si>
    <t>7/23/2015</t>
  </si>
  <si>
    <t>MP51-543</t>
  </si>
  <si>
    <t>7/17/2015</t>
  </si>
  <si>
    <t>MP51-6698</t>
  </si>
  <si>
    <t>PP001377;PF004892</t>
  </si>
  <si>
    <t>9/19/2019</t>
  </si>
  <si>
    <t>AMAZON,AMAZONDS,CSNSTORES,FINGERHUTDS,JCPENNEY01,MACY02,OVERSTOCK01,TGTDVS,WALMARTDS</t>
  </si>
  <si>
    <t>7/20/2021</t>
  </si>
  <si>
    <t>MP51-6699</t>
  </si>
  <si>
    <t>8/30/2021</t>
  </si>
  <si>
    <t>MP51-546</t>
  </si>
  <si>
    <t>PF002067</t>
  </si>
  <si>
    <t>AMAZON,BIGLOTSDS,BLK01,CSNSTORES,DESINC,HDDS,JCPENNEY01,KOHLDSN,MACY02,OLLIIX,OVERSTOCK01,TGTDVS,WALMARTDS</t>
  </si>
  <si>
    <t>7/30/2015</t>
  </si>
  <si>
    <t>MP51-5152</t>
  </si>
  <si>
    <t>AMAZON,BIGLOTSDS,CSNSTORES,DESINC,FINGERHUTDS,JCPENNEY01,KOHLDSN,MACY02,OVERSTOCK01,TGTDVS,WALMARTDS</t>
  </si>
  <si>
    <t>11/28/2017</t>
  </si>
  <si>
    <t>MP51-5154</t>
  </si>
  <si>
    <t>AMAZON,FINGERHUTDS,JCPENNEY01,KOHLDSN,MACY02,OLLIIX,OVERSTOCK01,TGTDVS</t>
  </si>
  <si>
    <t>MP51-5156</t>
  </si>
  <si>
    <t>AMAZONDS,CSNSTORES,DESINC,HDDS,JCPENNEY01,KOHLDSN,MACY02,OLLIIX,OVERSTOCK01,TGTDVS</t>
  </si>
  <si>
    <t>11/24/2017</t>
  </si>
  <si>
    <t>MP51-8134</t>
  </si>
  <si>
    <t>PP001377;PF005883</t>
  </si>
  <si>
    <t>12/1/2022</t>
  </si>
  <si>
    <t>AMAZONDS,DESINC,KOHLDSN</t>
  </si>
  <si>
    <t>MP51-8135</t>
  </si>
  <si>
    <t>MP51-8136</t>
  </si>
  <si>
    <t>AMAZONDS,CSNSTORES,DESINC,JCPENNEY01,KOHLDSN,MACY02,OVERSTOCK01</t>
  </si>
  <si>
    <t>MP51-5148</t>
  </si>
  <si>
    <t>Charcoal</t>
  </si>
  <si>
    <t>AMAZON,FINGERHUTDS,HDDS,JCPENNEY01,KOHLDSN,MACY02,OVERSTOCK01,TGTDVS</t>
  </si>
  <si>
    <t>MP51-5150</t>
  </si>
  <si>
    <t>AMAZON,BIGLOTSDS,BLK01,CSNSTORES,FINGERHUTDS,HDDS,JCPENNEY01,KOHLDSN,MACY02,OVERSTOCK01,TGTDVS</t>
  </si>
  <si>
    <t>MP51-1533</t>
  </si>
  <si>
    <t>PF002068</t>
  </si>
  <si>
    <t>6/22/2017</t>
  </si>
  <si>
    <t>MP51-7661</t>
  </si>
  <si>
    <t>PP001377;PF005513</t>
  </si>
  <si>
    <t>7/7/2021</t>
  </si>
  <si>
    <t>AMAZON,AMAZONDS,CSNSTORES,DESINC,JCPENNEY01,KOHLDSN,OVERSTOCK01,TGTDVS</t>
  </si>
  <si>
    <t>MP51-7662</t>
  </si>
  <si>
    <t>AMAZON,BLK01,CSNSTORES,DESINC,JCPENNEY01,KOHLDSN,MACY02,NRTPORT,OLLIIX,OVERSTOCK01,TGTDVS</t>
  </si>
  <si>
    <t>MP51-7663</t>
  </si>
  <si>
    <t>MP51-2602</t>
  </si>
  <si>
    <t>Cambria</t>
  </si>
  <si>
    <t>Parkman</t>
  </si>
  <si>
    <t>Oversized Down Alternative Blanket with Satin Trim</t>
  </si>
  <si>
    <t>PF002156;PP000919</t>
  </si>
  <si>
    <t>AMAZON,BLK01,CSNSTORES,DESINC,JCPENNEY01,KOHLDSN,MACY02,OVERSTOCK01,TGTDVS,WALMARTDS</t>
  </si>
  <si>
    <t>MP51-7650</t>
  </si>
  <si>
    <t>PP000919;PF005512</t>
  </si>
  <si>
    <t>8/28/2021</t>
  </si>
  <si>
    <t>MP51-7651</t>
  </si>
  <si>
    <t>AAFESDS,AMAZON,CSNSTORES,JCPENNEY01,KOHLDSN,MACY02,OVERSTOCK01,TGTDVS</t>
  </si>
  <si>
    <t>MP51-2599</t>
  </si>
  <si>
    <t>PF002155;PP000919</t>
  </si>
  <si>
    <t>1/9/2017</t>
  </si>
  <si>
    <t>MP51-7647</t>
  </si>
  <si>
    <t>Slate Blue</t>
  </si>
  <si>
    <t>PP000919;PF005511</t>
  </si>
  <si>
    <t>8/26/2021</t>
  </si>
  <si>
    <t>MP51-7648</t>
  </si>
  <si>
    <t>AMAZON,AMAZONDS,CSNSTORES,JCPENNEY01,KOHLDSN,MACY02,OVERSTOCK01</t>
  </si>
  <si>
    <t>MP51-6374</t>
  </si>
  <si>
    <t>Coleman</t>
  </si>
  <si>
    <t>Campbell</t>
  </si>
  <si>
    <t>Reversible HeiQ Smart Temperature Down Alternative Blanket</t>
  </si>
  <si>
    <t>PP001231;PF004705</t>
  </si>
  <si>
    <t>7/10/2019</t>
  </si>
  <si>
    <t>11/11/2019</t>
  </si>
  <si>
    <t>MP51-6375</t>
  </si>
  <si>
    <t>8/20/2020</t>
  </si>
  <si>
    <t>MP51-6376</t>
  </si>
  <si>
    <t>MP51-8192</t>
  </si>
  <si>
    <t>PP001231;PF005947</t>
  </si>
  <si>
    <t>AMAZON,JCPENNEY01,KOHLDSN,MACY02,NRTPORT,TGTDVS</t>
  </si>
  <si>
    <t>MP51-8193</t>
  </si>
  <si>
    <t>AMAZON,JCPENNEY01,KOHLDSN,MACY02,NRTPORT,OVERSTOCK01,TGTDVS</t>
  </si>
  <si>
    <t>MP51-8194</t>
  </si>
  <si>
    <t>KOHLDSN,MACY02,OVERSTOCK01,TGTDVS</t>
  </si>
  <si>
    <t>MP51-8137</t>
  </si>
  <si>
    <t>PP001231;PF005884</t>
  </si>
  <si>
    <t>12/7/2022</t>
  </si>
  <si>
    <t>AMAZON,MACY02,TGTDVS</t>
  </si>
  <si>
    <t>MP51-8138</t>
  </si>
  <si>
    <t>MP51-8139</t>
  </si>
  <si>
    <t>MP51-6377</t>
  </si>
  <si>
    <t>PP001231;PF004706</t>
  </si>
  <si>
    <t>AMAZONDS,JCPENNEY01,KOHLDSN,MACY02,OVERSTOCK01,TGTDVS</t>
  </si>
  <si>
    <t>2/18/2021</t>
  </si>
  <si>
    <t>MP51-6378</t>
  </si>
  <si>
    <t>MP51-6379</t>
  </si>
  <si>
    <t>MP51-6380</t>
  </si>
  <si>
    <t>PP001231;PF004707</t>
  </si>
  <si>
    <t>1/8/2020</t>
  </si>
  <si>
    <t>MP51-6381</t>
  </si>
  <si>
    <t>AMAZON,KOHLDSN,MACY02,OVERSCONSIGN,OVERSTOCK01,TGTDVS</t>
  </si>
  <si>
    <t>12/20/2019</t>
  </si>
  <si>
    <t>MP51-6382</t>
  </si>
  <si>
    <t>AMAZON,AMAZONDS,CSNSTORES,JCPENNEY01,KOHLDSN,MACY02,TGTDVS</t>
  </si>
  <si>
    <t>5/3/2020</t>
  </si>
  <si>
    <t>MP10-1246</t>
  </si>
  <si>
    <t>Winfield</t>
  </si>
  <si>
    <t>Westport</t>
  </si>
  <si>
    <t>300 Thread Count Cotton Shell Luxury Down Alternative Comforter</t>
  </si>
  <si>
    <t>PF002074</t>
  </si>
  <si>
    <t>BLK01,CSNSTORES,HSNDS,JCPENNEY01,KOHLDSN,MACY02,OLLIIX,OVERSTOCK01,TGTDVS</t>
  </si>
  <si>
    <t>8/31/2015</t>
  </si>
  <si>
    <t>MP10-1247</t>
  </si>
  <si>
    <t>AMAZON,BLK01,JCPENNEY01,KOHLDSN,MACY02,OLLIIX,OVERSTOCK01,TGTDVS,WALMARTDS,ZOLA</t>
  </si>
  <si>
    <t>4/6/2015</t>
  </si>
  <si>
    <t>MP10-8277</t>
  </si>
  <si>
    <t>Honeycomb Textured</t>
  </si>
  <si>
    <t>Oversized Down Alternative Comforter</t>
  </si>
  <si>
    <t>PP001896;PF006053</t>
  </si>
  <si>
    <t>9/8/2023</t>
  </si>
  <si>
    <t>BLK01,KOHLDSN,MACY02</t>
  </si>
  <si>
    <t>MP10-8278</t>
  </si>
  <si>
    <t>BLK01,CSNSTORES,HDDS,JCPENNEY01,KOHLDSN,MACY02,OLLIIX,OVERSTOCK01,TGTDVS</t>
  </si>
  <si>
    <t>MP10-8298</t>
  </si>
  <si>
    <t>Stay Puffed</t>
  </si>
  <si>
    <t>Overfilled Down Alternative Comforter</t>
  </si>
  <si>
    <t>PP001902;PF006069</t>
  </si>
  <si>
    <t>MP10-8299</t>
  </si>
  <si>
    <t>9/12/2023</t>
  </si>
  <si>
    <t>MP21-8301</t>
  </si>
  <si>
    <t>PILLOWCASE</t>
  </si>
  <si>
    <t>Overfilled Pillow Protector Single Piece</t>
  </si>
  <si>
    <t>PP001903;PF006070</t>
  </si>
  <si>
    <t>AMAZON,MACY02,OVERSTOCK01,TGTDVS</t>
  </si>
  <si>
    <t>MP21-8300</t>
  </si>
  <si>
    <t>AMAZON,AMAZONDS,KOHLDSN,MACY02,OVERSTOCK01,TGTDVS</t>
  </si>
  <si>
    <t>TN10-0347</t>
  </si>
  <si>
    <t>True North by Sleep Philosophy</t>
  </si>
  <si>
    <t>Down Comforter Filler</t>
  </si>
  <si>
    <t>All Season Warmth</t>
  </si>
  <si>
    <t>Oversized 100% Cotton Down Comforter</t>
  </si>
  <si>
    <t>PP000931;PF004345</t>
  </si>
  <si>
    <t>12/14/2021</t>
  </si>
  <si>
    <t>TN10-0348</t>
  </si>
  <si>
    <t>7/13/2018</t>
  </si>
  <si>
    <t>5/9/2022</t>
  </si>
  <si>
    <t>TN10-0349</t>
  </si>
  <si>
    <t>CSNSTORES,JCPENNEY01,KOHLDSN,MACY02,OLLIIX,OVERSTOCK01,TGTDVS,WALMARTDS</t>
  </si>
  <si>
    <t>1/20/2022</t>
  </si>
  <si>
    <t>TN10-0539</t>
  </si>
  <si>
    <t>Heavy Warmth</t>
  </si>
  <si>
    <t>Goose Feather and Down Oversize Comforter</t>
  </si>
  <si>
    <t>PP001803;PF006107</t>
  </si>
  <si>
    <t>11/28/2023</t>
  </si>
  <si>
    <t>AMAZON,CSNSTORES,MACY02</t>
  </si>
  <si>
    <t>TN10-0540</t>
  </si>
  <si>
    <t>KOHLDSN,MACY02,OVERSTOCK01</t>
  </si>
  <si>
    <t>TN10-0541</t>
  </si>
  <si>
    <t>TN10-0536</t>
  </si>
  <si>
    <t>Light Grey</t>
  </si>
  <si>
    <t>PP001803;PF006106</t>
  </si>
  <si>
    <t>AMAZON,KOHLDSN,OVERSTOCK01</t>
  </si>
  <si>
    <t>TN10-0537</t>
  </si>
  <si>
    <t>AMAZON,KOHLDSN,MACY02</t>
  </si>
  <si>
    <t>TN10-0538</t>
  </si>
  <si>
    <t>TN10-0488</t>
  </si>
  <si>
    <t>PP001803;PF005794</t>
  </si>
  <si>
    <t>11/15/2022</t>
  </si>
  <si>
    <t>TN10-0489</t>
  </si>
  <si>
    <t>TN10-0490</t>
  </si>
  <si>
    <t>AMAZON,JCPENNEY01,KOHLDSN,MACY02,OLLIIX,TGTDVS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</si>
  <si>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</si>
  <si>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</si>
  <si>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</si>
  <si>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</si>
  <si>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</si>
  <si>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</si>
  <si>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</si>
  <si>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</si>
  <si>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</si>
  <si>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OLLIIX,TGTDVS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</si>
  <si>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</si>
  <si>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</si>
  <si>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</si>
  <si>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</si>
  <si>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</si>
  <si>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</si>
  <si>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AMAZON,CSNSTORES,JCPENNEY01,KOHLDSN,NRTPORT,OLLIIX,OVERSTOCK01</t>
  </si>
  <si>
    <t>MPS10-504</t>
  </si>
  <si>
    <t>PP001867;PF005967</t>
  </si>
  <si>
    <t>CSNSTORES,JCPENNEY01,OLLIIX,OVERSTOCK01</t>
  </si>
  <si>
    <t>MPS10-505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</si>
  <si>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</si>
  <si>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</si>
  <si>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</si>
  <si>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</si>
  <si>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</si>
  <si>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</si>
  <si>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</si>
  <si>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</si>
  <si>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</si>
  <si>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BLK01,JCPENNEY01,KOHLDSN,MACY02,OLLIIX,OVERSTOCK01,TGTDVS</t>
  </si>
  <si>
    <t>MPS10-101</t>
  </si>
  <si>
    <t>BLK01,JCPENNEY01,KOHLDSN,MACY02,OLLIIX,OVERSTOCK01,TGTDVS,ZOLA</t>
  </si>
  <si>
    <t>MPS12-512</t>
  </si>
  <si>
    <t>100% Cotton Sateen Embroidered Duvet Cover Set</t>
  </si>
  <si>
    <t>PP001868;PF005971</t>
  </si>
  <si>
    <t>CSNSTORES,NRTPORT,OVERSTOCK01</t>
  </si>
  <si>
    <t>MPS12-513</t>
  </si>
  <si>
    <t>MPS12-510</t>
  </si>
  <si>
    <t>PP001868;PF005970</t>
  </si>
  <si>
    <t>CSNSTORES,JCPENNEY01,KOHLDSN,NRTPORT,OLLIIX,OVERSTOCK01</t>
  </si>
  <si>
    <t>MPS12-511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</si>
  <si>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</si>
  <si>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</si>
  <si>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</si>
  <si>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</si>
  <si>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</si>
  <si>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</si>
  <si>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</si>
  <si>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</si>
  <si>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BLK01,CSNSTORES,DESINC,JCPENNEY01,KOHLDSN,MACY02,OLLIIX,OVERSTOCK01</t>
  </si>
  <si>
    <t>MP70-4172</t>
  </si>
  <si>
    <t>BATH</t>
  </si>
  <si>
    <t>SHOWER CURTAIN</t>
  </si>
  <si>
    <t>Shower Curtain</t>
  </si>
  <si>
    <t>Cotton Shower Curtain</t>
  </si>
  <si>
    <t>72x72"</t>
  </si>
  <si>
    <t>PF002647;PP001841</t>
  </si>
  <si>
    <t>AMAZON,AMAZONDS,BEALLSDS,CSNSTORES,HDDS,JCPENNEY01,KOHLDSN,MACY02,OLLIIX,OVERSTOCK01,TGTDVS,WALMARTDS</t>
  </si>
  <si>
    <t>6/20/2017</t>
  </si>
  <si>
    <t>MP70-644</t>
  </si>
  <si>
    <t>Faux Silk Embroidered Floral Shower Curtain</t>
  </si>
  <si>
    <t>AAFESDS,AMAZON,AMAZONDS,FINGERHUTDS,HDDS,HSNDS,JCPENNEY01,KOHLDSN,MACY02,NRTPORT,OVERSTOCK01,WALMARTDS</t>
  </si>
  <si>
    <t>MP70-1918</t>
  </si>
  <si>
    <t>AMAZON,AMAZONDS,BEALLSDS,CSNSTORES,HDDS,JCPENNEY01,KOHLDSN,MACY02,NRTPORT,OVERSTOCK01,TGTDVS,WALMARTDS</t>
  </si>
  <si>
    <t>MP70-3453</t>
  </si>
  <si>
    <t>PF003402;PP000505</t>
  </si>
  <si>
    <t>AMAZON,CSNSTORES,HDDS,JCPENNEY01,KOHLDSN,MACY02,NRTPORT,OVERSTOCK01,TGTDVS,WALMARTDS</t>
  </si>
  <si>
    <t>11/20/2016</t>
  </si>
  <si>
    <t>MP70-3452</t>
  </si>
  <si>
    <t>PF003404;PP000505</t>
  </si>
  <si>
    <t>AMAZON,CSNSTORES,HDDS,JCPENNEY01,KOHLDSN,MACY02,NRTPORT,OVERSTOCK01,TGTDVS</t>
  </si>
  <si>
    <t>MP70-4863</t>
  </si>
  <si>
    <t>PF003405;PP000505</t>
  </si>
  <si>
    <t>10/27/2017</t>
  </si>
  <si>
    <t>MP70-2978</t>
  </si>
  <si>
    <t>Amherst</t>
  </si>
  <si>
    <t>Eastridge</t>
  </si>
  <si>
    <t>Salem</t>
  </si>
  <si>
    <t>Faux Silk Shower Curtain</t>
  </si>
  <si>
    <t>PF002417;PP000373</t>
  </si>
  <si>
    <t>AAFESDS,AMAZON,AMAZONDS,CSNSTORES,DESINC,HDDS,JCPENNEY01,KIRKLANDDS,KOHLDSN,MACY02,NRTPORT,OLLIIX,OVERSTOCK01,TGTDVS,WALMARTDS</t>
  </si>
  <si>
    <t>MP70-221</t>
  </si>
  <si>
    <t>PF001362;PP000524</t>
  </si>
  <si>
    <t>AMAZON,AMAZONDS,CSNSTORES,JCPENNEY01,KOHLDSN,MACY02,OLLIIX,TGTDVS</t>
  </si>
  <si>
    <t>5/19/2016</t>
  </si>
  <si>
    <t>MP70-845</t>
  </si>
  <si>
    <t>Jacquard Shower Curtain</t>
  </si>
  <si>
    <t>AMAZON,CSNSTORES,FINGERHUTDS,JCPENNEY01,KOHLDSN,MACY02,OVERSTOCK01,TGTDVS,WALMARTDS</t>
  </si>
  <si>
    <t>MP70-224</t>
  </si>
  <si>
    <t>AMAZON,CSNSTORES,HSNDS,JCPENNEY01,KOHLDSN,MACY02,OVERSTOCK01,TGTDVS,WALMARTDS</t>
  </si>
  <si>
    <t>12/22/2016</t>
  </si>
  <si>
    <t>MP70-3034</t>
  </si>
  <si>
    <t>PF003393;PP000381</t>
  </si>
  <si>
    <t>MP70-3040</t>
  </si>
  <si>
    <t>PF003392;PP000487</t>
  </si>
  <si>
    <t>AMAZON,CSNSTORES,JCPENNEY01,KOHLDSN,MACY02,OVERSTOCK01,WALMARTDS</t>
  </si>
  <si>
    <t>MP70-3039</t>
  </si>
  <si>
    <t>5/12/2017</t>
  </si>
  <si>
    <t>AMAZON,AMAZONDS,CSNSTORES,HDDS,JCPENNEY01,KOHLDSN,MACY02,OVERSTOCK01,TGTDVS,WALMARTDS</t>
  </si>
  <si>
    <t>1/16/2017</t>
  </si>
  <si>
    <t>MP70-6631</t>
  </si>
  <si>
    <t>Vera</t>
  </si>
  <si>
    <t>Burnout Printed Shower Curtain</t>
  </si>
  <si>
    <t>PF004852;PP001360</t>
  </si>
  <si>
    <t>8/27/2019</t>
  </si>
  <si>
    <t>AMAZON,CSNSTORES,JCPENNEY01,KOHLDSN,MACY02,OVERSTOCK01,TGTDVS,WALMARTDS,ZOLA</t>
  </si>
  <si>
    <t>5/5/2021</t>
  </si>
  <si>
    <t>6/11/2021</t>
  </si>
  <si>
    <t>MP70-6630</t>
  </si>
  <si>
    <t>PF004834;PP001360</t>
  </si>
  <si>
    <t>12/13/2021</t>
  </si>
  <si>
    <t>MP70-4982</t>
  </si>
  <si>
    <t>Spa Waffle</t>
  </si>
  <si>
    <t>Shower Curtain with 3M Treatment</t>
  </si>
  <si>
    <t>108x72"</t>
  </si>
  <si>
    <t>9/20/2017</t>
  </si>
  <si>
    <t>AMAZON,CSNSTORES,HDDS,OVERSTOCK01,TGTDVS</t>
  </si>
  <si>
    <t>MP70-4981</t>
  </si>
  <si>
    <t>54x78"</t>
  </si>
  <si>
    <t>4/29/2024</t>
  </si>
  <si>
    <t>AMAZON,CSNSTORES,HDDS,JCPENNEY01,KOHLDSN,OLLIIX,OVERSTOCK01,TGTDVS,WALMARTDS</t>
  </si>
  <si>
    <t>MP70-4987</t>
  </si>
  <si>
    <t>72x84"</t>
  </si>
  <si>
    <t>AMAZON,CSNSTORES,HDDS,JCPENNEY01,KOHLDSN,MACY02,OVERSTOCK01,TGTDVS,ZOLA</t>
  </si>
  <si>
    <t>MP70-4977</t>
  </si>
  <si>
    <t>MP70-5669</t>
  </si>
  <si>
    <t xml:space="preserve">100% Cotton  Floral Printed Shower Curtain</t>
  </si>
  <si>
    <t>2/28/2018</t>
  </si>
  <si>
    <t>AMAZON,AMAZONDS,CSNSTORES,HDDS,JCPENNEY01,MACY02,OLLIIX,OVERSTOCK01,TGTDVS,WALMARTDS</t>
  </si>
  <si>
    <t>3/7/2018</t>
  </si>
  <si>
    <t>MP70-4246</t>
  </si>
  <si>
    <t>Quincy</t>
  </si>
  <si>
    <t>Pierce</t>
  </si>
  <si>
    <t>Printed Cotton Shower Curtain</t>
  </si>
  <si>
    <t>PF002722;PP001842</t>
  </si>
  <si>
    <t>Print</t>
  </si>
  <si>
    <t>BEALLSDS,CSNSTORES,DESINC,HDDS,JCPENNEY01,KOHLDSN,MACY02,NRTPORT,OLLIIX,OVERSTOCK01,TGTDVS,WALMARTDS</t>
  </si>
  <si>
    <t>MP70-3651</t>
  </si>
  <si>
    <t>Hope</t>
  </si>
  <si>
    <t>Abby</t>
  </si>
  <si>
    <t>Ruffled Shower Curtain</t>
  </si>
  <si>
    <t>6/13/2017</t>
  </si>
  <si>
    <t>AMAZON,AMAZONDS,HDDS,KOHLDSN,MACY02,NRTPORT,OLLIIX,OVERSTOCK01,TGTDVS,WALMARTDS</t>
  </si>
  <si>
    <t>MP70-6875</t>
  </si>
  <si>
    <t>AMAZON,CSNSTORES,JCPENNEY01,KOHLDSN,MACY02,OLLIIX,OVERSTOCK01,TGTDVS,WALMARTDS</t>
  </si>
  <si>
    <t>9/2/2020</t>
  </si>
  <si>
    <t>MP70-8085</t>
  </si>
  <si>
    <t>10/10/2022</t>
  </si>
  <si>
    <t>AMAZONDS,CSNSTORES,JCPENNEY01,MACY02,OVERSTOCK01,TGTDVS</t>
  </si>
  <si>
    <t>MP70-8084</t>
  </si>
  <si>
    <t>11/11/2022</t>
  </si>
  <si>
    <t>AMAZON,AMAZONDS,CSNSTORES,DESINC,JCPENNEY01,MACY02,OVERSTOCK01,TGTDVS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</si>
  <si>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</si>
  <si>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</si>
  <si>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</si>
  <si>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</si>
  <si>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</si>
  <si>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</si>
  <si>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AMAZON,CSNSTORES,HDDS,JCPENNEY01,KIRKLANDDS,KOHLDSN,MACY02,OLLIIX,OVERSTOCK01,TGTDVS,WALMARTDS,ZOLA</t>
  </si>
  <si>
    <t>5/19/2021</t>
  </si>
  <si>
    <t>MP70-6421</t>
  </si>
  <si>
    <t>Magnolia</t>
  </si>
  <si>
    <t>Sylvan</t>
  </si>
  <si>
    <t>Anise</t>
  </si>
  <si>
    <t>Floral Printed Burnout Shower Curtain</t>
  </si>
  <si>
    <t>PP001242</t>
  </si>
  <si>
    <t>AMAZON,CSNSTORES,HDDS,KOHLDSN,MACY02,OVERSTOCK01,TGTDVS,WALMARTDS</t>
  </si>
  <si>
    <t>11/19/2019</t>
  </si>
  <si>
    <t>1/16/2020</t>
  </si>
  <si>
    <t>MP70-645</t>
  </si>
  <si>
    <t>AMAZON,BEALLSDS,CSNSTORES,HSNDS,JCPENNEY01,KOHLDSN,MACY02,OLLIIX,OVERSTOCK01,TGTDVS,WALMARTDS</t>
  </si>
  <si>
    <t>MP70-6598</t>
  </si>
  <si>
    <t>Sophie</t>
  </si>
  <si>
    <t>Lauren</t>
  </si>
  <si>
    <t>Ashley</t>
  </si>
  <si>
    <t>PF001530;PP001619</t>
  </si>
  <si>
    <t>Polka Dots</t>
  </si>
  <si>
    <t>8/7/2019</t>
  </si>
  <si>
    <t>4/20/2022</t>
  </si>
  <si>
    <t>MP70-7471</t>
  </si>
  <si>
    <t>PF005439;PP001619</t>
  </si>
  <si>
    <t>4/16/2021</t>
  </si>
  <si>
    <t>AMAZON,CSNSTORES,JCPENNEY01,KOHLDSN,MACY02,OLLIIX,OVERSTOCK01,TGTDVS,ZOLA</t>
  </si>
  <si>
    <t>MP70-3467</t>
  </si>
  <si>
    <t>Anna</t>
  </si>
  <si>
    <t>Lydia</t>
  </si>
  <si>
    <t>Angie</t>
  </si>
  <si>
    <t>Sheer Shower Curtain</t>
  </si>
  <si>
    <t>PF001527</t>
  </si>
  <si>
    <t>MP70-6595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</si>
  <si>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</si>
  <si>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</si>
  <si>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</si>
  <si>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</si>
  <si>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</si>
  <si>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</si>
  <si>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</si>
  <si>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AMAZON,CSNSTORES,DESINC,FINGERHUTDS,HDDS,JCPENNEY01,KOHLDSN,MACY02,OLLIIX,OVERSTOCK01,TGTDVS</t>
  </si>
  <si>
    <t>5/20/2020</t>
  </si>
  <si>
    <t>MP70-7541</t>
  </si>
  <si>
    <t>PP001339;PF005493</t>
  </si>
  <si>
    <t>5/25/2021</t>
  </si>
  <si>
    <t>AMAZON,CSNSTORES,DESINC,HDDS,JCPENNEY01,KOHLDSN,MACY02,OLLIIX,OVERSTOCK01,TGTDVS</t>
  </si>
  <si>
    <t>MP70-7842</t>
  </si>
  <si>
    <t>MP70-2493</t>
  </si>
  <si>
    <t>PF003403;PP000407</t>
  </si>
  <si>
    <t>12/26/2016</t>
  </si>
  <si>
    <t>MP70-3038</t>
  </si>
  <si>
    <t>PF003408;PP000407</t>
  </si>
  <si>
    <t>7/6/2024</t>
  </si>
  <si>
    <t>AMAZON,BEALLSDS,CSNSTORES,HDDS,JCPENNEY01,KOHLDSN,MACY02,OVERSTOCK01,TGTDVS</t>
  </si>
  <si>
    <t>MP70-8302</t>
  </si>
  <si>
    <t>Embroidered Shower Curtain</t>
  </si>
  <si>
    <t>CSNSTORES,HDDS,MACY02,OLLIIX,OVERSTOCK01</t>
  </si>
  <si>
    <t>MP70-7543</t>
  </si>
  <si>
    <t>PF002605;PP000411</t>
  </si>
  <si>
    <t>MP70-5636</t>
  </si>
  <si>
    <t>Finley 100% Cotton Waffle Weave Textured Shower Curtain</t>
  </si>
  <si>
    <t>AMAZON,CSNSTORES,JCPENNEY01,KOHLDSN,MACY02,NRTPORT,OLLIIX,TGTDVS</t>
  </si>
  <si>
    <t>1/8/2019</t>
  </si>
  <si>
    <t>MP70-5822</t>
  </si>
  <si>
    <t>PF004254;PP000879</t>
  </si>
  <si>
    <t>Bohemian</t>
  </si>
  <si>
    <t>4/22/2018</t>
  </si>
  <si>
    <t>7/20/2018</t>
  </si>
  <si>
    <t>MP70-8150</t>
  </si>
  <si>
    <t>AMAZONDS,DESINC,KOHLDSN,MACY02,OVERSTOCK01,TGTDVS</t>
  </si>
  <si>
    <t>MP70-439</t>
  </si>
  <si>
    <t>Tufted Semi-Sheer Shower Curtain</t>
  </si>
  <si>
    <t>PF002430;PP000440</t>
  </si>
  <si>
    <t>AMAZON,CSNSTORES,HDDS,KOHLDSN,MACY02,OVERSTOCK01</t>
  </si>
  <si>
    <t>2/3/2017</t>
  </si>
  <si>
    <t>MP70-440</t>
  </si>
  <si>
    <t>AMAZON,CSNSTORES,DESINC,HDDS,KOHLDSN,MACY02,NRTPORT,TGTDVS</t>
  </si>
  <si>
    <t>MP70-438</t>
  </si>
  <si>
    <t>PF002422;PP000440</t>
  </si>
  <si>
    <t>AMAZON,AMAZONDS,CSNSTORES,DESINC,JCPENNEY01,KOHLDSN,MACY02,OLLIIX,OVERSTOCK01,TGTDVS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</si>
  <si>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</si>
  <si>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</si>
  <si>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</si>
  <si>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</si>
  <si>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</si>
  <si>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</si>
  <si>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</si>
  <si>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</si>
  <si>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AMAZON,CSNSTORES,DESINC,JCPENNEY01,KOHLDSN,MACY02,OLLIIX,OVERSTOCK01,TGTDVS</t>
  </si>
  <si>
    <t>MP70-6707</t>
  </si>
  <si>
    <t>AMAZON,CSNSTORES,HDDS,HOUZZ,JCPENNEY01,KOHLDSN,MACY02,OLLIIX,OVERSTOCK01,TGTDVS</t>
  </si>
  <si>
    <t>MP70-7542</t>
  </si>
  <si>
    <t>Norah</t>
  </si>
  <si>
    <t>Quinn</t>
  </si>
  <si>
    <t>Bridget</t>
  </si>
  <si>
    <t>Printed Floral Cotton Shower Curtain</t>
  </si>
  <si>
    <t>PP001644;PF005496</t>
  </si>
  <si>
    <t>8/30/2024</t>
  </si>
  <si>
    <t>AMAZON,CSNSTORES,JCPENNEY01,KOHLDSN,MACY02,NRTPORT,OLLIIX,OVERSTOCK01,TGTDVS</t>
  </si>
  <si>
    <t>MP72-3606</t>
  </si>
  <si>
    <t>BATH RUG</t>
  </si>
  <si>
    <t>Bath Rug</t>
  </si>
  <si>
    <t>Evan</t>
  </si>
  <si>
    <t>Ethan</t>
  </si>
  <si>
    <t>Jordan</t>
  </si>
  <si>
    <t>Cotton Tufted Bath Rug 24x40</t>
  </si>
  <si>
    <t>24x40"</t>
  </si>
  <si>
    <t>PF001520</t>
  </si>
  <si>
    <t>7/14/2017</t>
  </si>
  <si>
    <t>AMAZON,AMAZONDS,CSNSTORES,JCPENNEY01,KIRKLANDDS,KOHLDSN,MACY02,OLLIIX,OVERSTOCK01,TGTDVS,WALMARTDS</t>
  </si>
  <si>
    <t>1/3/2017</t>
  </si>
  <si>
    <t>MP72-3607</t>
  </si>
  <si>
    <t>Cotton Tufted Bath Rug 24x72</t>
  </si>
  <si>
    <t>24x72"</t>
  </si>
  <si>
    <t>AMAZON,AMAZONDS,CSNSTORES,HDDS,JCPENNEY01,KIRKLANDDS,KOHLDSN,MACY02,OLLIIX,OVERSTOCK01,TGTDVS,WALMARTDS</t>
  </si>
  <si>
    <t>MP72-6207</t>
  </si>
  <si>
    <t>Cotton Tufted Bath Rug 20x30</t>
  </si>
  <si>
    <t>20x30"</t>
  </si>
  <si>
    <t>PP001165;PF004655</t>
  </si>
  <si>
    <t>4/7/2019</t>
  </si>
  <si>
    <t>AMAZON,AMAZONDS,CSNSTORES,HOUZZ,JCPENNEY01,KIRKLANDDS,KOHLDSN,MACY02,OVERSTOCK01,TGTDVS</t>
  </si>
  <si>
    <t>12/7/2019</t>
  </si>
  <si>
    <t>MP72-6208</t>
  </si>
  <si>
    <t>AMAZON,AMAZONDS,CSNSTORES,HOUZZ,JCPENNEY01,KIRKLANDDS,KOHLDSN,MACY02,OLLIIX,OVERSTOCK01,TGTDVS,WALMARTDS</t>
  </si>
  <si>
    <t>8/12/2019</t>
  </si>
  <si>
    <t>MP72-6209</t>
  </si>
  <si>
    <t>AMAZON,AMAZONDS,CSNSTORES,HOUZZ,JCPENNEY01,KIRKLANDDS,KOHLDSN,MACY02,OLLIIX,OVERSTOCK01,TGTDVS</t>
  </si>
  <si>
    <t>MP72-3611</t>
  </si>
  <si>
    <t>PF001521</t>
  </si>
  <si>
    <t>AAFESDS,AMAZON,AMAZONDS,CSNSTORES,HDDS,JCPENNEY01,KOHLDSN,MACY02,OLLIIX,OVERSTOCK01,TGTDVS</t>
  </si>
  <si>
    <t>8/2/2018</t>
  </si>
  <si>
    <t>MP72-3612</t>
  </si>
  <si>
    <t>1/7/2019</t>
  </si>
  <si>
    <t>MP72-3564</t>
  </si>
  <si>
    <t>PF001522</t>
  </si>
  <si>
    <t>3/28/2017</t>
  </si>
  <si>
    <t>MP72-3566</t>
  </si>
  <si>
    <t>AMAZON,AMAZONDS,CSNSTORES,HDDS,JCPENNEY01,MACY02,OVERSTOCK01,TGTDVS</t>
  </si>
  <si>
    <t>2/1/2017</t>
  </si>
  <si>
    <t>MP72-7332</t>
  </si>
  <si>
    <t>PF005290</t>
  </si>
  <si>
    <t>2/4/2021</t>
  </si>
  <si>
    <t>MP72-7333</t>
  </si>
  <si>
    <t>MP72-7334</t>
  </si>
  <si>
    <t>MP72-4430</t>
  </si>
  <si>
    <t>Casablanca</t>
  </si>
  <si>
    <t>Marrakesh</t>
  </si>
  <si>
    <t>Tunisia</t>
  </si>
  <si>
    <t>Medallion Cotton Tufted Bath Rug</t>
  </si>
  <si>
    <t>PF001561</t>
  </si>
  <si>
    <t>AMAZON,HOUZZ,KOHLDSN,MACY02,OLLIIX,OVERSTOCK01,TGTDVS,WALMARTDS</t>
  </si>
  <si>
    <t>12/17/2017</t>
  </si>
  <si>
    <t>2/23/2018</t>
  </si>
  <si>
    <t>MP72-4431</t>
  </si>
  <si>
    <t>25"R</t>
  </si>
  <si>
    <t>AMAZON,AMAZONDS,HOUZZ,JCPENNEY01,KIRKLANDDS,KOHLDSN,MACY02,OLLIIX,OVERSTOCK01,TGTDVS,WALMARTDS</t>
  </si>
  <si>
    <t>6/8/2018</t>
  </si>
  <si>
    <t>MP72-4432</t>
  </si>
  <si>
    <t>Pink</t>
  </si>
  <si>
    <t>PF004736</t>
  </si>
  <si>
    <t>7/28/2019</t>
  </si>
  <si>
    <t>AMAZONDS,CSNSTORES,JCPENNEY01,KIRKLANDDS,KOHLDSN,MACY02,OLLIIX,OVERSTOCK01,TGTDVS</t>
  </si>
  <si>
    <t>8/31/2019</t>
  </si>
  <si>
    <t>MP72-1487</t>
  </si>
  <si>
    <t>Spa Cotton</t>
  </si>
  <si>
    <t>Reversible Bath Rug</t>
  </si>
  <si>
    <t>PF001449;PP000511</t>
  </si>
  <si>
    <t>AMAZON,AMAZONDS,BEALLSDS,CSNSTORES,DESINC,JCPENNEY01,KIRKLANDDS,KOHLDSN,MACY02,OVERSTOCK01,TGTDVS,WALMARTDS</t>
  </si>
  <si>
    <t>MP72-2491</t>
  </si>
  <si>
    <t>PF001449;PP000510</t>
  </si>
  <si>
    <t>AMAZONDS,CSNSTORES,KIRKLANDDS,KOHLDSN,MACY02,OLLIIX,OVERSTOCK01,TGTDVS</t>
  </si>
  <si>
    <t>MP72-1543</t>
  </si>
  <si>
    <t>27x45"</t>
  </si>
  <si>
    <t>MP72-1488</t>
  </si>
  <si>
    <t>PF001450;PP000511</t>
  </si>
  <si>
    <t>MP72-2492</t>
  </si>
  <si>
    <t>MP72-6210</t>
  </si>
  <si>
    <t>PP000511;PF004656</t>
  </si>
  <si>
    <t>4/9/2019</t>
  </si>
  <si>
    <t>AMAZON,AMAZONDS,CSNSTORES,HDDS,JCPENNEY01,KOHLDSN,MACY02,OLLIIX,OVERSTOCK01,TGTDVS,ZOLA</t>
  </si>
  <si>
    <t>9/23/2019</t>
  </si>
  <si>
    <t>MP72-6212</t>
  </si>
  <si>
    <t>AMAZONDS,CSNSTORES,HDDS,JCPENNEY01,KIRKLANDDS,KOHLDSN,MACY02,OVERSTOCK01,TGTDVS</t>
  </si>
  <si>
    <t>10/15/2019</t>
  </si>
  <si>
    <t>MP72-1558</t>
  </si>
  <si>
    <t>Cotton Tufted Bath Rug</t>
  </si>
  <si>
    <t>PF001435;PP000373</t>
  </si>
  <si>
    <t>Color Block</t>
  </si>
  <si>
    <t>AMAZON,FINGERHUTDS,HDDS,JCPENNEY01,KOHLDSN,MACY02,OLLIIX,OVERSTOCK01,TGTDVS</t>
  </si>
  <si>
    <t>MP72-1559</t>
  </si>
  <si>
    <t>AMAZONDS,FINGERHUTDS,HDDS,JCPENNEY01,KOHLDSN,OLLIIX,TGTDVS</t>
  </si>
  <si>
    <t>11/25/2016</t>
  </si>
  <si>
    <t>MP72-1048</t>
  </si>
  <si>
    <t>PF001434;PP000524</t>
  </si>
  <si>
    <t>AMAZON,AMAZONDS,JCPENNEY01,KOHLDSN,MACY02,OLLIIX,OVERSTOCK01,TGTDVS</t>
  </si>
  <si>
    <t>8/16/2017</t>
  </si>
  <si>
    <t>MP72-5075</t>
  </si>
  <si>
    <t>24x60"</t>
  </si>
  <si>
    <t>AMAZON,KOHLDSN,MACY02,OLLIIX,TGTDVS</t>
  </si>
  <si>
    <t>6/28/2018</t>
  </si>
  <si>
    <t>MP72-1541</t>
  </si>
  <si>
    <t>AMAZON,CSNSTORES,JCPENNEY01,KOHLDSN,MACY02,OLLIIX,TGTDVS</t>
  </si>
  <si>
    <t>MP72-6204</t>
  </si>
  <si>
    <t>PP000524;PF004654</t>
  </si>
  <si>
    <t>AMAZON,CSNSTORES,HDDS,JCPENNEY01,KIRKLANDDS,KOHLDSN,MACY02,OLLIIX,TGTDVS</t>
  </si>
  <si>
    <t>8/2/2019</t>
  </si>
  <si>
    <t>MP72-6206</t>
  </si>
  <si>
    <t>AMAZON,HDDS,JCPENNEY01,KIRKLANDDS,KOHLDSN,MACY02,OLLIIX,TGTDVS</t>
  </si>
  <si>
    <t>MP72-5843</t>
  </si>
  <si>
    <t>Reversible High Pile Tufted Bath Rug</t>
  </si>
  <si>
    <t>PP000384;PF004272</t>
  </si>
  <si>
    <t>4/10/2018</t>
  </si>
  <si>
    <t>AMAZON,BLK01,CSNSTORES,JCPENNEY01,KIRKLANDDS,KOHLDSN,MACY02,OLLIIX,OVERSTOCK01,TGTDVS</t>
  </si>
  <si>
    <t>2/12/2019</t>
  </si>
  <si>
    <t>MP72-5667</t>
  </si>
  <si>
    <t>Bittman</t>
  </si>
  <si>
    <t>Renu</t>
  </si>
  <si>
    <t>Reversible High Pile Tufted Microfiber Bath Rug</t>
  </si>
  <si>
    <t>21x34"</t>
  </si>
  <si>
    <t>PF004206;PP000860</t>
  </si>
  <si>
    <t>CSNSTORES,HDDS,JCPENNEY01,MACY02,OVERSTOCK01,TGTDVS</t>
  </si>
  <si>
    <t>8/5/2019</t>
  </si>
  <si>
    <t>11/14/2019</t>
  </si>
  <si>
    <t>MP72-5668</t>
  </si>
  <si>
    <t>MP72-5665</t>
  </si>
  <si>
    <t>PF004205;PP000860</t>
  </si>
  <si>
    <t>AMAZON,CSNSTORES,HDDS,HOUZZ,JCPENNEY01,KIRKLANDDS,KOHLDSN,MACY02,OLLIIX,OVERSTOCK01,TGTDVS</t>
  </si>
  <si>
    <t>8/9/2019</t>
  </si>
  <si>
    <t>MP72-5663</t>
  </si>
  <si>
    <t>PF004204;PP000860</t>
  </si>
  <si>
    <t>CSNSTORES,JCPENNEY01,KIRKLANDDS,KOHLDSN,MACY02,OLLIIX,OVERSTOCK01,TGTDVS</t>
  </si>
  <si>
    <t>MP72-5664</t>
  </si>
  <si>
    <t>AMAZON,CSNSTORES,FINGERHUTDS,HDDS,JCPENNEY01,KIRKLANDDS,KOHLDSN,MACY02,OLLIIX,OVERSTOCK01,TGTDVS</t>
  </si>
  <si>
    <t>2/17/2020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</si>
  <si>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</si>
  <si>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</si>
  <si>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</si>
  <si>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</si>
  <si>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</si>
  <si>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</si>
  <si>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</si>
  <si>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</si>
  <si>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AMAZON,CSNSTORES,HDDS,JCPENNEY01,KOHLDSN,MACY02,OVERSTOCK01,TGTDVS</t>
  </si>
  <si>
    <t>2/19/2019</t>
  </si>
  <si>
    <t>MP72-5830</t>
  </si>
  <si>
    <t>8/28/2018</t>
  </si>
  <si>
    <t>MP72-5826</t>
  </si>
  <si>
    <t>PP000880;PF004256</t>
  </si>
  <si>
    <t>5/15/2018</t>
  </si>
  <si>
    <t>AMAZON,CSNSTORES,HDDS,JCPENNEY01,MACY02,OLLIIX,TGTDVS</t>
  </si>
  <si>
    <t>11/1/2018</t>
  </si>
  <si>
    <t>MP72-5111</t>
  </si>
  <si>
    <t>Tufted Pearl Channel</t>
  </si>
  <si>
    <t>Rug</t>
  </si>
  <si>
    <t>9/23/2017</t>
  </si>
  <si>
    <t>HDDS,KOHLDSN,MACY02,OVERSCONSIGN,OVERSTOCK01,TGTDVS</t>
  </si>
  <si>
    <t>3/8/2019</t>
  </si>
  <si>
    <t>MP72-5112</t>
  </si>
  <si>
    <t>MP72-5113</t>
  </si>
  <si>
    <t>24x58"</t>
  </si>
  <si>
    <t>MP72-5105</t>
  </si>
  <si>
    <t>6/20/2024</t>
  </si>
  <si>
    <t>CSNSTORES,HOUZZ,JCPENNEY01,MACY02,OLLIIX,OVERSTOCK01,TGTDVS</t>
  </si>
  <si>
    <t>8/27/2020</t>
  </si>
  <si>
    <t>MP72-5106</t>
  </si>
  <si>
    <t>CSNSTORES,HOUZZ,JCPENNEY01,KOHLDSN,MACY02,OLLIIX,OVERSTOCK01,TGTDVS</t>
  </si>
  <si>
    <t>MP72-5108</t>
  </si>
  <si>
    <t>10/1/2018</t>
  </si>
  <si>
    <t>MP72-5109</t>
  </si>
  <si>
    <t>AMAZON,AMAZONDS,CSNSTORES,DESINC,HDDS,KOHLDSN,MACY02,OVERSTOCK01,TGTDVS</t>
  </si>
  <si>
    <t>8/3/2018</t>
  </si>
  <si>
    <t>MP72-5110</t>
  </si>
  <si>
    <t>AMAZONDS,CSNSTORES,HDDS,JCPENNEY01,KOHLDSN,MACY02,OVERSTOCK01,TGTDVS</t>
  </si>
  <si>
    <t>7/25/2018</t>
  </si>
  <si>
    <t>MP72-5102</t>
  </si>
  <si>
    <t>Wheat</t>
  </si>
  <si>
    <t>5/24/2019</t>
  </si>
  <si>
    <t>MP72-5103</t>
  </si>
  <si>
    <t>MP72-5104</t>
  </si>
  <si>
    <t>AMAZONDS,CSNSTORES,HDDS,JCPENNEY01,MACY02,OVERSTOCK01,TGTDVS</t>
  </si>
  <si>
    <t>MP71-4894</t>
  </si>
  <si>
    <t>BATH ACCESSORIES</t>
  </si>
  <si>
    <t>Bath Accessory</t>
  </si>
  <si>
    <t>Mosaic</t>
  </si>
  <si>
    <t>4 Piece Bath Accessory Set</t>
  </si>
  <si>
    <t>8/4/2017</t>
  </si>
  <si>
    <t>AMAZON,CSNSTORES,JCPENNEY01,MACY02,NRTPORT,OLLIIX,OVERSTOCK01,WALMARTDS</t>
  </si>
  <si>
    <t>8/28/2017</t>
  </si>
  <si>
    <t>1/29/2018</t>
  </si>
  <si>
    <t>MP73-7450</t>
  </si>
  <si>
    <t>FASHION TOWEL</t>
  </si>
  <si>
    <t>Bath Towel</t>
  </si>
  <si>
    <t>6 Piece Jacquard Towel Set</t>
  </si>
  <si>
    <t>6-Piece</t>
  </si>
  <si>
    <t>PF005431;PP001616</t>
  </si>
  <si>
    <t>MP73-7451</t>
  </si>
  <si>
    <t>PF005432;PP001616</t>
  </si>
  <si>
    <t>AMAZON,AMAZONDS,CSNSTORES,DESINC,JCPENNEY01,KOHLDSN,MACY02,NRTPORT,OVERSTOCK01,TGTDVS</t>
  </si>
  <si>
    <t>MP73-7907</t>
  </si>
  <si>
    <t>Embroidered Cotton Jacquard 6 Piece Towel Set</t>
  </si>
  <si>
    <t>PP000505</t>
  </si>
  <si>
    <t>AMAZON,AMAZONDS,CSNSTORES,HOUZZ,JCPENNEY01,KOHLDSN,MACY02,OLLIIX,OVERSTOCK01,TGTDVS</t>
  </si>
  <si>
    <t>MP73-7820</t>
  </si>
  <si>
    <t>1/11/2022</t>
  </si>
  <si>
    <t>AMAZON,AMAZONDS,JCPENNEY01,KOHLDSN,MACY02,NRTPORT,OLLIIX,OVERSTOCK01,TGTDVS</t>
  </si>
  <si>
    <t>MP73-7906</t>
  </si>
  <si>
    <t>MPE70-872</t>
  </si>
  <si>
    <t>Botanical Printed Shower Curtain</t>
  </si>
  <si>
    <t>AMAZON,AMAZONDS,CSNSTORES,JCPENNEY01,KIRKLANDDS,KOHLDSN,MACY02,OVERSTOCK01,TGTDVS,WALMARTDS</t>
  </si>
  <si>
    <t>2/14/2020</t>
  </si>
  <si>
    <t>MPE70-816</t>
  </si>
  <si>
    <t>Printed Floral Shower Curtain</t>
  </si>
  <si>
    <t>6/13/2019</t>
  </si>
  <si>
    <t>CSNSTORES,HDDS,JCPENNEY01,KOHLDSN,MACY02,OLLIIX,OVERSTOCK01,TGTDVS</t>
  </si>
  <si>
    <t>8/1/2019</t>
  </si>
  <si>
    <t>11/20/2019</t>
  </si>
  <si>
    <t>MPS72-384</t>
  </si>
  <si>
    <t>Marshmallow</t>
  </si>
  <si>
    <t>PF004336</t>
  </si>
  <si>
    <t>5/9/2018</t>
  </si>
  <si>
    <t>AMAZON,AMAZONDS,JCPENNEY01,KIRKLANDDS,KOHLDSN,MACY02,OLLIIX,OVERSCONSIGN,OVERSTOCK01,TGTDVS,WALMARTDS</t>
  </si>
  <si>
    <t>MPS72-385</t>
  </si>
  <si>
    <t>AMAZONDS,CSNSTORES,JCPENNEY01,KIRKLANDDS,KOHLDSN,MACY02,OLLIIX,OVERSTOCK01,TGTDVS,WALMARTDS</t>
  </si>
  <si>
    <t>MPS72-386</t>
  </si>
  <si>
    <t>AMAZON,CSNSTORES,HDDS,KIRKLANDDS,KOHLDSN,MACY02,OLLIIX,OVERSCONSIGN,OVERSTOCK01,TGTDVS</t>
  </si>
  <si>
    <t>MPS72-387</t>
  </si>
  <si>
    <t>Contour</t>
  </si>
  <si>
    <t>AMAZONDS,CSNSTORES,JCPENNEY01,KIRKLANDDS,KOHLDSN,MACY02,OVERSTOCK01,TGTDVS</t>
  </si>
  <si>
    <t>1/29/2020</t>
  </si>
  <si>
    <t>MPS72-171</t>
  </si>
  <si>
    <t>PF001511</t>
  </si>
  <si>
    <t>Luxury</t>
  </si>
  <si>
    <t>9/17/2018</t>
  </si>
  <si>
    <t>MPS72-173</t>
  </si>
  <si>
    <t>MPS72-478</t>
  </si>
  <si>
    <t>PP001623;PF005449</t>
  </si>
  <si>
    <t>5/24/2021</t>
  </si>
  <si>
    <t>AMAZON,AMAZONDS,CSNSTORES,JCPENNEY01,KIRKLANDDS,KOHLDSN,MACY02,OLLIIX,OVERSTOCK01,TGTDVS</t>
  </si>
  <si>
    <t>MPS72-479</t>
  </si>
  <si>
    <t>MPS72-480</t>
  </si>
  <si>
    <t>AMAZON,CSNSTORES,HDDS,KOHLDSN,MACY02,OVERSTOCK01,TGTDVS</t>
  </si>
  <si>
    <t>MPS72-481</t>
  </si>
  <si>
    <t>AMAZON,AMAZONDS,CSNSTORES,HDDS,KIRKLANDDS,KOHLDSN,MACY02,OVERSTOCK01,TGTDVS</t>
  </si>
  <si>
    <t>MPS72-166</t>
  </si>
  <si>
    <t>PF001510</t>
  </si>
  <si>
    <t>AMAZONDS,CSNSTORES,HDDS,JCPENNEY01,KIRKLANDDS,KOHLDSN,MACY02,OLLIIX,OVERSCONSIGN,OVERSTOCK01,TGTDVS</t>
  </si>
  <si>
    <t>MPS72-167</t>
  </si>
  <si>
    <t>AMAZONDS,CSNSTORES,HDDS,KIRKLANDDS,KOHLDSN,MACY02,OLLIIX,OVERSTOCK01,TGTDVS</t>
  </si>
  <si>
    <t>MPS72-168</t>
  </si>
  <si>
    <t>1/27/2017</t>
  </si>
  <si>
    <t>MPS72-169</t>
  </si>
  <si>
    <t>AMAZONDS,CSNSTORES,HDDS,HOUZZ,JCPENNEY01,KIRKLANDDS,KOHLDSN,MACY02,OLLIIX,OVERSTOCK01,TGTDVS</t>
  </si>
  <si>
    <t>MPS72-162</t>
  </si>
  <si>
    <t>PF001509</t>
  </si>
  <si>
    <t>4/13/2017</t>
  </si>
  <si>
    <t>MPS72-163</t>
  </si>
  <si>
    <t>MPS72-164</t>
  </si>
  <si>
    <t>MPS72-165</t>
  </si>
  <si>
    <t>MPS72-473</t>
  </si>
  <si>
    <t>Splendor</t>
  </si>
  <si>
    <t>100% Cotton Tufted 3000GSM Reversible Bath Rug</t>
  </si>
  <si>
    <t>PP001359;PF005276</t>
  </si>
  <si>
    <t>1/4/2021</t>
  </si>
  <si>
    <t>AMAZON,AMAZONDS,CSNSTORES,HDDS,JCPENNEY01,KIRKLANDDS,KOHLDSN,MACY02,OLLIIX,OVERSTOCK01,TGTDVS,ZOLA</t>
  </si>
  <si>
    <t>MPS72-474</t>
  </si>
  <si>
    <t>AMAZON,AMAZONDS,CSNSTORES,HDDS,JCPENNEY01,KIRKLANDDS,KOHLDSN,MACY02,OLLIIX,OVERSTOCK01,TGTDVS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</si>
  <si>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</si>
  <si>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</si>
  <si>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</si>
  <si>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</si>
  <si>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</si>
  <si>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</si>
  <si>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</si>
  <si>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JCPENNEY01,KOHLDSN,MACY02,OLLIIX,OVERSTOCK01,TGTDVS,WALMARTDS</t>
  </si>
  <si>
    <t>1/23/2018</t>
  </si>
  <si>
    <t>ID70-1292</t>
  </si>
  <si>
    <t>Grey/Silver</t>
  </si>
  <si>
    <t>PF001695;PP000896</t>
  </si>
  <si>
    <t>AMAZON,HDDS,JCPENNEY01,KOHLDSN,MACY02,NRTPORT,OLLIIX,OVERSTOCK01,TGTDVS,WALMARTDS</t>
  </si>
  <si>
    <t>10/11/2017</t>
  </si>
  <si>
    <t>ID91-525</t>
  </si>
  <si>
    <t>Nadia</t>
  </si>
  <si>
    <t>Laila</t>
  </si>
  <si>
    <t>Darcy</t>
  </si>
  <si>
    <t>Cotton Jacquard Bath Towel 6 Piece Set</t>
  </si>
  <si>
    <t>PF001471;PP000465</t>
  </si>
  <si>
    <t>8/5/2024</t>
  </si>
  <si>
    <t>AMAZON,BEALLSDS,HDDS,JCPENNEY01,KOHLDSN,MACY02,OLLIIX,TGTDVS</t>
  </si>
  <si>
    <t>3/1/2017</t>
  </si>
  <si>
    <t>WR70-1815</t>
  </si>
  <si>
    <t>100% Cotton Shower Curtain</t>
  </si>
  <si>
    <t>11/19/2021</t>
  </si>
  <si>
    <t>1/18/2022</t>
  </si>
  <si>
    <t>WR70-3902</t>
  </si>
  <si>
    <t>Pieced Cotton Shower Curtain</t>
  </si>
  <si>
    <t>11/10/2022</t>
  </si>
  <si>
    <t>AMAZONDS,JCPENNEY01,KOHLDSN,OVERSTOCK01,TGTDVS</t>
  </si>
  <si>
    <t>WR70-1814</t>
  </si>
  <si>
    <t>AMAZON,JCPENNEY01,KOHLDSN,MACY02</t>
  </si>
  <si>
    <t>12/6/2021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</si>
  <si>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</si>
  <si>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</si>
  <si>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</si>
  <si>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</si>
  <si>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</si>
  <si>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</si>
  <si>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</si>
  <si>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6/4/2020</t>
  </si>
  <si>
    <t>UH70-2312</t>
  </si>
  <si>
    <t>Brooklyn</t>
  </si>
  <si>
    <t>Maize</t>
  </si>
  <si>
    <t>Kay</t>
  </si>
  <si>
    <t>Cotton Jacquard Pom Pom Shower Curtain</t>
  </si>
  <si>
    <t>Indigo Blue</t>
  </si>
  <si>
    <t>PP000834;PF004684</t>
  </si>
  <si>
    <t>8/16/2021</t>
  </si>
  <si>
    <t>UH70-2242</t>
  </si>
  <si>
    <t>Brooklyn Cotton Jacquard Pom Pom Shower Curtain</t>
  </si>
  <si>
    <t>PF002471;PP000834</t>
  </si>
  <si>
    <t>12/27/2018</t>
  </si>
  <si>
    <t>AMAZON,JCPENNEY01,MACY02,TGTDVS</t>
  </si>
  <si>
    <t>8/8/2019</t>
  </si>
  <si>
    <t>5DS70-0231</t>
  </si>
  <si>
    <t>Donnell</t>
  </si>
  <si>
    <t>Shane</t>
  </si>
  <si>
    <t>Merissi</t>
  </si>
  <si>
    <t>Embroidered and Pieced Shower Curtain</t>
  </si>
  <si>
    <t>Black/Grey</t>
  </si>
  <si>
    <t>PP001563;PF005245</t>
  </si>
  <si>
    <t>CSNSTORES,DESINC,HDDS,JCPENNEY01,KOHLDSN,MACY02,OLLIIX,TGTDVS</t>
  </si>
  <si>
    <t>5DS70-0251</t>
  </si>
  <si>
    <t>Printed and Embroidered Shower Curtain</t>
  </si>
  <si>
    <t>5DS70-0094</t>
  </si>
  <si>
    <t>PF004214;PP001733</t>
  </si>
  <si>
    <t>AMAZON,AMAZONDS,BEALLSDS,CSNSTORES,JCPENNEY01,KOHLDSN,MACY02,OLLIIX,OVERSTOCK01,TGTDVS</t>
  </si>
  <si>
    <t>1/14/2019</t>
  </si>
  <si>
    <t>BR72-3766</t>
  </si>
  <si>
    <t>Beautyrest</t>
  </si>
  <si>
    <t>Plume</t>
  </si>
  <si>
    <t>Feather Touch Reversible Bath Rug</t>
  </si>
  <si>
    <t>PP001590;PF005340</t>
  </si>
  <si>
    <t>11/4/2022</t>
  </si>
  <si>
    <t>AMAZONDS,CSNSTORES,JCPENNEY01,MACY02,OLLIIX,OVERSTOCK01,TGTDVS,ZOLA</t>
  </si>
  <si>
    <t>BR72-3767</t>
  </si>
  <si>
    <t>AMAZONDS,JCPENNEY01,MACY02,OLLIIX,OVERSTOCK01,TGTDVS,ZOLA</t>
  </si>
  <si>
    <t>BR72-3768</t>
  </si>
  <si>
    <t>BR72-3876</t>
  </si>
  <si>
    <t>PP001590;PF005337</t>
  </si>
  <si>
    <t>AMAZONDS,JCPENNEY01,KOHLDSN,OLLIIX,OVERSTOCK01,TGTDVS,ZOLA</t>
  </si>
  <si>
    <t>BR72-3877</t>
  </si>
  <si>
    <t>BR72-3878</t>
  </si>
  <si>
    <t>AMAZONDS,JCPENNEY01,KOHLDSN,MACY02,OLLIIX,OVERSTOCK01,TGTDVS,ZOLA</t>
  </si>
  <si>
    <t>BR72-3763</t>
  </si>
  <si>
    <t>PP001590;PF005336</t>
  </si>
  <si>
    <t>AMAZONDS,JCPENNEY01,KOHLDSN,MACY02,OVERSTOCK01,TGTDVS,ZOLA</t>
  </si>
  <si>
    <t>BR72-3764</t>
  </si>
  <si>
    <t>BR72-3765</t>
  </si>
  <si>
    <t>AMAZONDS,CSNSTORES,JCPENNEY01,KOHLDSN,MACY02,OLLIIX,OVERSTOCK01,TGTDVS,ZOLA</t>
  </si>
  <si>
    <t>II72-1290</t>
  </si>
  <si>
    <t>Woven Texture Stripe Bath Rug</t>
  </si>
  <si>
    <t>22x58"</t>
  </si>
  <si>
    <t>PP001715;PF005629</t>
  </si>
  <si>
    <t>9/23/2023</t>
  </si>
  <si>
    <t>AMAZON,AMAZONDS,CSNSTORES,DESINC,KIRKLANDDS,KOHLDSN,MACY02,OLLIIX,OVERSTOCK01,TGTDVS,ZOLA</t>
  </si>
  <si>
    <t>II72-1226</t>
  </si>
  <si>
    <t>20x32"</t>
  </si>
  <si>
    <t>12/23/2021</t>
  </si>
  <si>
    <t>AMAZON,CSNSTORES,DESINC,JCPENNEY01,KIRKLANDDS,KOHLDSN,MACY02,OLLIIX,OVERSTOCK01,ZOLA</t>
  </si>
  <si>
    <t>II72-1291</t>
  </si>
  <si>
    <t>PP001715;PF005630</t>
  </si>
  <si>
    <t>9/26/2023</t>
  </si>
  <si>
    <t>AMAZONDS,CSNSTORES,KIRKLANDDS,KOHLDSN,MACY02,OLLIIX,OVERSTOCK01,TGTDVS,ZOLA</t>
  </si>
  <si>
    <t>II72-1227</t>
  </si>
  <si>
    <t>3/15/2022</t>
  </si>
  <si>
    <t>AMAZON,CSNSTORES,DESINC,JCPENNEY01,KIRKLANDDS,KOHLDSN,MACY02,OLLIIX,OVERSTOCK01,TGTDVS,ZOLA</t>
  </si>
  <si>
    <t>II70-779</t>
  </si>
  <si>
    <t>Cotton Printed Shower Curtain</t>
  </si>
  <si>
    <t>II70-541</t>
  </si>
  <si>
    <t>II70-780</t>
  </si>
  <si>
    <t>II70-1284</t>
  </si>
  <si>
    <t>Cotton Stripe Printed Shower Curtain with Tassel</t>
  </si>
  <si>
    <t>10/13/2022</t>
  </si>
  <si>
    <t>6/3/2024</t>
  </si>
  <si>
    <t>AMAZONDS,CSNSTORES,DESINC,HDDS,KIRKLANDDS,OVERSTOCK01,TGTDVS</t>
  </si>
  <si>
    <t>II70-1123</t>
  </si>
  <si>
    <t>Cotton Printed Shower Curtain with Chenille</t>
  </si>
  <si>
    <t>PF005067;PP001556</t>
  </si>
  <si>
    <t>10/30/2020</t>
  </si>
  <si>
    <t>AMAZON,AMAZONDS,CSNSTORES,DESINC,JCPENNEY01,KIRKLANDDS,KOHLDSN,MACY02,NRTPORT,OLLIIX,OVERSTOCK01,TGTDVS,ZOLA</t>
  </si>
  <si>
    <t>II70-1121</t>
  </si>
  <si>
    <t>PF004112;PP001556</t>
  </si>
  <si>
    <t>AMAZON,CSNSTORES,HDDS,JCPENNEY01,KIRKLANDDS,KOHLDSN,MACY02,NRTPORT,OLLIIX,OVERSTOCK01,TGTDVS</t>
  </si>
  <si>
    <t>II70-1120</t>
  </si>
  <si>
    <t>Cotton Printed Shower Curtain with Trims</t>
  </si>
  <si>
    <t>6/30/2020</t>
  </si>
  <si>
    <t>AMAZON,CSNSTORES,DESINC,JCPENNEY01,KIRKLANDDS,KOHLDSN,MACY02,OLLIIX,OVERSTOCK01,TGTDVS</t>
  </si>
  <si>
    <t>BR54-0175</t>
  </si>
  <si>
    <t>BLK</t>
  </si>
  <si>
    <t>ELECT BLANKET</t>
  </si>
  <si>
    <t>Electric Blanket</t>
  </si>
  <si>
    <t>Electric Micro Fleece</t>
  </si>
  <si>
    <t>Heated Blanket</t>
  </si>
  <si>
    <t>PF003606</t>
  </si>
  <si>
    <t>Fleece</t>
  </si>
  <si>
    <t>AMAZON,AMAZONDS,BLK01,KOHLDSN,OVERSTOCK01,TGTDVS</t>
  </si>
  <si>
    <t>12/31/2015</t>
  </si>
  <si>
    <t>9/30/2015</t>
  </si>
  <si>
    <t>BR54-0176</t>
  </si>
  <si>
    <t>AMAZON,BLK01,KOHLDSN,OLLIIX,OVERSTOCK01,TGTDVS</t>
  </si>
  <si>
    <t>12/7/2015</t>
  </si>
  <si>
    <t>BR54-0177</t>
  </si>
  <si>
    <t>AMAZON,BLK01,BLOOM02,HOUZZ,KOHLDSN,MACY02,OVERSTOCK01,TGTDVS,WALMARTDS</t>
  </si>
  <si>
    <t>9/14/2015</t>
  </si>
  <si>
    <t>BR54-0178</t>
  </si>
  <si>
    <t>AMAZONDS,OVERSTOCK01,TGTDVS,WALMARTDS</t>
  </si>
  <si>
    <t>3/2/2015</t>
  </si>
  <si>
    <t>BR54-0411</t>
  </si>
  <si>
    <t>PF003425</t>
  </si>
  <si>
    <t>4/12/2017</t>
  </si>
  <si>
    <t>AMAZON,KOHLDSN,TGTDVS,WALMARTDS</t>
  </si>
  <si>
    <t>BR54-0412</t>
  </si>
  <si>
    <t>10/17/2017</t>
  </si>
  <si>
    <t>AMAZON,CSNSTORES,MACY02,OLLIIX,OVERSTOCK01,TGTDVS,WALMARTDS</t>
  </si>
  <si>
    <t>BR54-0413</t>
  </si>
  <si>
    <t>KOHLDSN,OLLIIX,OVERSTOCK01,TGTDVS,WALMARTDS</t>
  </si>
  <si>
    <t>BR54-0414</t>
  </si>
  <si>
    <t>AMAZONDS,CSNSTORES,OLLIIX,OVERSTOCK01,TGTDVS,WALMARTDS</t>
  </si>
  <si>
    <t>BR54-0191</t>
  </si>
  <si>
    <t>PF003414</t>
  </si>
  <si>
    <t>AMAZON,MACY02,OVERSTOCK01,TGTDVS,WALMARTDS</t>
  </si>
  <si>
    <t>BR54-0192</t>
  </si>
  <si>
    <t>6/16/2015</t>
  </si>
  <si>
    <t>BR54-0193</t>
  </si>
  <si>
    <t>AMAZON,BLK01,KOHLDSN,OVERSTOCK01,TGTDVS,WALMARTDS</t>
  </si>
  <si>
    <t>4/17/2017</t>
  </si>
  <si>
    <t>BR54-0194</t>
  </si>
  <si>
    <t>AMAZON,AMAZONDS,BLK01,KOHLDSN,OVERSTOCK01,WALMARTDS</t>
  </si>
  <si>
    <t>7/7/2015</t>
  </si>
  <si>
    <t>BR54-0179</t>
  </si>
  <si>
    <t>PF003617</t>
  </si>
  <si>
    <t>AMAZON,OVERSTOCK01,WALMARTDS</t>
  </si>
  <si>
    <t>2/19/2015</t>
  </si>
  <si>
    <t>BR54-0180</t>
  </si>
  <si>
    <t>AMAZON,KOHLDSN,OVERSTOCK01,TGTDVS</t>
  </si>
  <si>
    <t>2/18/2016</t>
  </si>
  <si>
    <t>BR54-0181</t>
  </si>
  <si>
    <t>BR54-0182</t>
  </si>
  <si>
    <t>AMAZONDS,MACY02,OLLIIX,OVERSTOCK01,TGTDVS,WALMARTDS</t>
  </si>
  <si>
    <t>BR54-0187</t>
  </si>
  <si>
    <t>PF003639</t>
  </si>
  <si>
    <t>AMAZON,KOHLDSN,OVERSTOCK01,WALMARTDS</t>
  </si>
  <si>
    <t>3/3/2015</t>
  </si>
  <si>
    <t>BR54-0188</t>
  </si>
  <si>
    <t>AMAZON,BLK01,CSNSTORES,KOHLDSN,OVERSTOCK01,TGTDVS,WALMARTDS</t>
  </si>
  <si>
    <t>2/10/2017</t>
  </si>
  <si>
    <t>BR54-0189</t>
  </si>
  <si>
    <t>1/15/2015</t>
  </si>
  <si>
    <t>BR54-0190</t>
  </si>
  <si>
    <t>1/13/2015</t>
  </si>
  <si>
    <t>BR54-0183</t>
  </si>
  <si>
    <t>PF003628</t>
  </si>
  <si>
    <t>AMAZON,BLK01,HDDS,KOHLDSN,MACY02,OLLIIX,OVERSTOCK01,TGTDVS</t>
  </si>
  <si>
    <t>7/20/2019</t>
  </si>
  <si>
    <t>BR54-0184</t>
  </si>
  <si>
    <t>KOHLDSN,MACY02,NORDSTRACKDS,OVERSTOCK01,TGTDVS,WALMARTDS</t>
  </si>
  <si>
    <t>3/30/2016</t>
  </si>
  <si>
    <t>BR54-0185</t>
  </si>
  <si>
    <t>11/25/2015</t>
  </si>
  <si>
    <t>BR54-0186</t>
  </si>
  <si>
    <t>BR54-3258</t>
  </si>
  <si>
    <t>12/22/2021</t>
  </si>
  <si>
    <t>BR54-3259</t>
  </si>
  <si>
    <t>AMAZON,HDDS,KOHLDSN,OVERSTOCK01,TGTDVS</t>
  </si>
  <si>
    <t>BR54-3260</t>
  </si>
  <si>
    <t>BR54-3261</t>
  </si>
  <si>
    <t>BR54-0517</t>
  </si>
  <si>
    <t>Heated Plush</t>
  </si>
  <si>
    <t>Blanket</t>
  </si>
  <si>
    <t>Mink</t>
  </si>
  <si>
    <t>PF003418</t>
  </si>
  <si>
    <t>BR54-0518</t>
  </si>
  <si>
    <t>11/29/2017</t>
  </si>
  <si>
    <t>BR54-0519</t>
  </si>
  <si>
    <t>AMAZON,BLK01,FINGERHUTDS,KOHLDSN,MACY02,OVERSTOCK01,TGTDVS</t>
  </si>
  <si>
    <t>BR54-0520</t>
  </si>
  <si>
    <t>AAFESDS,AMAZON,BLK01,CSNSTORES,FINGERHUTDS,KOHLDSN,MACY02,OVERSTOCK01,TGTDVS,WALMARTDS</t>
  </si>
  <si>
    <t>3/16/2017</t>
  </si>
  <si>
    <t>BR54-0525</t>
  </si>
  <si>
    <t>PF003420</t>
  </si>
  <si>
    <t>AMAZON,CSNSTORES,KOHLDSN,MACY02,OVERSTOCK01,TGTDVS</t>
  </si>
  <si>
    <t>BR54-0526</t>
  </si>
  <si>
    <t>KOHLDSN,OVERSTOCK01</t>
  </si>
  <si>
    <t>BR54-0527</t>
  </si>
  <si>
    <t>11/4/2016</t>
  </si>
  <si>
    <t>BR54-0528</t>
  </si>
  <si>
    <t>FINGERHUTDS,MACY02,OVERSTOCK01,WALMARTDS</t>
  </si>
  <si>
    <t>BR54-0513</t>
  </si>
  <si>
    <t>PF003417</t>
  </si>
  <si>
    <t>BR54-0514</t>
  </si>
  <si>
    <t>AAFESDS,FINGERHUTDS,KOHLDSN,MACY02,OVERSTOCK01</t>
  </si>
  <si>
    <t>BR54-0515</t>
  </si>
  <si>
    <t>AAFESDS,AMAZON,BLK01,FINGERHUTDS,KOHLDSN,MACY02,OVERSTOCK01,TGTDVS,WALMARTDS</t>
  </si>
  <si>
    <t>BR54-0516</t>
  </si>
  <si>
    <t>AAFESDS,AMAZON,KOHLDSN,MACY02,OLLIIX,OVERSTOCK01,TGTDVS</t>
  </si>
  <si>
    <t>BR54-0521</t>
  </si>
  <si>
    <t>PF003419</t>
  </si>
  <si>
    <t>BR54-0522</t>
  </si>
  <si>
    <t>12/20/2016</t>
  </si>
  <si>
    <t>BR54-0523</t>
  </si>
  <si>
    <t>AAFESDS,AMAZON,BLK01,BLOOM02,KOHLDSN,MACY02,OVERSTOCK01,TGTDVS</t>
  </si>
  <si>
    <t>BR54-0524</t>
  </si>
  <si>
    <t>AAFESDS,AMAZON,MACY02,OLLIIX,OVERSTOCK01,TGTDVS,WALMARTDS</t>
  </si>
  <si>
    <t>BR54-0658</t>
  </si>
  <si>
    <t>Sapphire Blue</t>
  </si>
  <si>
    <t>PF003422</t>
  </si>
  <si>
    <t>11/1/2017</t>
  </si>
  <si>
    <t>BR54-0659</t>
  </si>
  <si>
    <t>BLK01,CSNSTORES,FINGERHUTDS,KOHLDSN,MACY02,OVERSCONSIGN,OVERSTOCK01,TGTDVS</t>
  </si>
  <si>
    <t>BR54-0660</t>
  </si>
  <si>
    <t>AMAZON,HDDS,HSNDS,KOHLDSN,NORDSTRACKDS,OVERSTOCK01,TGTDVS</t>
  </si>
  <si>
    <t>BR54-0661</t>
  </si>
  <si>
    <t>BLK01,BRANDX,FINGERHUTDS,KOHLDSN,NORDSTRACKDS,OVERSTOCK01,TGTDVS,WALMARTDS</t>
  </si>
  <si>
    <t>BR54-0654</t>
  </si>
  <si>
    <t>Lavender</t>
  </si>
  <si>
    <t>PF003421</t>
  </si>
  <si>
    <t>BR54-0655</t>
  </si>
  <si>
    <t>DESINC,MACY02,OLLIIX,TGTDVS</t>
  </si>
  <si>
    <t>BR54-0656</t>
  </si>
  <si>
    <t>KOHLDSN,MACY02,OVERSTOCK01,WALMARTDS</t>
  </si>
  <si>
    <t>BR54-0657</t>
  </si>
  <si>
    <t>BR54-0903</t>
  </si>
  <si>
    <t>PF004401</t>
  </si>
  <si>
    <t>AAFESDS,AMAZON,KOHLDSN,OVERSTOCK01,WALMARTDS</t>
  </si>
  <si>
    <t>10/9/2019</t>
  </si>
  <si>
    <t>BR54-0904</t>
  </si>
  <si>
    <t>BR54-0905</t>
  </si>
  <si>
    <t>AMAZON,BLK01,KOHLDSN,OVERSTOCK01</t>
  </si>
  <si>
    <t>5/6/2019</t>
  </si>
  <si>
    <t>BR54-0906</t>
  </si>
  <si>
    <t>2/28/2019</t>
  </si>
  <si>
    <t>3/18/2019</t>
  </si>
  <si>
    <t>BR54-0907</t>
  </si>
  <si>
    <t>PF004402</t>
  </si>
  <si>
    <t>AMAZON,HDDS,OVERSTOCK01</t>
  </si>
  <si>
    <t>BR54-0908</t>
  </si>
  <si>
    <t>6/19/2019</t>
  </si>
  <si>
    <t>BR54-0909</t>
  </si>
  <si>
    <t>AMAZON,HDDS,KOHLDSN,OVERSTOCK01</t>
  </si>
  <si>
    <t>BR54-0910</t>
  </si>
  <si>
    <t>BR54-1932</t>
  </si>
  <si>
    <t>PP001522;PF005167</t>
  </si>
  <si>
    <t>9/28/2020</t>
  </si>
  <si>
    <t>AMAZONDS,FINGERHUTDS,OVERSTOCK01</t>
  </si>
  <si>
    <t>BR54-1933</t>
  </si>
  <si>
    <t>FINGERHUTDS,KOHLDSN,MACY02,OVERSTOCK01,TGTDVS</t>
  </si>
  <si>
    <t>BR54-1934</t>
  </si>
  <si>
    <t>9/16/2020</t>
  </si>
  <si>
    <t>AMAZONDS,FINGERHUTDS,KOHLDSN,MACY02,OVERSTOCK01,TGTDVS</t>
  </si>
  <si>
    <t>BR54-1935</t>
  </si>
  <si>
    <t>AMAZON,CSNSTORES,FINGERHUTDS,KOHLDSN,MACY02,OVERSTOCK01</t>
  </si>
  <si>
    <t>BR54-1928</t>
  </si>
  <si>
    <t>PP001522;PF005166</t>
  </si>
  <si>
    <t>BR54-1929</t>
  </si>
  <si>
    <t>BR54-1930</t>
  </si>
  <si>
    <t>BR54-1931</t>
  </si>
  <si>
    <t>BLK01,FINGERHUTDS,HDDS,KOHLDSN,MACY02</t>
  </si>
  <si>
    <t>BR54-0381</t>
  </si>
  <si>
    <t>Heated Microlight to Berber</t>
  </si>
  <si>
    <t>PF003602</t>
  </si>
  <si>
    <t>Berber</t>
  </si>
  <si>
    <t>10/14/2015</t>
  </si>
  <si>
    <t>BR54-0383</t>
  </si>
  <si>
    <t>AMAZON,AMAZONDS,KOHLDSN,MACY02,OLLIIX,OVERSTOCK01,WALMARTDS</t>
  </si>
  <si>
    <t>11/9/2015</t>
  </si>
  <si>
    <t>BR54-0416</t>
  </si>
  <si>
    <t>PF003605</t>
  </si>
  <si>
    <t>AMAZON,HDDS,KOHLDSN,TGTDVS</t>
  </si>
  <si>
    <t>BR54-0417</t>
  </si>
  <si>
    <t>BR54-0419</t>
  </si>
  <si>
    <t>AMAZON,CSNSTORES,KOHLDSN,MACY02,OLLIIX,OVERSTOCK01,TGTDVS,WALMARTDS</t>
  </si>
  <si>
    <t>11/8/2016</t>
  </si>
  <si>
    <t>BR54-0390</t>
  </si>
  <si>
    <t>PF003604</t>
  </si>
  <si>
    <t>AMAZON,OLLIIX,TGTDVS</t>
  </si>
  <si>
    <t>BR54-0391</t>
  </si>
  <si>
    <t>11/2/2015</t>
  </si>
  <si>
    <t>BR54-0392</t>
  </si>
  <si>
    <t>4/20/2017</t>
  </si>
  <si>
    <t>AMAZON,AMAZONDS,HDDS,MACY02,WALMARTDS</t>
  </si>
  <si>
    <t>11/12/2015</t>
  </si>
  <si>
    <t>BR54-0386</t>
  </si>
  <si>
    <t>Chocolate</t>
  </si>
  <si>
    <t>PF003603</t>
  </si>
  <si>
    <t>AMAZON,AMAZONDS,MACY02,OVERSTOCK01,WALMARTDS</t>
  </si>
  <si>
    <t>BR54-0387</t>
  </si>
  <si>
    <t>7/31/2015</t>
  </si>
  <si>
    <t>BR54-0388</t>
  </si>
  <si>
    <t>AMAZON,AMAZONDS,CSNSTORES,OVERSTOCK01,WALMARTDS</t>
  </si>
  <si>
    <t>11/30/2015</t>
  </si>
  <si>
    <t>BR54-0646</t>
  </si>
  <si>
    <t>PF003607</t>
  </si>
  <si>
    <t>AMAZON,HDDS,KOHLDSN,MACY02,OVERSTOCK01,TGTDVS,WALMARTDS</t>
  </si>
  <si>
    <t>10/19/2017</t>
  </si>
  <si>
    <t>BR54-0647</t>
  </si>
  <si>
    <t>BR54-0648</t>
  </si>
  <si>
    <t>AMAZON,CSNSTORES,DESINC,KOHLDSN,OVERSTOCK01</t>
  </si>
  <si>
    <t>12/18/2016</t>
  </si>
  <si>
    <t>BR54-0649</t>
  </si>
  <si>
    <t>AMAZON,CSNSTORES,HDDS,OLLIIX,OVERSTOCK01,TGTDVS</t>
  </si>
  <si>
    <t>12/21/2016</t>
  </si>
  <si>
    <t>BR54-0377</t>
  </si>
  <si>
    <t>PF003601</t>
  </si>
  <si>
    <t>BR54-0378</t>
  </si>
  <si>
    <t>BR54-0379</t>
  </si>
  <si>
    <t>AMAZON,KOHLDSN,OLLIIX,OVERSTOCK01</t>
  </si>
  <si>
    <t>10/21/2015</t>
  </si>
  <si>
    <t>BR54-0653</t>
  </si>
  <si>
    <t>PF003608</t>
  </si>
  <si>
    <t>AMAZON,CSNSTORES,HDDS,MACY02,OVERSTOCK01</t>
  </si>
  <si>
    <t>BR54-1941</t>
  </si>
  <si>
    <t>PP001523;PF005169</t>
  </si>
  <si>
    <t>BR54-1942</t>
  </si>
  <si>
    <t>BR54-1943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</si>
  <si>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</si>
  <si>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</si>
  <si>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</si>
  <si>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</si>
  <si>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</si>
  <si>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</si>
  <si>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</si>
  <si>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</si>
  <si>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</si>
  <si>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</si>
  <si>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</si>
  <si>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CSNSTORES,JCPENNEY01,MACY02,OLLIIX</t>
  </si>
  <si>
    <t>BR54-4131</t>
  </si>
  <si>
    <t>JCPENNEY01</t>
  </si>
  <si>
    <t>BR54-0538</t>
  </si>
  <si>
    <t>Electric Throw</t>
  </si>
  <si>
    <t>Heated Ogee</t>
  </si>
  <si>
    <t>Throw</t>
  </si>
  <si>
    <t>60x70"</t>
  </si>
  <si>
    <t>PF003424</t>
  </si>
  <si>
    <t>AMAZON,AMAZONDS,CSNSTORES,HDDS,HSNDS,KOHLDSN,NORDSTRACKDS,OVERSTOCK01,TGTDVS,WALMARTDS</t>
  </si>
  <si>
    <t>BR54-0539</t>
  </si>
  <si>
    <t>PF003426</t>
  </si>
  <si>
    <t>BR54-0541</t>
  </si>
  <si>
    <t>PF003428</t>
  </si>
  <si>
    <t>BR54-0308</t>
  </si>
  <si>
    <t>PF003569</t>
  </si>
  <si>
    <t>AMAZON,AMAZONDS,CSNSTORES,HDDS,KOHLDSN,OLLIIX,TGTDVS,WALMARTDS</t>
  </si>
  <si>
    <t>BR54-0415</t>
  </si>
  <si>
    <t>PF003574</t>
  </si>
  <si>
    <t>AMAZON,AMAZONDS,CSNSTORES,FINGERHUTDS,HSNDS,KOHLDSN,NORDSTRACKDS,OVERSTOCK01,TGTDVS,WALMARTDS,ZOLA</t>
  </si>
  <si>
    <t>BR54-0311</t>
  </si>
  <si>
    <t>PF003572</t>
  </si>
  <si>
    <t>AMAZON,CSNSTORES,FINGERHUTDS,HDDS,MACY02,OLLIIX,OVERSTOCK01,WALMARTDS</t>
  </si>
  <si>
    <t>BR54-0309</t>
  </si>
  <si>
    <t>PF003570</t>
  </si>
  <si>
    <t>BR54-0310</t>
  </si>
  <si>
    <t>PF003571</t>
  </si>
  <si>
    <t>BR54-0663</t>
  </si>
  <si>
    <t>PF003576</t>
  </si>
  <si>
    <t>AMAZON,AMAZONDS,CSNSTORES,FINGERHUTDS,HDDS,HSNDS,KOHLDSN,MACY02,OVERSTOCK01</t>
  </si>
  <si>
    <t>11/17/2016</t>
  </si>
  <si>
    <t>BR54-0662</t>
  </si>
  <si>
    <t>PF003575</t>
  </si>
  <si>
    <t>AMAZON,CSNSTORES,FINGERHUTDS,HSNDS,MACY02,TGTDVS</t>
  </si>
  <si>
    <t>12/8/2016</t>
  </si>
  <si>
    <t>BR54-1927</t>
  </si>
  <si>
    <t>AMAZON,HDDS,MACY02,NORDSTRACKDS,OVERSTOCK01,TGTDVS</t>
  </si>
  <si>
    <t>BR54-1926</t>
  </si>
  <si>
    <t>PP001523;PF005168</t>
  </si>
  <si>
    <t>AMAZON,HDDS,KOHLDSN,MACY02,OVERSTOCK01,TGTDVS</t>
  </si>
  <si>
    <t>BR50-0753</t>
  </si>
  <si>
    <t>Heated Duke</t>
  </si>
  <si>
    <t>Faux Fur Heated Throw</t>
  </si>
  <si>
    <t>PF003463</t>
  </si>
  <si>
    <t>Faux Fur</t>
  </si>
  <si>
    <t>AMAZON,JCPENNEY01,MACY02,NORDSTRACKDS,OLLIIX,OVERSTOCK01,TGTDVS,WALMARTDS,ZOLA</t>
  </si>
  <si>
    <t>BR50-0750</t>
  </si>
  <si>
    <t>PF003460</t>
  </si>
  <si>
    <t>BR50-0751</t>
  </si>
  <si>
    <t>PF003461</t>
  </si>
  <si>
    <t>BR54-0531</t>
  </si>
  <si>
    <t>AMAZON,CSNSTORES,HDDS,KOHLDSN,MACY02,NORDSTRACKDS,OVERSTOCK01,TGTDVS,WALMARTDS</t>
  </si>
  <si>
    <t>BR54-1923</t>
  </si>
  <si>
    <t>PF004401;PP001522</t>
  </si>
  <si>
    <t>AMAZON,KOHLDSN,MACY02,NORDSTRACKDS,OVERSTOCK01,TGTDVS</t>
  </si>
  <si>
    <t>BR54-0529</t>
  </si>
  <si>
    <t>AMAZON,BLK01,CSNSTORES,HDDS,KOHLDSN,MACY02,OLLIIX,OVERSTOCK01,TGTDVS</t>
  </si>
  <si>
    <t>BR54-0665</t>
  </si>
  <si>
    <t>OVERSCONSIGN</t>
  </si>
  <si>
    <t>10/28/2016</t>
  </si>
  <si>
    <t>BR54-0530</t>
  </si>
  <si>
    <t>BR54-1925</t>
  </si>
  <si>
    <t>AMAZON,CSNSTORES,DESINC,HDDS,KOHLDSN,MACY02,OVERSTOCK01,TGTDVS</t>
  </si>
  <si>
    <t>BR54-0664</t>
  </si>
  <si>
    <t>BLK01,CSNSTORES,HDDS,KOHLDSN,MACY02,OLLIIX,OVERSTOCK01,TGTDVS</t>
  </si>
  <si>
    <t>BR54-1924</t>
  </si>
  <si>
    <t>AMAZON,BLK01,CSNSTORES,HDDS,KOHLDSN,MACY02,NORDSTRACKDS,OVERSTOCK01,TGTDVS</t>
  </si>
  <si>
    <t>BR54-2863</t>
  </si>
  <si>
    <t>Zuri</t>
  </si>
  <si>
    <t>Marselle</t>
  </si>
  <si>
    <t>Oversized Faux Fur Heated Throw</t>
  </si>
  <si>
    <t>PP000539;PF004618</t>
  </si>
  <si>
    <t>7/16/2021</t>
  </si>
  <si>
    <t>BIGLOTSDS,CSNSTORES,FINGERHUTDS,KOHLDSN,MACY02,NORDSTRACKDS,OVERSTOCK01,TGTDVS</t>
  </si>
  <si>
    <t>BR54-0853</t>
  </si>
  <si>
    <t>PF003516</t>
  </si>
  <si>
    <t>BIGLOTSDS,BLK01,CSNSTORES,FINGERHUTDS,HDDS,JCPENNEY01,KIRKLANDDS,MACY02,OLLIIX,OVERSTOCK01,TGTDVS</t>
  </si>
  <si>
    <t>BR54-4181</t>
  </si>
  <si>
    <t>PP000539;PF006059</t>
  </si>
  <si>
    <t>11/7/2023</t>
  </si>
  <si>
    <t>AMAZON,AMAZONDS,KOHLDSN,MACY02,OLLIIX,OVERSTOCK01</t>
  </si>
  <si>
    <t>BR54-0859</t>
  </si>
  <si>
    <t>PP000539;PF004296</t>
  </si>
  <si>
    <t>5/14/2018</t>
  </si>
  <si>
    <t>7/3/2019</t>
  </si>
  <si>
    <t>BR54-4182</t>
  </si>
  <si>
    <t>Grey Leopard</t>
  </si>
  <si>
    <t>PP000539;PF006060</t>
  </si>
  <si>
    <t>BR54-1370</t>
  </si>
  <si>
    <t>Grey/Blue</t>
  </si>
  <si>
    <t>PP001364;PF004861</t>
  </si>
  <si>
    <t>AMAZON,BIGLOTSDS,CSNSTORES,FINGERHUTDS,HDDS,JCPENNEY01,KOHLDSN,MACY02,OLLIIX,OVERSTOCK01,TGTDVS</t>
  </si>
  <si>
    <t>BR54-1371</t>
  </si>
  <si>
    <t>Natural Marble</t>
  </si>
  <si>
    <t>PP001364;PF004862</t>
  </si>
  <si>
    <t>10/8/2019</t>
  </si>
  <si>
    <t>BR54-0860</t>
  </si>
  <si>
    <t>PP000539;PF004297</t>
  </si>
  <si>
    <t>BR55-3064</t>
  </si>
  <si>
    <t>ELEC MATT PAD</t>
  </si>
  <si>
    <t>Elect Matt Pad</t>
  </si>
  <si>
    <t>Cotton Deep Pocket Heated Mattress Pad-20 Heat Settings</t>
  </si>
  <si>
    <t>12/1/2021</t>
  </si>
  <si>
    <t>AMAZON,JCPENNEY01,KOHLDSN,OVERSTOCK01</t>
  </si>
  <si>
    <t>BR55-3065</t>
  </si>
  <si>
    <t>BR55-0900</t>
  </si>
  <si>
    <t>PF004400</t>
  </si>
  <si>
    <t>10/29/2018</t>
  </si>
  <si>
    <t>9/17/2019</t>
  </si>
  <si>
    <t>BR55-0901</t>
  </si>
  <si>
    <t>AMAZON,BLK01,CSNSTORES,DESINC,JCPENNEY01,KOHLDSN,MACY02,OLLIIX,OVERSTOCK01,TGTDVS,WALMARTDS</t>
  </si>
  <si>
    <t>BR55-0198</t>
  </si>
  <si>
    <t>Cotton Blend</t>
  </si>
  <si>
    <t>Heated Mattress Pad</t>
  </si>
  <si>
    <t>PF003436</t>
  </si>
  <si>
    <t>BR55-0671</t>
  </si>
  <si>
    <t>2/9/2017</t>
  </si>
  <si>
    <t>BR55-0199</t>
  </si>
  <si>
    <t>AMAZON,CSNSTORES,KOHLDSN,MACY02,WALMARTDS</t>
  </si>
  <si>
    <t>BR55-0200</t>
  </si>
  <si>
    <t>AMAZON,CSNSTORES,HDDS,JCPENNEY01,KOHLDSN,MACY02,OVERSTOCK01,TGTDVS,WALMARTDS</t>
  </si>
  <si>
    <t>BR55-0201</t>
  </si>
  <si>
    <t>BR55-0202</t>
  </si>
  <si>
    <t>BR55-0533</t>
  </si>
  <si>
    <t>Heated Microfiber</t>
  </si>
  <si>
    <t>Heated Mattress Pad with 3M Scotchgard</t>
  </si>
  <si>
    <t>PF003423</t>
  </si>
  <si>
    <t>AMAZON,BLK01,CSNSTORES,HDDS,JCPENNEY01,KOHLDSN,MACY02,OVERSTOCK01,TGTDVS,WALMARTDS</t>
  </si>
  <si>
    <t>BR55-0534</t>
  </si>
  <si>
    <t>AMAZON,ASHFURNDS,BLK01,HSNDS,JCPENNEY01,KOHLDSN,MACY02,OVERSTOCK01,TGTDVS,WALMARTDS</t>
  </si>
  <si>
    <t>BR55-0535</t>
  </si>
  <si>
    <t>BR55-0536</t>
  </si>
  <si>
    <t>5/6/2017</t>
  </si>
  <si>
    <t>AMAZON,AMAZONDS,ASHFURNDS,BLK01,CSNSTORES,DESINC,HDDS,JCPENNEY01,KOHLDSN,MACY02,OVERSTOCK01,TGTDVS,WALMARTDS</t>
  </si>
  <si>
    <t>1/4/2016</t>
  </si>
  <si>
    <t>BR55-0537</t>
  </si>
  <si>
    <t>BR55-4071</t>
  </si>
  <si>
    <t>Cool Touch</t>
  </si>
  <si>
    <t>PP001881;PF005998</t>
  </si>
  <si>
    <t>BR55-4072</t>
  </si>
  <si>
    <t>BR55-4073</t>
  </si>
  <si>
    <t>CSNSTORES,JCPENNEY01,KOHLDSN,TGTDVS</t>
  </si>
  <si>
    <t>BR55-4074</t>
  </si>
  <si>
    <t>DESINC,HDDS,JCPENNEY01,KOHLDSN,MACY02,OVERSCONSIGN,TGTDVS</t>
  </si>
  <si>
    <t>BR55-4075</t>
  </si>
  <si>
    <t>BR55-4076</t>
  </si>
  <si>
    <t>BR51N-3831</t>
  </si>
  <si>
    <t>Waffle Weave</t>
  </si>
  <si>
    <t>Cotton Blanket</t>
  </si>
  <si>
    <t>PP001817;PF005834</t>
  </si>
  <si>
    <t>11/21/2022</t>
  </si>
  <si>
    <t>BR51N-3832</t>
  </si>
  <si>
    <t>AMAZONDS,BLK01,JCPENNEY01,KOHLDSN,MACY02,OLLIIX,OVERSTOCK01,TGTDVS,ZOLA</t>
  </si>
  <si>
    <t>BR51N-3833</t>
  </si>
  <si>
    <t>BR51N-3834</t>
  </si>
  <si>
    <t>PP001817;PF005835</t>
  </si>
  <si>
    <t>AMAZONDS,BLK01,JCPENNEY01,MACY02,OVERSTOCK01</t>
  </si>
  <si>
    <t>BR51N-3835</t>
  </si>
  <si>
    <t>11/23/2022</t>
  </si>
  <si>
    <t>AMAZONDS,CSNSTORES,JCPENNEY01,KOHLDSN,MACY02,OLLIIX,OVERSCONSIGN,OVERSTOCK01,TGTDVS,ZOLA</t>
  </si>
  <si>
    <t>BR51N-3836</t>
  </si>
  <si>
    <t>CSNSTORES,JCPENNEY01,KOHLDSN,MACY02,OLLIIX,OVERSTOCK01,TGTDVS,ZOLA</t>
  </si>
  <si>
    <t>BR51N-3828</t>
  </si>
  <si>
    <t>PP001817;PF005833</t>
  </si>
  <si>
    <t>AMAZONDS,JCPENNEY01,MACY02,OVERSTOCK01,TGTDVS</t>
  </si>
  <si>
    <t>BR51N-3829</t>
  </si>
  <si>
    <t>BR51N-3830</t>
  </si>
  <si>
    <t>BR51N-3825</t>
  </si>
  <si>
    <t>PP001817;PF005832</t>
  </si>
  <si>
    <t>BR51N-3826</t>
  </si>
  <si>
    <t>AMAZONDS,BLK01,JCPENNEY01,KOHLDSN,MACY02,OVERSTOCK01,TGTDVS</t>
  </si>
  <si>
    <t>BR51N-3827</t>
  </si>
  <si>
    <t>BR51N-3837</t>
  </si>
  <si>
    <t>PP001817;PF005836</t>
  </si>
  <si>
    <t>AMAZONDS,MACY02,OLLIIX,OVERSCONSIGN,OVERSTOCK01,TGTDVS</t>
  </si>
  <si>
    <t>BR51N-3838</t>
  </si>
  <si>
    <t>AMAZONDS,JCPENNEY01,KOHLDSN,MACY02,OLLIIX,OVERSCONSIGN,OVERSTOCK01,TGTDVS,ZOLA</t>
  </si>
  <si>
    <t>BR51N-3839</t>
  </si>
  <si>
    <t>BR51N-3822</t>
  </si>
  <si>
    <t>PP001817;PF005831</t>
  </si>
  <si>
    <t>AMAZONDS,BLK01,JCPENNEY01,MACY02,OVERSTOCK01,TGTDVS</t>
  </si>
  <si>
    <t>BR51N-3823</t>
  </si>
  <si>
    <t>BR51N-3824</t>
  </si>
  <si>
    <t>BL51N-0678</t>
  </si>
  <si>
    <t>Liquid Cotton</t>
  </si>
  <si>
    <t>PF003480</t>
  </si>
  <si>
    <t>BL51N-0679</t>
  </si>
  <si>
    <t>AMAZON,ASHFURNDS,JCPENNEY01,KOHLDSN,MACY02,OVERSTOCK01,TGTDVS,WALMARTDS,ZOLA</t>
  </si>
  <si>
    <t>10/1/2017</t>
  </si>
  <si>
    <t>BL51N-0680</t>
  </si>
  <si>
    <t>AMAZON,BEALLSDS,CSNSTORES,JCPENNEY01,KOHLDSN,MACY02,TGTDVS,WALMARTDS</t>
  </si>
  <si>
    <t>BL51N-0735</t>
  </si>
  <si>
    <t>PF003502</t>
  </si>
  <si>
    <t>AMAZON,JCPENNEY01,KOHLDSN,MACY02,TGTDVS,WALMARTDS</t>
  </si>
  <si>
    <t>BL51N-0736</t>
  </si>
  <si>
    <t>AMAZON,BEALLSDS,CSNSTORES,JCPENNEY01,KOHLDSN,MACY02,OVERSTOCK01,TGTDVS,WALMARTDS,ZOLA</t>
  </si>
  <si>
    <t>8/21/2017</t>
  </si>
  <si>
    <t>BL51N-0737</t>
  </si>
  <si>
    <t>BL51N-0732</t>
  </si>
  <si>
    <t>PF003491</t>
  </si>
  <si>
    <t>AMAZON,AMAZONDS,CSNSTORES,JCPENNEY01,KOHLDSN,OVERSTOCK01,TGTDVS,WALMARTDS</t>
  </si>
  <si>
    <t>BL51N-0733</t>
  </si>
  <si>
    <t>AMAZON,BIGLOTSDS,CSNSTORES,JCPENNEY01,MACY02,OLLIIX,OVERSTOCK01,TGTDVS,WALMARTDS</t>
  </si>
  <si>
    <t>8/22/2017</t>
  </si>
  <si>
    <t>BL51N-0734</t>
  </si>
  <si>
    <t>AMAZON,BEALLSDS,CSNSTORES,JCPENNEY01,KOHLDSN,MACY02,OLLIIX,OVERSTOCK01,TGTDVS,WALMARTDS</t>
  </si>
  <si>
    <t>8/17/2017</t>
  </si>
  <si>
    <t>BL51N-0611</t>
  </si>
  <si>
    <t>PF003458</t>
  </si>
  <si>
    <t>BL51N-0612</t>
  </si>
  <si>
    <t>AMAZON,BIGLOTSDS,CSNSTORES,JCPENNEY01,KOHLDSN,MACY02,OLLIIX,OVERSTOCK01,TGTDVS,ZOLA</t>
  </si>
  <si>
    <t>BL51N-0613</t>
  </si>
  <si>
    <t>BL51N-0608</t>
  </si>
  <si>
    <t>PF003447</t>
  </si>
  <si>
    <t>8/7/2017</t>
  </si>
  <si>
    <t>BL51N-0609</t>
  </si>
  <si>
    <t>AMAZON,BLK01,CSNSTORES,JCPENNEY01,KOHLDSN,MACY02,OLLIIX,OVERSTOCK01,TGTDVS,WALMARTDS,ZOLA</t>
  </si>
  <si>
    <t>BL51N-0610</t>
  </si>
  <si>
    <t>BL51N-0675</t>
  </si>
  <si>
    <t>PF003469</t>
  </si>
  <si>
    <t>BL51N-0676</t>
  </si>
  <si>
    <t>BL51N-0677</t>
  </si>
  <si>
    <t>AMAZON,BEALLSDS,CSNSTORES,KOHLDSN,MACY02,OLLIIX,OVERSTOCK01,TGTDVS,WALMARTDS</t>
  </si>
  <si>
    <t>10/16/2017</t>
  </si>
  <si>
    <t>MP51N-6025</t>
  </si>
  <si>
    <t>PF004447</t>
  </si>
  <si>
    <t>8/20/2018</t>
  </si>
  <si>
    <t>MP51N-6026</t>
  </si>
  <si>
    <t>MP51N-6027</t>
  </si>
  <si>
    <t>MP51N-8379</t>
  </si>
  <si>
    <t>PP001934;PF006167</t>
  </si>
  <si>
    <t>2/27/2024</t>
  </si>
  <si>
    <t>AMAZON,AMAZONDS</t>
  </si>
  <si>
    <t>MP51N-8380</t>
  </si>
  <si>
    <t>MP51N-8381</t>
  </si>
  <si>
    <t>BL51N-0866</t>
  </si>
  <si>
    <t>Freshspun Basketweave</t>
  </si>
  <si>
    <t>PF003485</t>
  </si>
  <si>
    <t>BL51N-0867</t>
  </si>
  <si>
    <t>AMAZON,BEALLSDS,KOHLDSN,MACY02,NRTPORT,OLLIIX,OVERSTOCK01,TGTDVS,WALMARTDS</t>
  </si>
  <si>
    <t>BL51N-0868</t>
  </si>
  <si>
    <t>AMAZON,BEALLSDS,KOHLDSN,MACY02,OLLIIX,TGTDVS,WALMARTDS</t>
  </si>
  <si>
    <t>BL51N-0851</t>
  </si>
  <si>
    <t>PF003481</t>
  </si>
  <si>
    <t>AMAZONDS,BEALLSDS,BLK01,KOHLDSN,MACY02,OVERSTOCK01,TGTDVS</t>
  </si>
  <si>
    <t>11/2/2016</t>
  </si>
  <si>
    <t>BL51N-0852</t>
  </si>
  <si>
    <t>AMAZONDS,BEALLSDS,BIGLOTSDS,BLK01,KOHLDSN,MACY02,TGTDVS,WALMARTDS</t>
  </si>
  <si>
    <t>BL51N-0853</t>
  </si>
  <si>
    <t>AMAZON,KOHLDSN,MACY02,OLLIIX,TGTDVS,WALMARTDS</t>
  </si>
  <si>
    <t>BL51N-0845</t>
  </si>
  <si>
    <t>PF003478</t>
  </si>
  <si>
    <t>BL51N-0846</t>
  </si>
  <si>
    <t>AMAZON,BIGLOTSDS,BLK01,CSNSTORES,KOHLDSN,MACY02,OLLIIX,TGTDVS,WALMARTDS</t>
  </si>
  <si>
    <t>BL51N-0847</t>
  </si>
  <si>
    <t>10/24/2016</t>
  </si>
  <si>
    <t>BL51N-0860</t>
  </si>
  <si>
    <t>PF003483</t>
  </si>
  <si>
    <t>AMAZON,BEALLSDS,BLK01,KOHLDSN,MACY02,TGTDVS,WALMARTDS</t>
  </si>
  <si>
    <t>BL51N-0861</t>
  </si>
  <si>
    <t>AMAZON,DESINC,HSNDS,KOHLDSN,MACY02,OLLIIX,TGTDVS,WALMARTDS</t>
  </si>
  <si>
    <t>11/1/2016</t>
  </si>
  <si>
    <t>BL51N-0862</t>
  </si>
  <si>
    <t>AMAZON,AMAZONDS,BLK01,KOHLDSN,MACY02,OLLIIX,TGTDVS,WALMARTDS</t>
  </si>
  <si>
    <t>BL51N-0848</t>
  </si>
  <si>
    <t>PF003479</t>
  </si>
  <si>
    <t>AMAZONDS,BEALLSDS,BLK01,HSNDS,TGTDVS,WALMARTDS</t>
  </si>
  <si>
    <t>BL51N-0849</t>
  </si>
  <si>
    <t>AMAZONDS,BIGLOTSDS,KOHLDSN,MACY02,OVERSTOCK01,TGTDVS,WALMARTDS</t>
  </si>
  <si>
    <t>11/3/2016</t>
  </si>
  <si>
    <t>BL51N-0850</t>
  </si>
  <si>
    <t>AMAZON,AMAZONDS,BEALLSDS,BIGLOTSDS,BLK01,CSNSTORES,KOHLDSN,MACY02,TGTDVS,WALMARTDS</t>
  </si>
  <si>
    <t>BL51N-0857</t>
  </si>
  <si>
    <t>PF003482</t>
  </si>
  <si>
    <t>AMAZON,KOHLDSN,TGTDVS</t>
  </si>
  <si>
    <t>BL51N-0858</t>
  </si>
  <si>
    <t>BL51N-0859</t>
  </si>
  <si>
    <t>AMAZONDS,BLK01,KOHLDSN,OVERSTOCK01,TGTDVS,WALMARTDS</t>
  </si>
  <si>
    <t>MP51N-6431</t>
  </si>
  <si>
    <t>Egyptian Cotton</t>
  </si>
  <si>
    <t>PP001122;PF004735</t>
  </si>
  <si>
    <t>AMAZON,CSNSTORES,JCPENNEY01,KOHLDSN,TGTDVS,WALMARTDS</t>
  </si>
  <si>
    <t>10/17/2019</t>
  </si>
  <si>
    <t>2/24/2020</t>
  </si>
  <si>
    <t>MP51N-6432</t>
  </si>
  <si>
    <t>MP51N-6363</t>
  </si>
  <si>
    <t>PP001228;PF004700</t>
  </si>
  <si>
    <t>4/25/2019</t>
  </si>
  <si>
    <t>MP51N-6188</t>
  </si>
  <si>
    <t>Light Blue</t>
  </si>
  <si>
    <t>PP001122;PF004624</t>
  </si>
  <si>
    <t>3/17/2019</t>
  </si>
  <si>
    <t>AMAZON,BLK01,CSNSTORES,HSNDS,JCPENNEY01,KOHLDSN,MACY02,OLLIIX,OVERSCONSIGN,OVERSTOCK01,TGTDVS</t>
  </si>
  <si>
    <t>4/11/2019</t>
  </si>
  <si>
    <t>MP51N-6189</t>
  </si>
  <si>
    <t>AAFESDS,AMAZON,BLK01,CSNSTORES,JCPENNEY01,KOHLDSN,MACY02,OVERSCONSIGN,OVERSTOCK01,TGTDVS,WALMARTDS</t>
  </si>
  <si>
    <t>4/4/2019</t>
  </si>
  <si>
    <t>MP51N-6428</t>
  </si>
  <si>
    <t>PP001122;PF004734</t>
  </si>
  <si>
    <t>MP51N-6429</t>
  </si>
  <si>
    <t>AMAZON,ASHFURNDS,BLK01,CSNSTORES,JCPENNEY01,KOHLDSN,MACY02,OLLIIX,OVERSTOCK01,TGTDVS,ZOLA</t>
  </si>
  <si>
    <t>MP51N-6430</t>
  </si>
  <si>
    <t>AMAZON,ASHFURNDS,BIGLOTSDS,CSNSTORES,DESINC,HSNDS,JCPENNEY01,KOHLDSN,MACY02,OLLIIX,OVERSTOCK01,TGTDVS,ZOLA</t>
  </si>
  <si>
    <t>MP51N-5165</t>
  </si>
  <si>
    <t>MP51N-5168</t>
  </si>
  <si>
    <t>MP51N-5169</t>
  </si>
  <si>
    <t>AMAZON,ASHFURNDS,CSNSTORES,HSNDS,JCPENNEY01,KOHLDSN,MACY02,OLLIIX,OVERSTOCK01,TGTDVS</t>
  </si>
  <si>
    <t>MP51N-5170</t>
  </si>
  <si>
    <t>AMAZON,ASHFURNDS,BEALLSDS,BLK01,CSNSTORES,JCPENNEY01,KOHLDSN,MACY02,OLLIIX,OVERSTOCK01</t>
  </si>
  <si>
    <t>2/5/2018</t>
  </si>
  <si>
    <t>MP10-5060</t>
  </si>
  <si>
    <t>Arya</t>
  </si>
  <si>
    <t>Alivia</t>
  </si>
  <si>
    <t>Embroidered Medallion Faux Fur Ultra Plush Comforter Mini Set</t>
  </si>
  <si>
    <t>PF002188</t>
  </si>
  <si>
    <t>10/7/2017</t>
  </si>
  <si>
    <t>AMAZON,CSNSTORES,KOHLDSN,MACY02,OVERSTOCK01,TGTDVS,WALMARTDS</t>
  </si>
  <si>
    <t>3/5/2018</t>
  </si>
  <si>
    <t>MP10-5061</t>
  </si>
  <si>
    <t>AMAZON,AMAZONDS,BLK01,CSNSTORES,KOHLDSN,MACY02,OLLIIX,OVERSTOCK01,TGTDVS,WALMARTDS</t>
  </si>
  <si>
    <t>3/2/2018</t>
  </si>
  <si>
    <t>MP10-5062</t>
  </si>
  <si>
    <t>AMAZON,BLK01,CSNSTORES,KOHLDSN,MACY02,TGTDVS,WALMARTDS</t>
  </si>
  <si>
    <t>MP10-5057</t>
  </si>
  <si>
    <t>PF002189</t>
  </si>
  <si>
    <t>MP10-5058</t>
  </si>
  <si>
    <t>AMAZON,AMAZONDS,CSNSTORES,KOHLDSN,MACY02,OLLIIX,OVERSTOCK01,TGTDVS,WALMARTDS</t>
  </si>
  <si>
    <t>MP10-5059</t>
  </si>
  <si>
    <t>AMAZON,BLK01,CSNSTORES,KOHLDSN,MACY02,OLLIIX,OVERSTOCK01,TGTDVS,WALMARTDS</t>
  </si>
  <si>
    <t>MP10-6013</t>
  </si>
  <si>
    <t>PF004440</t>
  </si>
  <si>
    <t>9/12/2018</t>
  </si>
  <si>
    <t>4/27/2019</t>
  </si>
  <si>
    <t>7/8/2019</t>
  </si>
  <si>
    <t>MP10-6014</t>
  </si>
  <si>
    <t>ASHFURNDS,BLK01,CSNSTORES,KOHLDSN,MACY02,OLLIIX,OVERSTOCK01,TGTDVS,WALMARTDS</t>
  </si>
  <si>
    <t>MP10-7635</t>
  </si>
  <si>
    <t>PF005508;PP001650</t>
  </si>
  <si>
    <t>MP10-7636</t>
  </si>
  <si>
    <t>AMAZONDS,CSNSTORES,JCPENNEY01,KOHLDSN,MACY02,OLLIIX,TGTDVS</t>
  </si>
  <si>
    <t>MP10-3064</t>
  </si>
  <si>
    <t>Duke</t>
  </si>
  <si>
    <t>York</t>
  </si>
  <si>
    <t>Faux Fur Comforter Mini Set</t>
  </si>
  <si>
    <t>PF002122;PP000412</t>
  </si>
  <si>
    <t>AMAZONDS,ASHFURNDS,CSNSTORES,FINGERHUTDS,JCPENNEY01,KOHLDSN,MACY02,OLLIIX,OVERSTOCK01,TGTDVS,WALMARTDS</t>
  </si>
  <si>
    <t>MP10-3067</t>
  </si>
  <si>
    <t>Champagne</t>
  </si>
  <si>
    <t>PF002123;PP000412</t>
  </si>
  <si>
    <t>8/2/2024</t>
  </si>
  <si>
    <t>CSNSTORES,FINGERHUTDS,KOHLDSN,MACY02,OLLIIX,OVERSTOCK01,TGTDVS,WALMARTDS</t>
  </si>
  <si>
    <t>MP10-3068</t>
  </si>
  <si>
    <t>PF002124;PP000412</t>
  </si>
  <si>
    <t>AMAZON,BLK01,FINGERHUTDS,JCPENNEY01,KOHLDSN,MACY02,NRTPORT,OLLIIX,OVERSTOCK01,TGTDVS,WALMARTDS</t>
  </si>
  <si>
    <t>MP10-7632</t>
  </si>
  <si>
    <t>PP000412;PF004332</t>
  </si>
  <si>
    <t>8/4/2021</t>
  </si>
  <si>
    <t>AMAZONDS,CSNSTORES,FINGERHUTDS,KOHLDSN,MACY02,OVERSTOCK01,TGTDVS</t>
  </si>
  <si>
    <t>MP10-7633</t>
  </si>
  <si>
    <t>AMAZONDS,FINGERHUTDS,KOHLDSN,MACY02,OVERSTOCK01</t>
  </si>
  <si>
    <t>MP10-3070</t>
  </si>
  <si>
    <t>PF002125;PP000412</t>
  </si>
  <si>
    <t>AMAZON,CSNSTORES,FINGERHUTDS,KOHLDSN,MACY02,OVERSTOCK01,TGTDVS</t>
  </si>
  <si>
    <t>MP10-8213</t>
  </si>
  <si>
    <t>Blair</t>
  </si>
  <si>
    <t>Ruched Fur Down Alternative Comforter Set</t>
  </si>
  <si>
    <t>PP001807;PF006000</t>
  </si>
  <si>
    <t>MP10-8214</t>
  </si>
  <si>
    <t>AMAZON,BLK01,CSNSTORES,DESINC,JCPENNEY01,KOHLDSN,MACY02,OVERSTOCK01,TGTDVS</t>
  </si>
  <si>
    <t>MP10-8211</t>
  </si>
  <si>
    <t>PP001807;PF005999</t>
  </si>
  <si>
    <t>MP10-8212</t>
  </si>
  <si>
    <t>CSNSTORES,KOHLDSN,MACY02,NRTPORT,OVERSTOCK01,TGTDVS</t>
  </si>
  <si>
    <t>MP10-8082</t>
  </si>
  <si>
    <t>PP001807;PF005802</t>
  </si>
  <si>
    <t>9/29/2022</t>
  </si>
  <si>
    <t>MP10-8083</t>
  </si>
  <si>
    <t>MP10-6210</t>
  </si>
  <si>
    <t>Gia</t>
  </si>
  <si>
    <t>Back Print Long Fur Comforter Mini Set</t>
  </si>
  <si>
    <t>PP001110;PF004609</t>
  </si>
  <si>
    <t>5/15/2019</t>
  </si>
  <si>
    <t>AMAZON,AMAZONDS,ASHFURNDS,CSNSTORES,KOHLDSN,MACY02,OVERSTOCK01,TGTDVS</t>
  </si>
  <si>
    <t>5/23/2019</t>
  </si>
  <si>
    <t>10/10/2019</t>
  </si>
  <si>
    <t>MP10-6211</t>
  </si>
  <si>
    <t>AMAZON,CSNSTORES,MACY02,OLLIIX,OVERSTOCK01,TGTDVS</t>
  </si>
  <si>
    <t>5/27/2019</t>
  </si>
  <si>
    <t>1/3/2020</t>
  </si>
  <si>
    <t>MP10-7237</t>
  </si>
  <si>
    <t>PP001110;PF005210</t>
  </si>
  <si>
    <t>9/29/2020</t>
  </si>
  <si>
    <t>AMAZON,ASHFURNDS,KOHLDSN,MACY02,OVERSTOCK01,TGTDVS</t>
  </si>
  <si>
    <t>MP10-7238</t>
  </si>
  <si>
    <t>MP10-7239</t>
  </si>
  <si>
    <t>AMAZON,ASHFURNDS,CSNSTORES,JCPENNEY01,KOHLDSN,MACY02,OVERSTOCK01,TGTDVS</t>
  </si>
  <si>
    <t>MP10-8264</t>
  </si>
  <si>
    <t>Hollis</t>
  </si>
  <si>
    <t>Sherpa Comforter Set</t>
  </si>
  <si>
    <t>PP001895;PF006045</t>
  </si>
  <si>
    <t>7/19/2023</t>
  </si>
  <si>
    <t>MP10-8265</t>
  </si>
  <si>
    <t>MP10-8266</t>
  </si>
  <si>
    <t>BASI10-0421</t>
  </si>
  <si>
    <t>Williams</t>
  </si>
  <si>
    <t>Plush Down Alternative Comforter Set</t>
  </si>
  <si>
    <t>PF002130;PP000483</t>
  </si>
  <si>
    <t>BASI10-0422</t>
  </si>
  <si>
    <t>9/15/2016</t>
  </si>
  <si>
    <t>BASI10-0418</t>
  </si>
  <si>
    <t>PF002129;PP000483</t>
  </si>
  <si>
    <t>10/7/2016</t>
  </si>
  <si>
    <t>BASI10-0419</t>
  </si>
  <si>
    <t>BASI10-0424</t>
  </si>
  <si>
    <t>PF002131;PP000483</t>
  </si>
  <si>
    <t>10/6/2016</t>
  </si>
  <si>
    <t>BASI10-0425</t>
  </si>
  <si>
    <t>MP10-3076</t>
  </si>
  <si>
    <t>4PC Faux Fur Comforter Set</t>
  </si>
  <si>
    <t>PF002118;PP000539</t>
  </si>
  <si>
    <t>AMAZON,BLK01,CSNSTORES,FINGERHUTDS,KOHLDSN,MACY02,OVERSTOCK01,TGTDVS</t>
  </si>
  <si>
    <t>10/10/2016</t>
  </si>
  <si>
    <t>MP10-3077</t>
  </si>
  <si>
    <t>AMAZON,CSNSTORES,FINGERHUTDS,KOHLDSN,MACY02,OVERSTOCK01,TGTDVS,WALMARTDS</t>
  </si>
  <si>
    <t>10/17/2016</t>
  </si>
  <si>
    <t>MP10-6294</t>
  </si>
  <si>
    <t>PP000539;PF004643</t>
  </si>
  <si>
    <t>AMAZON,HDDS,JCPENNEY01,KOHLDSN,MACY02,OVERSTOCK01,TGTDVS</t>
  </si>
  <si>
    <t>MP10-6295</t>
  </si>
  <si>
    <t>AMAZON,AMAZONDS,ASHFURNDS,BIGLOTSDS,CSNSTORES,KOHLDSN,MACY02,OVERSTOCK01,TGTDVS</t>
  </si>
  <si>
    <t>MP10-3074</t>
  </si>
  <si>
    <t>PF002117;PP000539</t>
  </si>
  <si>
    <t>AMAZON,FINGERHUTDS,HDDS,HSNDS,KOHLDSN,MACY02,TGTDVS</t>
  </si>
  <si>
    <t>MP10-6296</t>
  </si>
  <si>
    <t>Snow Leopard</t>
  </si>
  <si>
    <t>PP000539;PF004644</t>
  </si>
  <si>
    <t>AMAZON,AMAZONDS,ASHFURNDS,BLK01,CSNSTORES,FINGERHUTDS,KOHLDSN,MACY02,NRTPORT,OLLIIX,OVERSTOCK01,TGTDVS</t>
  </si>
  <si>
    <t>MP10-6297</t>
  </si>
  <si>
    <t>AMAZON,AMAZONDS,BEALLSDS,BIGLOTSDS,CSNSTORES,FINGERHUTDS,JCPENNEY01,KOHLDSN,MACY02,OLLIIX,OVERSTOCK01,TGTDVS</t>
  </si>
  <si>
    <t>MP10-3072</t>
  </si>
  <si>
    <t>PF002116;PP000539</t>
  </si>
  <si>
    <t>AMAZON,BIGLOTSDS,FINGERHUTDS,JCPENNEY01,MACY02,NRTPORT,OLLIIX,OVERSTOCK01,TGTDVS</t>
  </si>
  <si>
    <t>MP10-3073</t>
  </si>
  <si>
    <t>MP30-4828</t>
  </si>
  <si>
    <t>Edina</t>
  </si>
  <si>
    <t>Faux Fur Square Pillow</t>
  </si>
  <si>
    <t>PF003538</t>
  </si>
  <si>
    <t>8/29/2017</t>
  </si>
  <si>
    <t>9/27/2017</t>
  </si>
  <si>
    <t>11/7/2017</t>
  </si>
  <si>
    <t>MP30-4830</t>
  </si>
  <si>
    <t>PF003540</t>
  </si>
  <si>
    <t>ASHFURNDS,CSNSTORES,MACY02,OLLIIX,OVERSTOCK01,TGTDVS</t>
  </si>
  <si>
    <t>MP30-4829</t>
  </si>
  <si>
    <t>PF003539</t>
  </si>
  <si>
    <t>MACY02,OLLIIX,OVERSTOCK01,TGTDVS</t>
  </si>
  <si>
    <t>MP30-6236</t>
  </si>
  <si>
    <t>3/28/2019</t>
  </si>
  <si>
    <t>AMAZON,CSNSTORES,FINGERHUTDS,HSNDS,JCPENNEY01,KOHLDSN,MACY02,TGTDVS,WALMARTDS</t>
  </si>
  <si>
    <t>11/12/2019</t>
  </si>
  <si>
    <t>MP30-1914</t>
  </si>
  <si>
    <t>AMAZONDS,CSNSTORES,FINGERHUTDS,JCPENNEY01,KOHLDSN,MACY02,TGTDVS,WALMARTDS</t>
  </si>
  <si>
    <t>MP30-2831</t>
  </si>
  <si>
    <t>11/21/2016</t>
  </si>
  <si>
    <t>MP30-6706</t>
  </si>
  <si>
    <t>Leopard</t>
  </si>
  <si>
    <t>PP000539;PF004889</t>
  </si>
  <si>
    <t>9/30/2019</t>
  </si>
  <si>
    <t>AMAZON,JCPENNEY01,KOHLDSN,MACY02,TGTDVS</t>
  </si>
  <si>
    <t>MP30-6234</t>
  </si>
  <si>
    <t>PP000539;PF004399</t>
  </si>
  <si>
    <t>6/17/2019</t>
  </si>
  <si>
    <t>AMAZONDS,FINGERHUTDS,KIRKLANDDS,KOHLDSN,MACY02,TGTDVS</t>
  </si>
  <si>
    <t>MP30-4963</t>
  </si>
  <si>
    <t>PF003568</t>
  </si>
  <si>
    <t>ASHFURNDS,KOHLDSN,MACY02,OLLIIX,TGTDVS,WALMARTDS</t>
  </si>
  <si>
    <t>MP30-2997</t>
  </si>
  <si>
    <t>PF003536;PP000412</t>
  </si>
  <si>
    <t>ASHFURNDS,FINGERHUTDS,JCPENNEY01,KOHLDSN,MACY02,OLLIIX,TGTDVS</t>
  </si>
  <si>
    <t>MP30-5785</t>
  </si>
  <si>
    <t>Faux Fur Squre Pillow</t>
  </si>
  <si>
    <t>MP30-2999</t>
  </si>
  <si>
    <t>PF003558;PP000412</t>
  </si>
  <si>
    <t>BLK01,FINGERHUTDS,JCPENNEY01,KOHLDSN,MACY02,OLLIIX,TGTDVS</t>
  </si>
  <si>
    <t>12/2/2016</t>
  </si>
  <si>
    <t>MP30-3000</t>
  </si>
  <si>
    <t>PF003567;PP000412</t>
  </si>
  <si>
    <t>MP30-2998</t>
  </si>
  <si>
    <t>PF003547;PP000412</t>
  </si>
  <si>
    <t>FINGERHUTDS,KOHLDSN,MACY02,OLLIIX,TGTDVS</t>
  </si>
  <si>
    <t>BASI50-0427</t>
  </si>
  <si>
    <t>Oversized Plush Down Alternative Filled Throw</t>
  </si>
  <si>
    <t>DESINC,KOHLDSN,MACY02,TGTDVS,WALMARTDS</t>
  </si>
  <si>
    <t>BASI50-0426</t>
  </si>
  <si>
    <t>BASI50-0429</t>
  </si>
  <si>
    <t>PF002132</t>
  </si>
  <si>
    <t>BASI50-0428</t>
  </si>
  <si>
    <t>MACY02,TGTDVS</t>
  </si>
  <si>
    <t>BASI50-0415</t>
  </si>
  <si>
    <t>Arctic</t>
  </si>
  <si>
    <t>Polar</t>
  </si>
  <si>
    <t>Ultra Plush Down Alternative Throw</t>
  </si>
  <si>
    <t>50x60"</t>
  </si>
  <si>
    <t>PF002121;PP000376</t>
  </si>
  <si>
    <t>12/16/2016</t>
  </si>
  <si>
    <t>BASI50-0414</t>
  </si>
  <si>
    <t>PF002120;PP000376</t>
  </si>
  <si>
    <t>JCPENNEY01,KOHLDSN,MACY02,OLLIIX,TGTDVS</t>
  </si>
  <si>
    <t>BASI50-0413</t>
  </si>
  <si>
    <t>MP50N-5511</t>
  </si>
  <si>
    <t>Chloe</t>
  </si>
  <si>
    <t>100% Cotton Tufted Chenille Lightweight Throw With Fringe Tassel 50" x 60"</t>
  </si>
  <si>
    <t>PP000792</t>
  </si>
  <si>
    <t>AMAZON,BEALLSDS,BLK01,CSNSTORES,MACY02,OLLIIX,OVERSTOCK01,TGTDVS,WALMARTDS</t>
  </si>
  <si>
    <t>4/1/2018</t>
  </si>
  <si>
    <t>4/30/2018</t>
  </si>
  <si>
    <t>MP50N-5512</t>
  </si>
  <si>
    <t>MP50-7675</t>
  </si>
  <si>
    <t>Chenille Chunky Knit</t>
  </si>
  <si>
    <t>PP001875;PF005563</t>
  </si>
  <si>
    <t>AMAZON,CSNSTORES,FINGERHUTDS,JCPENNEY01,MACY02,OLLIIX,OVERSTOCK01,TGTDVS</t>
  </si>
  <si>
    <t>MP50-8236</t>
  </si>
  <si>
    <t>PP001875;PF005974</t>
  </si>
  <si>
    <t>7/24/2023</t>
  </si>
  <si>
    <t>MP50-7674</t>
  </si>
  <si>
    <t>PP001875;PF005562</t>
  </si>
  <si>
    <t>AMAZON,CSNSTORES,FINGERHUTDS,KOHLDSN,MACY02,OLLIIX,OVERSTOCK01,TGTDVS,ZOLA</t>
  </si>
  <si>
    <t>MP50-7673</t>
  </si>
  <si>
    <t>PP001875;PF005561</t>
  </si>
  <si>
    <t>AMAZON,CSNSTORES,FINGERHUTDS,JCPENNEY01,KOHLDSN,MACY02,OLLIIX,TGTDVS,ZOLA</t>
  </si>
  <si>
    <t>MP50-8238</t>
  </si>
  <si>
    <t>Navy Blue</t>
  </si>
  <si>
    <t>PP001875;PF005976</t>
  </si>
  <si>
    <t>MP50-8237</t>
  </si>
  <si>
    <t>PP001875;PF005975</t>
  </si>
  <si>
    <t>KOHLDSN,MACY02,OLLIIX,TGTDVS</t>
  </si>
  <si>
    <t>MP50-8239</t>
  </si>
  <si>
    <t>Sage Green</t>
  </si>
  <si>
    <t>PP001875;PF005977</t>
  </si>
  <si>
    <t>BLK01,CSNSTORES,JCPENNEY01,KOHLDSN,MACY02,OLLIIX,TGTDVS</t>
  </si>
  <si>
    <t>MP50-7315</t>
  </si>
  <si>
    <t>Chunky Double Knit</t>
  </si>
  <si>
    <t>Handmade Throw</t>
  </si>
  <si>
    <t>PP001056</t>
  </si>
  <si>
    <t>Acrylic</t>
  </si>
  <si>
    <t>MP50-6136</t>
  </si>
  <si>
    <t>1/18/2019</t>
  </si>
  <si>
    <t>AMERSIGNDS,ASHFURNDS,BEALLSDS,CSNSTORES,KOHLDSN,MACY02,OLLIIX,OVERSTOCK01,TGTDVS,ZOLA</t>
  </si>
  <si>
    <t>1/7/2021</t>
  </si>
  <si>
    <t>MP50-7316</t>
  </si>
  <si>
    <t>AMAZON,AMAZONDS,ASHFURNDS,CSNSTORES,FINGERHUTDS,JCPENNEY01,KIRKLANDDS,KOHLDSN,MACY02,OLLIIX,OVERSTOCK01,TGTDVS</t>
  </si>
  <si>
    <t>MP50-6135</t>
  </si>
  <si>
    <t>AMAZON,AMERSIGNDS,ASHFURNDS,CSNSTORES,HSNDS,JCPENNEY01,KIRKLANDDS,KOHLDSN,MACY02,OLLIIX,OVERSTOCK01,TGTDVS,ZOLA</t>
  </si>
  <si>
    <t>10/18/2019</t>
  </si>
  <si>
    <t>MP50-8216</t>
  </si>
  <si>
    <t>PP001056;PF005979</t>
  </si>
  <si>
    <t>CSNSTORES,KOHLDSN,MACY02,OLLIIX,OVERSTOCK01,TGTDVS,ZOLA</t>
  </si>
  <si>
    <t>MP50-8217</t>
  </si>
  <si>
    <t>PP001056;PF005980</t>
  </si>
  <si>
    <t>MP50-8116</t>
  </si>
  <si>
    <t>PP001056;PF005868</t>
  </si>
  <si>
    <t>AMAZON,BLK01,CSNSTORES,JCPENNEY01,KOHLDSN,MACY02,OLLIIX,OVERSCONSIGN,OVERSTOCK01,TGTDVS,ZOLA</t>
  </si>
  <si>
    <t>MP50-8215</t>
  </si>
  <si>
    <t>PP001056;PF005978</t>
  </si>
  <si>
    <t>MP50-4824</t>
  </si>
  <si>
    <t>Faux Fur Throw</t>
  </si>
  <si>
    <t>CSNSTORES,JCPENNEY01,MACY02,OLLIIX,TGTDVS</t>
  </si>
  <si>
    <t>MP50-4826</t>
  </si>
  <si>
    <t>MP50-4825</t>
  </si>
  <si>
    <t>MP50-8242</t>
  </si>
  <si>
    <t>Haven</t>
  </si>
  <si>
    <t>Faux Fur Throw 50x60"</t>
  </si>
  <si>
    <t>PP001877;PF005989</t>
  </si>
  <si>
    <t>7/6/2023</t>
  </si>
  <si>
    <t>BLK01,JCPENNEY01,OVERSTOCK01,TGTDVS</t>
  </si>
  <si>
    <t>MP50-8240</t>
  </si>
  <si>
    <t>BLK01,JCPENNEY01,MACY02,OLLIIX,TGTDVS</t>
  </si>
  <si>
    <t>MP50-3509</t>
  </si>
  <si>
    <t>Ogee</t>
  </si>
  <si>
    <t>Oversized Throw</t>
  </si>
  <si>
    <t>PF003637;PP000475</t>
  </si>
  <si>
    <t>AMAZON,FINGERHUTDS,HSNDS,KOHLDSN,MACY02,OLLIIX,TGTDVS</t>
  </si>
  <si>
    <t>MP50-1731</t>
  </si>
  <si>
    <t>PF003634;PP000475</t>
  </si>
  <si>
    <t>AMAZON,FINGERHUTDS,HSNDS,KOHLDSN,MACY02,OLLIIX,OVERSTOCK01,TGTDVS</t>
  </si>
  <si>
    <t>MP50-4877</t>
  </si>
  <si>
    <t>Ruched Fur</t>
  </si>
  <si>
    <t>PP000496</t>
  </si>
  <si>
    <t>AMAZON,BEALLSDS,CSNSTORES,FINGERHUTDS,HSNDS,JCPENNEY01,KOHLDSN,OLLIIX,OVERSTOCK01,TGTDVS</t>
  </si>
  <si>
    <t>MP50-7821</t>
  </si>
  <si>
    <t>PP000496;PF005642</t>
  </si>
  <si>
    <t>1/27/2022</t>
  </si>
  <si>
    <t>AMAZONDS,BLK01,CSNSTORES,JCPENNEY01,KOHLDSN,TGTDVS</t>
  </si>
  <si>
    <t>MP50-4878</t>
  </si>
  <si>
    <t>AMAZON,AMAZONDS,BLK01,CSNSTORES,JCPENNEY01,KIRKLANDDS,KOHLDSN,MACY02,OLLIIX,TGTDVS</t>
  </si>
  <si>
    <t>MP50-3090</t>
  </si>
  <si>
    <t>PF003435;PP000496</t>
  </si>
  <si>
    <t>AMAZON,AMAZONDS,CSNSTORES,FINGERHUTDS,HSNDS,JCPENNEY01,KIRKLANDDS,KOHLDSN,MACY02,OLLIIX,OVERSTOCK01,TGTDVS</t>
  </si>
  <si>
    <t>11/30/2016</t>
  </si>
  <si>
    <t>MP50-3091</t>
  </si>
  <si>
    <t>PF003437;PP000496</t>
  </si>
  <si>
    <t>AMAZON,AMAZONDS,ASHFURNDS,CSNSTORES,HSNDS,JCPENNEY01,KIRKLANDDS,KOHLDSN,MACY02,OLLIIX,OVERSTOCK01,TGTDVS</t>
  </si>
  <si>
    <t>MP50-4876</t>
  </si>
  <si>
    <t>MP50-8106</t>
  </si>
  <si>
    <t>Silver Grey</t>
  </si>
  <si>
    <t>PP000496;PF005810</t>
  </si>
  <si>
    <t>MP50-8107</t>
  </si>
  <si>
    <t>PP000496;PF005811</t>
  </si>
  <si>
    <t>MP50-3093</t>
  </si>
  <si>
    <t>PF003438;PP000496</t>
  </si>
  <si>
    <t>AMAZON,AMAZONDS,BLK01,CSNSTORES,HSNDS,JCPENNEY01,KIRKLANDDS,KOHLDSN,MACY02,OLLIIX,OVERSTOCK01,TGTDVS</t>
  </si>
  <si>
    <t>MP50-6877</t>
  </si>
  <si>
    <t>Sachi</t>
  </si>
  <si>
    <t>Aina</t>
  </si>
  <si>
    <t>Oversized Faux Fur Throw</t>
  </si>
  <si>
    <t>PP001429;PF004987</t>
  </si>
  <si>
    <t>12/11/2019</t>
  </si>
  <si>
    <t>MP50-4906</t>
  </si>
  <si>
    <t>PF003527</t>
  </si>
  <si>
    <t>AMERSIGNDS,CSNSTORES,FINGERHUTDS,HSNDS,JCPENNEY01,KOHLDSN,MACY02,NRTPORT,OLLIIX,OVERSTOCK01,TGTDVS</t>
  </si>
  <si>
    <t>MP50-4907</t>
  </si>
  <si>
    <t>PF003528</t>
  </si>
  <si>
    <t>AMERSIGNDS,ASHFURNDS,BLK01,HSNDS,JCPENNEY01,KOHLDSN,MACY02,OLLIIX,OVERSTOCK01,TGTDVS</t>
  </si>
  <si>
    <t>MP50-8255</t>
  </si>
  <si>
    <t>Vivienne</t>
  </si>
  <si>
    <t>Camille</t>
  </si>
  <si>
    <t>PP001889;PF006020</t>
  </si>
  <si>
    <t>8/1/2023</t>
  </si>
  <si>
    <t>MP12-7513</t>
  </si>
  <si>
    <t>Adelyn</t>
  </si>
  <si>
    <t>Back Print Brushed Fur Duvet Cover Set</t>
  </si>
  <si>
    <t>PF002183;PP001640</t>
  </si>
  <si>
    <t>8/25/2021</t>
  </si>
  <si>
    <t>MP12-7514</t>
  </si>
  <si>
    <t>8/27/2021</t>
  </si>
  <si>
    <t>JCPENNEY01,MACY02,NRTPORT,OLLIIX,OVERSTOCK01,TGTDVS</t>
  </si>
  <si>
    <t>MP12-7516</t>
  </si>
  <si>
    <t>Embroidered Medallion Faux Fur Ultra Plush Duvet Cover Set</t>
  </si>
  <si>
    <t>PF002189;PP001639</t>
  </si>
  <si>
    <t>6/26/2021</t>
  </si>
  <si>
    <t>MP12-7517</t>
  </si>
  <si>
    <t>ID51-822</t>
  </si>
  <si>
    <t>Microlight Plush</t>
  </si>
  <si>
    <t>Oversized Blanket</t>
  </si>
  <si>
    <t>PF003474</t>
  </si>
  <si>
    <t>AMAZON,BEALLSDS,CSNSTORES,JCPENNEY01,KOHLDSN,MACY02,NRTPORT,OLLIIX,TGTDVS,WALMARTDS</t>
  </si>
  <si>
    <t>ID51-823</t>
  </si>
  <si>
    <t>AMAZON,AMAZONDS,BEALLSDS,BLK01,CSNSTORES,FINGERHUTDS,JCPENNEY01,KOHLDSN,MACY02,OVERSTOCK01,TGTDVS,WALMARTDS</t>
  </si>
  <si>
    <t>ID51-1087</t>
  </si>
  <si>
    <t>PF003476</t>
  </si>
  <si>
    <t>AMAZON,BEALLSDS,CSNSTORES,FINGERHUTDS,JCPENNEY01,KOHLDSN,MACY02,NRTPORT,TGTDVS,WALMARTDS</t>
  </si>
  <si>
    <t>9/4/2017</t>
  </si>
  <si>
    <t>ID51-1088</t>
  </si>
  <si>
    <t>AMAZON,ASHFURNDS,CSNSTORES,DESINC,FINGERHUTDS,JCPENNEY01,KOHLDSN,MACY02,NRTPORT,TGTDVS,WALMARTDS</t>
  </si>
  <si>
    <t>ID51-827</t>
  </si>
  <si>
    <t>PF003473</t>
  </si>
  <si>
    <t>AMAZON,AMAZONDS,BEALLSDS,BLK01,CSNSTORES,KOHLDSN,MACY02,OVERSTOCK01,TGTDVS,WALMARTDS</t>
  </si>
  <si>
    <t>ID51-828</t>
  </si>
  <si>
    <t>AMAZON,ASHFURNDS,BEALLSDS,BLK01,CSNSTORES,JCPENNEY01,KIRKLANDDS,KOHLDSN,MACY02,NRTPORT,OLLIIX,OVERSTOCK01,TGTDVS,WALMARTDS</t>
  </si>
  <si>
    <t>ID51-829</t>
  </si>
  <si>
    <t>AMAZON,AMAZONDS,ASHFURNDS,BLK01,CSNSTORES,JCPENNEY01,KIRKLANDDS,KOHLDSN,MACY02,NRTPORT,TGTDVS,WALMARTDS</t>
  </si>
  <si>
    <t>ID51-825</t>
  </si>
  <si>
    <t>PF003472</t>
  </si>
  <si>
    <t>AMAZON,AMAZONDS,BLK01,CSNSTORES,FINGERHUTDS,JCPENNEY01,KOHLDSN,MACY02,NRTPORT,OLLIIX,TGTDVS,WALMARTDS</t>
  </si>
  <si>
    <t>10/18/2016</t>
  </si>
  <si>
    <t>ID51-826</t>
  </si>
  <si>
    <t>AMAZONDS,ASHFURNDS,BLK01,CSNSTORES,JCPENNEY01,KOHLDSN,MACY02,NRTPORT,TGTDVS,WALMARTDS</t>
  </si>
  <si>
    <t>ID51-1308</t>
  </si>
  <si>
    <t>8/31/2017</t>
  </si>
  <si>
    <t>10/26/2017</t>
  </si>
  <si>
    <t>ID51-1310</t>
  </si>
  <si>
    <t>AMAZONDS,BLK01,CSNSTORES,FINGERHUTDS,JCPENNEY01,KOHLDSN,MACY02,NRTPORT,TGTDVS</t>
  </si>
  <si>
    <t>10/30/2017</t>
  </si>
  <si>
    <t>ID10-2149</t>
  </si>
  <si>
    <t>Brielle</t>
  </si>
  <si>
    <t>Ombre Shaggy Long Fur Comforter Mini Set</t>
  </si>
  <si>
    <t>PP001784;PF005745</t>
  </si>
  <si>
    <t>AMAZON,CSNSTORES,FINGERHUTDS,JCPENNEY01,KOHLDSN,MACY02,OVERSCONSIGN,OVERSTOCK01,TGTDVS</t>
  </si>
  <si>
    <t>ID10-2150</t>
  </si>
  <si>
    <t>ID10-2151</t>
  </si>
  <si>
    <t>AMAZONDS,CSNSTORES,FINGERHUTDS,JCPENNEY01,KOHLDSN,MACY02,OVERSTOCK01,TGTDVS</t>
  </si>
  <si>
    <t>ID10-2143</t>
  </si>
  <si>
    <t>PP001784;PF005743</t>
  </si>
  <si>
    <t>AMAZON,AMAZONDS,CSNSTORES,FINGERHUTDS,KOHLDSN,MACY02,OVERSTOCK01,TGTDVS</t>
  </si>
  <si>
    <t>ID10-2144</t>
  </si>
  <si>
    <t>CSNSTORES,FINGERHUTDS,JCPENNEY01,KOHLDSN,MACY02,NRTPORT,OVERSTOCK01,TGTDVS</t>
  </si>
  <si>
    <t>ID10-2145</t>
  </si>
  <si>
    <t>AMAZONDS,CSNSTORES,FINGERHUTDS,JCPENNEY01,KOHLDSN,MACY02,OVERSCONSIGN,OVERSTOCK01,TGTDVS</t>
  </si>
  <si>
    <t>ID10-2146</t>
  </si>
  <si>
    <t>PP001784;PF005744</t>
  </si>
  <si>
    <t>ID10-2147</t>
  </si>
  <si>
    <t>ID10-2148</t>
  </si>
  <si>
    <t>AMAZONDS,CSNSTORES,FINGERHUTDS,KOHLDSN,MACY02,NRTPORT,OVERSTOCK01,TGTDVS</t>
  </si>
  <si>
    <t>ID10-2252</t>
  </si>
  <si>
    <t>PP001784;PF006057</t>
  </si>
  <si>
    <t>ID10-2253</t>
  </si>
  <si>
    <t>ID10-2254</t>
  </si>
  <si>
    <t>ID10-2042</t>
  </si>
  <si>
    <t>Malea</t>
  </si>
  <si>
    <t>Shaggy Long Fur Comforter Mini Set</t>
  </si>
  <si>
    <t>PP001109;PF005482</t>
  </si>
  <si>
    <t>8/3/2021</t>
  </si>
  <si>
    <t>AMAZONDS,CSNSTORES,FINGERHUTDS,HSNDS,KOHLDSN,TGTDVS</t>
  </si>
  <si>
    <t>ID10-2043</t>
  </si>
  <si>
    <t>CSNSTORES,FINGERHUTDS,HSNDS,JCPENNEY01,KOHLDSN,MACY02,NRTPORT,OLLIIX,OVERSTOCK01,TGTDVS</t>
  </si>
  <si>
    <t>ID10-2044</t>
  </si>
  <si>
    <t>HSNDS,JCPENNEY01,KOHLDSN,MACY02,NRTPORT,OLLIIX,OVERSTOCK01,TGTDVS</t>
  </si>
  <si>
    <t>ID10-1920</t>
  </si>
  <si>
    <t>PP001109;PF005257</t>
  </si>
  <si>
    <t>9/17/2020</t>
  </si>
  <si>
    <t>ASHFURNDS,CSNSTORES,KOHLDSN,NRTPORT,OVERSTOCK01,TGTDVS</t>
  </si>
  <si>
    <t>ID10-1921</t>
  </si>
  <si>
    <t>AMAZON,ASHFURNDS,BLK01,CSNSTORES,FINGERHUTDS,HSNDS,JCPENNEY01,KOHLDSN,MACY02,NRTPORT,OLLIIX,OVERSTOCK01,TGTDVS</t>
  </si>
  <si>
    <t>ID10-1922</t>
  </si>
  <si>
    <t>AMAZON,AMAZONDS,ASHFURNDS,BLK01,CSNSTORES,FINGERHUTDS,HSNDS,KOHLDSN,MACY02,NRTPORT,OVERSTOCK01,TGTDVS</t>
  </si>
  <si>
    <t>ID10-2234</t>
  </si>
  <si>
    <t>PP001109;PF006032</t>
  </si>
  <si>
    <t>8/3/2023</t>
  </si>
  <si>
    <t>ID10-2235</t>
  </si>
  <si>
    <t>CSNSTORES,JCPENNEY01,KOHLDSN,MACY02,NRTPORT,OVERSTOCK01</t>
  </si>
  <si>
    <t>ID10-2236</t>
  </si>
  <si>
    <t>CSNSTORES,JCPENNEY01,KOHLDSN,MACY02,NRTPORT,OVERSTOCK01,TGTDVS</t>
  </si>
  <si>
    <t>ID10-1823</t>
  </si>
  <si>
    <t>PP001109;PF004986</t>
  </si>
  <si>
    <t>11/7/2019</t>
  </si>
  <si>
    <t>AMAZON,CSNSTORES,DESINC,FINGERHUTDS,KOHLDSN,MACY02,NRTPORT,OLLIIX,OVERSTOCK01,TGTDVS</t>
  </si>
  <si>
    <t>ID10-1824</t>
  </si>
  <si>
    <t>AMAZON,AMAZONDS,ASHFURNDS,BLK01,CSNSTORES,FINGERHUTDS,HDDS,HSNDS,JCPENNEY01,KOHLDSN,MACY02,OVERSTOCK01,TGTDVS</t>
  </si>
  <si>
    <t>ID12-2039</t>
  </si>
  <si>
    <t>Shaggy Fur Duvet Cover Set</t>
  </si>
  <si>
    <t>NRTPORT</t>
  </si>
  <si>
    <t>ID12-2040</t>
  </si>
  <si>
    <t>CSNSTORES,MACY02,NRTPORT,OVERSTOCK01,TGTDVS</t>
  </si>
  <si>
    <t>ID12-2041</t>
  </si>
  <si>
    <t>NRTPORT,OVERSTOCK01</t>
  </si>
  <si>
    <t>ID12-1929</t>
  </si>
  <si>
    <t>ID12-1930</t>
  </si>
  <si>
    <t>AMAZON,AMAZONDS,ASHFURNDS,BLK01,CSNSTORES,HDDS,JCPENNEY01,MACY02,OVERSTOCK01,TGTDVS</t>
  </si>
  <si>
    <t>ID12-1931</t>
  </si>
  <si>
    <t>ID12-1926</t>
  </si>
  <si>
    <t>PP001109;PF004607</t>
  </si>
  <si>
    <t>AMAZON,JCPENNEY01,MACY02,OVERSTOCK01,TGTDVS</t>
  </si>
  <si>
    <t>ID12-1927</t>
  </si>
  <si>
    <t>ID12-1928</t>
  </si>
  <si>
    <t>CSNSTORES,HDDS,MACY02,NRTPORT,OVERSCONSIGN,OVERSTOCK01,TGTDVS</t>
  </si>
  <si>
    <t>ID12-1923</t>
  </si>
  <si>
    <t>PP001109;PF004608</t>
  </si>
  <si>
    <t>ID12-1924</t>
  </si>
  <si>
    <t>AMAZON,ASHFURNDS,CSNSTORES,JCPENNEY01,MACY02,OLLIIX,OVERSTOCK01,TGTDVS</t>
  </si>
  <si>
    <t>ID12-1925</t>
  </si>
  <si>
    <t>ASHFURNDS,CSNSTORES,JCPENNEY01,MACY02,OLLIIX,OVERSTOCK01,TGTDVS</t>
  </si>
  <si>
    <t>ST55-0182</t>
  </si>
  <si>
    <t>Serta</t>
  </si>
  <si>
    <t>PP001879;PF005996</t>
  </si>
  <si>
    <t>6/27/2023</t>
  </si>
  <si>
    <t>BLK01,CSNSTORES,JCPENNEY01,KOHLDSN,OVERSTOCK01</t>
  </si>
  <si>
    <t>ST55-0183</t>
  </si>
  <si>
    <t>6/28/2023</t>
  </si>
  <si>
    <t>ST55-0184</t>
  </si>
  <si>
    <t>11/4/2021</t>
  </si>
  <si>
    <t>8/3/2022</t>
  </si>
  <si>
    <t>ST55-0185</t>
  </si>
  <si>
    <t>ST55-0186</t>
  </si>
  <si>
    <t>11/30/2021</t>
  </si>
  <si>
    <t>9/6/2022</t>
  </si>
  <si>
    <t>ST55-0187</t>
  </si>
  <si>
    <t>8/26/2022</t>
  </si>
  <si>
    <t>ST55-0114</t>
  </si>
  <si>
    <t>Waterproof</t>
  </si>
  <si>
    <t>2/16/2021</t>
  </si>
  <si>
    <t>CSNSTORES,FINGERHUTDS,JCPENNEY01,KOHLDSN,OVERSTOCK01</t>
  </si>
  <si>
    <t>ST55-0115</t>
  </si>
  <si>
    <t>CSNSTORES,DESINC,KOHLDSN,OVERSTOCK01,TGTDVS,WALMARTDS</t>
  </si>
  <si>
    <t>11/15/2021</t>
  </si>
  <si>
    <t>ST55-0116</t>
  </si>
  <si>
    <t>11/17/2021</t>
  </si>
  <si>
    <t>ST55-0117</t>
  </si>
  <si>
    <t>BLK01,CSNSTORES,DESINC,JCPENNEY01,KOHLDSN,MACY02,OVERSTOCK01,TGTDVS,WALMARTDS</t>
  </si>
  <si>
    <t>ST55-0118</t>
  </si>
  <si>
    <t>BLK01,CSNSTORES,JCPENNEY01,KOHLDSN,OVERSTOCK01,TGTDVS,WALMARTDS</t>
  </si>
  <si>
    <t>ST55-0119</t>
  </si>
  <si>
    <t>11/29/2021</t>
  </si>
  <si>
    <t>ST55-0266</t>
  </si>
  <si>
    <t>Microfiber Heated</t>
  </si>
  <si>
    <t>PP001880;PF005997</t>
  </si>
  <si>
    <t>BLK01,JCPENNEY01,KOHLDSN</t>
  </si>
  <si>
    <t>ST55-0267</t>
  </si>
  <si>
    <t>ST55-0268</t>
  </si>
  <si>
    <t>CSNSTORES,DESINC,JCPENNEY01,KOHLDSN,MACY02</t>
  </si>
  <si>
    <t>ST55-0269</t>
  </si>
  <si>
    <t>ST55-0270</t>
  </si>
  <si>
    <t>ST55-0271</t>
  </si>
  <si>
    <t>ST54-0102</t>
  </si>
  <si>
    <t>Fleece to Sherpa</t>
  </si>
  <si>
    <t>1/16/2022</t>
  </si>
  <si>
    <t>8/6/2022</t>
  </si>
  <si>
    <t>ST54-0103</t>
  </si>
  <si>
    <t>6/4/2022</t>
  </si>
  <si>
    <t>8/2/2022</t>
  </si>
  <si>
    <t>ST54-0104</t>
  </si>
  <si>
    <t>11/16/2021</t>
  </si>
  <si>
    <t>ST54-0105</t>
  </si>
  <si>
    <t>BLK01,DESINC,JCPENNEY01,KOHLDSN,MACY02,OVERSTOCK01,TGTDVS</t>
  </si>
  <si>
    <t>ST54-0106</t>
  </si>
  <si>
    <t>9/14/2022</t>
  </si>
  <si>
    <t>ST54-0107</t>
  </si>
  <si>
    <t>7/18/2022</t>
  </si>
  <si>
    <t>ST54-0108</t>
  </si>
  <si>
    <t>ST54-0109</t>
  </si>
  <si>
    <t>BLK01,CSNSTORES,JCPENNEY01,KOHLDSN,MACY02,OLLIIX,OVERSTOCK01,WALMARTDS</t>
  </si>
  <si>
    <t>12/3/2021</t>
  </si>
  <si>
    <t>ST54-0098</t>
  </si>
  <si>
    <t>8/9/2022</t>
  </si>
  <si>
    <t>ST54-0099</t>
  </si>
  <si>
    <t>CSNSTORES,JCPENNEY01,KOHLDSN,MACY02,TGTDVS</t>
  </si>
  <si>
    <t>7/6/2022</t>
  </si>
  <si>
    <t>8/24/2022</t>
  </si>
  <si>
    <t>ST54-0100</t>
  </si>
  <si>
    <t>6/21/2022</t>
  </si>
  <si>
    <t>ST54-0101</t>
  </si>
  <si>
    <t>CSNSTORES,JCPENNEY01,KOHLDSN,MACY02,OVERSTOCK01,WALMARTDS</t>
  </si>
  <si>
    <t>ST54-0133</t>
  </si>
  <si>
    <t>7/9/2021</t>
  </si>
  <si>
    <t>ST54-0134</t>
  </si>
  <si>
    <t>ST54-0135</t>
  </si>
  <si>
    <t>6/3/2022</t>
  </si>
  <si>
    <t>ST54-0136</t>
  </si>
  <si>
    <t>ST54-0141</t>
  </si>
  <si>
    <t>ST54-0142</t>
  </si>
  <si>
    <t>JCPENNEY01,MACY02,OVERSTOCK01</t>
  </si>
  <si>
    <t>11/18/2021</t>
  </si>
  <si>
    <t>ST54-0143</t>
  </si>
  <si>
    <t>DESINC,FINGERHUTDS,JCPENNEY01,KOHLDSN,MACY02,OVERSTOCK01</t>
  </si>
  <si>
    <t>ST54-0144</t>
  </si>
  <si>
    <t>9/9/2022</t>
  </si>
  <si>
    <t>ST54-0137</t>
  </si>
  <si>
    <t>11/14/2021</t>
  </si>
  <si>
    <t>ST54-0138</t>
  </si>
  <si>
    <t>ST54-0139</t>
  </si>
  <si>
    <t>BLK01,CSNSTORES,DESINC,JCPENNEY01,KOHLDSN,MACY02,OVERSTOCK01</t>
  </si>
  <si>
    <t>ST54-0140</t>
  </si>
  <si>
    <t>ST54-0110</t>
  </si>
  <si>
    <t>8/30/2022</t>
  </si>
  <si>
    <t>ST54-0111</t>
  </si>
  <si>
    <t>9/26/2022</t>
  </si>
  <si>
    <t>ST54-0112</t>
  </si>
  <si>
    <t>CSNSTORES,FINGERHUTDS,JCPENNEY01,MACY02,OVERSTOCK01</t>
  </si>
  <si>
    <t>ST54-0113</t>
  </si>
  <si>
    <t>ST54-0286</t>
  </si>
  <si>
    <t>Corded Plush</t>
  </si>
  <si>
    <t>PP001892;PF006034</t>
  </si>
  <si>
    <t>9/21/2023</t>
  </si>
  <si>
    <t>CSNSTORES,KOHLDSN,OVERSTOCK01</t>
  </si>
  <si>
    <t>ST54-0287</t>
  </si>
  <si>
    <t>CSNSTORES,KOHLDSN</t>
  </si>
  <si>
    <t>ST54-0288</t>
  </si>
  <si>
    <t>CSNSTORES,JCPENNEY01,KOHLDSN,MACY02</t>
  </si>
  <si>
    <t>ST54-0289</t>
  </si>
  <si>
    <t>ST54-0282</t>
  </si>
  <si>
    <t>PP001892;PF006033</t>
  </si>
  <si>
    <t>ST54-0283</t>
  </si>
  <si>
    <t>ST54-0284</t>
  </si>
  <si>
    <t>ST54-0285</t>
  </si>
  <si>
    <t>ST54-0083</t>
  </si>
  <si>
    <t>Plush Heated</t>
  </si>
  <si>
    <t>ST54-0084</t>
  </si>
  <si>
    <t>KOHLDSN,MACY02,OVERSCONSIGN,OVERSTOCK01,TGTDVS</t>
  </si>
  <si>
    <t>4/7/2022</t>
  </si>
  <si>
    <t>ST54-0085</t>
  </si>
  <si>
    <t>7/1/2022</t>
  </si>
  <si>
    <t>ST54-0087</t>
  </si>
  <si>
    <t>ST54-0088</t>
  </si>
  <si>
    <t>ST54-0089</t>
  </si>
  <si>
    <t>BLK01,JCPENNEY01,KOHLDSN,MACY02,OVERSTOCK01,TGTDVS</t>
  </si>
  <si>
    <t>8/10/2022</t>
  </si>
  <si>
    <t>ST54-0130</t>
  </si>
  <si>
    <t>6/25/2021</t>
  </si>
  <si>
    <t>ST54-0131</t>
  </si>
  <si>
    <t>12/12/2021</t>
  </si>
  <si>
    <t>ST54-0132</t>
  </si>
  <si>
    <t>ST54-0126</t>
  </si>
  <si>
    <t>ST54-0127</t>
  </si>
  <si>
    <t>ST54-0128</t>
  </si>
  <si>
    <t>FINGERHUTDS,KOHLDSN,MACY02,OVERSTOCK01</t>
  </si>
  <si>
    <t>12/10/2021</t>
  </si>
  <si>
    <t>ST54-0091</t>
  </si>
  <si>
    <t>FINGERHUTDS,KOHLDSN,MACY02</t>
  </si>
  <si>
    <t>ST54-0092</t>
  </si>
  <si>
    <t>8/11/2022</t>
  </si>
  <si>
    <t>ST54-0093</t>
  </si>
  <si>
    <t>FINGERHUTDS,JCPENNEY01,MACY02</t>
  </si>
  <si>
    <t>ST54-0095</t>
  </si>
  <si>
    <t>FINGERHUTDS,JCPENNEY01,KOHLDSN,MACY02,OVERSTOCK01</t>
  </si>
  <si>
    <t>ST54-0096</t>
  </si>
  <si>
    <t>11/26/2021</t>
  </si>
  <si>
    <t>ST54-0097</t>
  </si>
  <si>
    <t>FINGERHUTDS,KOHLDSN,OVERSTOCK01</t>
  </si>
  <si>
    <t>ST54-0152</t>
  </si>
  <si>
    <t>Malea Heated</t>
  </si>
  <si>
    <t>Leena Heated</t>
  </si>
  <si>
    <t>Shaggy Faux Fur Heated Throw</t>
  </si>
  <si>
    <t>CSNSTORES,FINGERHUTDS,HSNDS,JCPENNEY01,KOHLDSN,MACY02,OLLIIX,OVERSTOCK01,TGTDVS,WALMARTDS</t>
  </si>
  <si>
    <t>ST54-0151</t>
  </si>
  <si>
    <t>MACY02,OLLIIX,OVERSTOCK01,TGTDVS,WALMARTDS</t>
  </si>
  <si>
    <t>ST54-0153</t>
  </si>
  <si>
    <t>CSNSTORES,FINGERHUTDS,MACY02,OLLIIX,OVERSTOCK01,TGTDVS</t>
  </si>
  <si>
    <t>ST54-0150</t>
  </si>
  <si>
    <t>FINGERHUTDS,JCPENNEY01,MACY02,OLLIIX,OVERSTOCK01,TGTDVS</t>
  </si>
  <si>
    <t>ST54-0079</t>
  </si>
  <si>
    <t>Heated Throw</t>
  </si>
  <si>
    <t>FINGERHUTDS,KOHLDSN,MACY02,OVERSTOCK01,TGTDVS,WALMARTDS</t>
  </si>
  <si>
    <t>ST54-0078</t>
  </si>
  <si>
    <t>CSNSTORES,FINGERHUTDS,JCPENNEY01,KOHLDSN,MACY02,OVERSTOCK01,TGTDVS,WALMARTDS</t>
  </si>
  <si>
    <t>9/28/2022</t>
  </si>
  <si>
    <t>ST54-0124</t>
  </si>
  <si>
    <t>BLK01,CSNSTORES,FINGERHUTDS,JCPENNEY01,KOHLDSN,MACY02,OVERSTOCK01</t>
  </si>
  <si>
    <t>ST54-0080</t>
  </si>
  <si>
    <t>11/30/2022</t>
  </si>
  <si>
    <t>ST54-0123</t>
  </si>
  <si>
    <t>ST54-0081</t>
  </si>
  <si>
    <t>CSNSTORES,FINGERHUTDS,JCPENNEY01,KOHLDSN,OVERSTOCK01,TGTDVS</t>
  </si>
  <si>
    <t>ST54-0074</t>
  </si>
  <si>
    <t>BLK01,JCPENNEY01,KOHLDSN,MACY02,NRTPORT,OVERSTOCK01,TGTDVS</t>
  </si>
  <si>
    <t>12/20/2021</t>
  </si>
  <si>
    <t>ST54-0076</t>
  </si>
  <si>
    <t>FINGERHUTDS,JCPENNEY01,MACY02,OVERSTOCK01</t>
  </si>
  <si>
    <t>ST54-0077</t>
  </si>
  <si>
    <t>WR54-1751</t>
  </si>
  <si>
    <t>Heated Plush to Berber</t>
  </si>
  <si>
    <t>PF003611</t>
  </si>
  <si>
    <t>WR54-1752</t>
  </si>
  <si>
    <t>JCPENNEY01,KOHLDSN,WALMARTDS</t>
  </si>
  <si>
    <t>4/12/2023</t>
  </si>
  <si>
    <t>WR54-1753</t>
  </si>
  <si>
    <t>JCPENNEY01,MACY02,OVERSTOCK01,WALMARTDS</t>
  </si>
  <si>
    <t>WR54-1754</t>
  </si>
  <si>
    <t>10/6/2022</t>
  </si>
  <si>
    <t>WR54-1759</t>
  </si>
  <si>
    <t>PF003614</t>
  </si>
  <si>
    <t>FINGERHUTDS,KOHLDSN,OVERSTOCK01,WALMARTDS</t>
  </si>
  <si>
    <t>10/12/2022</t>
  </si>
  <si>
    <t>WR54-1760</t>
  </si>
  <si>
    <t>JCPENNEY01,KOHLDSN,OVERSCONSIGN</t>
  </si>
  <si>
    <t>WR54-1761</t>
  </si>
  <si>
    <t>KOHLDSN</t>
  </si>
  <si>
    <t>7/11/2022</t>
  </si>
  <si>
    <t>WR54-1762</t>
  </si>
  <si>
    <t>FINGERHUTDS,OVERSTOCK01</t>
  </si>
  <si>
    <t>7/5/2022</t>
  </si>
  <si>
    <t>4/26/2023</t>
  </si>
  <si>
    <t>WR54-1743</t>
  </si>
  <si>
    <t>PF003609</t>
  </si>
  <si>
    <t>KOHLDSN,WALMARTDS</t>
  </si>
  <si>
    <t>3/21/2023</t>
  </si>
  <si>
    <t>WR54-1744</t>
  </si>
  <si>
    <t>10/9/2023</t>
  </si>
  <si>
    <t>WR54-1745</t>
  </si>
  <si>
    <t>WR54-1746</t>
  </si>
  <si>
    <t>FINGERHUTDS,JCPENNEY01,KOHLDSN,OVERSTOCK01</t>
  </si>
  <si>
    <t>10/17/2022</t>
  </si>
  <si>
    <t>WR54-1739</t>
  </si>
  <si>
    <t>PF003613</t>
  </si>
  <si>
    <t>WR54-1740</t>
  </si>
  <si>
    <t>8/31/2022</t>
  </si>
  <si>
    <t>WR54-1741</t>
  </si>
  <si>
    <t>WR54-1742</t>
  </si>
  <si>
    <t>AMAZON,BLK01,MACY02,OVERSTOCK01,WALMARTDS</t>
  </si>
  <si>
    <t>11/17/2022</t>
  </si>
  <si>
    <t>WR54-1755</t>
  </si>
  <si>
    <t>Garnet</t>
  </si>
  <si>
    <t>PF003612</t>
  </si>
  <si>
    <t>WR54-1756</t>
  </si>
  <si>
    <t>FINGERHUTDS,KOHLDSN</t>
  </si>
  <si>
    <t>WR54-1757</t>
  </si>
  <si>
    <t>AMAZON,JCPENNEY01</t>
  </si>
  <si>
    <t>WR54-1758</t>
  </si>
  <si>
    <t>WR54-1763</t>
  </si>
  <si>
    <t>PF003615</t>
  </si>
  <si>
    <t>WR54-1764</t>
  </si>
  <si>
    <t>WR54-1765</t>
  </si>
  <si>
    <t>WR54-1766</t>
  </si>
  <si>
    <t>WR54-1747</t>
  </si>
  <si>
    <t>PF003610</t>
  </si>
  <si>
    <t>2/21/2022</t>
  </si>
  <si>
    <t>WR54-1748</t>
  </si>
  <si>
    <t>2/8/2022</t>
  </si>
  <si>
    <t>1/28/2022</t>
  </si>
  <si>
    <t>WR54-1749</t>
  </si>
  <si>
    <t>FINGERHUTDS,OLLIIX,OVERSTOCK01</t>
  </si>
  <si>
    <t>11/22/2022</t>
  </si>
  <si>
    <t>WR54-1750</t>
  </si>
  <si>
    <t>WR54-1774</t>
  </si>
  <si>
    <t>Oversized Mink to Berber Heated Throw</t>
  </si>
  <si>
    <t>PF003451</t>
  </si>
  <si>
    <t>BLK01,JCPENNEY01,KOHLDSN,NORDSTRACKDS,OVERSTOCK01</t>
  </si>
  <si>
    <t>1/7/2022</t>
  </si>
  <si>
    <t>WR54-1775</t>
  </si>
  <si>
    <t>PF003452</t>
  </si>
  <si>
    <t>BLK01,JCPENNEY01,NORDSTRACKDS,OVERSTOCK01</t>
  </si>
  <si>
    <t>2/7/2022</t>
  </si>
  <si>
    <t>WR54-1997</t>
  </si>
  <si>
    <t>Brewster</t>
  </si>
  <si>
    <t>N/A</t>
  </si>
  <si>
    <t>Blue/Green</t>
  </si>
  <si>
    <t>PF003515</t>
  </si>
  <si>
    <t>CSNSTORES,HSNDS,JCPENNEY01,KOHLDSN,MACY02,OLLIIX</t>
  </si>
  <si>
    <t>WR54-1767</t>
  </si>
  <si>
    <t>PF003581</t>
  </si>
  <si>
    <t>2/10/2022</t>
  </si>
  <si>
    <t>WR54-1771</t>
  </si>
  <si>
    <t>PF003580</t>
  </si>
  <si>
    <t>12/9/2021</t>
  </si>
  <si>
    <t>WR54-1769</t>
  </si>
  <si>
    <t>PF003578</t>
  </si>
  <si>
    <t>2/3/2022</t>
  </si>
  <si>
    <t>WR54-3252</t>
  </si>
  <si>
    <t>PP001629;PF005471</t>
  </si>
  <si>
    <t>7/30/2021</t>
  </si>
  <si>
    <t>AMAZON,BLK01,KOHLDSN,MACY02,OVERSTOCK01</t>
  </si>
  <si>
    <t>WR54-3251</t>
  </si>
  <si>
    <t>PP001629;PF005470</t>
  </si>
  <si>
    <t>AMAZON,CSNSTORES,JCPENNEY01,KOHLDSN,MACY02</t>
  </si>
  <si>
    <t>WR54-2388</t>
  </si>
  <si>
    <t>Ridley</t>
  </si>
  <si>
    <t>Oversized Plaid Print Faux Mink to Berber Heated Throw</t>
  </si>
  <si>
    <t>PF002056</t>
  </si>
  <si>
    <t>10/16/2018</t>
  </si>
  <si>
    <t>BLK01,HSNDS,JCPENNEY01,MACY02,OLLIIX,OVERSTOCK01,TGTDVS</t>
  </si>
  <si>
    <t>WR54-1777</t>
  </si>
  <si>
    <t>PF003454</t>
  </si>
  <si>
    <t>1/14/2022</t>
  </si>
  <si>
    <t>5/25/2022</t>
  </si>
  <si>
    <t>WR54-1894</t>
  </si>
  <si>
    <t>PF003455</t>
  </si>
  <si>
    <t>BLK01,JCPENNEY01,NORDSTRACKDS,OLLIIX,OVERSTOCK01</t>
  </si>
  <si>
    <t>12/17/2021</t>
  </si>
  <si>
    <t>5/3/2022</t>
  </si>
  <si>
    <t>WR54-1776</t>
  </si>
  <si>
    <t>PF003453</t>
  </si>
  <si>
    <t>12/8/2021</t>
  </si>
  <si>
    <t>3/21/2022</t>
  </si>
  <si>
    <t>WR51-2217</t>
  </si>
  <si>
    <t>Burlington</t>
  </si>
  <si>
    <t>Berber Blanket</t>
  </si>
  <si>
    <t>AMAZON,JCPENNEY01,KOHLDSN,MACY02,OVERSTOCK01,TGTDVS,WALMARTDS</t>
  </si>
  <si>
    <t>12/4/2021</t>
  </si>
  <si>
    <t>12/5/2022</t>
  </si>
  <si>
    <t>WR51-2218</t>
  </si>
  <si>
    <t>ASHFURNDS,BEALLSDS,BLK01,CSNSTORES,FINGERHUTDS,JCPENNEY01,KOHLDSN,MACY02,OVERSTOCK01,TGTDVS,WALMARTDS</t>
  </si>
  <si>
    <t>WR51-2219</t>
  </si>
  <si>
    <t>AMAZON,AMAZONDS,BEALLSDS,BLK01,CSNSTORES,FINGERHUTDS,JCPENNEY01,KOHLDSN,MACY02,OVERSTOCK01,TGTDVS</t>
  </si>
  <si>
    <t>WR51-2211</t>
  </si>
  <si>
    <t>5/19/2022</t>
  </si>
  <si>
    <t>WR51-2212</t>
  </si>
  <si>
    <t>AMAZON,ASHFURNDS,BLK01,CSNSTORES,HSNDS,JCPENNEY01,KOHLDSN,MACY02,OVERSTOCK01,TGTDVS</t>
  </si>
  <si>
    <t>1/17/2022</t>
  </si>
  <si>
    <t>WR51-2213</t>
  </si>
  <si>
    <t>AMAZON,ASHFURNDS,BEALLSDS,BLK01,CSNSTORES,JCPENNEY01,KOHLDSN,MACY02,OVERSTOCK01,TGTDVS,WALMARTDS</t>
  </si>
  <si>
    <t>WR51-2214</t>
  </si>
  <si>
    <t>12/29/2021</t>
  </si>
  <si>
    <t>8/25/2022</t>
  </si>
  <si>
    <t>WR51-2215</t>
  </si>
  <si>
    <t>1/3/2022</t>
  </si>
  <si>
    <t>WR51-2216</t>
  </si>
  <si>
    <t>AMAZONDS,CSNSTORES,HOUZZ,JCPENNEY01,KOHLDSN,MACY02,OLLIIX,OVERSTOCK01,TGTDVS,WALMARTDS</t>
  </si>
  <si>
    <t>12/30/2021</t>
  </si>
  <si>
    <t>WR51-3913</t>
  </si>
  <si>
    <t>PP001175;PF005983</t>
  </si>
  <si>
    <t>5/18/2023</t>
  </si>
  <si>
    <t>WR51-3914</t>
  </si>
  <si>
    <t>WR51-3915</t>
  </si>
  <si>
    <t>WR51-3907</t>
  </si>
  <si>
    <t>PP001175;PF005981</t>
  </si>
  <si>
    <t>WR51-3908</t>
  </si>
  <si>
    <t>WR51-3909</t>
  </si>
  <si>
    <t>AMAZON,AMAZONDS,BLK01,CSNSTORES,FINGERHUTDS,JCPENNEY01,KOHLDSN,MACY02,OVERSTOCK01,TGTDVS</t>
  </si>
  <si>
    <t>WR51-3910</t>
  </si>
  <si>
    <t>PP001175;PF005982</t>
  </si>
  <si>
    <t>WR51-3911</t>
  </si>
  <si>
    <t>CSNSTORES,DESINC,JCPENNEY01,KOHLDSN,MACY02,OVERSTOCK01,TGTDVS</t>
  </si>
  <si>
    <t>WR51-3912</t>
  </si>
  <si>
    <t>AMAZON,BLK01,CSNSTORES,HOUZZ,JCPENNEY01,KOHLDSN,MACY02,OVERSTOCK01,TGTDVS</t>
  </si>
  <si>
    <t>WR51-2208</t>
  </si>
  <si>
    <t>AMAZON,AMAZONDS,BLK01,CSNSTORES,KOHLDSN,MACY02,OLLIIX,OVERSTOCK01,TGTDVS</t>
  </si>
  <si>
    <t>4/17/2023</t>
  </si>
  <si>
    <t>WR51-2209</t>
  </si>
  <si>
    <t>11/28/2021</t>
  </si>
  <si>
    <t>WR51-2210</t>
  </si>
  <si>
    <t>AMAZON,ASHFURNDS,BLK01,CSNSTORES,HSNDS,JCPENNEY01,KOHLDSN,MACY02,OVERSCONSIGN,OVERSTOCK01,TGTDVS</t>
  </si>
  <si>
    <t>WR51-2548</t>
  </si>
  <si>
    <t>PP001175;PF004668</t>
  </si>
  <si>
    <t>AMAZON,BLK01,CSNSTORES,FINGERHUTDS,HSNDS,JCPENNEY01,KOHLDSN,MACY02,OVERSTOCK01,TGTDVS</t>
  </si>
  <si>
    <t>2/2/2022</t>
  </si>
  <si>
    <t>WR51-2549</t>
  </si>
  <si>
    <t>AMAZONDS,FINGERHUTDS,JCPENNEY01,KOHLDSN,OVERSTOCK01,TGTDVS</t>
  </si>
  <si>
    <t>2/15/2022</t>
  </si>
  <si>
    <t>WR10-1054</t>
  </si>
  <si>
    <t>White River</t>
  </si>
  <si>
    <t>Down Alternative Comforter Mini Set</t>
  </si>
  <si>
    <t>PF002049</t>
  </si>
  <si>
    <t>AMAZON,ASHFURNDS,BLK01,CSNSTORES,MACY02,OVERSTOCK01,TGTDVS</t>
  </si>
  <si>
    <t>WR10-1055</t>
  </si>
  <si>
    <t>AMAZONDS,ASHFURNDS,BLK01,CSNSTORES,KOHLDSN,MACY02,OVERSTOCK01,TGTDVS,WALMARTDS</t>
  </si>
  <si>
    <t>WR10-1056</t>
  </si>
  <si>
    <t>AMAZON,AMAZONDS,ASHFURNDS,HSNDS,KOHLDSN,MACY02,OLLIIX,OVERSTOCK01</t>
  </si>
  <si>
    <t>WR10-1511</t>
  </si>
  <si>
    <t>Woodsman</t>
  </si>
  <si>
    <t>Softspun Down Alternative Comforter Mini Set</t>
  </si>
  <si>
    <t>PF002052</t>
  </si>
  <si>
    <t>AMAZONDS,ASHFURNDS,KOHLDSN,TGTDVS,WALMARTDS</t>
  </si>
  <si>
    <t>WR10-1512</t>
  </si>
  <si>
    <t>AMAZON,BLK01,CSNSTORES,KOHLDSN,MACY02,OVERSTOCK01</t>
  </si>
  <si>
    <t>WR10-1513</t>
  </si>
  <si>
    <t>WR10-2480</t>
  </si>
  <si>
    <t>Flint</t>
  </si>
  <si>
    <t>CozySpun Down Alternative Comforter Mini Set</t>
  </si>
  <si>
    <t>PP001005;PF004483</t>
  </si>
  <si>
    <t>11/7/2018</t>
  </si>
  <si>
    <t>3/8/2022</t>
  </si>
  <si>
    <t>WR10-2481</t>
  </si>
  <si>
    <t>3/14/2022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</si>
  <si>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</si>
  <si>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</si>
  <si>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</si>
  <si>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</si>
  <si>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</si>
  <si>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</si>
  <si>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AMAZONDS,CSNSTORES,HSNDS,MACY02,OVERSTOCK01,TGTDVS</t>
  </si>
  <si>
    <t>WR10-1058</t>
  </si>
  <si>
    <t>AMAZON,BLK01,CSNSTORES,HSNDS,MACY02,OLLIIX,OVERSTOCK01,TGTDVS</t>
  </si>
  <si>
    <t>WR10-1059</t>
  </si>
  <si>
    <t>AMAZON,BLK01,CSNSTORES,HSNDS,KOHLDSN,MACY02,OLLIIX,OVERSTOCK01</t>
  </si>
  <si>
    <t>WR10-3857</t>
  </si>
  <si>
    <t>Tunbridge</t>
  </si>
  <si>
    <t>Print Sherpa Comforter Set</t>
  </si>
  <si>
    <t>Red/Black</t>
  </si>
  <si>
    <t>PF005751;PP001788</t>
  </si>
  <si>
    <t>WR10-3858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</si>
  <si>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</si>
  <si>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</si>
  <si>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</si>
  <si>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</si>
  <si>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</si>
  <si>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</si>
  <si>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WR10-3106</t>
  </si>
  <si>
    <t>WR10-2884</t>
  </si>
  <si>
    <t>Brown/Ivory</t>
  </si>
  <si>
    <t>PP001363;PF004860</t>
  </si>
  <si>
    <t>WR10-2885</t>
  </si>
  <si>
    <t>WR10-2887</t>
  </si>
  <si>
    <t>Charcoal/Ivory</t>
  </si>
  <si>
    <t>WR10-2888</t>
  </si>
  <si>
    <t>WR10-3886</t>
  </si>
  <si>
    <t>PP001363;PF005807</t>
  </si>
  <si>
    <t>WR10-3887</t>
  </si>
  <si>
    <t>WR10-2062</t>
  </si>
  <si>
    <t>Grey/Ivory</t>
  </si>
  <si>
    <t>PF002182</t>
  </si>
  <si>
    <t>WR10-2063</t>
  </si>
  <si>
    <t>WR10-2414</t>
  </si>
  <si>
    <t>Navy/Ivory</t>
  </si>
  <si>
    <t>10/31/2018</t>
  </si>
  <si>
    <t>WR10-2415</t>
  </si>
  <si>
    <t>WR10-3102</t>
  </si>
  <si>
    <t>PP001363;PF005164</t>
  </si>
  <si>
    <t>WR10-3103</t>
  </si>
  <si>
    <t>WR10-2065</t>
  </si>
  <si>
    <t>PF002181</t>
  </si>
  <si>
    <t>WR10-2066</t>
  </si>
  <si>
    <t>CSNSTORES,FINGERHUTDS,HSNDS,KOHLDSN,OVERSTOCK01</t>
  </si>
  <si>
    <t>WR10-3099</t>
  </si>
  <si>
    <t>Red/Black Buffalo Check</t>
  </si>
  <si>
    <t>PP001363;PF005152</t>
  </si>
  <si>
    <t>8/4/2020</t>
  </si>
  <si>
    <t>WR10-3100</t>
  </si>
  <si>
    <t>WR10-3327</t>
  </si>
  <si>
    <t>Tan Plaid</t>
  </si>
  <si>
    <t>PP001363;PF005525</t>
  </si>
  <si>
    <t>WR10-3328</t>
  </si>
  <si>
    <t>WR10-2417</t>
  </si>
  <si>
    <t>Taupe/Ivory</t>
  </si>
  <si>
    <t>WR10-2418</t>
  </si>
  <si>
    <t>WR13-3324</t>
  </si>
  <si>
    <t>Sierra</t>
  </si>
  <si>
    <t>Oversized Print Plush Quilt Set</t>
  </si>
  <si>
    <t>Tan/Black</t>
  </si>
  <si>
    <t>PP001652;PF005521</t>
  </si>
  <si>
    <t>WR13-3325</t>
  </si>
  <si>
    <t>AMAZON,CSNSTORES,JCPENNEY01,KOHLDSN,MACY02,OVERSCONSIGN,OVERSTOCK01</t>
  </si>
  <si>
    <t>WR50-3968</t>
  </si>
  <si>
    <t>Bloomington</t>
  </si>
  <si>
    <t>Faux Mohair to Sherpa Throw</t>
  </si>
  <si>
    <t>PP001878;PF005993</t>
  </si>
  <si>
    <t>HDDS,MACY02,OLLIIX,OVERSTOCK01</t>
  </si>
  <si>
    <t>WR50-3967</t>
  </si>
  <si>
    <t>PP001878;PF005992</t>
  </si>
  <si>
    <t>WR50-3969</t>
  </si>
  <si>
    <t>PP001878;PF005994</t>
  </si>
  <si>
    <t>AMAZON,TGTDVS</t>
  </si>
  <si>
    <t>WR50-3970</t>
  </si>
  <si>
    <t>PP001878;PF005995</t>
  </si>
  <si>
    <t>MPE10-598</t>
  </si>
  <si>
    <t>Parkston</t>
  </si>
  <si>
    <t>Hartford</t>
  </si>
  <si>
    <t>3M Scotchgard Down Alternative All Season Comforter Set</t>
  </si>
  <si>
    <t>PF002084</t>
  </si>
  <si>
    <t>AMAZON,AMAZONDS,CSNSTORES,JCPENNEY01,KOHLDSN,TGTDVS,WALMARTDS</t>
  </si>
  <si>
    <t>11/13/2017</t>
  </si>
  <si>
    <t>MPE10-948</t>
  </si>
  <si>
    <t>PP001340;PF005481</t>
  </si>
  <si>
    <t>7/10/2021</t>
  </si>
  <si>
    <t>AMAZON,BLK01,KOHLDSN,TGTDVS</t>
  </si>
  <si>
    <t>MPE10-949</t>
  </si>
  <si>
    <t>AMAZON,DESINC,FINGERHUTDS,JCPENNEY01,KOHLDSN,MACY02,TGTDVS</t>
  </si>
  <si>
    <t>MPE10-950</t>
  </si>
  <si>
    <t>MPE10-945</t>
  </si>
  <si>
    <t>PP001340;PF005480</t>
  </si>
  <si>
    <t>AMAZONDS,CSNSTORES,KOHLDSN,OVERSTOCK01,TGTDVS</t>
  </si>
  <si>
    <t>MPE10-946</t>
  </si>
  <si>
    <t>AMAZON,BLK01,CSNSTORES,FINGERHUTDS,JCPENNEY01,KOHLDSN,MACY02,TGTDVS</t>
  </si>
  <si>
    <t>MPE10-947</t>
  </si>
  <si>
    <t>MPE10-614</t>
  </si>
  <si>
    <t>Larkspur</t>
  </si>
  <si>
    <t>Windsor</t>
  </si>
  <si>
    <t>3M Scotchgard Diamond Quilting Reversible Down Alternative Comforter Set</t>
  </si>
  <si>
    <t>Charcoal/Grey</t>
  </si>
  <si>
    <t>PF002064</t>
  </si>
  <si>
    <t>MPE10-615</t>
  </si>
  <si>
    <t>ASHFURNDS,BLK01,CSNSTORES,FINGERHUTDS,JCPENNEY01,KOHLDSN,MACY02,OLLIIX,OVERSTOCK01,TGTDVS</t>
  </si>
  <si>
    <t>MPE10-616</t>
  </si>
  <si>
    <t>5/13/2018</t>
  </si>
  <si>
    <t>BASI10-0281</t>
  </si>
  <si>
    <t>Black/Black</t>
  </si>
  <si>
    <t>PF002062</t>
  </si>
  <si>
    <t>FINGERHUTDS,JCPENNEY01,KOHLDSN,MACY02,TGTDVS</t>
  </si>
  <si>
    <t>BASI10-0282</t>
  </si>
  <si>
    <t>BLK01,CSNSTORES,FINGERHUTDS,HDDS,JCPENNEY01,KOHLDSN,MACY02,OLLIIX,OVERSTOCK01,TGTDVS</t>
  </si>
  <si>
    <t>BASI10-0283</t>
  </si>
  <si>
    <t>ASHFURNDS,BLK01,CSNSTORES,FINGERHUTDS,JCPENNEY01,KOHLDSN,MACY02,OLLIIX,OVERSTOCK01</t>
  </si>
  <si>
    <t>BASI10-0201</t>
  </si>
  <si>
    <t>PF002061</t>
  </si>
  <si>
    <t>CSNSTORES,FINGERHUTDS,JCPENNEY01,KOHLDSN,MACY02,OLLIIX,TGTDVS</t>
  </si>
  <si>
    <t>BASI10-0202</t>
  </si>
  <si>
    <t>1/7/2015</t>
  </si>
  <si>
    <t>BASI10-0203</t>
  </si>
  <si>
    <t>ASHFURNDS,BLK01,CSNSTORES,FINGERHUTDS,HDDS,JCPENNEY01,KOHLDSN,MACY02,OLLIIX,OVERSTOCK01</t>
  </si>
  <si>
    <t>1/26/2015</t>
  </si>
  <si>
    <t>LCN51N-0027</t>
  </si>
  <si>
    <t>Gauze</t>
  </si>
  <si>
    <t>100% Cotton Lightweight Blanket</t>
  </si>
  <si>
    <t>PP001581;PF005314</t>
  </si>
  <si>
    <t>1/15/2021</t>
  </si>
  <si>
    <t>AMAZONDS,DESINC,JCPENNEY01,KOHLDSN,MACY02,OLLIIX,OVERSTOCK01,TGTDVS</t>
  </si>
  <si>
    <t>LCN51N-0028</t>
  </si>
  <si>
    <t>AMAZONDS,CSNSTORES,JCPENNEY01,KIRKLANDDS,KOHLDSN,MACY02,OLLIIX,OVERSTOCK01,TGTDVS,ZOLA</t>
  </si>
  <si>
    <t>LCN51N-0024</t>
  </si>
  <si>
    <t>PP001581;PF005313</t>
  </si>
  <si>
    <t>AMAZONDS,BLK01,JCPENNEY01,KOHLDSN,MACY02,OLLIIX,OVERSTOCK01,TGTDVS</t>
  </si>
  <si>
    <t>LCN51N-0025</t>
  </si>
  <si>
    <t>LCN51N-0030</t>
  </si>
  <si>
    <t>PP001581;PF005315</t>
  </si>
  <si>
    <t>AMAZONDS,BLK01,CSNSTORES,KIRKLANDDS,KOHLDSN,MACY02,OLLIIX,OVERSTOCK01,TGTDVS</t>
  </si>
  <si>
    <t>LCN51N-0031</t>
  </si>
  <si>
    <t>AMAZONDS,BLK01,CSNSTORES,KOHLDSN,MACY02,OLLIIX,TGTDVS</t>
  </si>
  <si>
    <t>II51-1135</t>
  </si>
  <si>
    <t>Bree Knit</t>
  </si>
  <si>
    <t>PP001571;PF005282</t>
  </si>
  <si>
    <t>1/16/2021</t>
  </si>
  <si>
    <t>II51-1136</t>
  </si>
  <si>
    <t>II51-1137</t>
  </si>
  <si>
    <t>AMAZON,CSNSTORES,JCPENNEY01,KIRKLANDDS,MACY02,OLLIIX,TGTDVS</t>
  </si>
  <si>
    <t>II51-1142</t>
  </si>
  <si>
    <t>PP001571;PF005283</t>
  </si>
  <si>
    <t>AMAZON,CSNSTORES,KIRKLANDDS,TGTDVS</t>
  </si>
  <si>
    <t>II51-1143</t>
  </si>
  <si>
    <t>CSNSTORES,JCPENNEY01,KIRKLANDDS,MACY02,TGTDVS</t>
  </si>
  <si>
    <t>II51-1144</t>
  </si>
  <si>
    <t>AMAZON,AMAZONDS,CSNSTORES,JCPENNEY01,KIRKLANDDS,KOHLDSN,MACY02,OVERSTOCK01,TGTDVS</t>
  </si>
  <si>
    <t>II51-724</t>
  </si>
  <si>
    <t>PF003487</t>
  </si>
  <si>
    <t>II51-725</t>
  </si>
  <si>
    <t>AMAZON,CSNSTORES,MACY02,OLLIIX,TGTDVS</t>
  </si>
  <si>
    <t>II51-726</t>
  </si>
  <si>
    <t>II51-1308</t>
  </si>
  <si>
    <t>PP001571;PF006066</t>
  </si>
  <si>
    <t>10/12/2023</t>
  </si>
  <si>
    <t>II51-1309</t>
  </si>
  <si>
    <t>II51-1310</t>
  </si>
  <si>
    <t>II30-1141</t>
  </si>
  <si>
    <t>Pillowcase</t>
  </si>
  <si>
    <t>Oblong Pillow Cover</t>
  </si>
  <si>
    <t>AMAZONDS,KOHLDSN,OVERSTOCK01,TGTDVS</t>
  </si>
  <si>
    <t>II30-1139</t>
  </si>
  <si>
    <t>Square Pillow Cover</t>
  </si>
  <si>
    <t>AMAZONDS,TGTDVS</t>
  </si>
  <si>
    <t>II30-1140</t>
  </si>
  <si>
    <t>Euro Pillow Cover</t>
  </si>
  <si>
    <t>II30-1148</t>
  </si>
  <si>
    <t>II30-1146</t>
  </si>
  <si>
    <t>II30-1147</t>
  </si>
  <si>
    <t>II30-740</t>
  </si>
  <si>
    <t>II30-737</t>
  </si>
  <si>
    <t>II30-871</t>
  </si>
  <si>
    <t>II50-1138</t>
  </si>
  <si>
    <t>II50-1145</t>
  </si>
  <si>
    <t>II50-734</t>
  </si>
  <si>
    <t>II50-239</t>
  </si>
  <si>
    <t>Stockholm</t>
  </si>
  <si>
    <t>Halmstad</t>
  </si>
  <si>
    <t>Color Block Faux Cashmere Throw</t>
  </si>
  <si>
    <t>PF003433</t>
  </si>
  <si>
    <t>BLK01,CSNSTORES,JCPENNEY01,MACY02,OLLIIX,OVERSTOCK01,TGTDVS</t>
  </si>
  <si>
    <t>II50-1031</t>
  </si>
  <si>
    <t>PP000943</t>
  </si>
  <si>
    <t>6/27/2018</t>
  </si>
  <si>
    <t>II50-1030</t>
  </si>
  <si>
    <t>AMERSIGNDS,CSNSTORES,JCPENNEY01,KIRKLANDDS,MACY02,OLLIIX,TGTDVS</t>
  </si>
  <si>
    <t>II50-238</t>
  </si>
  <si>
    <t>PF003432</t>
  </si>
  <si>
    <t>BLK01,CSNSTORES,MACY02,OLLIIX,TGTDVS</t>
  </si>
  <si>
    <t>II50-240</t>
  </si>
  <si>
    <t>PF003434</t>
  </si>
  <si>
    <t>BEALLSDS,BLK01,CSNSTORES,JCPENNEY01,KIRKLANDDS,KOHLDSN,MACY02,OLLIIX,OVERSTOCK01,TGTDVS</t>
  </si>
  <si>
    <t>TN54-0495</t>
  </si>
  <si>
    <t>Sherpa</t>
  </si>
  <si>
    <t>PP001893;PF006038</t>
  </si>
  <si>
    <t>KOHLDSN,MACY02</t>
  </si>
  <si>
    <t>TN54-0496</t>
  </si>
  <si>
    <t>TN54-0497</t>
  </si>
  <si>
    <t>JCPENNEY01,MACY02</t>
  </si>
  <si>
    <t>TN54-0498</t>
  </si>
  <si>
    <t>TN54-0503</t>
  </si>
  <si>
    <t>PP001893;PF006040</t>
  </si>
  <si>
    <t>TN54-0504</t>
  </si>
  <si>
    <t>TN54-0505</t>
  </si>
  <si>
    <t>BLK01,JCPENNEY01,KOHLDSN,OVERSTOCK01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</si>
  <si>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</si>
  <si>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</si>
  <si>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</si>
  <si>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</si>
  <si>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</si>
  <si>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</si>
  <si>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</si>
  <si>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</si>
  <si>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</si>
  <si>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</si>
  <si>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</si>
  <si>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</si>
  <si>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</si>
  <si>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</si>
  <si>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</si>
  <si>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</si>
  <si>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</si>
  <si>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</si>
  <si>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II105-0466</t>
  </si>
  <si>
    <t>FUR</t>
  </si>
  <si>
    <t>ACCENT BENCH</t>
  </si>
  <si>
    <t>Bench</t>
  </si>
  <si>
    <t>April</t>
  </si>
  <si>
    <t>Accent Bench</t>
  </si>
  <si>
    <t>Grey Multi</t>
  </si>
  <si>
    <t>7/1/2024</t>
  </si>
  <si>
    <t>CSNSTORES,OLLIIX,OVERSTOCK01,TGTDVS,ZOLA</t>
  </si>
  <si>
    <t>II105-0546</t>
  </si>
  <si>
    <t>Arcadia</t>
  </si>
  <si>
    <t>Accent Bench with Storage and Upholstered Cushion</t>
  </si>
  <si>
    <t>Walnut Brown</t>
  </si>
  <si>
    <t>II105-0460</t>
  </si>
  <si>
    <t>Marcie</t>
  </si>
  <si>
    <t>Soft Close Storage Accent Bench</t>
  </si>
  <si>
    <t>3/23/2022</t>
  </si>
  <si>
    <t>AMERSIGNDS,CSNSTORES,HDDS,MACY02F,OLLIIX,TGTDVS,ZOLA</t>
  </si>
  <si>
    <t>II105-0525</t>
  </si>
  <si>
    <t>Other Bench</t>
  </si>
  <si>
    <t>Bailey</t>
  </si>
  <si>
    <t>Boucle Flip Top Storage Bench</t>
  </si>
  <si>
    <t>6/8/2023</t>
  </si>
  <si>
    <t>AMERSIGNDS,CSNSTORES,HOUZZ,KIRKLANDDS,OLLIIX,OVERSTOCK01,TGTDVS,ZOLA</t>
  </si>
  <si>
    <t>II105-0090</t>
  </si>
  <si>
    <t>Boomerang</t>
  </si>
  <si>
    <t>Blue/Pecan</t>
  </si>
  <si>
    <t>PF000140;PP000013</t>
  </si>
  <si>
    <t>II105-0401</t>
  </si>
  <si>
    <t>CSNSTORES,JCPENNEY01,KIRKLANDDS,MACY02F,OLLIIX,OVERSTOCK01,ROOMECOM,TGTDVS</t>
  </si>
  <si>
    <t>II105-0256</t>
  </si>
  <si>
    <t>Seadrift</t>
  </si>
  <si>
    <t>PF004044</t>
  </si>
  <si>
    <t>1/30/2018</t>
  </si>
  <si>
    <t>7/7/2024</t>
  </si>
  <si>
    <t>AMAZONDS,AMERSIGNDS,CSNSTORES,HOUZZ,KOHLDSN,OLLIIX,OVERSTOCK01</t>
  </si>
  <si>
    <t>II105-0524</t>
  </si>
  <si>
    <t>Steve</t>
  </si>
  <si>
    <t>Boucle Waterfall Bench</t>
  </si>
  <si>
    <t>42"W</t>
  </si>
  <si>
    <t>PP001874</t>
  </si>
  <si>
    <t>6/13/2023</t>
  </si>
  <si>
    <t>II100-0512</t>
  </si>
  <si>
    <t>ACCENT CHAIR</t>
  </si>
  <si>
    <t>Accent Chair</t>
  </si>
  <si>
    <t>Oslo</t>
  </si>
  <si>
    <t>Faux Leather Woven Accent Chair</t>
  </si>
  <si>
    <t>4/27/2023</t>
  </si>
  <si>
    <t>KIRKLANDDS</t>
  </si>
  <si>
    <t>II100-0494</t>
  </si>
  <si>
    <t>Chair</t>
  </si>
  <si>
    <t>Ferguson</t>
  </si>
  <si>
    <t>Faux Leather Accent Chair</t>
  </si>
  <si>
    <t>II100-0219</t>
  </si>
  <si>
    <t>Lounge Chair</t>
  </si>
  <si>
    <t>PF000109</t>
  </si>
  <si>
    <t>ASHFURNDS,CSNSTORES,HDDS,MACY02F,OLLIIX</t>
  </si>
  <si>
    <t>II100-0044</t>
  </si>
  <si>
    <t>Mustard Yellow/Pecan</t>
  </si>
  <si>
    <t>PF000109;PP000013</t>
  </si>
  <si>
    <t>ASHFURNDS,CSNSTORES,HOUZZ,OLLIIX</t>
  </si>
  <si>
    <t>FPF18-0414</t>
  </si>
  <si>
    <t>Crackle</t>
  </si>
  <si>
    <t>PF000018;PP000022</t>
  </si>
  <si>
    <t>HDDS,LAMPDS,OLLIIX</t>
  </si>
  <si>
    <t>IIF18-0054</t>
  </si>
  <si>
    <t>PF000207;PP000022</t>
  </si>
  <si>
    <t>CSNSTORES,HDDS,LAMPDS,OLLIIX</t>
  </si>
  <si>
    <t>II100-0168</t>
  </si>
  <si>
    <t>PF000129;PP000022</t>
  </si>
  <si>
    <t>CSNSTORES,HDDS,LAMPDS,OVERSTOCK01</t>
  </si>
  <si>
    <t>II100-0452</t>
  </si>
  <si>
    <t>Easton</t>
  </si>
  <si>
    <t>Low Profile Accent Chair</t>
  </si>
  <si>
    <t>2/15/2021</t>
  </si>
  <si>
    <t>CSNSTORES,OLLIIX</t>
  </si>
  <si>
    <t>II100-0048</t>
  </si>
  <si>
    <t>Taupe/Natural</t>
  </si>
  <si>
    <t>PF000111;PP000027</t>
  </si>
  <si>
    <t>CSNSTORES,HOUZZ,LAMPDS,OLLIIX</t>
  </si>
  <si>
    <t>II100-0360</t>
  </si>
  <si>
    <t>Kelly</t>
  </si>
  <si>
    <t>Light Brown</t>
  </si>
  <si>
    <t>AMERSIGNDS,ASHFURNDS,CSNSTORES,HDDS,HOUZZ,MACY02F,OLLIIX,OVERSTOCK01</t>
  </si>
  <si>
    <t>II100-0291</t>
  </si>
  <si>
    <t>Madden</t>
  </si>
  <si>
    <t>1/27/2018</t>
  </si>
  <si>
    <t>II100-0486</t>
  </si>
  <si>
    <t>Accent chair</t>
  </si>
  <si>
    <t>6/23/2022</t>
  </si>
  <si>
    <t>MACY02F,OLLIIX</t>
  </si>
  <si>
    <t>IIF18-0046</t>
  </si>
  <si>
    <t>Malibu</t>
  </si>
  <si>
    <t>PF000204;PP000035</t>
  </si>
  <si>
    <t>CSNSTORES</t>
  </si>
  <si>
    <t>II110-0455</t>
  </si>
  <si>
    <t>Newport</t>
  </si>
  <si>
    <t>8/10/2021</t>
  </si>
  <si>
    <t>ASHFURNDS,CSNSTORES,KOHLDSN,MACY02F,OLLIIX,OVERSTOCK01,ROOMECOM,TGTDVS</t>
  </si>
  <si>
    <t>II100-0063</t>
  </si>
  <si>
    <t>PF000835;PP000045</t>
  </si>
  <si>
    <t>ASHFURNDS,CASTLEGATE,HDDS,KIRKLANDDS,KOHLDSN,OLLIIX,OVERSTOCK01</t>
  </si>
  <si>
    <t>II110-0391</t>
  </si>
  <si>
    <t>10/7/2019</t>
  </si>
  <si>
    <t>ASHFURNDS,CASTLEGATE,KOHLDSN,MACY02F,OLLIIX</t>
  </si>
  <si>
    <t>II100-0382</t>
  </si>
  <si>
    <t>ASHFURNDS,CASTLEGATE,HDDS,MACY02F,OLLIIX,OVERSTOCK01</t>
  </si>
  <si>
    <t>II110-0388</t>
  </si>
  <si>
    <t>ASHFURNDS,CASTLEGATE,MACY02F,OVERSTOCK01</t>
  </si>
  <si>
    <t>IIF18-0015</t>
  </si>
  <si>
    <t>Pale Green</t>
  </si>
  <si>
    <t>PF000954;PP000045</t>
  </si>
  <si>
    <t>ASHFURNDS,CSNSTORES,OLLIIX</t>
  </si>
  <si>
    <t>II100-0468</t>
  </si>
  <si>
    <t>ASHFURNDS,CASTLEGATE,HDDS,HOUZZ,LAMPDS,OLLIIX,OVERSTOCK01,TGTDVS</t>
  </si>
  <si>
    <t>II100-0357</t>
  </si>
  <si>
    <t>Noe</t>
  </si>
  <si>
    <t>6/1/2018</t>
  </si>
  <si>
    <t>ASHFURNDS,CSNSTORES,KOHLDSN,LAMPDS,OLLIIX</t>
  </si>
  <si>
    <t>II110-0522</t>
  </si>
  <si>
    <t>Novak</t>
  </si>
  <si>
    <t>4/7/2023</t>
  </si>
  <si>
    <t>II100-0435</t>
  </si>
  <si>
    <t>12/1/2020</t>
  </si>
  <si>
    <t>CSNSTORES,MACY02F,OLLIIX,TGTDVS</t>
  </si>
  <si>
    <t>II110-0397</t>
  </si>
  <si>
    <t>CASTLEGATE,CSNSTORES,HDDS,KOHLDSN,LAMPDS,MACY02F,OLLIIX,OVERSTOCK01,TGTDVS</t>
  </si>
  <si>
    <t>II100-0487</t>
  </si>
  <si>
    <t>2/8/2023</t>
  </si>
  <si>
    <t>AMERSIGNDS,CSNSTORES,LAMPDS,OLLIIX,ZOLA</t>
  </si>
  <si>
    <t>IIF18-0049</t>
  </si>
  <si>
    <t>PF000206</t>
  </si>
  <si>
    <t>ASHFURNDS,CASTLEGATE,HOUZZ,KIRKLANDDS,MACY02F,OLLIIX,OVERSTOCK01,TGTDVS</t>
  </si>
  <si>
    <t>II100-0434</t>
  </si>
  <si>
    <t>AMERSIGNDS,CSNSTORES,HOUZZ,MACY02F,OLLIIX,TGTDVS</t>
  </si>
  <si>
    <t>II100-0088</t>
  </si>
  <si>
    <t>Rocket</t>
  </si>
  <si>
    <t>PF000121;PP000049</t>
  </si>
  <si>
    <t>AMAZONDS,CSNSTORES,OLLIIX</t>
  </si>
  <si>
    <t>II110-0396</t>
  </si>
  <si>
    <t>AMAZONDS,CSNSTORES,KIRKLANDDS,OLLIIX,TGTDVS</t>
  </si>
  <si>
    <t>FPF18-0350</t>
  </si>
  <si>
    <t>PF000010;PP000049</t>
  </si>
  <si>
    <t>CSNSTORES,HDDS,KIRKLANDDS,MACY02F,OLLIIX,ROOMECOM</t>
  </si>
  <si>
    <t>IIF18-0058</t>
  </si>
  <si>
    <t>PF000209;PP000049</t>
  </si>
  <si>
    <t>AMAZONDS,CSNSTORES,HOUZZ,MACY02F,OLLIIX,TGTDVS</t>
  </si>
  <si>
    <t>II100-0166</t>
  </si>
  <si>
    <t>PF000128;PP000049</t>
  </si>
  <si>
    <t>CSNSTORES,MACY02F,OLLIIX</t>
  </si>
  <si>
    <t>II100-0078</t>
  </si>
  <si>
    <t>Scott</t>
  </si>
  <si>
    <t>Cream/Morrocco</t>
  </si>
  <si>
    <t>PF000836</t>
  </si>
  <si>
    <t>II100-0267</t>
  </si>
  <si>
    <t>Shasta</t>
  </si>
  <si>
    <t>PP000646</t>
  </si>
  <si>
    <t>7/2/2024</t>
  </si>
  <si>
    <t>CSNSTORES,HDDS,MACY02F,OLLIIX</t>
  </si>
  <si>
    <t>II100-0324</t>
  </si>
  <si>
    <t>Sonia</t>
  </si>
  <si>
    <t>Camel</t>
  </si>
  <si>
    <t>1/12/2018</t>
  </si>
  <si>
    <t>CSNSTORES,MACY02F,OLLIIX,OVERSTOCK01</t>
  </si>
  <si>
    <t>II100-0332</t>
  </si>
  <si>
    <t>Ventura</t>
  </si>
  <si>
    <t>1/13/2018</t>
  </si>
  <si>
    <t>FPF18-0383</t>
  </si>
  <si>
    <t>Waldorf</t>
  </si>
  <si>
    <t>PF000016;PP000062</t>
  </si>
  <si>
    <t>CSNSTORES,LAMPDS</t>
  </si>
  <si>
    <t>II100-0193</t>
  </si>
  <si>
    <t>II130-0497</t>
  </si>
  <si>
    <t>ACCENT CHEST</t>
  </si>
  <si>
    <t>Accent Chest</t>
  </si>
  <si>
    <t>Seagate</t>
  </si>
  <si>
    <t>Handcrafted Seagrass 2-Door Accent chest</t>
  </si>
  <si>
    <t>2/23/2023</t>
  </si>
  <si>
    <t>5/22/2024</t>
  </si>
  <si>
    <t>II130-0406</t>
  </si>
  <si>
    <t>Cabinet</t>
  </si>
  <si>
    <t>Krista</t>
  </si>
  <si>
    <t>Accent Cabinet</t>
  </si>
  <si>
    <t>10/22/2020</t>
  </si>
  <si>
    <t>IIF17-0009</t>
  </si>
  <si>
    <t>ACCENT TABLE</t>
  </si>
  <si>
    <t>End Table</t>
  </si>
  <si>
    <t>Jayce</t>
  </si>
  <si>
    <t>Mid Century Wood End table</t>
  </si>
  <si>
    <t>Pecan</t>
  </si>
  <si>
    <t>PF000933</t>
  </si>
  <si>
    <t>FPF17-0324</t>
  </si>
  <si>
    <t>Wynn</t>
  </si>
  <si>
    <t>Pull Up Table</t>
  </si>
  <si>
    <t>PF000580;PP000066</t>
  </si>
  <si>
    <t>AMAZONDS,AMERSIGNDS,CSNSTORES,LAMPDS,OLLIIX,OVERSTOCK01,ROOMECOM,ZOLA</t>
  </si>
  <si>
    <t>IIF17-0082</t>
  </si>
  <si>
    <t>Occasional Table|Pedestal</t>
  </si>
  <si>
    <t>30" Pedestal</t>
  </si>
  <si>
    <t>PP000039</t>
  </si>
  <si>
    <t>5/1/2024</t>
  </si>
  <si>
    <t>CSNSTORES,LAMPDS,MACY02F,OLLIIX,OVERSTOCK01</t>
  </si>
  <si>
    <t>IIF20-0051</t>
  </si>
  <si>
    <t>BAR STOOL</t>
  </si>
  <si>
    <t>Bar Stool</t>
  </si>
  <si>
    <t>Barstool</t>
  </si>
  <si>
    <t>PF000226;PP000022</t>
  </si>
  <si>
    <t>ASHFURNDS,CSNSTORES</t>
  </si>
  <si>
    <t>II104-0030</t>
  </si>
  <si>
    <t>Frazier</t>
  </si>
  <si>
    <t>Counter stool/Barstool (adjustable height)</t>
  </si>
  <si>
    <t>PF000847;PP000029</t>
  </si>
  <si>
    <t>II104-0210</t>
  </si>
  <si>
    <t>Oaktown</t>
  </si>
  <si>
    <t>Backless Bar Stool with Swivel Seat</t>
  </si>
  <si>
    <t>PP000580</t>
  </si>
  <si>
    <t>1/20/2018</t>
  </si>
  <si>
    <t>IIF20-0104</t>
  </si>
  <si>
    <t>Bar Stool|Dining Chair</t>
  </si>
  <si>
    <t>Lancaster</t>
  </si>
  <si>
    <t>Barstool with Back</t>
  </si>
  <si>
    <t>Amber/Graphite</t>
  </si>
  <si>
    <t>PF000980;PP000034</t>
  </si>
  <si>
    <t>II104-0481</t>
  </si>
  <si>
    <t>Counter Stool</t>
  </si>
  <si>
    <t>Adams</t>
  </si>
  <si>
    <t>Faux Leather Swivel Counter Stool</t>
  </si>
  <si>
    <t>II104-0224</t>
  </si>
  <si>
    <t>PP000013</t>
  </si>
  <si>
    <t>12/28/2017</t>
  </si>
  <si>
    <t>ASHFURNDS,CSNSTORES,KIRKLANDDS,MACY02F,OLLIIX,OVERSTOCK01,TGTDVS</t>
  </si>
  <si>
    <t>II104-0480</t>
  </si>
  <si>
    <t>1/13/2023</t>
  </si>
  <si>
    <t>IIF20-0050</t>
  </si>
  <si>
    <t>PF000225;PP000022</t>
  </si>
  <si>
    <t>ASHFURNDS,CSNSTORES,KOHLDSN,MACY02F,OLLIIX,OVERSTOCK01</t>
  </si>
  <si>
    <t>FPF20-0312</t>
  </si>
  <si>
    <t>Counter Stool with Back</t>
  </si>
  <si>
    <t>PF000784;PP000034</t>
  </si>
  <si>
    <t>CSNSTORES,KOHLDSN,LAMPDS,OLLIIX,OVERSTOCK01</t>
  </si>
  <si>
    <t>II104-0429</t>
  </si>
  <si>
    <t>Oak/Silver</t>
  </si>
  <si>
    <t>11/10/2020</t>
  </si>
  <si>
    <t>AMAZONDS,CSNSTORES,OVERSTOCK01</t>
  </si>
  <si>
    <t>II104-0490</t>
  </si>
  <si>
    <t>Backless Upholstered Counter Stool 26"H</t>
  </si>
  <si>
    <t>1/10/2023</t>
  </si>
  <si>
    <t>AMERSIGNDS,HOUZZ,KIRKLANDDS,OLLIIX,OVERSTOCK01</t>
  </si>
  <si>
    <t>II104-0370</t>
  </si>
  <si>
    <t>Swivel Counter Stool</t>
  </si>
  <si>
    <t>Cream/Reclaimed Grey</t>
  </si>
  <si>
    <t>II104-0511</t>
  </si>
  <si>
    <t>Faux Leather Woven Counter Stool 24"H</t>
  </si>
  <si>
    <t>II104-0251</t>
  </si>
  <si>
    <t>Tacoma</t>
  </si>
  <si>
    <t>24" Counter stool</t>
  </si>
  <si>
    <t>PP000055</t>
  </si>
  <si>
    <t>1/31/2018</t>
  </si>
  <si>
    <t>FPF20-0338</t>
  </si>
  <si>
    <t>PF000794;PP000055</t>
  </si>
  <si>
    <t>II101-0120</t>
  </si>
  <si>
    <t>TRESTLE</t>
  </si>
  <si>
    <t>Reclaimed Brown/ Gun Metal</t>
  </si>
  <si>
    <t>PF000846;PP000060</t>
  </si>
  <si>
    <t>AMAZONDS,CSNSTORES,OLLIIX,OVERSTOCK01</t>
  </si>
  <si>
    <t>IIF19-0030</t>
  </si>
  <si>
    <t>BED</t>
  </si>
  <si>
    <t>Bed</t>
  </si>
  <si>
    <t>Clark</t>
  </si>
  <si>
    <t>Bed with 2 Nightstands</t>
  </si>
  <si>
    <t>PP000018</t>
  </si>
  <si>
    <t>4/18/2024</t>
  </si>
  <si>
    <t>IIF19-0031</t>
  </si>
  <si>
    <t>8/5/2017</t>
  </si>
  <si>
    <t>II115-0502</t>
  </si>
  <si>
    <t>Sunset Cliff</t>
  </si>
  <si>
    <t>Wood Queen Bed</t>
  </si>
  <si>
    <t>II112-0520</t>
  </si>
  <si>
    <t>DINING BENCH</t>
  </si>
  <si>
    <t>Dining Bench</t>
  </si>
  <si>
    <t>Frank</t>
  </si>
  <si>
    <t>6/5/2023</t>
  </si>
  <si>
    <t>II105-0313</t>
  </si>
  <si>
    <t>Sonoma</t>
  </si>
  <si>
    <t>II112-0447</t>
  </si>
  <si>
    <t>Reclaimed White</t>
  </si>
  <si>
    <t>5/28/2021</t>
  </si>
  <si>
    <t>8/17/2024</t>
  </si>
  <si>
    <t>II108-0523</t>
  </si>
  <si>
    <t>DINING CHAIR</t>
  </si>
  <si>
    <t>Dining Chair</t>
  </si>
  <si>
    <t>Benson</t>
  </si>
  <si>
    <t>Upholstered Dining Chairs with Arms (Set of 2)</t>
  </si>
  <si>
    <t>8/12/2024</t>
  </si>
  <si>
    <t>IIF20-0040</t>
  </si>
  <si>
    <t>Dining Chair (Set of 2)</t>
  </si>
  <si>
    <t>PF000220;PP000013</t>
  </si>
  <si>
    <t>CSNSTORES,LAMPDS,OLLIIX,OVERSTOCK01</t>
  </si>
  <si>
    <t>II108-0223</t>
  </si>
  <si>
    <t>11/14/2017</t>
  </si>
  <si>
    <t>CSNSTORES,MACY02F,OLLIIX,OVERSTOCK01,TGTDVS</t>
  </si>
  <si>
    <t>IIF20-0057</t>
  </si>
  <si>
    <t>Dining Arm Chair (Set of 2)</t>
  </si>
  <si>
    <t>PF000231;PP000014</t>
  </si>
  <si>
    <t>CSNSTORES,KIRKLANDDS,KOHLDSN,LAMPDS,OLLIIX,OVERSTOCK01</t>
  </si>
  <si>
    <t>II108-0521</t>
  </si>
  <si>
    <t>Upholstered Dining Chair (Set of 2)</t>
  </si>
  <si>
    <t>CSNSTORES,KIRKLANDDS,MACY02F,OLLIIX,OVERSTOCK01,TGTDVS</t>
  </si>
  <si>
    <t>II100-0031</t>
  </si>
  <si>
    <t>Dining Chair(Set of 2)</t>
  </si>
  <si>
    <t>PF000832;PP000029</t>
  </si>
  <si>
    <t>4/7/2017</t>
  </si>
  <si>
    <t>CSNSTORES,HOUZZ,OLLIIX</t>
  </si>
  <si>
    <t>II108-0508</t>
  </si>
  <si>
    <t>Armless Dining Chair Set of 2</t>
  </si>
  <si>
    <t>1/9/2023</t>
  </si>
  <si>
    <t>CSNSTORES,HOUZZ,KOHLDSN,MACY02F,OLLIIX</t>
  </si>
  <si>
    <t>II108-0364</t>
  </si>
  <si>
    <t>CASTLEGATE,HDDS,KOHLDSN,OLLIIX,OVERSTOCK01,TGTDVS</t>
  </si>
  <si>
    <t>FPF20-0377</t>
  </si>
  <si>
    <t>PF000795;PP000034</t>
  </si>
  <si>
    <t>II108-0500</t>
  </si>
  <si>
    <t>Lemmy</t>
  </si>
  <si>
    <t>Armless Upholstered Dining Chair Set of 2</t>
  </si>
  <si>
    <t>12/16/2022</t>
  </si>
  <si>
    <t>7/14/2024</t>
  </si>
  <si>
    <t>II108-0371</t>
  </si>
  <si>
    <t>Nola</t>
  </si>
  <si>
    <t>Dining Side Chair (Set of 2)</t>
  </si>
  <si>
    <t>6/29/2018</t>
  </si>
  <si>
    <t>AMERSIGNDS,CSNSTORES,HDDS,HOUZZ,MACY02F,OLLIIX,OVERSTOCK01,TGTDVS</t>
  </si>
  <si>
    <t>II108-0479</t>
  </si>
  <si>
    <t>CSNSTORES,HOUZZ,LAMPDS,OLLIIX,OVERSTOCK01</t>
  </si>
  <si>
    <t>II100-0117</t>
  </si>
  <si>
    <t>Orange/Dark Brown</t>
  </si>
  <si>
    <t>PF000127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</si>
  <si>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</si>
  <si>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</si>
  <si>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</si>
  <si>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</si>
  <si>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</si>
  <si>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</si>
  <si>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CSNSTORES,HOUZZ,KOHLDSN,MACY02F,OLLIIX,OVERSTOCK01</t>
  </si>
  <si>
    <t>II108-0510</t>
  </si>
  <si>
    <t>Faux Leather Woven Dining Chairs Set of 2</t>
  </si>
  <si>
    <t>7/12/2024</t>
  </si>
  <si>
    <t>II108-0314</t>
  </si>
  <si>
    <t xml:space="preserve">Dining  Side Chair(Set of 2pcs)</t>
  </si>
  <si>
    <t>II108-0450</t>
  </si>
  <si>
    <t>5/4/2021</t>
  </si>
  <si>
    <t>CSNSTORES,KIRKLANDDS,OLLIIX,OVERSTOCK01,ROOMECOM</t>
  </si>
  <si>
    <t>II108-0449</t>
  </si>
  <si>
    <t>5/3/2021</t>
  </si>
  <si>
    <t>CSNSTORES,KIRKLANDDS,OVERSTOCK01</t>
  </si>
  <si>
    <t>FPF20-0337</t>
  </si>
  <si>
    <t>PF000793;PP000055</t>
  </si>
  <si>
    <t>CSNSTORES,KOHLDSN,ROOMECOM</t>
  </si>
  <si>
    <t>IIF20-0028</t>
  </si>
  <si>
    <t>DINING TABLE</t>
  </si>
  <si>
    <t>Dining Table</t>
  </si>
  <si>
    <t>Round Dining/Pub Table</t>
  </si>
  <si>
    <t>PF000975;PP000018</t>
  </si>
  <si>
    <t>6/6/2024</t>
  </si>
  <si>
    <t>CSNSTORES,MACY02F,OVERSTOCK01</t>
  </si>
  <si>
    <t>II121-0501</t>
  </si>
  <si>
    <t>Rectangle Extension Dining Table</t>
  </si>
  <si>
    <t>2/24/2023</t>
  </si>
  <si>
    <t>II121-0499</t>
  </si>
  <si>
    <t>Kennedy</t>
  </si>
  <si>
    <t>44" Round Dining Table</t>
  </si>
  <si>
    <t>12/2/2022</t>
  </si>
  <si>
    <t>IIF20-0023</t>
  </si>
  <si>
    <t>Rectangle Dining Table</t>
  </si>
  <si>
    <t>PP000034</t>
  </si>
  <si>
    <t>II121-0036</t>
  </si>
  <si>
    <t>Round Dining/Gathering Table</t>
  </si>
  <si>
    <t>PF000886;PP000034</t>
  </si>
  <si>
    <t>II121-0417</t>
  </si>
  <si>
    <t>Oval Dining Table</t>
  </si>
  <si>
    <t>IIF20-0062</t>
  </si>
  <si>
    <t>3/18/2024</t>
  </si>
  <si>
    <t>II121-0315</t>
  </si>
  <si>
    <t>Extension Dining Table</t>
  </si>
  <si>
    <t>CSNSTORES,HOUZZ,KIRKLANDDS,OVERSTOCK01</t>
  </si>
  <si>
    <t>II121-0039</t>
  </si>
  <si>
    <t>Round Bar Table</t>
  </si>
  <si>
    <t>PF000887;PP000048</t>
  </si>
  <si>
    <t>CASTLEGATE,CSNSTORES,JCPENNEY01</t>
  </si>
  <si>
    <t>II121-0311</t>
  </si>
  <si>
    <t>CASTLEGATE,CSNSTORES,OLLIIX,OVERSTOCK01</t>
  </si>
  <si>
    <t>II121-0446</t>
  </si>
  <si>
    <t>II121-0445</t>
  </si>
  <si>
    <t>AMAZONDS,CSNSTORES,HOUZZ,OLLIIX</t>
  </si>
  <si>
    <t>II116-0496</t>
  </si>
  <si>
    <t>HEADBOARD</t>
  </si>
  <si>
    <t>Headboard</t>
  </si>
  <si>
    <t>Handcrafted Seagrass Headboard Queen</t>
  </si>
  <si>
    <t>Global Inspired|Transitional</t>
  </si>
  <si>
    <t>CSNSTORES,HOUZZ,OLLIIX,OVERSTOCK01</t>
  </si>
  <si>
    <t>II106-0226</t>
  </si>
  <si>
    <t>LOVESEAT &amp; SOFA</t>
  </si>
  <si>
    <t>Settee</t>
  </si>
  <si>
    <t>Loveseat</t>
  </si>
  <si>
    <t>PF000143</t>
  </si>
  <si>
    <t>12/30/2017</t>
  </si>
  <si>
    <t>II103-0498</t>
  </si>
  <si>
    <t>MOTION</t>
  </si>
  <si>
    <t>Swivel</t>
  </si>
  <si>
    <t>Bonn</t>
  </si>
  <si>
    <t>Upholstered 360 Degree Swivel Chair</t>
  </si>
  <si>
    <t>2/22/2023</t>
  </si>
  <si>
    <t>II103-0355</t>
  </si>
  <si>
    <t>Nina</t>
  </si>
  <si>
    <t>Swivel Lounge Chair, Star Based Swivel</t>
  </si>
  <si>
    <t>Brown Multi</t>
  </si>
  <si>
    <t>II136-0554</t>
  </si>
  <si>
    <t>NIGHTSTAND</t>
  </si>
  <si>
    <t>Nightstand</t>
  </si>
  <si>
    <t>Jameson</t>
  </si>
  <si>
    <t>Modern One Drawer Waterfall Nightstand</t>
  </si>
  <si>
    <t>12/29/2023</t>
  </si>
  <si>
    <t>II136-0308</t>
  </si>
  <si>
    <t>Jeremy</t>
  </si>
  <si>
    <t>Storage Nightstand</t>
  </si>
  <si>
    <t>Off-White/Navy</t>
  </si>
  <si>
    <t>II136-0067</t>
  </si>
  <si>
    <t>Solid Wood Nightstand</t>
  </si>
  <si>
    <t>Light Brown Multi</t>
  </si>
  <si>
    <t>PF000903;PP000048</t>
  </si>
  <si>
    <t>CSNSTORES,LAMPDS,OLLIIX,OVERSTOCK01,ROOMECOM</t>
  </si>
  <si>
    <t>II136-0503</t>
  </si>
  <si>
    <t>1-Drawer Nightstand with Shelf</t>
  </si>
  <si>
    <t>IIF17-0010</t>
  </si>
  <si>
    <t>OCCASIONL TABLE</t>
  </si>
  <si>
    <t>Coffee Table</t>
  </si>
  <si>
    <t>Blaze</t>
  </si>
  <si>
    <t>Triangle Wood Coffee table</t>
  </si>
  <si>
    <t>PF000934;PP000012</t>
  </si>
  <si>
    <t>AMAZONDS,CSNSTORES,KOHLDSN,MACY02F,OLLIIX,OVERSTOCK01,ROOMECOM,TGTDVS,ZOLA</t>
  </si>
  <si>
    <t>II120-0427</t>
  </si>
  <si>
    <t>9/24/2020</t>
  </si>
  <si>
    <t>AMAZONDS,CSNSTORES,HOUZZ,KIRKLANDDS,KOHLDSN,MACY02F,OLLIIX,OVERSTOCK01</t>
  </si>
  <si>
    <t>II120-0553</t>
  </si>
  <si>
    <t>Honey</t>
  </si>
  <si>
    <t>Fluted Hexagon Coffee Table</t>
  </si>
  <si>
    <t>10/10/2023</t>
  </si>
  <si>
    <t>II120-0425</t>
  </si>
  <si>
    <t>CSNSTORES,HOUZZ,MACY02F,OLLIIX</t>
  </si>
  <si>
    <t>FPF17-0356</t>
  </si>
  <si>
    <t>IIF17-0045</t>
  </si>
  <si>
    <t>Coffee Table with Tempered Glass</t>
  </si>
  <si>
    <t>PF000178;PP000049</t>
  </si>
  <si>
    <t>CSNSTORES,HOUZZ,KOHLDSN,OLLIIX,OVERSTOCK01,ROOMECOM,TGTDVS</t>
  </si>
  <si>
    <t>II120-0241</t>
  </si>
  <si>
    <t>Walker</t>
  </si>
  <si>
    <t>PF004043</t>
  </si>
  <si>
    <t>AMAZONDS,CSNSTORES,KOHLDSN,MACY02F,OLLIIX,OVERSTOCK01,ROOMECOM,TGTDVS</t>
  </si>
  <si>
    <t>FPF20-0322</t>
  </si>
  <si>
    <t>Console Table</t>
  </si>
  <si>
    <t>Monterey</t>
  </si>
  <si>
    <t>64" Console Table</t>
  </si>
  <si>
    <t>64"W</t>
  </si>
  <si>
    <t>PF000791;PP000043</t>
  </si>
  <si>
    <t>CSNSTORES,HDDS,LAMPDS,OLLIIX,OVERSTOCK01,ROOMECOM,TGTDVS</t>
  </si>
  <si>
    <t>II120-0509</t>
  </si>
  <si>
    <t>54" Console table</t>
  </si>
  <si>
    <t>54"W</t>
  </si>
  <si>
    <t>AMERSIGNDS,CSNSTORES,MACY02F,OLLIIX,OVERSTOCK01,TGTDVS</t>
  </si>
  <si>
    <t>II120-0459</t>
  </si>
  <si>
    <t>AMAZONDS,CSNSTORES,KIRKLANDDS,LAMPDS,OLLIIX,OVERSTOCK01</t>
  </si>
  <si>
    <t>FPF17-0296</t>
  </si>
  <si>
    <t>Triangle Wood Side Table</t>
  </si>
  <si>
    <t>PF000578;PP000012</t>
  </si>
  <si>
    <t>AMAZONDS,CSNSTORES,HOUZZ,JCPENNEY01,KOHLDSN,MACY02F,OLLIIX,OVERSTOCK01,ROOMECOM,TGTDVS,ZOLA</t>
  </si>
  <si>
    <t>II120-0428</t>
  </si>
  <si>
    <t>AMAZONDS,CSNSTORES,HOUZZ,KIRKLANDDS,KOHLDSN,MACY02F,OLLIIX,OVERSTOCK01,ROOMECOM,TGTDVS</t>
  </si>
  <si>
    <t>II101-0288</t>
  </si>
  <si>
    <t>OTTOMAN</t>
  </si>
  <si>
    <t>Ottoman</t>
  </si>
  <si>
    <t>Round stool</t>
  </si>
  <si>
    <t>Tan/Gold</t>
  </si>
  <si>
    <t>II100-0506</t>
  </si>
  <si>
    <t>SECTIONAL SOFA</t>
  </si>
  <si>
    <t>Molly</t>
  </si>
  <si>
    <t>Modular Armless Chair</t>
  </si>
  <si>
    <t>Armless Chair</t>
  </si>
  <si>
    <t>1/31/2023</t>
  </si>
  <si>
    <t>II100-0505</t>
  </si>
  <si>
    <t>Modular Corner Chair</t>
  </si>
  <si>
    <t>Corner Chair</t>
  </si>
  <si>
    <t>II101-0507</t>
  </si>
  <si>
    <t>Modular Ottoman</t>
  </si>
  <si>
    <t>MP105-1185</t>
  </si>
  <si>
    <t>Bradford</t>
  </si>
  <si>
    <t>Julie</t>
  </si>
  <si>
    <t>Upholstered Accent Bench</t>
  </si>
  <si>
    <t>12/12/2022</t>
  </si>
  <si>
    <t>CSNSTORES,HOUZZ,KIRKLANDDS,KOHLDSN,LAMPDS,OLLIIX,OVERSTOCK01,TGTDVS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</si>
  <si>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</si>
  <si>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</si>
  <si>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</si>
  <si>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</si>
  <si>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</si>
  <si>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</si>
  <si>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4/18/2023</t>
  </si>
  <si>
    <t>MP105-1192</t>
  </si>
  <si>
    <t>Linea</t>
  </si>
  <si>
    <t>Irvington</t>
  </si>
  <si>
    <t>Lyndale</t>
  </si>
  <si>
    <t>Upholstered Modern Accent Bench</t>
  </si>
  <si>
    <t>MP105-0189</t>
  </si>
  <si>
    <t>Ashcroft</t>
  </si>
  <si>
    <t>Jayden</t>
  </si>
  <si>
    <t>Soft Close Storage Bench</t>
  </si>
  <si>
    <t>PF001127</t>
  </si>
  <si>
    <t>AMERSIGNDS,ASHFURNDS,CSNSTORES,HDDS,HOUZZ,KOHLDSN,LAMPDS,OLLIIX,OVERSTOCK01,TGTDVS</t>
  </si>
  <si>
    <t>MP105-0998</t>
  </si>
  <si>
    <t>6/24/2020</t>
  </si>
  <si>
    <t>AMERSIGNDS,CSNSTORES,HOUZZ,KIRKLANDDS,KOHLDSN,LAMPDS,OLLIIX,OVERSTOCK01,ROOMECOM</t>
  </si>
  <si>
    <t>MP105-0614</t>
  </si>
  <si>
    <t>Crawford</t>
  </si>
  <si>
    <t>Maye</t>
  </si>
  <si>
    <t>Neale</t>
  </si>
  <si>
    <t>PP000742</t>
  </si>
  <si>
    <t>CSNSTORES,MACY02F,OLLIIX,ROOMECOM</t>
  </si>
  <si>
    <t>MP105-1087</t>
  </si>
  <si>
    <t>Farrah</t>
  </si>
  <si>
    <t>Lovisa</t>
  </si>
  <si>
    <t>Lianna</t>
  </si>
  <si>
    <t>12/30/2020</t>
  </si>
  <si>
    <t>ASHFURNDS,CSNSTORES,KIRKLANDDS,KOHLDSN,LAMPDS,OLLIIX,OVERSTOCK01,ROOMECOM</t>
  </si>
  <si>
    <t>FPF18-0524</t>
  </si>
  <si>
    <t>Gillian</t>
  </si>
  <si>
    <t>Payden</t>
  </si>
  <si>
    <t>Averly</t>
  </si>
  <si>
    <t>PF000767;PP000164</t>
  </si>
  <si>
    <t>AMERSIGNDS,CSNSTORES,KOHLDSN,LAMPDS,MACY02F,OLLIIX,OVERSTOCK01,ROOMECOM,TGTDVS,ZOLA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</si>
  <si>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</si>
  <si>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</si>
  <si>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</si>
  <si>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</si>
  <si>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</si>
  <si>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</si>
  <si>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MP105-0806</t>
  </si>
  <si>
    <t>Heath</t>
  </si>
  <si>
    <t>Denali</t>
  </si>
  <si>
    <t>Sunnycrest</t>
  </si>
  <si>
    <t>PP001151</t>
  </si>
  <si>
    <t>4/16/2019</t>
  </si>
  <si>
    <t>CSNSTORES,KOHLDSN,OLLIIX,OVERSTOCK01,ROOMECOM,ZOLA</t>
  </si>
  <si>
    <t>MP105-1222</t>
  </si>
  <si>
    <t>Ivan</t>
  </si>
  <si>
    <t>Stanton</t>
  </si>
  <si>
    <t>Leland</t>
  </si>
  <si>
    <t>Accent Bench with Lower Shelf</t>
  </si>
  <si>
    <t>CSNSTORES,MACY02F,OLLIIX,OVERSTOCK01,ZOLA</t>
  </si>
  <si>
    <t>FUR105-0041</t>
  </si>
  <si>
    <t>Shandra</t>
  </si>
  <si>
    <t>Selah</t>
  </si>
  <si>
    <t>Tufted Top Soft Close Storage Bench</t>
  </si>
  <si>
    <t>PF000817;PP000259</t>
  </si>
  <si>
    <t>AMERSIGNDS,ASHFURNDS,CSNSTORES,HDDS,KIRKLANDDS,LAMPDS,MACY02F,OLLIIX,TGTDVS</t>
  </si>
  <si>
    <t>FUR105-0052</t>
  </si>
  <si>
    <t>PF000819;PP000259</t>
  </si>
  <si>
    <t>AMERSIGNDS,ASHFURNDS,CSNSTORES,HDDS,HOUZZ,KIRKLANDDS,KOHLDSN,LAMPDS,MACY02F,OLLIIX,ROOMECOM,TGTDVS</t>
  </si>
  <si>
    <t>FPF18-0487</t>
  </si>
  <si>
    <t>PF000739;PP000259</t>
  </si>
  <si>
    <t>AAFESDS,AMAZONDS,ASHFURNDS,CSNSTORES,HDDS,KIRKLANDDS,KOHLDSN,LAMPDS,MACY02F,OLLIIX,OVERSTOCK01,ROOMECOM,TGTDVS</t>
  </si>
  <si>
    <t>MP105-1122</t>
  </si>
  <si>
    <t>AMERSIGNDS,CSNSTORES,HDDS,JCPENNEY01,KOHLDSN,OLLIIX,OVERSTOCK01,TGTDVS</t>
  </si>
  <si>
    <t>FPF18-0143</t>
  </si>
  <si>
    <t>PF000611;PP000259</t>
  </si>
  <si>
    <t>4/27/2024</t>
  </si>
  <si>
    <t>AMAZONDS,AMERSIGNDS,CSNSTORES,HDDS,KOHLDSN,MACY02F,OLLIIX,OVERSTOCK01</t>
  </si>
  <si>
    <t>FUR105-0040</t>
  </si>
  <si>
    <t>Rust Red</t>
  </si>
  <si>
    <t>PF000816</t>
  </si>
  <si>
    <t>ASHFURNDS,CSNSTORES,LAMPDS,OLLIIX,OVERSTOCK01</t>
  </si>
  <si>
    <t>FPF18-0142</t>
  </si>
  <si>
    <t>PF000610;PP000259</t>
  </si>
  <si>
    <t>7/13/2024</t>
  </si>
  <si>
    <t>AMAZONDS,CSNSTORES,KOHLDSN,LAMPDS,MACY02F,OLLIIX</t>
  </si>
  <si>
    <t>FPF18-0195</t>
  </si>
  <si>
    <t>Shandra II</t>
  </si>
  <si>
    <t>Tessa</t>
  </si>
  <si>
    <t>Tahlia</t>
  </si>
  <si>
    <t>PF000635;PP000260</t>
  </si>
  <si>
    <t>AMAZONDS,AMERSIGNDS,CSNSTORES,KOHLDSN</t>
  </si>
  <si>
    <t>FPF18-0502</t>
  </si>
  <si>
    <t>PF000752;PP000260</t>
  </si>
  <si>
    <t>AMERSIGNDS,ASHFURNDS,CSNSTORES,KOHLDSN,MACY02F,OLLIIX,OVERSTOCK01,ROOMECOM</t>
  </si>
  <si>
    <t>FUR105-0042</t>
  </si>
  <si>
    <t>PF000818;PP000260</t>
  </si>
  <si>
    <t>ASHFURNDS,KIRKLANDDS,KOHLDSN,LAMPDS,OLLIIX,TGTDVS</t>
  </si>
  <si>
    <t>FPF18-0197</t>
  </si>
  <si>
    <t>PF000636;PP000260</t>
  </si>
  <si>
    <t>AMAZONDS,AMERSIGNDS,CSNSTORES,HDDS,JCPENNEY01,KOHLDSN,LAMPDS,MACY02F</t>
  </si>
  <si>
    <t>MP105-1049</t>
  </si>
  <si>
    <t>Welburn</t>
  </si>
  <si>
    <t>Antonio</t>
  </si>
  <si>
    <t>Madera</t>
  </si>
  <si>
    <t>10/8/2020</t>
  </si>
  <si>
    <t>CSNSTORES,KOHLDSN,MACY02F,OLLIIX,OVERSTOCK01,ROOMECOM</t>
  </si>
  <si>
    <t>MP105-0471</t>
  </si>
  <si>
    <t>PP000350</t>
  </si>
  <si>
    <t>AAFESDS,AMAZON,ASHFURNDS,CASTLEGATE,HDDS,KIRKLANDDS,KOHLDSN,LAMPDS,MACY02F,OLLIIX,OVERSTOCK01,ROOMECOM</t>
  </si>
  <si>
    <t>MP105-0827</t>
  </si>
  <si>
    <t>5/31/2019</t>
  </si>
  <si>
    <t>AMAZONDS,AMERSIGNDS,CASTLEGATE,CSNSTORES,JCPENNEY01,KOHLDSN,MACY02F,OLLIIX,OVERSTOCK01,ROOMECOM,TGTDVS</t>
  </si>
  <si>
    <t>MP105-0543</t>
  </si>
  <si>
    <t>PP000673</t>
  </si>
  <si>
    <t>AMAZONDS,ASHFURNDS,CASTLEGATE,HDDS,KIRKLANDDS,KOHLDSN,LAMPDS,MACY02F,OVERSTOCK01,ROOMECOM,TGTDVS</t>
  </si>
  <si>
    <t>MP105-0999</t>
  </si>
  <si>
    <t>Taupe Multi</t>
  </si>
  <si>
    <t>6/25/2020</t>
  </si>
  <si>
    <t>AMERSIGNDS,CSNSTORES,HDDS,JCPENNEY01,KIRKLANDDS,KOHLDSN,LAMPDS,OLLIIX,OVERSTOCK01,TGTDVS</t>
  </si>
  <si>
    <t>FPF18-0472</t>
  </si>
  <si>
    <t>Addy</t>
  </si>
  <si>
    <t>Preston</t>
  </si>
  <si>
    <t>Conway</t>
  </si>
  <si>
    <t>Wing Chair</t>
  </si>
  <si>
    <t>PF000726;PP000074</t>
  </si>
  <si>
    <t>CSNSTORES,HOUZZ</t>
  </si>
  <si>
    <t>FPF18-0429</t>
  </si>
  <si>
    <t>Arianna</t>
  </si>
  <si>
    <t>Leda</t>
  </si>
  <si>
    <t>Aria</t>
  </si>
  <si>
    <t>Swoop Wing Chair</t>
  </si>
  <si>
    <t>PF000709;PP000082</t>
  </si>
  <si>
    <t>CSNSTORES,HDDS,KOHLDSN,MACY02F,OLLIIX</t>
  </si>
  <si>
    <t>MP100-0018</t>
  </si>
  <si>
    <t>Grey/White</t>
  </si>
  <si>
    <t>PF001029;PP000082</t>
  </si>
  <si>
    <t>ASHFURNDS,CSNSTORES,LAMPDS,MACY02F,ROOMECOM</t>
  </si>
  <si>
    <t>MP100-0983</t>
  </si>
  <si>
    <t>AMAZONDS,CSNSTORES,HDDS,JCPENNEY01,LAMPDS,OLLIIX,OVERSTOCK01,TGTDVS</t>
  </si>
  <si>
    <t>FPF18-0428</t>
  </si>
  <si>
    <t>PF000708;PP000082</t>
  </si>
  <si>
    <t>ASHFURNDS,CSNSTORES,HDDS,JCPENNEY01,LAMPDS,MACY02F,OLLIIX,OVERSTOCK01,ROOMECOM</t>
  </si>
  <si>
    <t>MP100-0982</t>
  </si>
  <si>
    <t>FPF18-0020</t>
  </si>
  <si>
    <t>Arnau</t>
  </si>
  <si>
    <t>Joni</t>
  </si>
  <si>
    <t>Mea</t>
  </si>
  <si>
    <t>Ivory Multi</t>
  </si>
  <si>
    <t>PF000561;PP000085</t>
  </si>
  <si>
    <t>AMERSIGNDS,ASHFURNDS,CSNSTORES,HDDS,KOHLDSN,OLLIIX</t>
  </si>
  <si>
    <t>FPF18-0419</t>
  </si>
  <si>
    <t>Barton</t>
  </si>
  <si>
    <t>Weston</t>
  </si>
  <si>
    <t>Colette</t>
  </si>
  <si>
    <t>PF000703;PP000093</t>
  </si>
  <si>
    <t>CSNSTORES,MACY02F,ROOMECOM</t>
  </si>
  <si>
    <t>FPF18-0151</t>
  </si>
  <si>
    <t>PF000615;PP000093</t>
  </si>
  <si>
    <t>CSNSTORES,ROOMECOM</t>
  </si>
  <si>
    <t>FPF18-0078</t>
  </si>
  <si>
    <t>PF000593;PP000093</t>
  </si>
  <si>
    <t>CASTLEGATE,CSNSTORES,KOHLDSN,MACY02F,OLLIIX,ROOMECOM,TGTDVS</t>
  </si>
  <si>
    <t>FPF18-0152</t>
  </si>
  <si>
    <t>PF000616;PP000093</t>
  </si>
  <si>
    <t>FPF18-0418</t>
  </si>
  <si>
    <t>PF000702;PP000093</t>
  </si>
  <si>
    <t>MACY02F,OLLIIX,OVERSTOCK01</t>
  </si>
  <si>
    <t>MP100-0575</t>
  </si>
  <si>
    <t>Brayden</t>
  </si>
  <si>
    <t>Kendrick</t>
  </si>
  <si>
    <t>Rhodes</t>
  </si>
  <si>
    <t>PP000716</t>
  </si>
  <si>
    <t>FPF18-0154</t>
  </si>
  <si>
    <t>Brentwood</t>
  </si>
  <si>
    <t>Cole</t>
  </si>
  <si>
    <t>Exposed Wood Arm Chair</t>
  </si>
  <si>
    <t>PF000563;PP000101</t>
  </si>
  <si>
    <t>5/7/2017</t>
  </si>
  <si>
    <t>AMAZONDS,CSNSTORES,LAMPDS,OLLIIX,OVERSTOCK01,ROOMECOM</t>
  </si>
  <si>
    <t>FPF18-0108</t>
  </si>
  <si>
    <t>Brooke</t>
  </si>
  <si>
    <t>Miri</t>
  </si>
  <si>
    <t>Annie</t>
  </si>
  <si>
    <t>Tight Back Club Chair</t>
  </si>
  <si>
    <t>PF000602;PP000105</t>
  </si>
  <si>
    <t>ASHFURNDS,CSNSTORES,KOHLDSN,MACY02F,OVERSTOCK01,ROOMECOM</t>
  </si>
  <si>
    <t>MP100-0991</t>
  </si>
  <si>
    <t>FPF18-0486</t>
  </si>
  <si>
    <t>PF000738;PP000105</t>
  </si>
  <si>
    <t>ASHFURNDS,JCPENNEY01,KOHLDSN,OVERSTOCK01</t>
  </si>
  <si>
    <t>MP100-1109</t>
  </si>
  <si>
    <t>Calder</t>
  </si>
  <si>
    <t>Webster</t>
  </si>
  <si>
    <t>Metal Leg Accent chair</t>
  </si>
  <si>
    <t>CSNSTORES,HDDS,OLLIIX,OVERSTOCK01</t>
  </si>
  <si>
    <t>MP100-1011</t>
  </si>
  <si>
    <t>Clearwater</t>
  </si>
  <si>
    <t>Blakeley</t>
  </si>
  <si>
    <t>Daire</t>
  </si>
  <si>
    <t>CSNSTORES,KIRKLANDDS,LAMPDS,OVERSTOCK01</t>
  </si>
  <si>
    <t>MP100-0465</t>
  </si>
  <si>
    <t>Halford</t>
  </si>
  <si>
    <t>Donner</t>
  </si>
  <si>
    <t>PP000344</t>
  </si>
  <si>
    <t>CSNSTORES,MACY02F,OVERSTOCK01,ROOMECOM</t>
  </si>
  <si>
    <t>MP100-0708</t>
  </si>
  <si>
    <t>Accent Wingback Chair</t>
  </si>
  <si>
    <t>ASHFURNDS,CSNSTORES,LAMPDS,OLLIIX,TGTDVS,ZOLA</t>
  </si>
  <si>
    <t>FMY011JBH</t>
  </si>
  <si>
    <t>Colton</t>
  </si>
  <si>
    <t>Track Arm Club Chair</t>
  </si>
  <si>
    <t>PF000577;PP000128</t>
  </si>
  <si>
    <t>AMAZONDS,CSNSTORES,MACY02F,OLLIIX,ROOMECOM</t>
  </si>
  <si>
    <t>FPF18-0160</t>
  </si>
  <si>
    <t>PF000621;PP000128</t>
  </si>
  <si>
    <t>ASHFURNDS,CSNSTORES,MACY02F,OLLIIX,ROOMECOM</t>
  </si>
  <si>
    <t>MCC100-0001</t>
  </si>
  <si>
    <t>PF001017;PP000128</t>
  </si>
  <si>
    <t>ASHFURNDS,CASTLEGATE,CSNSTORES,MACY02F,OLLIIX,OVERSTOCK01,ROOMECOM</t>
  </si>
  <si>
    <t>5060SND</t>
  </si>
  <si>
    <t>PF000571;PP000128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</si>
  <si>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</si>
  <si>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</si>
  <si>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</si>
  <si>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</si>
  <si>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</si>
  <si>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</si>
  <si>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</si>
  <si>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FPF18-0028</t>
  </si>
  <si>
    <t>Dexter</t>
  </si>
  <si>
    <t>Camron</t>
  </si>
  <si>
    <t>Conner</t>
  </si>
  <si>
    <t>Armless Shelter Chair</t>
  </si>
  <si>
    <t>PF000585;PP000145</t>
  </si>
  <si>
    <t>CSNSTORES,HDDS,MACY02F,OVERSTOCK01</t>
  </si>
  <si>
    <t>MP100-1174</t>
  </si>
  <si>
    <t>Diedra</t>
  </si>
  <si>
    <t>Paulie</t>
  </si>
  <si>
    <t>2/23/2022</t>
  </si>
  <si>
    <t>MP100-0386</t>
  </si>
  <si>
    <t>Cane Armchair</t>
  </si>
  <si>
    <t>Cream/Reclaimed Natural</t>
  </si>
  <si>
    <t>PF000276</t>
  </si>
  <si>
    <t>CSNSTORES,KIRKLANDDS,MACY02F,OLLIIX,OVERSTOCK01,ROOMECOM,TGTDVS</t>
  </si>
  <si>
    <t>MP100-1075</t>
  </si>
  <si>
    <t>Tan/Espresso</t>
  </si>
  <si>
    <t>12/15/2020</t>
  </si>
  <si>
    <t>ASHFURNDS,CSNSTORES,JCPENNEY01,OLLIIX,OVERSTOCK01,ROOMECOM</t>
  </si>
  <si>
    <t>MP100-1145</t>
  </si>
  <si>
    <t>Donohue</t>
  </si>
  <si>
    <t>Sunnee</t>
  </si>
  <si>
    <t>Lyla</t>
  </si>
  <si>
    <t>Accent Arm Chair</t>
  </si>
  <si>
    <t>Light Blue/Camel Oak</t>
  </si>
  <si>
    <t>AMAZONDS,CSNSTORES,HDDS,HOUZZ,KIRKLANDDS,KOHLDSN,OVERSTOCK01,TGTDVS</t>
  </si>
  <si>
    <t>MP100-0785</t>
  </si>
  <si>
    <t>Light Grey/Camel Oak</t>
  </si>
  <si>
    <t>3/7/2019</t>
  </si>
  <si>
    <t>AMAZONDS,CSNSTORES,KOHLDSN,OLLIIX,OVERSTOCK01,ROOMECOM</t>
  </si>
  <si>
    <t>FPF18-0416</t>
  </si>
  <si>
    <t>Erika</t>
  </si>
  <si>
    <t>Bree</t>
  </si>
  <si>
    <t>Laura</t>
  </si>
  <si>
    <t>PF000700;PP000154</t>
  </si>
  <si>
    <t>AMAZONDS,AMERSIGNDS,ASHFURNDS,CSNSTORES,HDDS,KOHLDSN,OLLIIX,OVERSTOCK01,TGTDVS</t>
  </si>
  <si>
    <t>MP100-0993</t>
  </si>
  <si>
    <t>Orange Multi</t>
  </si>
  <si>
    <t>AMAZONDS,AMERSIGNDS,ASHFURNDS,CSNSTORES,JCPENNEY01,OVERSTOCK01,ROOMECOM,TGTDVS</t>
  </si>
  <si>
    <t>FPF18-0493</t>
  </si>
  <si>
    <t>Fremont</t>
  </si>
  <si>
    <t>Ashton</t>
  </si>
  <si>
    <t>Barrel Arm Chair</t>
  </si>
  <si>
    <t>PF000745;PP000161</t>
  </si>
  <si>
    <t>CSNSTORES,OLLIIX,ROOMECOM</t>
  </si>
  <si>
    <t>FPF18-0494</t>
  </si>
  <si>
    <t>PF000746;PP000161</t>
  </si>
  <si>
    <t>CSNSTORES,KIRKLANDDS,LAMPDS,OLLIIX,OVERSTOCK01</t>
  </si>
  <si>
    <t>FPF18-0468</t>
  </si>
  <si>
    <t>Hancock</t>
  </si>
  <si>
    <t>Irvine</t>
  </si>
  <si>
    <t>Silloth</t>
  </si>
  <si>
    <t>Button Tufted Back Accent Chair</t>
  </si>
  <si>
    <t>PF000722;PP000169</t>
  </si>
  <si>
    <t>CSNSTORES,KIRKLANDDS,MACY02F,OLLIIX,OVERSTOCK01</t>
  </si>
  <si>
    <t>FPF18-0401</t>
  </si>
  <si>
    <t>Hannah</t>
  </si>
  <si>
    <t>Isa</t>
  </si>
  <si>
    <t>Lilith</t>
  </si>
  <si>
    <t>Button Tufted Wing Chair</t>
  </si>
  <si>
    <t>PF000692;PP000170</t>
  </si>
  <si>
    <t>CASTLEGATE,CSNSTORES,LAMPDS,OLLIIX,OVERSTOCK01,ROOMECOM,TGTDVS</t>
  </si>
  <si>
    <t>FPF18-0403</t>
  </si>
  <si>
    <t>PF000694;PP000170</t>
  </si>
  <si>
    <t>CSNSTORES,LAMPDS,MACY02F,OLLIIX</t>
  </si>
  <si>
    <t>FPF18-0052</t>
  </si>
  <si>
    <t>Hayden</t>
  </si>
  <si>
    <t>Alex</t>
  </si>
  <si>
    <t>Karly</t>
  </si>
  <si>
    <t>Slipper Accent Chair</t>
  </si>
  <si>
    <t>PF000591;PP000174</t>
  </si>
  <si>
    <t>7/29/2024</t>
  </si>
  <si>
    <t>AMAZONDS,CSNSTORES,LAMPDS,MACY02F,OLLIIX,OVERSTOCK01,TGTDVS</t>
  </si>
  <si>
    <t>MP100-0618</t>
  </si>
  <si>
    <t>Heston</t>
  </si>
  <si>
    <t>Lea</t>
  </si>
  <si>
    <t>Kileen</t>
  </si>
  <si>
    <t>Dark Blue</t>
  </si>
  <si>
    <t>1/17/2018</t>
  </si>
  <si>
    <t>ASHFURNDS,CSNSTORES,HDDS,KIRKLANDDS,MACY02F,OLLIIX,OVERSTOCK01</t>
  </si>
  <si>
    <t>MP100-0617</t>
  </si>
  <si>
    <t>MP100-0257</t>
  </si>
  <si>
    <t>Killeen</t>
  </si>
  <si>
    <t>Natural/Morocco</t>
  </si>
  <si>
    <t>PF001066;PP000175</t>
  </si>
  <si>
    <t>HDDS,KIRKLANDDS,LAMPDS</t>
  </si>
  <si>
    <t>FPF18-0167</t>
  </si>
  <si>
    <t>Hilton</t>
  </si>
  <si>
    <t>Sheldon</t>
  </si>
  <si>
    <t>Bally</t>
  </si>
  <si>
    <t>Armless Accent Chair</t>
  </si>
  <si>
    <t>PF000626;PP000176</t>
  </si>
  <si>
    <t>ASHFURNDS,CSNSTORES,OVERSTOCK01</t>
  </si>
  <si>
    <t>FPF18-0053</t>
  </si>
  <si>
    <t>PF000592;PP000176</t>
  </si>
  <si>
    <t>FPF18-0040</t>
  </si>
  <si>
    <t>PF000587;PP000176</t>
  </si>
  <si>
    <t>ASHFURNDS,CSNSTORES,MACY02F,OLLIIX,OVERSTOCK01</t>
  </si>
  <si>
    <t>FPF18-0106</t>
  </si>
  <si>
    <t>PF000601;PP000176</t>
  </si>
  <si>
    <t>ASHFURNDS,CSNSTORES,MACY02F,OVERSTOCK01</t>
  </si>
  <si>
    <t>FPF18-0226</t>
  </si>
  <si>
    <t>Korey</t>
  </si>
  <si>
    <t>Remy</t>
  </si>
  <si>
    <t>Channel Back Slipper Chair</t>
  </si>
  <si>
    <t>PF000658;PP000189</t>
  </si>
  <si>
    <t>AMAZONDS,ASHFURNDS,CSNSTORES,OLLIIX,ROOMECOM,TGTDVS</t>
  </si>
  <si>
    <t>FPF18-0172</t>
  </si>
  <si>
    <t>Lina</t>
  </si>
  <si>
    <t>Alyssa</t>
  </si>
  <si>
    <t>Tufted Armless Chair</t>
  </si>
  <si>
    <t>PF000630;PP000194</t>
  </si>
  <si>
    <t>AMERSIGNDS,CSNSTORES,HDDS,KIRKLANDDS,KOHLDSN,MACY02F,ROOMECOM</t>
  </si>
  <si>
    <t>FPF18-0495</t>
  </si>
  <si>
    <t>PF000747;PP000194</t>
  </si>
  <si>
    <t>CSNSTORES,HDDS,KOHLDSN,LAMPDS,OLLIIX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</si>
  <si>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</si>
  <si>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</si>
  <si>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</si>
  <si>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</si>
  <si>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</si>
  <si>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</si>
  <si>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</si>
  <si>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CSNSTORES,HDDS,KOHLDSN,OVERSTOCK01</t>
  </si>
  <si>
    <t>MP100-0538</t>
  </si>
  <si>
    <t>Malabar</t>
  </si>
  <si>
    <t>Leigh</t>
  </si>
  <si>
    <t>Daly</t>
  </si>
  <si>
    <t>PP000671</t>
  </si>
  <si>
    <t>1/19/2018</t>
  </si>
  <si>
    <t>ASHFURNDS,CSNSTORES,LAMPDS,MACY02F,OLLIIX</t>
  </si>
  <si>
    <t>FPF18-0435</t>
  </si>
  <si>
    <t>Maxwell</t>
  </si>
  <si>
    <t>Roan</t>
  </si>
  <si>
    <t>Lyle</t>
  </si>
  <si>
    <t>PF000714;PP000209</t>
  </si>
  <si>
    <t>MP100-0017</t>
  </si>
  <si>
    <t>PF001028;PP000209</t>
  </si>
  <si>
    <t>FPF18-0501</t>
  </si>
  <si>
    <t>Camel Back Exposed Wood Chair</t>
  </si>
  <si>
    <t>PF000021;PP000216</t>
  </si>
  <si>
    <t>AMERSIGNDS,ASHFURNDS,CSNSTORES,HDDS,LAMPDS,OVERSTOCK01</t>
  </si>
  <si>
    <t>MP100-0808</t>
  </si>
  <si>
    <t>PP000216</t>
  </si>
  <si>
    <t>5/13/2019</t>
  </si>
  <si>
    <t>AMERSIGNDS,CSNSTORES,HOUZZ,OLLIIX,OVERSTOCK01,ROOMECOM</t>
  </si>
  <si>
    <t>MP100-1203</t>
  </si>
  <si>
    <t>Odessa</t>
  </si>
  <si>
    <t>Gilman</t>
  </si>
  <si>
    <t>Leanne</t>
  </si>
  <si>
    <t>CSNSTORES,KIRKLANDDS,KOHLDSN,LAMPDS,OLLIIX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</si>
  <si>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</si>
  <si>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</si>
  <si>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</si>
  <si>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</si>
  <si>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</si>
  <si>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</si>
  <si>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</si>
  <si>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FPF18-0217</t>
  </si>
  <si>
    <t>PF000649;PP000226</t>
  </si>
  <si>
    <t>MP100-1048</t>
  </si>
  <si>
    <t>FPF18-0218</t>
  </si>
  <si>
    <t>PF000650;PP000226</t>
  </si>
  <si>
    <t>ASHFURNDS,CASTLEGATE,CSNSTORES,KIRKLANDDS,OLLIIX</t>
  </si>
  <si>
    <t>MP100-0441</t>
  </si>
  <si>
    <t>Nicoli</t>
  </si>
  <si>
    <t>PF001083</t>
  </si>
  <si>
    <t>7/26/2017</t>
  </si>
  <si>
    <t>ASHFURNDS,KIRKLANDDS,KOHLDSN,LAMPDS,MACY02F,OLLIIX,ROOMECOM</t>
  </si>
  <si>
    <t>FPF18-0514</t>
  </si>
  <si>
    <t>Qwen</t>
  </si>
  <si>
    <t>Elle</t>
  </si>
  <si>
    <t>Cassie</t>
  </si>
  <si>
    <t>Button Tufted Accent Chair</t>
  </si>
  <si>
    <t>PF000758;PP000233</t>
  </si>
  <si>
    <t>ASHFURNDS,CASTLEGATE,CSNSTORES,HDDS,KOHLDSN,MACY02F,OLLIIX</t>
  </si>
  <si>
    <t>MP100-0891</t>
  </si>
  <si>
    <t>Dusty Blue</t>
  </si>
  <si>
    <t>PP000233</t>
  </si>
  <si>
    <t>7/6/2019</t>
  </si>
  <si>
    <t>FPF18-0513</t>
  </si>
  <si>
    <t>PF000757;PP000233</t>
  </si>
  <si>
    <t>MP100-1121</t>
  </si>
  <si>
    <t>AMAZONDS,CSNSTORES,KIRKLANDDS,KOHLDSN,LAMPDS,MACY02F,OLLIIX,OVERSTOCK01,TGTDVS</t>
  </si>
  <si>
    <t>MP100-1054</t>
  </si>
  <si>
    <t>10/29/2020</t>
  </si>
  <si>
    <t>CSNSTORES,JCPENNEY01,LAMPDS</t>
  </si>
  <si>
    <t>FPF18-0512</t>
  </si>
  <si>
    <t>PF000756;PP000233</t>
  </si>
  <si>
    <t>ASHFURNDS,CSNSTORES,MACY02F</t>
  </si>
  <si>
    <t>MP100-1187</t>
  </si>
  <si>
    <t>Tage</t>
  </si>
  <si>
    <t>Bianca</t>
  </si>
  <si>
    <t>Marlee</t>
  </si>
  <si>
    <t>Upholstered Accent Armchair</t>
  </si>
  <si>
    <t>FPF18-0253</t>
  </si>
  <si>
    <t>Elsa</t>
  </si>
  <si>
    <t>Faith</t>
  </si>
  <si>
    <t>PF000677;PP000270</t>
  </si>
  <si>
    <t>AMERSIGNDS,CSNSTORES,OLLIIX,OVERSTOCK01,ROOMECOM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</si>
  <si>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</si>
  <si>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</si>
  <si>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</si>
  <si>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</si>
  <si>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</si>
  <si>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</si>
  <si>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</si>
  <si>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5/10/2024</t>
  </si>
  <si>
    <t>ASHFURNDS,CSNSTORES,KIRKLANDDS,KOHLDSN,OLLIIX,OVERSTOCK01</t>
  </si>
  <si>
    <t>MP130-0945</t>
  </si>
  <si>
    <t>Hanley</t>
  </si>
  <si>
    <t>Eddy</t>
  </si>
  <si>
    <t>Folsom</t>
  </si>
  <si>
    <t>2 Doors Accent Cabinet</t>
  </si>
  <si>
    <t>1/31/2020</t>
  </si>
  <si>
    <t>MP130-1207</t>
  </si>
  <si>
    <t>Paige</t>
  </si>
  <si>
    <t>Phinney</t>
  </si>
  <si>
    <t>Devin</t>
  </si>
  <si>
    <t>2-Door Accent Cabinet with Adjustable Shelves</t>
  </si>
  <si>
    <t>CSNSTORES,HOUZZ,KIRKLANDDS,LAMPDS,OLLIIX,OVERSTOCK01,TGTDVS</t>
  </si>
  <si>
    <t>MP130-0373</t>
  </si>
  <si>
    <t>West Ridge</t>
  </si>
  <si>
    <t>Cain</t>
  </si>
  <si>
    <t>Henly</t>
  </si>
  <si>
    <t>PF000458;PP000278</t>
  </si>
  <si>
    <t>7/1/2017</t>
  </si>
  <si>
    <t>CSNSTORES,LAMPDS,MACY02F,OLLIIX,OVERSTOCK01,TGTDVS</t>
  </si>
  <si>
    <t>FPF17-0390</t>
  </si>
  <si>
    <t>PF000559;PP000278</t>
  </si>
  <si>
    <t>CSNSTORES,HOUZZ,KIRKLANDDS,LAMPDS,MACY02F,OLLIIX</t>
  </si>
  <si>
    <t>MP130-1177</t>
  </si>
  <si>
    <t>Chest</t>
  </si>
  <si>
    <t>Cali</t>
  </si>
  <si>
    <t>Allen</t>
  </si>
  <si>
    <t>Mallard</t>
  </si>
  <si>
    <t>3-Drawer Accent Chest</t>
  </si>
  <si>
    <t>MP130-1036</t>
  </si>
  <si>
    <t>Nora</t>
  </si>
  <si>
    <t>Addison</t>
  </si>
  <si>
    <t>CHT015</t>
  </si>
  <si>
    <t>Scroll</t>
  </si>
  <si>
    <t>Scripta</t>
  </si>
  <si>
    <t>Rithe</t>
  </si>
  <si>
    <t>Bun Foot Chest</t>
  </si>
  <si>
    <t>PF000528;PP000258</t>
  </si>
  <si>
    <t>FPF17-0295</t>
  </si>
  <si>
    <t>Coen</t>
  </si>
  <si>
    <t>Gaige</t>
  </si>
  <si>
    <t>Metal Eyelet Accent Table</t>
  </si>
  <si>
    <t>PF000546;PP000084</t>
  </si>
  <si>
    <t>AMAZONDS,ASHFURNDS,CSNSTORES,KIRKLANDDS,KOHLDSN,OLLIIX,OVERSTOCK01,ROOMECOM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</si>
  <si>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</si>
  <si>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</si>
  <si>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</si>
  <si>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</si>
  <si>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</si>
  <si>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</si>
  <si>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</si>
  <si>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AMERSIGNDS,CSNSTORES,KOHLDSN,OLLIIX,OVERSTOCK01</t>
  </si>
  <si>
    <t>MP120-0427</t>
  </si>
  <si>
    <t>Lexi</t>
  </si>
  <si>
    <t>Hemlock</t>
  </si>
  <si>
    <t>Wesley</t>
  </si>
  <si>
    <t>PF000422</t>
  </si>
  <si>
    <t>CSNSTORES,HDDS,HOUZZ,KIRKLANDDS,KOHLDSN,LAMPDS,OLLIIX,OVERSTOCK01,ROOMECOM</t>
  </si>
  <si>
    <t>MP120-0597</t>
  </si>
  <si>
    <t>Sophia</t>
  </si>
  <si>
    <t>Venice</t>
  </si>
  <si>
    <t>Wilton</t>
  </si>
  <si>
    <t>PP000728</t>
  </si>
  <si>
    <t>AMERSIGNDS,CSNSTORES,HOUZZ,LAMPDS,MACY02F,OLLIIX,OVERSTOCK01,TGTDVS</t>
  </si>
  <si>
    <t>MP120-0428</t>
  </si>
  <si>
    <t>Valentina</t>
  </si>
  <si>
    <t>Ortega</t>
  </si>
  <si>
    <t>Dorado</t>
  </si>
  <si>
    <t>PF000424</t>
  </si>
  <si>
    <t>CSNSTORES,HOUZZ,MACY02F,OLLIIX,OVERSTOCK01</t>
  </si>
  <si>
    <t>MP120-0220</t>
  </si>
  <si>
    <t>Zee</t>
  </si>
  <si>
    <t>Maxx</t>
  </si>
  <si>
    <t>Jaye</t>
  </si>
  <si>
    <t>Angular Mirror Accent Table</t>
  </si>
  <si>
    <t>PF000385;PP000285</t>
  </si>
  <si>
    <t>AMAZON,AMERSIGNDS,CSNSTORES,KOHLDSN,OLLIIX,ROOMECOM</t>
  </si>
  <si>
    <t>MP104-0062</t>
  </si>
  <si>
    <t>Colfax</t>
  </si>
  <si>
    <t>Weldon</t>
  </si>
  <si>
    <t>Lorsted</t>
  </si>
  <si>
    <t>30-Inch Bar Stool</t>
  </si>
  <si>
    <t>PF000305;PP000127</t>
  </si>
  <si>
    <t>5/2/2024</t>
  </si>
  <si>
    <t>AMERSIGNDS,CSNSTORES,OVERSTOCK01,TGTDVS</t>
  </si>
  <si>
    <t>MP104-1148</t>
  </si>
  <si>
    <t>Pearce</t>
  </si>
  <si>
    <t>Walsh</t>
  </si>
  <si>
    <t>Howard</t>
  </si>
  <si>
    <t>Bar Stool with Swivel Seat</t>
  </si>
  <si>
    <t>MP104-1052</t>
  </si>
  <si>
    <t>10/19/2020</t>
  </si>
  <si>
    <t>AMERSIGNDS,CSNSTORES,OLLIIX</t>
  </si>
  <si>
    <t>MP104-1053</t>
  </si>
  <si>
    <t>FPF20-0402</t>
  </si>
  <si>
    <t>Avila</t>
  </si>
  <si>
    <t>Hayes</t>
  </si>
  <si>
    <t>Saffron</t>
  </si>
  <si>
    <t>Tufted Back Counter Stool</t>
  </si>
  <si>
    <t>PF000798;PP000092</t>
  </si>
  <si>
    <t>AMAZONDS,CSNSTORES,OVERSTOCK01,ROOMECOM,TGTDVS</t>
  </si>
  <si>
    <t>FPF20-0531</t>
  </si>
  <si>
    <t>PF000801;PP000092</t>
  </si>
  <si>
    <t>AMAZONDS,CSNSTORES,LAMPDS</t>
  </si>
  <si>
    <t>FPF20-0532</t>
  </si>
  <si>
    <t>PF000802;PP000092</t>
  </si>
  <si>
    <t>AMAZON,CSNSTORES,LAMPDS,ROOMECOM</t>
  </si>
  <si>
    <t>MP104-1003</t>
  </si>
  <si>
    <t>9/8/2020</t>
  </si>
  <si>
    <t>5/30/2024</t>
  </si>
  <si>
    <t>CSNSTORES,JCPENNEY01,ROOMECOM</t>
  </si>
  <si>
    <t>MP104-1123</t>
  </si>
  <si>
    <t>Belfast</t>
  </si>
  <si>
    <t>Nomad</t>
  </si>
  <si>
    <t>Westly</t>
  </si>
  <si>
    <t>CSNSTORES,HOUZZ,LAMPDS,OVERSTOCK01</t>
  </si>
  <si>
    <t>FPF20-0401</t>
  </si>
  <si>
    <t>Saddle Counter Stool</t>
  </si>
  <si>
    <t>PF000797;PP000095</t>
  </si>
  <si>
    <t>AMAZONDS,CSNSTORES,LAMPDS,OLLIIX,OVERSTOCK01,ROOMECOM,TGTDVS</t>
  </si>
  <si>
    <t>FUR101-0037</t>
  </si>
  <si>
    <t>PF000812;PP000095</t>
  </si>
  <si>
    <t>AMAZON,AMAZONDS,CSNSTORES</t>
  </si>
  <si>
    <t>FUR101-0039</t>
  </si>
  <si>
    <t>PF000814;PP000095</t>
  </si>
  <si>
    <t>AMAZONDS,AMERSIGNDS,CSNSTORES,HOUZZ,KOHLDSN,MACY02F,OLLIIX,OVERSTOCK01,ROOMECOM,TGTDVS</t>
  </si>
  <si>
    <t>MP104-0041</t>
  </si>
  <si>
    <t>Brody</t>
  </si>
  <si>
    <t>Victor</t>
  </si>
  <si>
    <t>Wing Counter Stool</t>
  </si>
  <si>
    <t>PF000286;PP000104</t>
  </si>
  <si>
    <t>MP104-0040</t>
  </si>
  <si>
    <t>PF000285;PP000104</t>
  </si>
  <si>
    <t>FPF20-0551</t>
  </si>
  <si>
    <t>PF000080;PP000104</t>
  </si>
  <si>
    <t>MP104-1238</t>
  </si>
  <si>
    <t>Bryce</t>
  </si>
  <si>
    <t>Robertson</t>
  </si>
  <si>
    <t>Thornton</t>
  </si>
  <si>
    <t>26"H Upholstered Counter Stool with Metal Base</t>
  </si>
  <si>
    <t>10/4/2023</t>
  </si>
  <si>
    <t>CSNSTORES,KIRKLANDDS,OLLIIX,OVERSTOCK01</t>
  </si>
  <si>
    <t>FPF20-0552</t>
  </si>
  <si>
    <t>Amory</t>
  </si>
  <si>
    <t>PF000081;PP000108</t>
  </si>
  <si>
    <t>BLK01,CSNSTORES,MACY02F,OLLIIX,OVERSTOCK01</t>
  </si>
  <si>
    <t>MP104-0512</t>
  </si>
  <si>
    <t>Carson</t>
  </si>
  <si>
    <t>Fillmore</t>
  </si>
  <si>
    <t>Troy</t>
  </si>
  <si>
    <t>Counter Stool With Swivel Seat</t>
  </si>
  <si>
    <t>PP000620</t>
  </si>
  <si>
    <t>CASTLEGATE,CSNSTORES,MACY02F,OLLIIX,OVERSTOCK01</t>
  </si>
  <si>
    <t>MP104-0986</t>
  </si>
  <si>
    <t>Counter Stool with Swivel Seat</t>
  </si>
  <si>
    <t>6/15/2020</t>
  </si>
  <si>
    <t>CASTLEGATE,MACY02F,OVERSTOCK01,ROOMECOM</t>
  </si>
  <si>
    <t>MP104-1153</t>
  </si>
  <si>
    <t>1/24/2022</t>
  </si>
  <si>
    <t>CSNSTORES,KOHLDSN,MACY02F,OVERSTOCK01</t>
  </si>
  <si>
    <t>MP104-0762</t>
  </si>
  <si>
    <t>Christine</t>
  </si>
  <si>
    <t>Davisina</t>
  </si>
  <si>
    <t>Sugar</t>
  </si>
  <si>
    <t>Counterstool</t>
  </si>
  <si>
    <t>3/4/2019</t>
  </si>
  <si>
    <t>FPF18-0186</t>
  </si>
  <si>
    <t>Cirque</t>
  </si>
  <si>
    <t>Kagen</t>
  </si>
  <si>
    <t>Wells</t>
  </si>
  <si>
    <t>Counter Stool Set of 2</t>
  </si>
  <si>
    <t>PF000005;PP000121</t>
  </si>
  <si>
    <t>7/18/2024</t>
  </si>
  <si>
    <t>CSNSTORES,OVERSTOCK01,ROOMECOM</t>
  </si>
  <si>
    <t>FPF20-0540</t>
  </si>
  <si>
    <t>PF000069;PP000121</t>
  </si>
  <si>
    <t>AMERSIGNDS,OVERSTOCK01</t>
  </si>
  <si>
    <t>MP104-0037</t>
  </si>
  <si>
    <t>PF000284;PP000121</t>
  </si>
  <si>
    <t>CSNSTORES,KOHLDSN,LAMPDS,OLLIIX,ROOMECOM</t>
  </si>
  <si>
    <t>FPF18-0187</t>
  </si>
  <si>
    <t>PF000006;PP000121</t>
  </si>
  <si>
    <t>CSNSTORES,KOHLDSN,LAMPDS,ROOMECOM,TGTDVS</t>
  </si>
  <si>
    <t>FPF20-0557</t>
  </si>
  <si>
    <t>PF000086;PP000127</t>
  </si>
  <si>
    <t>CSNSTORES,OLLIIX,ROOMECOM,TGTDVS</t>
  </si>
  <si>
    <t>MP104-0768</t>
  </si>
  <si>
    <t>Connie</t>
  </si>
  <si>
    <t>Dave</t>
  </si>
  <si>
    <t>Mcline</t>
  </si>
  <si>
    <t>2/5/2019</t>
  </si>
  <si>
    <t>AMERSIGNDS,KOHLDSN,OLLIIX</t>
  </si>
  <si>
    <t>MP104-1239</t>
  </si>
  <si>
    <t>Cane Back Counter Stool</t>
  </si>
  <si>
    <t>10/13/2023</t>
  </si>
  <si>
    <t>MP104-1105</t>
  </si>
  <si>
    <t>Emmett</t>
  </si>
  <si>
    <t>Janet</t>
  </si>
  <si>
    <t>Cheryl</t>
  </si>
  <si>
    <t>25.75" Swivel Counter Stool</t>
  </si>
  <si>
    <t>5/18/2021</t>
  </si>
  <si>
    <t>ASHFURNDS,CSNSTORES,HOUZZ,KIRKLANDDS,LAMPDS,OLLIIX,OVERSTOCK01</t>
  </si>
  <si>
    <t>MP104-1119</t>
  </si>
  <si>
    <t>10/13/2021</t>
  </si>
  <si>
    <t>CSNSTORES,KOHLDSN,LAMPDS,OLLIIX</t>
  </si>
  <si>
    <t>MP104-0943</t>
  </si>
  <si>
    <t>AMAZONDS,CSNSTORES,HOUZZ,JCPENNEY01,LAMPDS,OLLIIX,OVERSTOCK01,TGTDVS</t>
  </si>
  <si>
    <t>MP104-0787</t>
  </si>
  <si>
    <t>Glenwood</t>
  </si>
  <si>
    <t>Crimson</t>
  </si>
  <si>
    <t>Farwell</t>
  </si>
  <si>
    <t>AMAZONDS,CSNSTORES,MACY02F,OLLIIX,OVERSTOCK01</t>
  </si>
  <si>
    <t>MP104-1173</t>
  </si>
  <si>
    <t>2/22/2022</t>
  </si>
  <si>
    <t>MP104-0716</t>
  </si>
  <si>
    <t>High Wingback Button Tufted Upholstered 27" Swivel Counter Stool with Nailhead Accent</t>
  </si>
  <si>
    <t>AMERSIGNDS,OVERSTOCK01,ROOMECOM</t>
  </si>
  <si>
    <t>MP104-1208</t>
  </si>
  <si>
    <t>Hermosa</t>
  </si>
  <si>
    <t>Rosita</t>
  </si>
  <si>
    <t>Woven Counter Stool 25"</t>
  </si>
  <si>
    <t>MP104-1110</t>
  </si>
  <si>
    <t>9/6/2021</t>
  </si>
  <si>
    <t>CSNSTORES,HOUZZ,OLLIIX,OVERSTOCK01,TGTDVS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</si>
  <si>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</si>
  <si>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</si>
  <si>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</si>
  <si>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</si>
  <si>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</si>
  <si>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</si>
  <si>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MP104-1074</t>
  </si>
  <si>
    <t>CSNSTORES,KIRKLANDDS,KOHLDSN,LAMPDS,OLLIIX,OVERSTOCK01,TGTDVS</t>
  </si>
  <si>
    <t>MP104-0556</t>
  </si>
  <si>
    <t>Kobe</t>
  </si>
  <si>
    <t>Heyes</t>
  </si>
  <si>
    <t>Bryant</t>
  </si>
  <si>
    <t>PP000670</t>
  </si>
  <si>
    <t>CSNSTORES,KOHLDSN,TGTDVS</t>
  </si>
  <si>
    <t>MP104-1079</t>
  </si>
  <si>
    <t>Maison</t>
  </si>
  <si>
    <t>Marc</t>
  </si>
  <si>
    <t>Eugene</t>
  </si>
  <si>
    <t>Charcoal/Antique Gold</t>
  </si>
  <si>
    <t>CSNSTORES,LAMPDS,OLLIIX,OVERSTOCK01,TGTDVS</t>
  </si>
  <si>
    <t>MP104-1127</t>
  </si>
  <si>
    <t>Marian</t>
  </si>
  <si>
    <t>Misha</t>
  </si>
  <si>
    <t>Tufted Counter Stool</t>
  </si>
  <si>
    <t>3/17/2022</t>
  </si>
  <si>
    <t>AMERSIGNDS,CSNSTORES,KIRKLANDDS,OLLIIX,OVERSTOCK01,TGTDVS</t>
  </si>
  <si>
    <t>MP104-0055</t>
  </si>
  <si>
    <t>PF000297;PP000205</t>
  </si>
  <si>
    <t>FPF20-0395</t>
  </si>
  <si>
    <t>PF000048;PP000205</t>
  </si>
  <si>
    <t>AMERSIGNDS,CSNSTORES,KOHLDSN,LAMPDS,ROOMECOM,TGTDVS</t>
  </si>
  <si>
    <t>MP104-0944</t>
  </si>
  <si>
    <t>Mateo</t>
  </si>
  <si>
    <t>Quarry</t>
  </si>
  <si>
    <t>Beige Multi</t>
  </si>
  <si>
    <t>2/10/2020</t>
  </si>
  <si>
    <t>MP104-1104</t>
  </si>
  <si>
    <t>MP104-1197</t>
  </si>
  <si>
    <t>Onyx</t>
  </si>
  <si>
    <t>Boyle</t>
  </si>
  <si>
    <t>Grattan</t>
  </si>
  <si>
    <t>Upholstered 360 Degree Swivel Counter Stool 26" H</t>
  </si>
  <si>
    <t>MP104-0577</t>
  </si>
  <si>
    <t>MP104-1181</t>
  </si>
  <si>
    <t>4/21/2022</t>
  </si>
  <si>
    <t>MP104-1146</t>
  </si>
  <si>
    <t>AMERSIGNDS,CSNSTORES,HOUZZ,OLLIIX,OVERSTOCK01</t>
  </si>
  <si>
    <t>MP104-0515</t>
  </si>
  <si>
    <t>PP000623</t>
  </si>
  <si>
    <t>CASTLEGATE,KOHLDSN,OVERSTOCK01</t>
  </si>
  <si>
    <t>MP104-1147</t>
  </si>
  <si>
    <t>MP104-0988</t>
  </si>
  <si>
    <t>CASTLEGATE,CSNSTORES,HOUZZ,MACY02F,OLLIIX,OVERSTOCK01</t>
  </si>
  <si>
    <t>MP104-0514</t>
  </si>
  <si>
    <t>Simon</t>
  </si>
  <si>
    <t>Reed</t>
  </si>
  <si>
    <t>Gunther</t>
  </si>
  <si>
    <t>PP000622</t>
  </si>
  <si>
    <t>CSNSTORES,DESINC,OLLIIX,TGTDVS</t>
  </si>
  <si>
    <t>MP104-1212</t>
  </si>
  <si>
    <t>Stewart</t>
  </si>
  <si>
    <t>Monica</t>
  </si>
  <si>
    <t>Rachel</t>
  </si>
  <si>
    <t>Upholstered 360 Degree Swivel Counter Stool 25" H</t>
  </si>
  <si>
    <t>1/3/2023</t>
  </si>
  <si>
    <t>LAMPDS,MACY02F</t>
  </si>
  <si>
    <t>MP104-0810</t>
  </si>
  <si>
    <t>Tuscan</t>
  </si>
  <si>
    <t>Wheatley</t>
  </si>
  <si>
    <t>Muriel</t>
  </si>
  <si>
    <t>PP001129</t>
  </si>
  <si>
    <t>MACY02F,OVERSTOCK01</t>
  </si>
  <si>
    <t>MP115-1240</t>
  </si>
  <si>
    <t>Baylor</t>
  </si>
  <si>
    <t>Cheshire</t>
  </si>
  <si>
    <t>Lotte</t>
  </si>
  <si>
    <t>Canopy Bed Queen</t>
  </si>
  <si>
    <t>10/19/2023</t>
  </si>
  <si>
    <t>7/4/2024</t>
  </si>
  <si>
    <t>MP131-1061</t>
  </si>
  <si>
    <t>BOOKCASE/SHELF</t>
  </si>
  <si>
    <t>Bookcase</t>
  </si>
  <si>
    <t>Avalon</t>
  </si>
  <si>
    <t>Avenu</t>
  </si>
  <si>
    <t>Shelf / Bookcase</t>
  </si>
  <si>
    <t>Off-White/Natural</t>
  </si>
  <si>
    <t>12/22/2020</t>
  </si>
  <si>
    <t>MP138-0128</t>
  </si>
  <si>
    <t>Off-White/Pecan</t>
  </si>
  <si>
    <t>PF001180;PP000227</t>
  </si>
  <si>
    <t>CASTLEGATE,CSNSTORES,KIRKLANDDS,OLLIIX,OVERSTOCK01,ROOMECOM,TGTDVS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</si>
  <si>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</si>
  <si>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</si>
  <si>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</si>
  <si>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</si>
  <si>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</si>
  <si>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</si>
  <si>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</si>
  <si>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</si>
  <si>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AMERSIGNDS,CSNSTORES,JCPENNEY01,KIRKLANDDS,LAMPDS,OLLIIX</t>
  </si>
  <si>
    <t>MP122-0097</t>
  </si>
  <si>
    <t>DESK</t>
  </si>
  <si>
    <t>Desk</t>
  </si>
  <si>
    <t>PF001174;PP000227</t>
  </si>
  <si>
    <t>ASHFURNDS,CSNSTORES,OLLIIX,OVERSTOCK01</t>
  </si>
  <si>
    <t>MP108-0767</t>
  </si>
  <si>
    <t>Angelica</t>
  </si>
  <si>
    <t>Jenn</t>
  </si>
  <si>
    <t>Shin</t>
  </si>
  <si>
    <t>Arm Dining Chair (set of 2)</t>
  </si>
  <si>
    <t>CSNSTORES,HOUZZ,MACY02F,OLLIIX,OVERSTOCK01,TGTDVS</t>
  </si>
  <si>
    <t>MP100-0153</t>
  </si>
  <si>
    <t>Bexley</t>
  </si>
  <si>
    <t>Larkin</t>
  </si>
  <si>
    <t>Oda</t>
  </si>
  <si>
    <t>Rounded Back Dining Chair</t>
  </si>
  <si>
    <t>PF001054;PP000096</t>
  </si>
  <si>
    <t>CASTLEGATE,CSNSTORES,JCPENNEY01,OLLIIX,OVERSTOCK01</t>
  </si>
  <si>
    <t>FPF18-0404</t>
  </si>
  <si>
    <t>PF000695;PP000096</t>
  </si>
  <si>
    <t>CSNSTORES,HOUZZ,LAMPDS,OLLIIX,OVERSTOCK01,TGTDVS</t>
  </si>
  <si>
    <t>MP100-0152</t>
  </si>
  <si>
    <t>PF001053;PP000096</t>
  </si>
  <si>
    <t>CSNSTORES,HOUZZ,JCPENNEY01,KIRKLANDDS,KOHLDSN,LAMPDS,OLLIIX</t>
  </si>
  <si>
    <t>MP108-0513</t>
  </si>
  <si>
    <t>Braiden</t>
  </si>
  <si>
    <t>Quimby</t>
  </si>
  <si>
    <t>Dining Chair (set of 2)</t>
  </si>
  <si>
    <t>PP000621</t>
  </si>
  <si>
    <t>CSNSTORES,KOHLDSN,MACY02F,OLLIIX,OVERSTOCK01</t>
  </si>
  <si>
    <t>MP100-0038</t>
  </si>
  <si>
    <t>Wing Dining Chair (Set of 2)</t>
  </si>
  <si>
    <t>PF000259;PP000104</t>
  </si>
  <si>
    <t>MP108-0788</t>
  </si>
  <si>
    <t>MP108-0956</t>
  </si>
  <si>
    <t>MP108-1060</t>
  </si>
  <si>
    <t>Canteberry</t>
  </si>
  <si>
    <t>Ashe</t>
  </si>
  <si>
    <t>Ensley</t>
  </si>
  <si>
    <t>CSNSTORES,KIRKLANDDS</t>
  </si>
  <si>
    <t>MP108-0642</t>
  </si>
  <si>
    <t>Captiva</t>
  </si>
  <si>
    <t>Callaway</t>
  </si>
  <si>
    <t>Hastings</t>
  </si>
  <si>
    <t>12/15/2017</t>
  </si>
  <si>
    <t>HOUZZ,KIRKLANDDS,LAMPDS,OLLIIX,OVERSTOCK01</t>
  </si>
  <si>
    <t>MP108-0511</t>
  </si>
  <si>
    <t>Upholstered Wingback Dining Chair</t>
  </si>
  <si>
    <t>AMERSIGNDS,CASTLEGATE,CSNSTORES,MACY02F,OLLIIX,OVERSTOCK01</t>
  </si>
  <si>
    <t>MP108-0987</t>
  </si>
  <si>
    <t>MP108-1209</t>
  </si>
  <si>
    <t>Light Sage Green</t>
  </si>
  <si>
    <t>12/3/2022</t>
  </si>
  <si>
    <t>MP108-1205</t>
  </si>
  <si>
    <t>Elaine</t>
  </si>
  <si>
    <t>Hamilton</t>
  </si>
  <si>
    <t>Skirted Dining Arm Chair with Casters</t>
  </si>
  <si>
    <t>FPF20-0547</t>
  </si>
  <si>
    <t>PF000075;PP000127</t>
  </si>
  <si>
    <t>JCPENNEY01,LAMPDS,MACY02F</t>
  </si>
  <si>
    <t>MP100-0042</t>
  </si>
  <si>
    <t>Dawson</t>
  </si>
  <si>
    <t>Parler</t>
  </si>
  <si>
    <t>Bracken</t>
  </si>
  <si>
    <t>Arm Dining Chair</t>
  </si>
  <si>
    <t>PF000261;PP000141</t>
  </si>
  <si>
    <t>CSNSTORES,KIRKLANDDS,KOHLDSN,LAMPDS,MACY02F,OLLIIX,OVERSTOCK01</t>
  </si>
  <si>
    <t>FPF20-0387</t>
  </si>
  <si>
    <t>PF000043;PP000141</t>
  </si>
  <si>
    <t>CSNSTORES,JCPENNEY01,KOHLDSN,LAMPDS,MACY02F,OLLIIX,OVERSTOCK01</t>
  </si>
  <si>
    <t>MP100-0043</t>
  </si>
  <si>
    <t>PF000262;PP000141</t>
  </si>
  <si>
    <t>CSNSTORES,HOUZZ,KOHLDSN,OLLIIX,OVERSTOCK01</t>
  </si>
  <si>
    <t>MP108-0911</t>
  </si>
  <si>
    <t>Elmwood</t>
  </si>
  <si>
    <t>Bernardo</t>
  </si>
  <si>
    <t>Steven</t>
  </si>
  <si>
    <t>Dining Chair Set of 2</t>
  </si>
  <si>
    <t>2/7/2020</t>
  </si>
  <si>
    <t>CSNSTORES,HOUZZ,KIRKLANDDS,OLLIIX</t>
  </si>
  <si>
    <t>MP108-0849</t>
  </si>
  <si>
    <t>Foster</t>
  </si>
  <si>
    <t>Capa</t>
  </si>
  <si>
    <t>Cadman</t>
  </si>
  <si>
    <t>Set of 2 High Back Dining Chairs with Skirts</t>
  </si>
  <si>
    <t>PP001189</t>
  </si>
  <si>
    <t>FPF20-0278</t>
  </si>
  <si>
    <t>Garbo</t>
  </si>
  <si>
    <t>Sydney</t>
  </si>
  <si>
    <t>London</t>
  </si>
  <si>
    <t>Captains Dining Chair</t>
  </si>
  <si>
    <t>PF000776;PP000163</t>
  </si>
  <si>
    <t>CASTLEGATE,CSNSTORES,OVERSTOCK01</t>
  </si>
  <si>
    <t>FPF20-0281</t>
  </si>
  <si>
    <t>PF000779;PP000163</t>
  </si>
  <si>
    <t>CSNSTORES,KOHLDSN,MACY02F,OLLIIX</t>
  </si>
  <si>
    <t>FPF20-0280</t>
  </si>
  <si>
    <t>PF000778;PP000163</t>
  </si>
  <si>
    <t>FPF20-0279</t>
  </si>
  <si>
    <t>PF000777;PP000163</t>
  </si>
  <si>
    <t>MP108-1050</t>
  </si>
  <si>
    <t>MP108-0765</t>
  </si>
  <si>
    <t>Junn</t>
  </si>
  <si>
    <t>Miyu</t>
  </si>
  <si>
    <t>Mai</t>
  </si>
  <si>
    <t>1/16/2019</t>
  </si>
  <si>
    <t>MP108-0766</t>
  </si>
  <si>
    <t>Rika</t>
  </si>
  <si>
    <t>Rain</t>
  </si>
  <si>
    <t>High Back Dining Armchair (Set of 2)</t>
  </si>
  <si>
    <t>MP121-1223</t>
  </si>
  <si>
    <t>46" Round Pedestal Dining Table</t>
  </si>
  <si>
    <t>46" Dia.</t>
  </si>
  <si>
    <t>Reclaimed Walnut</t>
  </si>
  <si>
    <t>1/20/2023</t>
  </si>
  <si>
    <t>MP121-0772</t>
  </si>
  <si>
    <t>Reclaimed Walnut/Antique Cream</t>
  </si>
  <si>
    <t>3/30/2024</t>
  </si>
  <si>
    <t>CSNSTORES,KOHLDSN,LAMPDS,MACY02F,OLLIIX,OVERSTOCK01</t>
  </si>
  <si>
    <t>MP116-0355</t>
  </si>
  <si>
    <t>Amelia</t>
  </si>
  <si>
    <t>Baldwin</t>
  </si>
  <si>
    <t>Janice</t>
  </si>
  <si>
    <t>Upholstery Headboard</t>
  </si>
  <si>
    <t>PF001138;PP000077</t>
  </si>
  <si>
    <t>AMAZONDS,ASHFURNDS,CASTLEGATE,CSNSTORES,MACY02F,OLLIIX</t>
  </si>
  <si>
    <t>MP116-0357</t>
  </si>
  <si>
    <t>PF001140;PP000077</t>
  </si>
  <si>
    <t>5/25/2017</t>
  </si>
  <si>
    <t>AMAZONDS,CASTLEGATE,CSNSTORES,KIRKLANDDS,LAMPDS,MACY02F,OVERSTOCK01</t>
  </si>
  <si>
    <t>MP116-1142</t>
  </si>
  <si>
    <t>1/12/2022</t>
  </si>
  <si>
    <t>AMAZONDS,CSNSTORES,KIRKLANDDS,MACY02F,OVERSTOCK01</t>
  </si>
  <si>
    <t>MP116-0353</t>
  </si>
  <si>
    <t>Nadine</t>
  </si>
  <si>
    <t>Augusta</t>
  </si>
  <si>
    <t>Iverson</t>
  </si>
  <si>
    <t>PF001136;PP000221</t>
  </si>
  <si>
    <t>MP116-0354</t>
  </si>
  <si>
    <t>PF001137;PP000221</t>
  </si>
  <si>
    <t>ASHFURNDS,CSNSTORES,KOHLDSN,LAMPDS,OVERSTOCK01,TGTDVS</t>
  </si>
  <si>
    <t>MP106-0897</t>
  </si>
  <si>
    <t>Willshire</t>
  </si>
  <si>
    <t>Garfield</t>
  </si>
  <si>
    <t>Edison</t>
  </si>
  <si>
    <t>Beige/ Reclaimed Natural</t>
  </si>
  <si>
    <t>PP001313</t>
  </si>
  <si>
    <t>9/2/2019</t>
  </si>
  <si>
    <t>AMAZONDS,ASHFURNDS,CSNSTORES,MACY02F,OLLIIX,OVERSTOCK01</t>
  </si>
  <si>
    <t>MP103-1106</t>
  </si>
  <si>
    <t>Recliner</t>
  </si>
  <si>
    <t>Aidan</t>
  </si>
  <si>
    <t>Jetta</t>
  </si>
  <si>
    <t>Zak</t>
  </si>
  <si>
    <t>4/26/2021</t>
  </si>
  <si>
    <t>MP103-0609</t>
  </si>
  <si>
    <t>Push Back Recliner</t>
  </si>
  <si>
    <t>PP000737</t>
  </si>
  <si>
    <t>AMAZONDS,ASHFURNDS,CSNSTORES,KIRKLANDDS,LAMPDS,MACY02F,OLLIIX,OVERSTOCK01</t>
  </si>
  <si>
    <t>MP103-0826</t>
  </si>
  <si>
    <t>AMERSIGNDS,ASHFURNDS,CSNSTORES,KOHLDSN,MACY02F,OVERSTOCK01</t>
  </si>
  <si>
    <t>MP103-0908</t>
  </si>
  <si>
    <t>Athena</t>
  </si>
  <si>
    <t>Jimmy</t>
  </si>
  <si>
    <t>Cranberry</t>
  </si>
  <si>
    <t>ASHFURNDS,JCPENNEY01,OLLIIX,TGTDVS</t>
  </si>
  <si>
    <t>MP103-1217</t>
  </si>
  <si>
    <t>Glenroy</t>
  </si>
  <si>
    <t>Upholstered Manual Push Back Recliner</t>
  </si>
  <si>
    <t>2/27/2023</t>
  </si>
  <si>
    <t>MP103-0247</t>
  </si>
  <si>
    <t>Hoffman</t>
  </si>
  <si>
    <t>Lerna</t>
  </si>
  <si>
    <t>Thayer</t>
  </si>
  <si>
    <t>PF001107</t>
  </si>
  <si>
    <t>6/10/2017</t>
  </si>
  <si>
    <t>AMERSIGNDS,ASHFURNDS,CSNSTORES,HDDS,KOHLDSN,MACY02F,OLLIIX</t>
  </si>
  <si>
    <t>MP103-0246</t>
  </si>
  <si>
    <t>Julian</t>
  </si>
  <si>
    <t>Evanston</t>
  </si>
  <si>
    <t>Lenox</t>
  </si>
  <si>
    <t>PF001106</t>
  </si>
  <si>
    <t>6/11/2017</t>
  </si>
  <si>
    <t>ASHFURNDS,CSNSTORES,JCPENNEY01,KIRKLANDDS,LAMPDS,MACY02F</t>
  </si>
  <si>
    <t>MP103-0610</t>
  </si>
  <si>
    <t>Kirby</t>
  </si>
  <si>
    <t>Oscar</t>
  </si>
  <si>
    <t>Docker</t>
  </si>
  <si>
    <t>PP000738</t>
  </si>
  <si>
    <t>AMAZONDS,AMERSIGNDS,ASHFURNDS,CSNSTORES,KIRKLANDDS,MACY02F,OVERSTOCK01</t>
  </si>
  <si>
    <t>MP103-1051</t>
  </si>
  <si>
    <t>Navy Multi</t>
  </si>
  <si>
    <t>11/25/2020</t>
  </si>
  <si>
    <t>MP103-1005</t>
  </si>
  <si>
    <t>Salina</t>
  </si>
  <si>
    <t>Cecile</t>
  </si>
  <si>
    <t>Cicely</t>
  </si>
  <si>
    <t>AMAZONDS,AMERSIGNDS,ASHFURNDS,MACY02F,OLLIIX</t>
  </si>
  <si>
    <t>MP103-1000</t>
  </si>
  <si>
    <t>Adele</t>
  </si>
  <si>
    <t>Jayne</t>
  </si>
  <si>
    <t>Findlay</t>
  </si>
  <si>
    <t>Swivel Chair</t>
  </si>
  <si>
    <t>MP103-0237</t>
  </si>
  <si>
    <t>PF001097</t>
  </si>
  <si>
    <t>MP103-0985</t>
  </si>
  <si>
    <t>Brianne</t>
  </si>
  <si>
    <t>Betty</t>
  </si>
  <si>
    <t>Wide Seat Swivel Arm Chair</t>
  </si>
  <si>
    <t>MP103-0241</t>
  </si>
  <si>
    <t>PF001101</t>
  </si>
  <si>
    <t>AMAZONDS,AMERSIGNDS,CSNSTORES,MACY02F,OLLIIX,OVERSTOCK01,TGTDVS</t>
  </si>
  <si>
    <t>MP103-0697</t>
  </si>
  <si>
    <t>CSNSTORES,KIRKLANDDS,LAMPDS,MACY02F,OLLIIX,OVERSTOCK01</t>
  </si>
  <si>
    <t>MP103-1144</t>
  </si>
  <si>
    <t>1/26/2022</t>
  </si>
  <si>
    <t>CSNSTORES,KIRKLANDDS,KOHLDSN</t>
  </si>
  <si>
    <t>MP103-0239</t>
  </si>
  <si>
    <t>Calvin</t>
  </si>
  <si>
    <t>Gayla</t>
  </si>
  <si>
    <t>Galva</t>
  </si>
  <si>
    <t>Light Green</t>
  </si>
  <si>
    <t>PF001099</t>
  </si>
  <si>
    <t>CSNSTORES,HDDS,MACY02F,OLLIIX,OVERSTOCK01</t>
  </si>
  <si>
    <t>MP103-1072</t>
  </si>
  <si>
    <t>3/31/2021</t>
  </si>
  <si>
    <t>AMAZONDS,ASHFURNDS,CSNSTORES,HDDS,KIRKLANDDS,KOHLDSN,OLLIIX,OVERSTOCK01,TGTDVS</t>
  </si>
  <si>
    <t>MP103-1226</t>
  </si>
  <si>
    <t>Capstone</t>
  </si>
  <si>
    <t>Wilmette</t>
  </si>
  <si>
    <t>Milton</t>
  </si>
  <si>
    <t>Tufted Barrel Swivel Chair</t>
  </si>
  <si>
    <t>7/31/2023</t>
  </si>
  <si>
    <t>MP103-1077</t>
  </si>
  <si>
    <t>AMERSIGNDS,CSNSTORES</t>
  </si>
  <si>
    <t>MP103-0242</t>
  </si>
  <si>
    <t>Slate</t>
  </si>
  <si>
    <t>PF001102</t>
  </si>
  <si>
    <t>ASHFURNDS,CASTLEGATE,OLLIIX,OVERSTOCK01,ROOMECOM</t>
  </si>
  <si>
    <t>MP103-0482</t>
  </si>
  <si>
    <t>ASHFURNDS,CASTLEGATE,HDDS,LAMPDS,MACY02F,OLLIIX,ROOMECOM</t>
  </si>
  <si>
    <t>MP103-0243</t>
  </si>
  <si>
    <t>Deanna</t>
  </si>
  <si>
    <t>Morton</t>
  </si>
  <si>
    <t>Sparta</t>
  </si>
  <si>
    <t>Upholstered Swivel Accent Chair</t>
  </si>
  <si>
    <t>PF001103</t>
  </si>
  <si>
    <t>ASHFURNDS,CSNSTORES,OLLIIX,OVERSTOCK01,TGTDVS</t>
  </si>
  <si>
    <t>MP103-0287</t>
  </si>
  <si>
    <t>Harris</t>
  </si>
  <si>
    <t>Lois</t>
  </si>
  <si>
    <t>Sidney</t>
  </si>
  <si>
    <t>PF001115;PP000172</t>
  </si>
  <si>
    <t>CASTLEGATE,CSNSTORES,HDDS,HOUZZ,MACY02F,OLLIIX,OVERSTOCK01</t>
  </si>
  <si>
    <t>MP103-0702</t>
  </si>
  <si>
    <t>Chenille Swivel Chair</t>
  </si>
  <si>
    <t>Dusty Aqua</t>
  </si>
  <si>
    <t>MP103-0240</t>
  </si>
  <si>
    <t>PF001100;PP000172</t>
  </si>
  <si>
    <t>ASHFURNDS,CSNSTORES,HDDS,KOHLDSN,OLLIIX,OVERSTOCK01</t>
  </si>
  <si>
    <t>MP103-1215</t>
  </si>
  <si>
    <t>Kaley</t>
  </si>
  <si>
    <t>Paloma</t>
  </si>
  <si>
    <t>Adobe</t>
  </si>
  <si>
    <t>MP103-1224</t>
  </si>
  <si>
    <t>Kubrick</t>
  </si>
  <si>
    <t>Barry</t>
  </si>
  <si>
    <t>Beckner</t>
  </si>
  <si>
    <t>MP103-1103</t>
  </si>
  <si>
    <t>Tyler</t>
  </si>
  <si>
    <t>Memo</t>
  </si>
  <si>
    <t>2/17/2021</t>
  </si>
  <si>
    <t>AMAZONDS,ASHFURNDS,CSNSTORES,KIRKLANDDS,KOHLDSN,MACY02F,OLLIIX,OVERSTOCK01,TGTDVS</t>
  </si>
  <si>
    <t>MP103-0481</t>
  </si>
  <si>
    <t>ASHFURNDS,CSNSTORES,HDDS,HOUZZ,MACY02F,OLLIIX</t>
  </si>
  <si>
    <t>MP103-1071</t>
  </si>
  <si>
    <t>AMAZONDS,CSNSTORES,JCPENNEY01,KOHLDSN,OLLIIX,TGTDVS</t>
  </si>
  <si>
    <t>MP103-0236</t>
  </si>
  <si>
    <t>Natural Multi</t>
  </si>
  <si>
    <t>PF001096;PP000273</t>
  </si>
  <si>
    <t>AMAZONDS,AMERSIGNDS,ASHFURNDS,CASTLEGATE,OLLIIX,OVERSTOCK01,ROOMECOM</t>
  </si>
  <si>
    <t>MP103-0706</t>
  </si>
  <si>
    <t>Teal Multi</t>
  </si>
  <si>
    <t>AMAZONDS,ASHFURNDS,CASTLEGATE,CSNSTORES,OLLIIX,OVERSTOCK01,ROOMECOM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</si>
  <si>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</si>
  <si>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</si>
  <si>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</si>
  <si>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</si>
  <si>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</si>
  <si>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</si>
  <si>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</si>
  <si>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ASHFURNDS,CSNSTORES,KOHLDSN,MACY02F,OVERSTOCK01</t>
  </si>
  <si>
    <t>MP103-0602</t>
  </si>
  <si>
    <t>Augustine</t>
  </si>
  <si>
    <t>Caddy</t>
  </si>
  <si>
    <t>Bewick</t>
  </si>
  <si>
    <t>Swivel Glider Chair</t>
  </si>
  <si>
    <t>PP000730</t>
  </si>
  <si>
    <t>MP103-0825</t>
  </si>
  <si>
    <t>MP103-0895</t>
  </si>
  <si>
    <t>Rey</t>
  </si>
  <si>
    <t>Alyce</t>
  </si>
  <si>
    <t>5/22/2019</t>
  </si>
  <si>
    <t>ASHFURNDS,OLLIIX</t>
  </si>
  <si>
    <t>MP103-0937</t>
  </si>
  <si>
    <t>Justin</t>
  </si>
  <si>
    <t>Felton</t>
  </si>
  <si>
    <t>AMAZONDS,ASHFURNDS,CSNSTORES,KIRKLANDDS,LAMPDS,OLLIIX,OVERSTOCK01,TGTDVS</t>
  </si>
  <si>
    <t>MP103-0935</t>
  </si>
  <si>
    <t>Mathis</t>
  </si>
  <si>
    <t>Rae</t>
  </si>
  <si>
    <t>Dolores</t>
  </si>
  <si>
    <t>MP103-1171</t>
  </si>
  <si>
    <t>2/9/2022</t>
  </si>
  <si>
    <t>MP103-1170</t>
  </si>
  <si>
    <t>MP103-0856</t>
  </si>
  <si>
    <t>Theo</t>
  </si>
  <si>
    <t>Doane</t>
  </si>
  <si>
    <t>Wilmington</t>
  </si>
  <si>
    <t>Ivory/Black</t>
  </si>
  <si>
    <t>PP001196</t>
  </si>
  <si>
    <t>AMAZONDS,ASHFURNDS,CSNSTORES,TGTDVS</t>
  </si>
  <si>
    <t>MP120-0134</t>
  </si>
  <si>
    <t>Marbury</t>
  </si>
  <si>
    <t>Aniston</t>
  </si>
  <si>
    <t>Pedestal</t>
  </si>
  <si>
    <t>White/Black</t>
  </si>
  <si>
    <t>PP000202</t>
  </si>
  <si>
    <t>8/19/2017</t>
  </si>
  <si>
    <t>MP120-1097</t>
  </si>
  <si>
    <t>Beaumont</t>
  </si>
  <si>
    <t>Beauchamp</t>
  </si>
  <si>
    <t>Blandford</t>
  </si>
  <si>
    <t>White/Natural</t>
  </si>
  <si>
    <t>3/2/2021</t>
  </si>
  <si>
    <t>AMERSIGNDS,CSNSTORES,KIRKLANDDS,KOHLDSN,LAMPDS,MACY02F,OLLIIX,OVERSTOCK01,ROOMECOM,TGTDVS,ZOLA</t>
  </si>
  <si>
    <t>MP120-0174</t>
  </si>
  <si>
    <t>Madison</t>
  </si>
  <si>
    <t>Kayden</t>
  </si>
  <si>
    <t>Mankato</t>
  </si>
  <si>
    <t>Antique Bronze</t>
  </si>
  <si>
    <t>PF000367;PP000200</t>
  </si>
  <si>
    <t>MP120-0082</t>
  </si>
  <si>
    <t>MP120-1129</t>
  </si>
  <si>
    <t>Off-White/Black</t>
  </si>
  <si>
    <t>2/4/2022</t>
  </si>
  <si>
    <t>AMERSIGNDS,CSNSTORES,OLLIIX,ZOLA</t>
  </si>
  <si>
    <t>MP120-1063</t>
  </si>
  <si>
    <t>ASHFURNDS,CASTLEGATE,JCPENNEY01,OLLIIX,OVERSTOCK01,ROOMECOM,TGTDVS</t>
  </si>
  <si>
    <t>MP120-0094</t>
  </si>
  <si>
    <t>PF001168;PP000227</t>
  </si>
  <si>
    <t>AMAZONDS,AMERSIGNDS,ASHFURNDS,CASTLEGATE,KIRKLANDDS,KOHLDSN,LAMPDS,MACY02F,OLLIIX,OVERSTOCK01,ROOMECOM,TGTDVS</t>
  </si>
  <si>
    <t>MP120-1065</t>
  </si>
  <si>
    <t>Console</t>
  </si>
  <si>
    <t>AMAZONDS,CSNSTORES,OLLIIX,OVERSTOCK01,ROOMECOM,TGTDVS</t>
  </si>
  <si>
    <t>MP120-0096</t>
  </si>
  <si>
    <t>PF001170;PP000227</t>
  </si>
  <si>
    <t>AMAZONDS,CSNSTORES,MACY02F,OLLIIX,OVERSTOCK01,TGTDVS</t>
  </si>
  <si>
    <t>MP120-1098</t>
  </si>
  <si>
    <t>MP120-0175</t>
  </si>
  <si>
    <t>PF000369;PP000200</t>
  </si>
  <si>
    <t>KOHLDSN,MACY02F,OLLIIX,OVERSTOCK01,ROOMECOM</t>
  </si>
  <si>
    <t>MP120-0085</t>
  </si>
  <si>
    <t>4/21/2024</t>
  </si>
  <si>
    <t>MP120-1064</t>
  </si>
  <si>
    <t>AMAZONDS,ASHFURNDS,CSNSTORES,HOUZZ,KOHLDSN,OLLIIX,OVERSTOCK01,ROOMECOM</t>
  </si>
  <si>
    <t>MP120-0095</t>
  </si>
  <si>
    <t>PF001169;PP000227</t>
  </si>
  <si>
    <t>AMAZON,AMAZONDS,ASHFURNDS,CASTLEGATE,CSNSTORES,KOHLDSN,MACY02F,OLLIIX,OVERSTOCK01,ROOMECOM</t>
  </si>
  <si>
    <t>MP120-1206</t>
  </si>
  <si>
    <t>Occasional Table</t>
  </si>
  <si>
    <t>Occasional Table with 2 Drawers</t>
  </si>
  <si>
    <t>MP101-1002</t>
  </si>
  <si>
    <t>Aspen</t>
  </si>
  <si>
    <t>Isaac</t>
  </si>
  <si>
    <t>Soft Close Storage Ottoman</t>
  </si>
  <si>
    <t>9/1/2020</t>
  </si>
  <si>
    <t>AMERSIGNDS,CSNSTORES,KIRKLANDDS,KOHLDSN,OLLIIX</t>
  </si>
  <si>
    <t>FPF18-0256</t>
  </si>
  <si>
    <t>PF000680;PP000088</t>
  </si>
  <si>
    <t>AMERSIGNDS,CSNSTORES,KOHLDSN,LAMPDS,MACY02F,OLLIIX,ROOMECOM</t>
  </si>
  <si>
    <t>FPF18-0255</t>
  </si>
  <si>
    <t>PF000679;PP000088</t>
  </si>
  <si>
    <t>AMERSIGNDS,CSNSTORES,KIRKLANDDS,KOHLDSN,LAMPDS,MACY02F,OLLIIX,OVERSTOCK01,TGTDVS</t>
  </si>
  <si>
    <t>MP101-0199</t>
  </si>
  <si>
    <t>Ferris</t>
  </si>
  <si>
    <t>Aberdeen</t>
  </si>
  <si>
    <t>Oval Ottoman</t>
  </si>
  <si>
    <t>PF001087</t>
  </si>
  <si>
    <t>AMERSIGNDS,CASTLEGATE,CSNSTORES,OVERSTOCK01</t>
  </si>
  <si>
    <t>MP101-0712</t>
  </si>
  <si>
    <t>CASTLEGATE,CSNSTORES,KIRKLANDDS,LAMPDS,OLLIIX</t>
  </si>
  <si>
    <t>MP101-1214</t>
  </si>
  <si>
    <t>Harriet</t>
  </si>
  <si>
    <t>Madrona</t>
  </si>
  <si>
    <t>Loring</t>
  </si>
  <si>
    <t>Upholstered Round Cocktail Ottoman with Metal Base 34" Dia</t>
  </si>
  <si>
    <t>FPF18-0090</t>
  </si>
  <si>
    <t>Kelsey</t>
  </si>
  <si>
    <t>Avery</t>
  </si>
  <si>
    <t>Round Pouf Ottoman</t>
  </si>
  <si>
    <t>PF000595;PP000187</t>
  </si>
  <si>
    <t>AMAZONDS,AMERSIGNDS,CSNSTORES,MACY02F,OLLIIX,OVERSTOCK01,TGTDVS,ZOLA</t>
  </si>
  <si>
    <t>FPF18-0200</t>
  </si>
  <si>
    <t>Lindsey</t>
  </si>
  <si>
    <t>Kylie</t>
  </si>
  <si>
    <t>Tufted Square Cocktail Ottoman</t>
  </si>
  <si>
    <t>PF000637;PP000193</t>
  </si>
  <si>
    <t>AMAZONDS,CSNSTORES,MACY02F,TGTDVS</t>
  </si>
  <si>
    <t>MP101-0984</t>
  </si>
  <si>
    <t>AMAZONDS,CSNSTORES,KIRKLANDDS,OVERSTOCK01</t>
  </si>
  <si>
    <t>FUR101-0044</t>
  </si>
  <si>
    <t>Martin</t>
  </si>
  <si>
    <t>Chase</t>
  </si>
  <si>
    <t>Mathew</t>
  </si>
  <si>
    <t>Surfboard Tufted Ottoman</t>
  </si>
  <si>
    <t>PF000815;PP000207</t>
  </si>
  <si>
    <t>AMAZONDS,CSNSTORES,OLLIIX,OVERSTOCK01,TGTDVS</t>
  </si>
  <si>
    <t>FPF18-0263</t>
  </si>
  <si>
    <t>PF000684;PP000207</t>
  </si>
  <si>
    <t>MP101-0711</t>
  </si>
  <si>
    <t>AMAZON,AMAZONDS,KOHLDSN,OLLIIX,OVERSTOCK01,ROOMECOM</t>
  </si>
  <si>
    <t>FPF18-0264</t>
  </si>
  <si>
    <t>PF000685;PP000207</t>
  </si>
  <si>
    <t>AMAZONDS,CSNSTORES,KIRKLANDDS,KOHLDSN,OLLIIX,OVERSTOCK01,TGTDVS</t>
  </si>
  <si>
    <t>MP101-0226</t>
  </si>
  <si>
    <t>Javier</t>
  </si>
  <si>
    <t>Millie</t>
  </si>
  <si>
    <t>Round Storage Ottoman</t>
  </si>
  <si>
    <t>Cream/Brown</t>
  </si>
  <si>
    <t>PF000281;PP000213</t>
  </si>
  <si>
    <t>6/9/2017</t>
  </si>
  <si>
    <t>MP101-0225</t>
  </si>
  <si>
    <t>Denim/Brown</t>
  </si>
  <si>
    <t>PF000280;PP000213</t>
  </si>
  <si>
    <t>CSNSTORES,KOHLDSN,LAMPDS</t>
  </si>
  <si>
    <t>MPS100-0303</t>
  </si>
  <si>
    <t>Collin</t>
  </si>
  <si>
    <t>Arm chair</t>
  </si>
  <si>
    <t>Cream/Dark Brown</t>
  </si>
  <si>
    <t>MPS100-0108</t>
  </si>
  <si>
    <t>Arm Chair</t>
  </si>
  <si>
    <t>PF001228</t>
  </si>
  <si>
    <t>MPS100-0155</t>
  </si>
  <si>
    <t>MPS130-0299</t>
  </si>
  <si>
    <t>Beckett</t>
  </si>
  <si>
    <t>2 Drawer Accent Chest</t>
  </si>
  <si>
    <t>Antique Cream</t>
  </si>
  <si>
    <t>8/20/2021</t>
  </si>
  <si>
    <t>MPS130-0293</t>
  </si>
  <si>
    <t>Morocco Brown</t>
  </si>
  <si>
    <t>9/15/2020</t>
  </si>
  <si>
    <t>MPS135-0049</t>
  </si>
  <si>
    <t>BAR CART</t>
  </si>
  <si>
    <t>Bar Cart</t>
  </si>
  <si>
    <t>Antique Gold</t>
  </si>
  <si>
    <t>PF000513;PP000303</t>
  </si>
  <si>
    <t>CSNSTORES,HOUZZ,MACY02F,OLLIIX,OVERSTOCK01,ZOLA</t>
  </si>
  <si>
    <t>MPS115-0287</t>
  </si>
  <si>
    <t>MPS115-0058</t>
  </si>
  <si>
    <t>PP000288</t>
  </si>
  <si>
    <t>MPS100-0115</t>
  </si>
  <si>
    <t>Helena</t>
  </si>
  <si>
    <t>Dining Side Chair</t>
  </si>
  <si>
    <t>PF001230;PP000300</t>
  </si>
  <si>
    <t>MPS108-0152</t>
  </si>
  <si>
    <t>Hutton</t>
  </si>
  <si>
    <t>Dining Side Chair (set of 2)</t>
  </si>
  <si>
    <t>CSNSTORES,KOHLDSN,MACY02F,TGTDVS</t>
  </si>
  <si>
    <t>MPS100-0042</t>
  </si>
  <si>
    <t>Marie</t>
  </si>
  <si>
    <t>Beige/Light Natural</t>
  </si>
  <si>
    <t>PF001222;PP000305</t>
  </si>
  <si>
    <t>MPS108-0302</t>
  </si>
  <si>
    <t>Ultra</t>
  </si>
  <si>
    <t>Set of 2</t>
  </si>
  <si>
    <t>AMERSIGNDS,CSNSTORES,KOHLDSN,MACY02F,OLLIIX,OVERSTOCK01,TGTDVS</t>
  </si>
  <si>
    <t>MPS108-0286</t>
  </si>
  <si>
    <t>CASTLEGATE,KIRKLANDDS,KOHLDSN,MACY02F,OLLIIX,OVERSTOCK01</t>
  </si>
  <si>
    <t>MPS108-0156</t>
  </si>
  <si>
    <t>10/23/2017</t>
  </si>
  <si>
    <t>AMAZONDS,CASTLEGATE,KOHLDSN,OLLIIX,OVERSTOCK01</t>
  </si>
  <si>
    <t>MPS108-0296</t>
  </si>
  <si>
    <t>Light Green Multi</t>
  </si>
  <si>
    <t>12/31/2020</t>
  </si>
  <si>
    <t>MPS121-0295</t>
  </si>
  <si>
    <t>Round Dining Table</t>
  </si>
  <si>
    <t>CASTLEGATE,KIRKLANDDS,KOHLDSN,LAMPDS,OLLIIX,TGTDVS</t>
  </si>
  <si>
    <t>MPS121-0113</t>
  </si>
  <si>
    <t>PF001280;PP000300</t>
  </si>
  <si>
    <t>CSNSTORES,KOHLDSN,LAMPDS,TGTDVS</t>
  </si>
  <si>
    <t>MPS137-0004</t>
  </si>
  <si>
    <t>DRESSER/CHEST</t>
  </si>
  <si>
    <t>Dresser</t>
  </si>
  <si>
    <t>Small Dresser</t>
  </si>
  <si>
    <t>Light Natural</t>
  </si>
  <si>
    <t>PF001290;PP000311</t>
  </si>
  <si>
    <t>MPS136-0288</t>
  </si>
  <si>
    <t>MPS136-0060</t>
  </si>
  <si>
    <t>PF001288;PP000288</t>
  </si>
  <si>
    <t>CSNSTORES,KOHLDSN,MACY02F,OLLIIX,OVERSTOCK01,TGTDVS</t>
  </si>
  <si>
    <t>MPS136-0181</t>
  </si>
  <si>
    <t>Bedside Table</t>
  </si>
  <si>
    <t>1/10/2018</t>
  </si>
  <si>
    <t>MPS136-0003</t>
  </si>
  <si>
    <t>PF001286;PP000311</t>
  </si>
  <si>
    <t>ASHFURNDS,CSNSTORES,KIRKLANDDS,LAMPDS,OLLIIX</t>
  </si>
  <si>
    <t>MPS120-0123</t>
  </si>
  <si>
    <t>Bordeaux</t>
  </si>
  <si>
    <t>White/Gold</t>
  </si>
  <si>
    <t>PF000504;PP000290</t>
  </si>
  <si>
    <t>AMERSIGNDS,ASHFURNDS,CSNSTORES,KOHLDSN,MACY02F,OLLIIX,ROOMECOM,TGTDVS</t>
  </si>
  <si>
    <t>MPS120-0050</t>
  </si>
  <si>
    <t>Porter</t>
  </si>
  <si>
    <t>Rectangle Coffee Table</t>
  </si>
  <si>
    <t>PF000486;PP000307</t>
  </si>
  <si>
    <t>ASHFURNDS,CSNSTORES,DESINC,HOUZZ,KIRKLANDDS,KOHLDSN,OLLIIX,OVERSTOCK01,ROOMECOM,TGTDVS</t>
  </si>
  <si>
    <t>MPS120-0125</t>
  </si>
  <si>
    <t>PF000506;PP000290</t>
  </si>
  <si>
    <t>AMERSIGNDS,CSNSTORES,LAMPDS,MACY02F,OLLIIX,OVERSTOCK01,ROOMECOM</t>
  </si>
  <si>
    <t>MPS120-0124</t>
  </si>
  <si>
    <t>PF000505;PP000290</t>
  </si>
  <si>
    <t>AMERSIGNDS,CSNSTORES,KOHLDSN,MACY02F,OLLIIX,OVERSTOCK01,ROOMECOM</t>
  </si>
  <si>
    <t>MT105-0156</t>
  </si>
  <si>
    <t>Caymus</t>
  </si>
  <si>
    <t>Caymu</t>
  </si>
  <si>
    <t>Rectangular Soft Close Storage Bench</t>
  </si>
  <si>
    <t>MT105-0139</t>
  </si>
  <si>
    <t>Highland</t>
  </si>
  <si>
    <t>Tufted Accent Bench with Shelf</t>
  </si>
  <si>
    <t>3/7/2022</t>
  </si>
  <si>
    <t>AMAZONDS,ASHFURNDS,CSNSTORES,JCPENNEY01,KOHLDSN,OLLIIX</t>
  </si>
  <si>
    <t>MT105-0168</t>
  </si>
  <si>
    <t>Sloane</t>
  </si>
  <si>
    <t>MT105-0128</t>
  </si>
  <si>
    <t>Harstrom</t>
  </si>
  <si>
    <t>MT105-0159</t>
  </si>
  <si>
    <t>6/9/2023</t>
  </si>
  <si>
    <t>MT100-0176</t>
  </si>
  <si>
    <t>Whitney</t>
  </si>
  <si>
    <t>MT Bedford|Farm House</t>
  </si>
  <si>
    <t>7/19/2024</t>
  </si>
  <si>
    <t>MT100-0155</t>
  </si>
  <si>
    <t>Arm Accent Chair</t>
  </si>
  <si>
    <t>7/14/2022</t>
  </si>
  <si>
    <t>AMAZONDS,ASHFURNDS,CSNSTORES,OLLIIX,TGTDVS</t>
  </si>
  <si>
    <t>MT100-0053</t>
  </si>
  <si>
    <t>PP001261</t>
  </si>
  <si>
    <t>MT100-0001</t>
  </si>
  <si>
    <t>Decker</t>
  </si>
  <si>
    <t>Accent Armchair</t>
  </si>
  <si>
    <t>PP001268</t>
  </si>
  <si>
    <t>CSNSTORES,KIRKLANDDS,OLLIIX,ROOMECOM</t>
  </si>
  <si>
    <t>MT100-0106</t>
  </si>
  <si>
    <t>8/29/2020</t>
  </si>
  <si>
    <t>MT100-0018</t>
  </si>
  <si>
    <t>PP001282</t>
  </si>
  <si>
    <t>7/31/2019</t>
  </si>
  <si>
    <t>MT100-0157</t>
  </si>
  <si>
    <t>2/28/2023</t>
  </si>
  <si>
    <t>CSNSTORES,LAMPDS,OLLIIX,TGTDVS</t>
  </si>
  <si>
    <t>MT100-0136</t>
  </si>
  <si>
    <t>12/29/2020</t>
  </si>
  <si>
    <t>MT100-0123</t>
  </si>
  <si>
    <t>Jayco</t>
  </si>
  <si>
    <t>MT100-0177</t>
  </si>
  <si>
    <t>10/3/2023</t>
  </si>
  <si>
    <t>MT130-0111</t>
  </si>
  <si>
    <t>Allister</t>
  </si>
  <si>
    <t>Morocco/Gold</t>
  </si>
  <si>
    <t>9/18/2020</t>
  </si>
  <si>
    <t>ASHFURNDS,CSNSTORES,KOHLDSN,LAMPDS,OLLIIX,OVERSTOCK01</t>
  </si>
  <si>
    <t>MT135-0036</t>
  </si>
  <si>
    <t>Lionel</t>
  </si>
  <si>
    <t>Two Tier Bar Cart on Wheels</t>
  </si>
  <si>
    <t>PP001245</t>
  </si>
  <si>
    <t>6/20/2019</t>
  </si>
  <si>
    <t>MT104-1184</t>
  </si>
  <si>
    <t>Connor</t>
  </si>
  <si>
    <t>Upholstered Counter stool 25"H</t>
  </si>
  <si>
    <t>12/21/2022</t>
  </si>
  <si>
    <t>MT104-0141</t>
  </si>
  <si>
    <t>25" Upholstered Counter Stool</t>
  </si>
  <si>
    <t>5/17/2022</t>
  </si>
  <si>
    <t>AMAZONDS,OLLIIX,OVERSTOCK01,TGTDVS</t>
  </si>
  <si>
    <t>MT104-0085</t>
  </si>
  <si>
    <t>2/11/2020</t>
  </si>
  <si>
    <t>MT104-0169</t>
  </si>
  <si>
    <t>Playa</t>
  </si>
  <si>
    <t>Handcrafted Rattan Counter Stool 25" H</t>
  </si>
  <si>
    <t>AMAZONDS,CSNSTORES,LAMPDS,OLLIIX,OVERSTOCK01</t>
  </si>
  <si>
    <t>MT104-1194</t>
  </si>
  <si>
    <t>Natural Whitewash</t>
  </si>
  <si>
    <t>11/16/2023</t>
  </si>
  <si>
    <t>MT122-0145</t>
  </si>
  <si>
    <t>Tabitha</t>
  </si>
  <si>
    <t>Solid Wood Desk with 1 Drawer and turned legs</t>
  </si>
  <si>
    <t>MT108-0063</t>
  </si>
  <si>
    <t>Elmcrest</t>
  </si>
  <si>
    <t>Upholstered Dining Chair with Nailhead Trim</t>
  </si>
  <si>
    <t>MT108-0158</t>
  </si>
  <si>
    <t>Soft Green</t>
  </si>
  <si>
    <t>3/27/2023</t>
  </si>
  <si>
    <t>MT108-1186</t>
  </si>
  <si>
    <t>Upholstered Dining Chair with Turned Wood Legs Set of 2</t>
  </si>
  <si>
    <t>MT108-0093</t>
  </si>
  <si>
    <t>Holls</t>
  </si>
  <si>
    <t>3/24/2020</t>
  </si>
  <si>
    <t>MT108-0154</t>
  </si>
  <si>
    <t>Upholstered Dining chair Set of 2</t>
  </si>
  <si>
    <t>5/18/2022</t>
  </si>
  <si>
    <t>AMAZONDS,CSNSTORES,KOHLDSN,LAMPDS,OLLIIX,OVERSTOCK01,TGTDVS</t>
  </si>
  <si>
    <t>MT108-0079</t>
  </si>
  <si>
    <t>MT108-0160</t>
  </si>
  <si>
    <t>CSNSTORES,KOHLDSN,LAMPDS,OVERSTOCK01</t>
  </si>
  <si>
    <t>MT103-0132</t>
  </si>
  <si>
    <t>2/12/2021</t>
  </si>
  <si>
    <t>MT103-0049</t>
  </si>
  <si>
    <t>PP001258</t>
  </si>
  <si>
    <t>6/14/2019</t>
  </si>
  <si>
    <t>MT103-1199</t>
  </si>
  <si>
    <t>Skirted Swivel Chair</t>
  </si>
  <si>
    <t>1/16/2024</t>
  </si>
  <si>
    <t>MT103-1196</t>
  </si>
  <si>
    <t>MT103-0170</t>
  </si>
  <si>
    <t>12/14/2022</t>
  </si>
  <si>
    <t>MT103-1198</t>
  </si>
  <si>
    <t>Tan Multi</t>
  </si>
  <si>
    <t>12/1/2023</t>
  </si>
  <si>
    <t>MT120-0023</t>
  </si>
  <si>
    <t>Accent Table|End Table</t>
  </si>
  <si>
    <t>Fatima</t>
  </si>
  <si>
    <t>Round Accent Table</t>
  </si>
  <si>
    <t>Reclaimed Wheat</t>
  </si>
  <si>
    <t>PP001286</t>
  </si>
  <si>
    <t>MT120-0024</t>
  </si>
  <si>
    <t>Harley</t>
  </si>
  <si>
    <t>PP001287</t>
  </si>
  <si>
    <t>MT120-0026</t>
  </si>
  <si>
    <t>Irisa</t>
  </si>
  <si>
    <t>Reclaimed Oak/Iron</t>
  </si>
  <si>
    <t>PP001289</t>
  </si>
  <si>
    <t>MT120-0025</t>
  </si>
  <si>
    <t>Lia</t>
  </si>
  <si>
    <t>Oval Accent Table</t>
  </si>
  <si>
    <t>PP001288</t>
  </si>
  <si>
    <t>AMAZONDS,CSNSTORES,DESINC,MACY02F,OLLIIX,OVERSTOCK01</t>
  </si>
  <si>
    <t>MT120-0129</t>
  </si>
  <si>
    <t>Belden</t>
  </si>
  <si>
    <t>Castered Coffee Table</t>
  </si>
  <si>
    <t>3/22/2021</t>
  </si>
  <si>
    <t>MT120-0167</t>
  </si>
  <si>
    <t>Crestview</t>
  </si>
  <si>
    <t>Storage Console Table 31"W</t>
  </si>
  <si>
    <t>31"W x 14"D x 30"H</t>
  </si>
  <si>
    <t>MT120-1191</t>
  </si>
  <si>
    <t>Kenna</t>
  </si>
  <si>
    <t>Fluted 2-drawer Storage Console Table</t>
  </si>
  <si>
    <t>10/28/2023</t>
  </si>
  <si>
    <t>CSNSTORES,DESINC,HOUZZ,OLLIIX,OVERSTOCK01</t>
  </si>
  <si>
    <t>MT120-1192</t>
  </si>
  <si>
    <t>Fluted 2-drawer Coffee Table</t>
  </si>
  <si>
    <t>MT120-0150</t>
  </si>
  <si>
    <t>Sadie</t>
  </si>
  <si>
    <t>Round Coffee table</t>
  </si>
  <si>
    <t>2/17/2022</t>
  </si>
  <si>
    <t>AMAZONDS,CSNSTORES,HOUZZ,JCPENNEY01,KIRKLANDDS,KOHLDSN,OLLIIX,OVERSTOCK01,TGTDVS,ZOLA</t>
  </si>
  <si>
    <t>MT101-0135</t>
  </si>
  <si>
    <t>Cedric</t>
  </si>
  <si>
    <t>Accent Ottoman</t>
  </si>
  <si>
    <t>2/1/2021</t>
  </si>
  <si>
    <t>MT101-0011</t>
  </si>
  <si>
    <t>Clara</t>
  </si>
  <si>
    <t>PP001277</t>
  </si>
  <si>
    <t>MT101-0014</t>
  </si>
  <si>
    <t>Ellen</t>
  </si>
  <si>
    <t>Cocktail Ottoman</t>
  </si>
  <si>
    <t>PP001279</t>
  </si>
  <si>
    <t>BLK01,CSNSTORES,KIRKLANDDS,OLLIIX</t>
  </si>
  <si>
    <t>MT101-0013</t>
  </si>
  <si>
    <t>6/22/2019</t>
  </si>
  <si>
    <t>MT101-0146</t>
  </si>
  <si>
    <t>Terri</t>
  </si>
  <si>
    <t>Skirted Tufted 32" Round Ottoman</t>
  </si>
  <si>
    <t>1/19/2022</t>
  </si>
  <si>
    <t>AMAZONDS,ASHFURNDS,CSNSTORES,KOHLDSN,OLLIIX,OVERSTOCK01,TGTDVS</t>
  </si>
  <si>
    <t>5DS153-0041</t>
  </si>
  <si>
    <t>LGT</t>
  </si>
  <si>
    <t>LGT-TABLE LAMPS</t>
  </si>
  <si>
    <t>Table Task Lamps</t>
  </si>
  <si>
    <t>Bayard</t>
  </si>
  <si>
    <t>Embossed Ceramic Table Lamp</t>
  </si>
  <si>
    <t>AMERSIGNDS,KOHLDSN,NRTPORT,OLLIIX,TGTDVS</t>
  </si>
  <si>
    <t>MP153-0204</t>
  </si>
  <si>
    <t>Bella</t>
  </si>
  <si>
    <t>Geometric Glass Table Lamp</t>
  </si>
  <si>
    <t>10/3/2019</t>
  </si>
  <si>
    <t>AMAZONDS,CSNSTORES,KIRKLANDDS,MACY02,OLLIIX,OVERSTOCK01,TGTDVS</t>
  </si>
  <si>
    <t>5DS153-1157</t>
  </si>
  <si>
    <t>Clarity</t>
  </si>
  <si>
    <t>Glass Cylinder Table Lamp Set of 2</t>
  </si>
  <si>
    <t>2/6/2021</t>
  </si>
  <si>
    <t>7/11/2024</t>
  </si>
  <si>
    <t>CSNSTORES,JCPENNEY01,KIRKLANDDS,KOHLDSN,MACY02,OLLIIX,OVERSTOCK01,ROOMECOM,TGTDVS</t>
  </si>
  <si>
    <t>5DS153-0001</t>
  </si>
  <si>
    <t>AMERSIGNDS,CSNSTORES,JCPENNEY01,OLLIIX,OVERSTOCK01,ROOMECOM,TGTDVS</t>
  </si>
  <si>
    <t>5DS153-0031</t>
  </si>
  <si>
    <t>Cortina</t>
  </si>
  <si>
    <t>Ombre Glass Table Lamp, Set of 2</t>
  </si>
  <si>
    <t>11/12/2018</t>
  </si>
  <si>
    <t>JCPENNEY01,KIRKLANDDS,KOHLDSN,OLLIIX,OVERSTOCK01,ROOMECOM,TGTDVS</t>
  </si>
  <si>
    <t>5DS153-0008</t>
  </si>
  <si>
    <t>Covey</t>
  </si>
  <si>
    <t>Curved Glass Table Lamp, Set of 2</t>
  </si>
  <si>
    <t>5DS153-0029</t>
  </si>
  <si>
    <t>Driggs</t>
  </si>
  <si>
    <t>Ceramic Textured Table Lamp</t>
  </si>
  <si>
    <t>Ivory/Grey</t>
  </si>
  <si>
    <t>CSNSTORES,JCPENNEY01,KIRKLANDDS,KOHLDSN,MACY02,ROOMECOM,TGTDVS</t>
  </si>
  <si>
    <t>5DS153-0018</t>
  </si>
  <si>
    <t>AMERSIGNDS,CSNSTORES,JCPENNEY01,KOHLDSN,OLLIIX,ROOMECOM,TGTDVS</t>
  </si>
  <si>
    <t>5DS153-0014</t>
  </si>
  <si>
    <t>AMERSIGNDS,CSNSTORES,JCPENNEY01,KIRKLANDDS,KOHLDSN,MACY02,NRTPORT,OLLIIX,OVERSTOCK01</t>
  </si>
  <si>
    <t>5DS153-0019</t>
  </si>
  <si>
    <t>AMERSIGNDS,CSNSTORES,JCPENNEY01,KIRKLANDDS,KOHLDSN,OLLIIX,OVERSTOCK01,ROOMECOM</t>
  </si>
  <si>
    <t>5DS153-0020</t>
  </si>
  <si>
    <t>AMERSIGNDS,CSNSTORES,JCPENNEY01,OLLIIX,OVERSTOCK01</t>
  </si>
  <si>
    <t>5DS153-0030</t>
  </si>
  <si>
    <t>Gypsy</t>
  </si>
  <si>
    <t>Embossed Boho Table Lamp</t>
  </si>
  <si>
    <t>12/7/2018</t>
  </si>
  <si>
    <t>CSNSTORES,JCPENNEY01,KIRKLANDDS,OLLIIX,ROOMECOM,TGTDVS</t>
  </si>
  <si>
    <t>5DS153-0021</t>
  </si>
  <si>
    <t>Angular Glass Table Lamp, Set of 2</t>
  </si>
  <si>
    <t>10/17/2018</t>
  </si>
  <si>
    <t>5DS153-0039</t>
  </si>
  <si>
    <t>Macey</t>
  </si>
  <si>
    <t>Geometric Ceramic Table Lamp</t>
  </si>
  <si>
    <t>5DS153-0037</t>
  </si>
  <si>
    <t>Nicolo</t>
  </si>
  <si>
    <t>Textured Ceramic Table Lamp</t>
  </si>
  <si>
    <t>5DS153-0036</t>
  </si>
  <si>
    <t>5/27/2024</t>
  </si>
  <si>
    <t>AMERSIGNDS,OLLIIX,ROOMECOM,TGTDVS</t>
  </si>
  <si>
    <t>5DS153-0017</t>
  </si>
  <si>
    <t>Saxony</t>
  </si>
  <si>
    <t>Metallic Glass Table Lamp</t>
  </si>
  <si>
    <t>9/26/2018</t>
  </si>
  <si>
    <t>CSNSTORES,HOUZZ,KIRKLANDDS,OLLIIX,OVERSTOCK01</t>
  </si>
  <si>
    <t>5DS153-0046</t>
  </si>
  <si>
    <t>Zusa</t>
  </si>
  <si>
    <t>Metal 2-Light Globe Table Lamp</t>
  </si>
  <si>
    <t>Gold/White</t>
  </si>
  <si>
    <t>AMAZON,AMAZONDS,CSNSTORES,JCPENNEY01,KOHLDSN,OLLIIX,OVERSTOCK01,TGTDVS</t>
  </si>
  <si>
    <t>MP150-0194</t>
  </si>
  <si>
    <t>LGT-CHANDELIERS</t>
  </si>
  <si>
    <t>Chandeliers</t>
  </si>
  <si>
    <t>Brighton</t>
  </si>
  <si>
    <t>6-Light Farmhouse Metal Chandelier</t>
  </si>
  <si>
    <t>Matte Black</t>
  </si>
  <si>
    <t>3/26/2019</t>
  </si>
  <si>
    <t>FB150-1153</t>
  </si>
  <si>
    <t>Presidio</t>
  </si>
  <si>
    <t>5-Light Black Drum Shade Chandelier</t>
  </si>
  <si>
    <t>Gold/Black</t>
  </si>
  <si>
    <t>AMAZONDS,CSNSTORES,LAMPDS,OLLIIX,OVERSTOCK01,TGTDVS</t>
  </si>
  <si>
    <t>MPS150-0067</t>
  </si>
  <si>
    <t>5-Light White Drum Shade Chandelier</t>
  </si>
  <si>
    <t>PF003212</t>
  </si>
  <si>
    <t>AMAZON,CSNSTORES,HOUZZ,JCPENNEY01,LAMPDS,OLLIIX,OVERSTOCK01,TGTDVS</t>
  </si>
  <si>
    <t>MPS150-0107</t>
  </si>
  <si>
    <t>Silver/White</t>
  </si>
  <si>
    <t>AMAZONDS,CSNSTORES,HOUZZ,OLLIIX,OVERSTOCK01,TGTDVS</t>
  </si>
  <si>
    <t>FB154-1164</t>
  </si>
  <si>
    <t>LGT-FLOOR LAMPS</t>
  </si>
  <si>
    <t>Floor Lamps</t>
  </si>
  <si>
    <t>Aster</t>
  </si>
  <si>
    <t>Angular Arched Metal Floor Lamp</t>
  </si>
  <si>
    <t>AMERSIGNDS,CSNSTORES,JCPENNEY01,KIRKLANDDS,OLLIIX,OVERSTOCK01,TGTDVS,ZOLA</t>
  </si>
  <si>
    <t>FB154-1177</t>
  </si>
  <si>
    <t>OVERSTOCK01,ZOLA</t>
  </si>
  <si>
    <t>MP154-0200</t>
  </si>
  <si>
    <t>Arched Floor Lamp with Marble Base</t>
  </si>
  <si>
    <t>10/14/2019</t>
  </si>
  <si>
    <t>ASHFURNDS,CSNSTORES,OLLIIX,ZOLA</t>
  </si>
  <si>
    <t>FB154-1165</t>
  </si>
  <si>
    <t>Bellow</t>
  </si>
  <si>
    <t>Uplight Floor Lamp with Mercury Glass Shade</t>
  </si>
  <si>
    <t>Antique Brass</t>
  </si>
  <si>
    <t>AMERSIGNDS,CSNSTORES,KIRKLANDDS,OLLIIX,OVERSTOCK01,ZOLA</t>
  </si>
  <si>
    <t>MP151-0198</t>
  </si>
  <si>
    <t>LGT-PENDANTS</t>
  </si>
  <si>
    <t>Pendants</t>
  </si>
  <si>
    <t>Bell Shaped Glass Pendant</t>
  </si>
  <si>
    <t>Dia.9"</t>
  </si>
  <si>
    <t>Bronze/Clear</t>
  </si>
  <si>
    <t>AMAZONDS,AMERSIGNDS,CSNSTORES,HOUZZ,LAMPDS,OLLIIX,OVERSTOCK01,TGTDVS</t>
  </si>
  <si>
    <t>FB151-1171</t>
  </si>
  <si>
    <t>Gold/Blue</t>
  </si>
  <si>
    <t>9/7/2022</t>
  </si>
  <si>
    <t>AMAZONDS,CSNSTORES,HOUZZ,OVERSTOCK01</t>
  </si>
  <si>
    <t>MP151-0123</t>
  </si>
  <si>
    <t>Gold/Clear</t>
  </si>
  <si>
    <t>PF002875</t>
  </si>
  <si>
    <t>AMAZON,AMERSIGNDS,CSNSTORES,HOUZZ,KIRKLANDDS,LAMPDS,OVERSTOCK01,TGTDVS</t>
  </si>
  <si>
    <t>MP151-0199</t>
  </si>
  <si>
    <t>Silver/Clear</t>
  </si>
  <si>
    <t>AMAZONDS,CSNSTORES,HOUZZ,KIRKLANDDS,KOHLDSN,LAMPDS,OLLIIX,OVERSTOCK01</t>
  </si>
  <si>
    <t>FB155-1173</t>
  </si>
  <si>
    <t>LGT-SCONCES</t>
  </si>
  <si>
    <t>Sconces</t>
  </si>
  <si>
    <t>Metal Wall Sconce with Cylinder Shade, Set of 2</t>
  </si>
  <si>
    <t>11/18/2022</t>
  </si>
  <si>
    <t>FB155-1176</t>
  </si>
  <si>
    <t>Dove</t>
  </si>
  <si>
    <t>Double Tube 2-Light Wall Sconce</t>
  </si>
  <si>
    <t>Frosted glass/gold</t>
  </si>
  <si>
    <t>8/9/2023</t>
  </si>
  <si>
    <t>FB153-1174</t>
  </si>
  <si>
    <t>Ashbourne</t>
  </si>
  <si>
    <t>Embossed Floral Resin Table Lamp</t>
  </si>
  <si>
    <t>FB153-1158</t>
  </si>
  <si>
    <t>Celine</t>
  </si>
  <si>
    <t>10/18/2021</t>
  </si>
  <si>
    <t>CSNSTORES,JCPENNEY01,KOHLDSN,MACY02,OLLIIX,OVERSTOCK01,ROOMECOM,TGTDVS</t>
  </si>
  <si>
    <t>MPS153-0025</t>
  </si>
  <si>
    <t>Rectangular Ceramic Table Lamp</t>
  </si>
  <si>
    <t>PF002829</t>
  </si>
  <si>
    <t>AMERSIGNDS,CSNSTORES,HOUZZ,JCPENNEY01,KOHLDSN,OLLIIX,OVERSTOCK01</t>
  </si>
  <si>
    <t>FB153-1155</t>
  </si>
  <si>
    <t>Fulton</t>
  </si>
  <si>
    <t>Concrete Table Lamp</t>
  </si>
  <si>
    <t>1/27/2021</t>
  </si>
  <si>
    <t>AMERSIGNDS,CSNSTORES,OVERSTOCK01,ROOMECOM</t>
  </si>
  <si>
    <t>MPS153-0079</t>
  </si>
  <si>
    <t>Gold/Grey/Black</t>
  </si>
  <si>
    <t>PF003223</t>
  </si>
  <si>
    <t>10/20/2017</t>
  </si>
  <si>
    <t>AMAZONDS,CSNSTORES,OLLIIX,OVERSTOCK01,ROOMECOM</t>
  </si>
  <si>
    <t>MP153-0179</t>
  </si>
  <si>
    <t>Macon</t>
  </si>
  <si>
    <t>Glass Cylinder Table Lamp</t>
  </si>
  <si>
    <t>Clear</t>
  </si>
  <si>
    <t>AMERSIGNDS,OLLIIX,OVERSTOCK01</t>
  </si>
  <si>
    <t>MP153-0144</t>
  </si>
  <si>
    <t>Prague</t>
  </si>
  <si>
    <t>Alabaster Table Lamp</t>
  </si>
  <si>
    <t>PF003238</t>
  </si>
  <si>
    <t>MP153-0001</t>
  </si>
  <si>
    <t>Tate</t>
  </si>
  <si>
    <t>Boho Textured Ceramic Table Lamp</t>
  </si>
  <si>
    <t>PF002834</t>
  </si>
  <si>
    <t>II150-0011</t>
  </si>
  <si>
    <t>Cyrus</t>
  </si>
  <si>
    <t>6-Globe Light Architectural Metal Chandelier</t>
  </si>
  <si>
    <t>PF002787</t>
  </si>
  <si>
    <t>II150-0122</t>
  </si>
  <si>
    <t>6-Light Frosted Glass Globe Linear Chandelier</t>
  </si>
  <si>
    <t>Antique Brass/Black</t>
  </si>
  <si>
    <t>3/4/2022</t>
  </si>
  <si>
    <t>OLLIIX,OVERSTOCK01,TGTDVS</t>
  </si>
  <si>
    <t>II150-0008</t>
  </si>
  <si>
    <t>12-Light Chandelier with Oversized Globe Bulbs</t>
  </si>
  <si>
    <t>PF002784</t>
  </si>
  <si>
    <t>CASTLEGATE,CSNSTORES,LAMPDS,OLLIIX,OVERSTOCK01</t>
  </si>
  <si>
    <t>II150-0077</t>
  </si>
  <si>
    <t>PF002785</t>
  </si>
  <si>
    <t>MPS154-0087</t>
  </si>
  <si>
    <t>Holloway</t>
  </si>
  <si>
    <t>3-Globe Light Floor Lamp with Marble Base</t>
  </si>
  <si>
    <t>AMERSIGNDS,HOUZZ,TGTDVS</t>
  </si>
  <si>
    <t>II154-0117</t>
  </si>
  <si>
    <t>Keller</t>
  </si>
  <si>
    <t>Adjustable Arched Floor Lamp with Drum Shade</t>
  </si>
  <si>
    <t>Oil Rubbed Bronze/Cream</t>
  </si>
  <si>
    <t>FPF21-0367</t>
  </si>
  <si>
    <t>Pacific</t>
  </si>
  <si>
    <t>Metal Tripod Floor Lamp with Glass Shade</t>
  </si>
  <si>
    <t>PF002773</t>
  </si>
  <si>
    <t>AMAZONDS,AMERSIGNDS,CSNSTORES,MACY02,OLLIIX,OVERSTOCK01,TGTDVS</t>
  </si>
  <si>
    <t>II154-0091</t>
  </si>
  <si>
    <t>9/4/2018</t>
  </si>
  <si>
    <t>CSNSTORES,KOHLDSN,OLLIIX,ROOMECOM,TGTDVS</t>
  </si>
  <si>
    <t>II152-0142</t>
  </si>
  <si>
    <t>LGT-FLUSHMOUNTS</t>
  </si>
  <si>
    <t>Flushmounts</t>
  </si>
  <si>
    <t>Mililani</t>
  </si>
  <si>
    <t>Boho Bamboo Flush Mount Ceiling Light</t>
  </si>
  <si>
    <t>II155-0145</t>
  </si>
  <si>
    <t>Laguna</t>
  </si>
  <si>
    <t>Rattan Weave Shade Wall Sconce</t>
  </si>
  <si>
    <t>CSNSTORES,KOHLDSN,OLLIIX,OVERSTOCK01,TGTDVS,ZOLA</t>
  </si>
  <si>
    <t>II153-0113</t>
  </si>
  <si>
    <t>Agape</t>
  </si>
  <si>
    <t>Boho Ceramic Table Lamp</t>
  </si>
  <si>
    <t>II153-0108</t>
  </si>
  <si>
    <t>Anzio</t>
  </si>
  <si>
    <t>Ceramic Table Lamp</t>
  </si>
  <si>
    <t>AMERSIGNDS,CSNSTORES,KOHLDSN,MACY02,OLLIIX,OVERSTOCK01,TGTDVS</t>
  </si>
  <si>
    <t>II153-0147</t>
  </si>
  <si>
    <t>Bromley</t>
  </si>
  <si>
    <t>Two Tone Pull-chain Table Lamp</t>
  </si>
  <si>
    <t>Gold/Brown</t>
  </si>
  <si>
    <t>II153-0148</t>
  </si>
  <si>
    <t>Bryson</t>
  </si>
  <si>
    <t>Dome-Shaped 2-Light Metal Table Lamp</t>
  </si>
  <si>
    <t>II153-0006</t>
  </si>
  <si>
    <t>Chrislie</t>
  </si>
  <si>
    <t>Triangular Table Lamp</t>
  </si>
  <si>
    <t>PF002782</t>
  </si>
  <si>
    <t>AMAZONDS,OLLIIX,TGTDVS</t>
  </si>
  <si>
    <t>II153-0023</t>
  </si>
  <si>
    <t>PF002798</t>
  </si>
  <si>
    <t>II153-0107</t>
  </si>
  <si>
    <t>Everly</t>
  </si>
  <si>
    <t>Ceramic Table Lamp with Handles</t>
  </si>
  <si>
    <t>II153-0146</t>
  </si>
  <si>
    <t>Grace Ivy</t>
  </si>
  <si>
    <t>Textured Dot Table Lamp</t>
  </si>
  <si>
    <t>MPS153-0086</t>
  </si>
  <si>
    <t>Marble Base Table Lamp</t>
  </si>
  <si>
    <t>II153-0106</t>
  </si>
  <si>
    <t>Jayda</t>
  </si>
  <si>
    <t>JCPENNEY01,OLLIIX,ROOMECOM</t>
  </si>
  <si>
    <t>II153-0126</t>
  </si>
  <si>
    <t>Kittery</t>
  </si>
  <si>
    <t>Metal Table Lamp with Glass Drum Shade</t>
  </si>
  <si>
    <t>Black Base/Frosted Shade</t>
  </si>
  <si>
    <t>II153-0144</t>
  </si>
  <si>
    <t>Nelia</t>
  </si>
  <si>
    <t>Frosted Glass Globe Resin Table Lamp</t>
  </si>
  <si>
    <t>CSNSTORES,OLLIIX,ZOLA</t>
  </si>
  <si>
    <t>II153-0129</t>
  </si>
  <si>
    <t>Tristan</t>
  </si>
  <si>
    <t>Triangular Ceramic and Wood Table Lamp</t>
  </si>
  <si>
    <t>White Base/Cream Shade</t>
  </si>
  <si>
    <t>HOUZZ,JCPENNEY01,KIRKLANDDS,OLLIIX,ZOLA</t>
  </si>
  <si>
    <t>MT154-0070</t>
  </si>
  <si>
    <t>Aelorian</t>
  </si>
  <si>
    <t>Floor Lamp 59"H</t>
  </si>
  <si>
    <t>6/26/2023</t>
  </si>
  <si>
    <t>MT154-0050</t>
  </si>
  <si>
    <t>Clyde</t>
  </si>
  <si>
    <t>Metal Tripod Floor Lamp 60"H</t>
  </si>
  <si>
    <t>CSNSTORES,JCPENNEY01,KOHLDSN,MACY02,OLLIIX,ROOMECOM</t>
  </si>
  <si>
    <t>MT154-0036</t>
  </si>
  <si>
    <t>Hunts</t>
  </si>
  <si>
    <t>Metal Floor Lamp</t>
  </si>
  <si>
    <t>AMAZONDS,CSNSTORES,HOUZZ,OLLIIX,OVERSTOCK01,ROOMECOM,TGTDVS</t>
  </si>
  <si>
    <t>MT154-0071</t>
  </si>
  <si>
    <t>Nassau</t>
  </si>
  <si>
    <t>Metal Bamboo Floor Lamp 60"H</t>
  </si>
  <si>
    <t>Black/Natural</t>
  </si>
  <si>
    <t>MT153-0053</t>
  </si>
  <si>
    <t>Astoria</t>
  </si>
  <si>
    <t>Resin Buffet Table Lamp</t>
  </si>
  <si>
    <t>CSNSTORES,KIRKLANDDS,KOHLDSN,OLLIIX,OVERSTOCK01</t>
  </si>
  <si>
    <t>MT153-0049</t>
  </si>
  <si>
    <t>AMAZONDS,CSNSTORES,KOHLDSN,TGTDVS</t>
  </si>
  <si>
    <t>MT153-0051</t>
  </si>
  <si>
    <t>Ribbed Ceramic Table Lamp</t>
  </si>
  <si>
    <t>10/25/2021</t>
  </si>
  <si>
    <t>MT153-0015</t>
  </si>
  <si>
    <t>Jemma</t>
  </si>
  <si>
    <t>6/2/2019</t>
  </si>
  <si>
    <t>MT153-0069</t>
  </si>
  <si>
    <t>Landsdown</t>
  </si>
  <si>
    <t>Black Faceted Table Lamp 24.25"H</t>
  </si>
  <si>
    <t>AMAZONDS,JCPENNEY01,KOHLDSN</t>
  </si>
  <si>
    <t>MPS150-0093</t>
  </si>
  <si>
    <t>Layered Capiz Chandelier</t>
  </si>
  <si>
    <t>12/9/2017</t>
  </si>
  <si>
    <t>AMAZON,CSNSTORES,HOUZZ,JCPENNEY01,KIRKLANDDS,KOHLDSN,LAMPDS,OLLIIX,OVERSTOCK01,ROOMECOM,TGTDVS</t>
  </si>
  <si>
    <t>UH154-0051</t>
  </si>
  <si>
    <t>Alta</t>
  </si>
  <si>
    <t>3-Light Metal Floor Lamp</t>
  </si>
  <si>
    <t>UH153-0057</t>
  </si>
  <si>
    <t>Borel</t>
  </si>
  <si>
    <t>Ombre Glass Table Lamp</t>
  </si>
  <si>
    <t>CSNSTORES,HOUZZ,JCPENNEY01,MACY02,OLLIIX</t>
  </si>
  <si>
    <t>UH153-0099</t>
  </si>
  <si>
    <t>AMERSIGNDS,ASHFURNDS,CSNSTORES,KIRKLANDDS,KOHLDSN,MACY02,OLLIIX,OVERSTOCK01,TGTDVS</t>
  </si>
  <si>
    <t>PET63HD5681</t>
  </si>
  <si>
    <t>PETB</t>
  </si>
  <si>
    <t>Friends Forever</t>
  </si>
  <si>
    <t>PET BEDS</t>
  </si>
  <si>
    <t>Pet Beds</t>
  </si>
  <si>
    <t>Hooded Round Bed</t>
  </si>
  <si>
    <t>D23+6"</t>
  </si>
  <si>
    <t>9/17/2021</t>
  </si>
  <si>
    <t>AMAZONDS,CHEWYDS</t>
  </si>
  <si>
    <t>PET63HD5680</t>
  </si>
  <si>
    <t>AMAZON,AMAZONDS,CHEWYDS</t>
  </si>
  <si>
    <t>PET63PS5696</t>
  </si>
  <si>
    <t>Milo</t>
  </si>
  <si>
    <t xml:space="preserve">Stair-  2 steps</t>
  </si>
  <si>
    <t>2-STEP</t>
  </si>
  <si>
    <t>Cocoa</t>
  </si>
  <si>
    <t>AMAZONDS,CHEWYDS,CSNSTORES</t>
  </si>
  <si>
    <t>PET63PS5697</t>
  </si>
  <si>
    <t>Stair - 3 steps</t>
  </si>
  <si>
    <t>3-STEP</t>
  </si>
  <si>
    <t>AMAZON,CHEWYDS</t>
  </si>
  <si>
    <t>PET63PS5698</t>
  </si>
  <si>
    <t>Stair - 4 steps</t>
  </si>
  <si>
    <t>4-STEP</t>
  </si>
  <si>
    <t>CHEWYDS</t>
  </si>
  <si>
    <t>PET63PS5693</t>
  </si>
  <si>
    <t>Stair - 2 steps</t>
  </si>
  <si>
    <t>9/23/2021</t>
  </si>
  <si>
    <t>PET63PS5694</t>
  </si>
  <si>
    <t>AMAZONDS</t>
  </si>
  <si>
    <t>PET63PS5695</t>
  </si>
  <si>
    <t>CHEWYDS,CSNSTORES</t>
  </si>
  <si>
    <t>PET63PS5699</t>
  </si>
  <si>
    <t>PET63PS5700</t>
  </si>
  <si>
    <t>PET63PS5701</t>
  </si>
  <si>
    <t>PET63HM6012</t>
  </si>
  <si>
    <t>Nala</t>
  </si>
  <si>
    <t>Hide Mat SM</t>
  </si>
  <si>
    <t>3/31/2023</t>
  </si>
  <si>
    <t>PET63HM6013</t>
  </si>
  <si>
    <t>Hide Mat LG</t>
  </si>
  <si>
    <t>30x40"</t>
  </si>
  <si>
    <t>PET63OD5685</t>
  </si>
  <si>
    <t>Oval Bed</t>
  </si>
  <si>
    <t>23"x18"+5.5"</t>
  </si>
  <si>
    <t>CHEWYDS,DESINC</t>
  </si>
  <si>
    <t>PET63OD5686</t>
  </si>
  <si>
    <t>30"x23"+6.5"</t>
  </si>
  <si>
    <t>PET63OD5687</t>
  </si>
  <si>
    <t>36"x27"+7.5"</t>
  </si>
  <si>
    <t>PET63OD5682</t>
  </si>
  <si>
    <t>PET63OD5683</t>
  </si>
  <si>
    <t>PET63OD5684</t>
  </si>
  <si>
    <t>PET63CH5688</t>
  </si>
  <si>
    <t>Cat Ottoman</t>
  </si>
  <si>
    <t>16.5"x16.5"x14"</t>
  </si>
  <si>
    <t>BR20-0986</t>
  </si>
  <si>
    <t>SHET</t>
  </si>
  <si>
    <t>SHEET/SHEET SET</t>
  </si>
  <si>
    <t>Sheet/Sheet Set</t>
  </si>
  <si>
    <t>600 Thread Count</t>
  </si>
  <si>
    <t>Cooling Cotton Blend 4 PC Sheet Set</t>
  </si>
  <si>
    <t>PP001188;PF004693</t>
  </si>
  <si>
    <t>AMAZON,BEALLSDS,CSNSTORES,FINGERHUTDS,JCPENNEY01,KOHLDSN,MACY02,NORDSTRACKDS,OLLIIX,OVERSTOCK01,WALMARTDS</t>
  </si>
  <si>
    <t>11/30/2019</t>
  </si>
  <si>
    <t>BR20-0987</t>
  </si>
  <si>
    <t>AMAZON,AMAZONDS,BLK01,CSNSTORES,FINGERHUTDS,JCPENNEY01,KOHLDSN,MACY02,NORDSTRACKDS,OLLIIX,OVERSTOCK01,TGTDVS,WALMARTDS</t>
  </si>
  <si>
    <t>BR20-0988</t>
  </si>
  <si>
    <t>AAFESDS,AMAZON,AMAZONDS,BEALLSDS,BLK01,CSNSTORES,DESINC,FINGERHUTDS,HOUZZ,JCPENNEY01,KOHLDSN,MACY02,NORDSTRACKDS,OLLIIX,OVERSTOCK01,TGTDVS,WALMARTDS</t>
  </si>
  <si>
    <t>BR20-0989</t>
  </si>
  <si>
    <t>AMAZON,CSNSTORES,FINGERHUTDS,JCPENNEY01,KOHLDSN,MACY02,NORDSTRACKDS,OLLIIX,OVERSTOCK01,TGTDVS,WALMARTDS</t>
  </si>
  <si>
    <t>BR20-0994</t>
  </si>
  <si>
    <t>PP001188;PF004695</t>
  </si>
  <si>
    <t>AAFESDS,AMAZON,FINGERHUTDS,JCPENNEY01,KOHLDSN,MACY02,NORDSTRACKDS,OVERSTOCK01,TGTDVS,WALMARTDS</t>
  </si>
  <si>
    <t>12/2/2019</t>
  </si>
  <si>
    <t>BR20-0995</t>
  </si>
  <si>
    <t>AAFESDS,AMAZON,BLK01,CSNSTORES,DESINC,FINGERHUTDS,JCPENNEY01,KIRKLANDDS,KOHLDSN,MACY02,OVERSTOCK01,TGTDVS,WALMARTDS</t>
  </si>
  <si>
    <t>7/1/2019</t>
  </si>
  <si>
    <t>BR20-0996</t>
  </si>
  <si>
    <t>AMAZON,BEALLSDS,CSNSTORES,FINGERHUTDS,JCPENNEY01,KOHLDSN,MACY02,NORDSTRACKDS,OVERSTOCK01,TGTDVS,WALMARTDS</t>
  </si>
  <si>
    <t>9/12/2019</t>
  </si>
  <si>
    <t>BR20-0997</t>
  </si>
  <si>
    <t>AAFESDS,AMAZON,CSNSTORES,FINGERHUTDS,JCPENNEY01,KOHLDSN,MACY02,NORDSTRACKDS,OVERSTOCK01,TGTDVS</t>
  </si>
  <si>
    <t>BR20-0998</t>
  </si>
  <si>
    <t>PP001188;PF004696</t>
  </si>
  <si>
    <t>AMAZON,AMAZONDS,BEALLSDS,CSNSTORES,FINGERHUTDS,JCPENNEY01,KOHLDSN,MACY02,OVERSTOCK01,WALMARTDS</t>
  </si>
  <si>
    <t>BR20-0999</t>
  </si>
  <si>
    <t>AAFESDS,AMAZONDS,BEALLSDS,BLK01,CSNSTORES,FINGERHUTDS,JCPENNEY01,KOHLDSN,MACY02,NORDSTRACKDS,OLLIIX,OVERSTOCK01,TGTDVS,WALMARTDS</t>
  </si>
  <si>
    <t>7/19/2019</t>
  </si>
  <si>
    <t>BR20-1000</t>
  </si>
  <si>
    <t>AMAZONDS,BEALLSDS,CSNSTORES,FINGERHUTDS,JCPENNEY01,KOHLDSN,MACY02,OVERSTOCK01,TGTDVS</t>
  </si>
  <si>
    <t>BR20-1001</t>
  </si>
  <si>
    <t>11/18/2020</t>
  </si>
  <si>
    <t>BR20-1002</t>
  </si>
  <si>
    <t>PP001188;PF004697</t>
  </si>
  <si>
    <t>BR20-1003</t>
  </si>
  <si>
    <t>AMAZONDS,BLK01,CSNSTORES,FINGERHUTDS,JCPENNEY01,KOHLDSN,MACY02,OVERSCONSIGN,OVERSTOCK01,TGTDVS</t>
  </si>
  <si>
    <t>BR20-1004</t>
  </si>
  <si>
    <t>AMAZON,AMAZONDS,CSNSTORES,FINGERHUTDS,JCPENNEY01,KOHLDSN,MACY02,NORDSTRACKDS,OLLIIX,OVERSTOCK01,TGTDVS</t>
  </si>
  <si>
    <t>BR20-1005</t>
  </si>
  <si>
    <t>AMAZONDS,CSNSTORES,FINGERHUTDS,JCPENNEY01,KOHLDSN,MACY02,OLLIIX,OVERSTOCK01,TGTDVS,WALMARTDS</t>
  </si>
  <si>
    <t>BR20-0990</t>
  </si>
  <si>
    <t>PP001188;PF004694</t>
  </si>
  <si>
    <t>CSNSTORES,FINGERHUTDS,JCPENNEY01,KOHLDSN,MACY02,NORDSTRACKDS,OLLIIX,OVERSTOCK01,TGTDVS,WALMARTDS</t>
  </si>
  <si>
    <t>12/8/2019</t>
  </si>
  <si>
    <t>BR20-0991</t>
  </si>
  <si>
    <t>AAFESDS,AMAZONDS,BLK01,CSNSTORES,FINGERHUTDS,JCPENNEY01,KIRKLANDDS,KOHLDSN,MACY02,NORDSTRACKDS,OLLIIX,OVERSTOCK01,TGTDVS</t>
  </si>
  <si>
    <t>BR20-0992</t>
  </si>
  <si>
    <t>AMAZONDS,BLK01,CSNSTORES,FINGERHUTDS,JCPENNEY01,KIRKLANDDS,KOHLDSN,MACY02,NORDSTRACKDS,OVERSTOCK01,TGTDVS</t>
  </si>
  <si>
    <t>BR20-0993</t>
  </si>
  <si>
    <t>AMAZONDS,BLK01,CSNSTORES,FINGERHUTDS,JCPENNEY01,KOHLDSN,MACY02,NORDSTRACKDS,OLLIIX,OVERSTOCK01,TGTDVS,WALMARTDS</t>
  </si>
  <si>
    <t>BR20-1919</t>
  </si>
  <si>
    <t>PP001188;PF005146</t>
  </si>
  <si>
    <t>CSNSTORES,FINGERHUTDS,JCPENNEY01,MACY02,NORDSTRACKDS,TGTDVS</t>
  </si>
  <si>
    <t>6/18/2021</t>
  </si>
  <si>
    <t>BR20-1920</t>
  </si>
  <si>
    <t>AAFESDS,BLK01,CSNSTORES,FINGERHUTDS,JCPENNEY01,KOHLDSN,MACY02,OLLIIX,OVERSTOCK01,WALMARTDS</t>
  </si>
  <si>
    <t>BR20-1921</t>
  </si>
  <si>
    <t>BLK01,CSNSTORES,FINGERHUTDS,JCPENNEY01,KOHLDSN,MACY02,NORDSTRACKDS,OLLIIX,OVERSTOCK01,TGTDVS</t>
  </si>
  <si>
    <t>7/1/2021</t>
  </si>
  <si>
    <t>BR20-1922</t>
  </si>
  <si>
    <t>CSNSTORES,FINGERHUTDS,JCPENNEY01,KOHLDSN,MACY02,NORDSTRACKDS,OVERSTOCK01,TGTDVS</t>
  </si>
  <si>
    <t>BR20-1007</t>
  </si>
  <si>
    <t>PP001188;PF004698</t>
  </si>
  <si>
    <t>AMAZON,BEALLSDS,BLK01,CSNSTORES,FINGERHUTDS,JCPENNEY01,KIRKLANDDS,KOHLDSN,MACY02,NORDSTRACKDS,OLLIIX,OVERSTOCK01,TGTDVS</t>
  </si>
  <si>
    <t>BR20-1008</t>
  </si>
  <si>
    <t>AMAZON,BLK01,CSNSTORES,FINGERHUTDS,JCPENNEY01,KOHLDSN,MACY02,NORDSTRACKDS,OLLIIX,OVERSTOCK01,TGTDVS</t>
  </si>
  <si>
    <t>BR20-1009</t>
  </si>
  <si>
    <t>4/12/2020</t>
  </si>
  <si>
    <t>BR20-1911</t>
  </si>
  <si>
    <t>PP001188;PF005144</t>
  </si>
  <si>
    <t>7/14/2021</t>
  </si>
  <si>
    <t>BR20-1912</t>
  </si>
  <si>
    <t>BR20-1913</t>
  </si>
  <si>
    <t>BR20-1914</t>
  </si>
  <si>
    <t>CSNSTORES,FINGERHUTDS,JCPENNEY01,KOHLDSN,MACY02,NORDSTRACKDS</t>
  </si>
  <si>
    <t>8/23/2021</t>
  </si>
  <si>
    <t>BR20-1915</t>
  </si>
  <si>
    <t>PP001188;PF005145</t>
  </si>
  <si>
    <t>BLK01,CSNSTORES,JCPENNEY01,KOHLDSN,MACY02,NORDSTRACKDS,OVERSTOCK01</t>
  </si>
  <si>
    <t>8/19/2021</t>
  </si>
  <si>
    <t>BR20-1916</t>
  </si>
  <si>
    <t>BLK01,CSNSTORES,FINGERHUTDS,JCPENNEY01,KOHLDSN,MACY02,NORDSTRACKDS,OLLIIX,OVERSTOCK01</t>
  </si>
  <si>
    <t>BR20-1917</t>
  </si>
  <si>
    <t>AAFESDS,CSNSTORES,FINGERHUTDS,JCPENNEY01,KOHLDSN,MACY02,NORDSTRACKDS,OVERSTOCK01</t>
  </si>
  <si>
    <t>BR20-1918</t>
  </si>
  <si>
    <t>BLK01,CSNSTORES,JCPENNEY01,KOHLDSN,MACY02,NORDSTRACKDS,OLLIIX,OVERSTOCK01</t>
  </si>
  <si>
    <t>10/15/2021</t>
  </si>
  <si>
    <t>BR20-1875</t>
  </si>
  <si>
    <t>1000 Thread Count</t>
  </si>
  <si>
    <t>HeiQ Smart Temperature Cotton Blend 4 PC Sheet Set</t>
  </si>
  <si>
    <t>PP001511;PF005130</t>
  </si>
  <si>
    <t>10/16/2020</t>
  </si>
  <si>
    <t>7/20/2024</t>
  </si>
  <si>
    <t>AMAZON,CSNSTORES,JCPENNEY01,KOHLDSN,MACY02,NORDSTRACKDS,OVERSTOCK01,TGTDVS</t>
  </si>
  <si>
    <t>9/29/2021</t>
  </si>
  <si>
    <t>BR20-1876</t>
  </si>
  <si>
    <t>AAFESDS,AMAZON,AMAZONDS,BLK01,CSNSTORES,FINGERHUTDS,HDDS,JCPENNEY01,KOHLDSN,MACY02,NORDSTRACKDS,OVERSTOCK01,TGTDVS,WALMARTDS</t>
  </si>
  <si>
    <t>BR20-1877</t>
  </si>
  <si>
    <t>AAFESDS,AMAZON,AMAZONDS,BLK01,DESINC,HDDS,JCPENNEY01,KOHLDSN,MACY02,OVERSTOCK01,WALMARTDS</t>
  </si>
  <si>
    <t>BR20-1878</t>
  </si>
  <si>
    <t>AMAZON,AMAZONDS,CSNSTORES,FINGERHUTDS,JCPENNEY01,KOHLDSN,MACY02,NORDSTRACKDS,OVERSTOCK01</t>
  </si>
  <si>
    <t>BR20-1883</t>
  </si>
  <si>
    <t>PP001511;PF005132</t>
  </si>
  <si>
    <t>AAFESDS,AMAZON,AMAZONDS,BLK01,CSNSTORES,HDDS,JCPENNEY01,KOHLDSN,MACY02,NORDSTRACKDS,OVERSTOCK01,WALMARTDS</t>
  </si>
  <si>
    <t>BR20-1884</t>
  </si>
  <si>
    <t>AMAZON,BLK01,CSNSTORES,HDDS,JCPENNEY01,KOHLDSN,MACY02,NORDSTRACKDS,OVERSTOCK01,TGTDVS,WALMARTDS</t>
  </si>
  <si>
    <t>BR20-1885</t>
  </si>
  <si>
    <t>AMAZON,BLK01,CSNSTORES,FINGERHUTDS,HDDS,JCPENNEY01,KOHLDSN,MACY02,OVERSTOCK01,TGTDVS</t>
  </si>
  <si>
    <t>BR20-1886</t>
  </si>
  <si>
    <t>AMAZON,FINGERHUTDS,JCPENNEY01,KOHLDSN,MACY02,NORDSTRACKDS,OVERSTOCK01</t>
  </si>
  <si>
    <t>8/18/2021</t>
  </si>
  <si>
    <t>BR20-1871</t>
  </si>
  <si>
    <t>PP001511;PF005129</t>
  </si>
  <si>
    <t>AMAZON,AMAZONDS,BLK01,JCPENNEY01,KOHLDSN,MACY02,NORDSTRACKDS,OVERSTOCK01</t>
  </si>
  <si>
    <t>BR20-1872</t>
  </si>
  <si>
    <t>AMAZON,AMAZONDS,BLK01,CSNSTORES,FINGERHUTDS,JCPENNEY01,KOHLDSN,MACY02,NORDSTRACKDS,OVERSCONSIGN,OVERSTOCK01,TGTDVS</t>
  </si>
  <si>
    <t>7/12/2021</t>
  </si>
  <si>
    <t>BR20-1873</t>
  </si>
  <si>
    <t>AMAZON,BLK01,CSNSTORES,HDDS,JCPENNEY01,KOHLDSN,MACY02,NORDSTRACKDS,OVERSTOCK01,TGTDVS</t>
  </si>
  <si>
    <t>BR20-1874</t>
  </si>
  <si>
    <t>BLK01,CSNSTORES,FINGERHUTDS,JCPENNEY01,KOHLDSN,MACY02,NORDSTRACKDS,OVERSTOCK01,WALMARTDS</t>
  </si>
  <si>
    <t>8/12/2021</t>
  </si>
  <si>
    <t>BR20-1879</t>
  </si>
  <si>
    <t>PP001511;PF005131</t>
  </si>
  <si>
    <t>AMAZON,AMAZONDS,BLK01,CSNSTORES,HDDS,JCPENNEY01,KOHLDSN,MACY02,OLLIIX,OVERSTOCK01</t>
  </si>
  <si>
    <t>BR20-1880</t>
  </si>
  <si>
    <t>AMAZON,BLK01,CSNSTORES,HDDS,JCPENNEY01,KOHLDSN,MACY02,NORDSTRACKDS,OLLIIX,OVERSCONSIGN,OVERSTOCK01,TGTDVS</t>
  </si>
  <si>
    <t>BR20-1881</t>
  </si>
  <si>
    <t>AMAZON,BLK01,FINGERHUTDS,HDDS,JCPENNEY01,KOHLDSN,MACY02,NORDSTRACKDS,OLLIIX,OVERSTOCK01,TGTDVS,WALMARTDS</t>
  </si>
  <si>
    <t>BR20-1882</t>
  </si>
  <si>
    <t>AMAZON,AMAZONDS,BLK01,CSNSTORES,HDDS,JCPENNEY01,KOHLDSN,MACY02,OVERSTOCK01</t>
  </si>
  <si>
    <t>BR20-1887</t>
  </si>
  <si>
    <t>PP001511;PF005133</t>
  </si>
  <si>
    <t>AMAZON,AMAZONDS,BLK01,HDDS,JCPENNEY01,KOHLDSN,MACY02,NORDSTRACKDS,OVERSCONSIGN,OVERSTOCK01</t>
  </si>
  <si>
    <t>7/4/2022</t>
  </si>
  <si>
    <t>BR20-1888</t>
  </si>
  <si>
    <t>AMAZON,AMAZONDS,BLK01,CSNSTORES,FINGERHUTDS,HDDS,JCPENNEY01,KOHLDSN,MACY02,NORDSTRACKDS,OVERSCONSIGN,OVERSTOCK01,WALMARTDS</t>
  </si>
  <si>
    <t>6/30/2021</t>
  </si>
  <si>
    <t>BR20-1889</t>
  </si>
  <si>
    <t>AAFESDS,AMAZON,BLK01,CSNSTORES,FINGERHUTDS,HDDS,JCPENNEY01,KOHLDSN,MACY02,NORDSTRACKDS,OVERSTOCK01,TGTDVS</t>
  </si>
  <si>
    <t>BR20-1890</t>
  </si>
  <si>
    <t>AMAZON,AMAZONDS,BLK01,CSNSTORES,HDDS,JCPENNEY01,KOHLDSN,MACY02,NORDSTRACKDS,OVERSTOCK01</t>
  </si>
  <si>
    <t>BR20-1867</t>
  </si>
  <si>
    <t>PP001511;PF005128</t>
  </si>
  <si>
    <t>AMAZON,AMAZONDS,BLK01,HDDS,JCPENNEY01,KOHLDSN,MACY02,NORDSTRACKDS,OVERSTOCK01,TGTDVS</t>
  </si>
  <si>
    <t>9/21/2022</t>
  </si>
  <si>
    <t>BR20-1868</t>
  </si>
  <si>
    <t>AAFESDS,AMAZON,AMAZONDS,BLK01,CSNSTORES,DESINC,HDDS,JCPENNEY01,KOHLDSN,MACY02,OVERSCONSIGN,OVERSTOCK01,TGTDVS</t>
  </si>
  <si>
    <t>BR20-1869</t>
  </si>
  <si>
    <t>AAFESDS,AMAZON,BLK01,CSNSTORES,FINGERHUTDS,HDDS,JCPENNEY01,KOHLDSN,MACY02,OVERSCONSIGN,OVERSTOCK01,TGTDVS</t>
  </si>
  <si>
    <t>7/2/2021</t>
  </si>
  <si>
    <t>BR20-1870</t>
  </si>
  <si>
    <t>AMAZON,BLK01,CSNSTORES,JCPENNEY01,KOHLDSN,MACY02,NORDSTRACKDS,OVERSTOCK01</t>
  </si>
  <si>
    <t>BR20-1857</t>
  </si>
  <si>
    <t>Oversized Cotton Flannel</t>
  </si>
  <si>
    <t>4 Piece Sheet Set</t>
  </si>
  <si>
    <t>Beige Windowpane</t>
  </si>
  <si>
    <t>PP001510;PF005125</t>
  </si>
  <si>
    <t>Flannel</t>
  </si>
  <si>
    <t>BR20-1858</t>
  </si>
  <si>
    <t>AMAZONDS,BLK01,CSNSTORES,HDDS,JCPENNEY01,MACY02,OVERSTOCK01,TGTDVS</t>
  </si>
  <si>
    <t>BR20-1859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</si>
  <si>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</si>
  <si>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</si>
  <si>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</si>
  <si>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</si>
  <si>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</si>
  <si>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</si>
  <si>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</si>
  <si>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AMAZON,CSNSTORES,HDDS,MACY02,TGTDVS</t>
  </si>
  <si>
    <t>BR20-1861</t>
  </si>
  <si>
    <t>Grey Petals</t>
  </si>
  <si>
    <t>PP001510;PF005127</t>
  </si>
  <si>
    <t>BR20-1862</t>
  </si>
  <si>
    <t>BR20-1863</t>
  </si>
  <si>
    <t>BR20-1853</t>
  </si>
  <si>
    <t>Grey Windowpane</t>
  </si>
  <si>
    <t>PP001510;PF005123</t>
  </si>
  <si>
    <t>BR20-1854</t>
  </si>
  <si>
    <t>AMAZONDS,BLK01,CSNSTORES,DESINC,JCPENNEY01,KOHLDSN,MACY02,NORDSTRACKDS,TGTDVS</t>
  </si>
  <si>
    <t>BR20-1855</t>
  </si>
  <si>
    <t>BR20-1849</t>
  </si>
  <si>
    <t>Ivory Solid</t>
  </si>
  <si>
    <t>PP001510;PF005126</t>
  </si>
  <si>
    <t>BR20-1850</t>
  </si>
  <si>
    <t>AMAZONDS,CSNSTORES,HDDS,MACY02,NORDSTRACKDS,TGTDVS</t>
  </si>
  <si>
    <t>BR20-1851</t>
  </si>
  <si>
    <t>BR20-1845</t>
  </si>
  <si>
    <t>Seafoam Solid</t>
  </si>
  <si>
    <t>PP001510;PF005124</t>
  </si>
  <si>
    <t>BR20-1846</t>
  </si>
  <si>
    <t>BR20-1847</t>
  </si>
  <si>
    <t>DESINC,OLLIIX</t>
  </si>
  <si>
    <t>BR20-4167</t>
  </si>
  <si>
    <t>White Tossed Botanical</t>
  </si>
  <si>
    <t>PP001510;PF006051</t>
  </si>
  <si>
    <t>8/19/2023</t>
  </si>
  <si>
    <t>BR20-4168</t>
  </si>
  <si>
    <t>AMAZON,CSNSTORES,HDDS,JCPENNEY01,MACY02</t>
  </si>
  <si>
    <t>BR20-4169</t>
  </si>
  <si>
    <t>HDDS,JCPENNEY01,KOHLDSN,MACY02,OVERSTOCK01,TGTDVS</t>
  </si>
  <si>
    <t>BR20-4170</t>
  </si>
  <si>
    <t>MPH20-0013</t>
  </si>
  <si>
    <t>800 Thread Count</t>
  </si>
  <si>
    <t>Cotton Blend Sateen Sheet Set</t>
  </si>
  <si>
    <t>PF004073</t>
  </si>
  <si>
    <t>MPH20-0014</t>
  </si>
  <si>
    <t>BEALLSDS,FINGERHUTDS,JCPENNEY01,KOHLDSN,MACY02,OLLIIX,OVERSTOCK01,TGTDVS,WALMARTDS</t>
  </si>
  <si>
    <t>MPH20-0015</t>
  </si>
  <si>
    <t>FINGERHUTDS,JCPENNEY01,KOHLDSN</t>
  </si>
  <si>
    <t>MPH20-0016</t>
  </si>
  <si>
    <t>PF004074</t>
  </si>
  <si>
    <t>MPH20-0018</t>
  </si>
  <si>
    <t>CSNSTORES,FINGERHUTDS,JCPENNEY01,KOHLDSN,MACY02,WALMARTDS</t>
  </si>
  <si>
    <t>MPH20-0007</t>
  </si>
  <si>
    <t>PF004071</t>
  </si>
  <si>
    <t>BEALLSDS,BLK01,JCPENNEY01,KOHLDSN,MACY02,OLLIIX,OVERSTOCK01,TGTDVS,WALMARTDS</t>
  </si>
  <si>
    <t>2/27/2018</t>
  </si>
  <si>
    <t>MPH20-0009</t>
  </si>
  <si>
    <t>BLK01,JCPENNEY01,MACY02,OVERSTOCK01,TGTDVS</t>
  </si>
  <si>
    <t>MPH20-0020</t>
  </si>
  <si>
    <t>Split King</t>
  </si>
  <si>
    <t>4/13/2020</t>
  </si>
  <si>
    <t>MPH20-0001</t>
  </si>
  <si>
    <t>PF004069</t>
  </si>
  <si>
    <t>MPH20-0003</t>
  </si>
  <si>
    <t>MPH20-0021</t>
  </si>
  <si>
    <t>MPH20-0010</t>
  </si>
  <si>
    <t>PF004072</t>
  </si>
  <si>
    <t>MPH20-0011</t>
  </si>
  <si>
    <t>BEALLSDS,BLK01,CSNSTORES,JCPENNEY01,KOHLDSN,MACY02,OLLIIX,OVERSTOCK01,TGTDVS</t>
  </si>
  <si>
    <t>MPH20-0012</t>
  </si>
  <si>
    <t>MP20-7156</t>
  </si>
  <si>
    <t>PF004072;PP001297</t>
  </si>
  <si>
    <t>3/19/2020</t>
  </si>
  <si>
    <t>MP20-6422</t>
  </si>
  <si>
    <t>PP001297;PF004729</t>
  </si>
  <si>
    <t>BLK01,FINGERHUTDS,JCPENNEY01,KOHLDSN,MACY02,OVERSTOCK01,TGTDVS</t>
  </si>
  <si>
    <t>MP20-6424</t>
  </si>
  <si>
    <t>2/20/2020</t>
  </si>
  <si>
    <t>MP20-7158</t>
  </si>
  <si>
    <t>BLK01,JCPENNEY01,KOHLDSN,MACY02,OLLIIX,OVERSTOCK01</t>
  </si>
  <si>
    <t>MPH20-0004</t>
  </si>
  <si>
    <t>PF004070</t>
  </si>
  <si>
    <t>2/21/2018</t>
  </si>
  <si>
    <t>MPH20-0006</t>
  </si>
  <si>
    <t>MPH20-0019</t>
  </si>
  <si>
    <t>7/29/2020</t>
  </si>
  <si>
    <t>MP20-6425</t>
  </si>
  <si>
    <t>PP001297;PF004730</t>
  </si>
  <si>
    <t>MP20-6426</t>
  </si>
  <si>
    <t>4/28/2021</t>
  </si>
  <si>
    <t>MP20-6427</t>
  </si>
  <si>
    <t>MP20-7157</t>
  </si>
  <si>
    <t>5/23/2021</t>
  </si>
  <si>
    <t>MP20-5387</t>
  </si>
  <si>
    <t>Peached Percale</t>
  </si>
  <si>
    <t>200 Thread Count Relaxed Cotton Percale Sheet Set</t>
  </si>
  <si>
    <t>PF004090</t>
  </si>
  <si>
    <t>3/23/2018</t>
  </si>
  <si>
    <t>MP20-5389</t>
  </si>
  <si>
    <t>BLK01,HDDS,JCPENNEY01,MACY02,OVERSTOCK01,WALMARTDS</t>
  </si>
  <si>
    <t>MP20-5390</t>
  </si>
  <si>
    <t>MP20-5391</t>
  </si>
  <si>
    <t>HDDS,KOHLDSN,MACY02,OLLIIX,OVERSTOCK01</t>
  </si>
  <si>
    <t>6/21/2018</t>
  </si>
  <si>
    <t>MP20-5392</t>
  </si>
  <si>
    <t>BLK01,CSNSTORES,KOHLDSN,MACY02,TGTDVS</t>
  </si>
  <si>
    <t>MP20-5399</t>
  </si>
  <si>
    <t>PF004092</t>
  </si>
  <si>
    <t>MP20-5401</t>
  </si>
  <si>
    <t>5/23/2018</t>
  </si>
  <si>
    <t>MP20-5402</t>
  </si>
  <si>
    <t>MP20-5403</t>
  </si>
  <si>
    <t>MP20-5404</t>
  </si>
  <si>
    <t>CSNSTORES,HDDS,KOHLDSN,MACY02,OVERSTOCK01,TGTDVS,WALMARTDS</t>
  </si>
  <si>
    <t>MP20-5411</t>
  </si>
  <si>
    <t>PF004094</t>
  </si>
  <si>
    <t>10/15/2018</t>
  </si>
  <si>
    <t>MP20-5413</t>
  </si>
  <si>
    <t>BLK01,CSNSTORES,KOHLDSN,MACY02,OLLIIX,OVERSTOCK01,WALMARTDS</t>
  </si>
  <si>
    <t>MP20-5414</t>
  </si>
  <si>
    <t>BEALLSDS,CSNSTORES,FINGERHUTDS,HDDS,JCPENNEY01,KOHLDSN,MACY02,OLLIIX,OVERSTOCK01,TGTDVS,WALMARTDS</t>
  </si>
  <si>
    <t>MP20-5415</t>
  </si>
  <si>
    <t>MP20-5416</t>
  </si>
  <si>
    <t>MP20-5382</t>
  </si>
  <si>
    <t>PF004089</t>
  </si>
  <si>
    <t>BLK01,KOHLDSN,MACY02,OVERSTOCK01,TGTDVS</t>
  </si>
  <si>
    <t>MP20-5383</t>
  </si>
  <si>
    <t>BEALLSDS,HDDS,KOHLDSN,MACY02</t>
  </si>
  <si>
    <t>MP20-5384</t>
  </si>
  <si>
    <t>BLK01,CSNSTORES,HDDS,JCPENNEY01,KOHLDSN,MACY02,OLLIIX,OVERSTOCK01</t>
  </si>
  <si>
    <t>MP20-5385</t>
  </si>
  <si>
    <t>BLK01,KOHLDSN,MACY02,TGTDVS,WALMARTDS</t>
  </si>
  <si>
    <t>MP20-5386</t>
  </si>
  <si>
    <t>HDDS,KOHLDSN,MACY02</t>
  </si>
  <si>
    <t>MP20-5393</t>
  </si>
  <si>
    <t>PF004091</t>
  </si>
  <si>
    <t>JCPENNEY01,KOHLDSN,OLLIIX,OVERSTOCK01,TGTDVS</t>
  </si>
  <si>
    <t>5/25/2018</t>
  </si>
  <si>
    <t>MP20-5395</t>
  </si>
  <si>
    <t>HDDS,KOHLDSN,MACY02,TGTDVS,WALMARTDS</t>
  </si>
  <si>
    <t>MP20-5396</t>
  </si>
  <si>
    <t>5/10/2018</t>
  </si>
  <si>
    <t>MP20-5397</t>
  </si>
  <si>
    <t>BLK01,HDDS,MACY02,TGTDVS</t>
  </si>
  <si>
    <t>MP20-5398</t>
  </si>
  <si>
    <t>CSNSTORES,HDDS,KOHLDSN,MACY02</t>
  </si>
  <si>
    <t>MP20-5377</t>
  </si>
  <si>
    <t>PF004088</t>
  </si>
  <si>
    <t>JCPENNEY01,MACY02,OLLIIX,OVERSTOCK01,TGTDVS,WALMARTDS</t>
  </si>
  <si>
    <t>MP20-5378</t>
  </si>
  <si>
    <t>HDDS,JCPENNEY01,MACY02,OLLIIX,OVERSTOCK01,TGTDVS</t>
  </si>
  <si>
    <t>MP20-5379</t>
  </si>
  <si>
    <t>MP20-5380</t>
  </si>
  <si>
    <t>CSNSTORES,HDDS,JCPENNEY01,KOHLDSN,MACY02,OLLIIX,OVERSTOCK01</t>
  </si>
  <si>
    <t>7/9/2018</t>
  </si>
  <si>
    <t>MP20-5381</t>
  </si>
  <si>
    <t>MP20-1180</t>
  </si>
  <si>
    <t>3M Microcell</t>
  </si>
  <si>
    <t>Luxurious Brushed Microfiber Deep Pocket Sheet Set</t>
  </si>
  <si>
    <t>PF001785</t>
  </si>
  <si>
    <t>MP20-2446</t>
  </si>
  <si>
    <t>HSNDS,KOHLDSN</t>
  </si>
  <si>
    <t>MP20-1181</t>
  </si>
  <si>
    <t>HSNDS,JCPENNEY01,KOHLDSN,MACY02,OVERSTOCK01,TGTDVS</t>
  </si>
  <si>
    <t>MP20-1182</t>
  </si>
  <si>
    <t>BEALLSDS,BLK01,CSNSTORES,DESINC,HDDS,HSNDS,JCPENNEY01,KOHLDSN,MACY02,OLLIIX,OVERSTOCK01,TGTDVS</t>
  </si>
  <si>
    <t>8/20/2015</t>
  </si>
  <si>
    <t>MP20-1183</t>
  </si>
  <si>
    <t>BEALLSDS,BLK01,HDDS,HSNDS,JCPENNEY01,KOHLDSN,MACY02,OLLIIX,TGTDVS,WALMARTDS</t>
  </si>
  <si>
    <t>MP20-1184</t>
  </si>
  <si>
    <t>9/28/2015</t>
  </si>
  <si>
    <t>MP20-1175</t>
  </si>
  <si>
    <t>PF001784</t>
  </si>
  <si>
    <t>HDDS,JCPENNEY01,KOHLDSN,MACY02,TGTDVS</t>
  </si>
  <si>
    <t>MP20-2445</t>
  </si>
  <si>
    <t>MP20-1176</t>
  </si>
  <si>
    <t>BLK01,HDDS,JCPENNEY01,KOHLDSN,MACY02,OLLIIX,OVERSTOCK01,TGTDVS</t>
  </si>
  <si>
    <t>MP20-1177</t>
  </si>
  <si>
    <t>BEALLSDS,BLK01,CSNSTORES,HSNDS,JCPENNEY01,KOHLDSN,MACY02,OLLIIX</t>
  </si>
  <si>
    <t>8/27/2015</t>
  </si>
  <si>
    <t>MP20-1178</t>
  </si>
  <si>
    <t>BLK01,HDDS,JCPENNEY01,KOHLDSN,MACY02,OLLIIX,TGTDVS,WALMARTDS</t>
  </si>
  <si>
    <t>MP20-1179</t>
  </si>
  <si>
    <t>11/11/2015</t>
  </si>
  <si>
    <t>MP20-1185</t>
  </si>
  <si>
    <t>PF001786</t>
  </si>
  <si>
    <t>BLK01,JCPENNEY01,KOHLDSN,MACY02,OLLIIX</t>
  </si>
  <si>
    <t>MP20-2447</t>
  </si>
  <si>
    <t>CSNSTORES,HSNDS,KOHLDSN,MACY02</t>
  </si>
  <si>
    <t>MP20-1186</t>
  </si>
  <si>
    <t>CSNSTORES,HSNDS,JCPENNEY01,KOHLDSN,MACY02,WALMARTDS</t>
  </si>
  <si>
    <t>MP20-1187</t>
  </si>
  <si>
    <t>BLK01,CSNSTORES,HDDS,HSNDS,JCPENNEY01,KOHLDSN,MACY02,OLLIIX,OVERSTOCK01,WALMARTDS,ZOLA</t>
  </si>
  <si>
    <t>7/20/2016</t>
  </si>
  <si>
    <t>MP20-1188</t>
  </si>
  <si>
    <t>BLK01,HDDS,JCPENNEY01,KOHLDSN,MACY02,OLLIIX,OVERSTOCK01,ZOLA</t>
  </si>
  <si>
    <t>8/17/2015</t>
  </si>
  <si>
    <t>MP20-1189</t>
  </si>
  <si>
    <t>HDDS,JCPENNEY01,KOHLDSN,TGTDVS,ZOLA</t>
  </si>
  <si>
    <t>MP20-4388</t>
  </si>
  <si>
    <t>PF001792</t>
  </si>
  <si>
    <t>AMAZONDS,CSNSTORES,HDDS,HSNDS,JCPENNEY01,KOHLDSN,OLLIIX,OVERSTOCK01,WALMARTDS</t>
  </si>
  <si>
    <t>7/30/2018</t>
  </si>
  <si>
    <t>MP20-4389</t>
  </si>
  <si>
    <t>AMAZON,BEALLSDS,CSNSTORES,HDDS,KOHLDSN</t>
  </si>
  <si>
    <t>MP20-4391</t>
  </si>
  <si>
    <t>AMAZON,BEALLSDS,CSNSTORES,HDDS,HSNDS,JCPENNEY01,KOHLDSN,MACY02,OLLIIX,OVERSTOCK01,WALMARTDS,ZOLA</t>
  </si>
  <si>
    <t>MP20-4392</t>
  </si>
  <si>
    <t>AMAZON,CSNSTORES,HSNDS,JCPENNEY01,KOHLDSN,MACY02,OLLIIX,OVERSTOCK01,ZOLA</t>
  </si>
  <si>
    <t>MP20-4393</t>
  </si>
  <si>
    <t>MP20-2388</t>
  </si>
  <si>
    <t>PF001791</t>
  </si>
  <si>
    <t>AMAZON,HDDS,JCPENNEY01,KOHLDSN,MACY02,OLLIIX</t>
  </si>
  <si>
    <t>MP20-2444</t>
  </si>
  <si>
    <t>AMAZON,HDDS,HSNDS,KOHLDSN,MACY02</t>
  </si>
  <si>
    <t>MP20-2390</t>
  </si>
  <si>
    <t>AMAZON,BEALLSDS,CSNSTORES,HDDS,HSNDS,JCPENNEY01,KOHLDSN,MACY02,OVERSTOCK01,WALMARTDS</t>
  </si>
  <si>
    <t>MP20-2391</t>
  </si>
  <si>
    <t>AMAZON,AMAZONDS,BEALLSDS,BLK01,HSNDS,JCPENNEY01,KOHLDSN,MACY02,ZOLA</t>
  </si>
  <si>
    <t>MP20-2392</t>
  </si>
  <si>
    <t>AMAZON,BEALLSDS,JCPENNEY01,KOHLDSN</t>
  </si>
  <si>
    <t>MP20-2383</t>
  </si>
  <si>
    <t>PF001789</t>
  </si>
  <si>
    <t>11/9/2016</t>
  </si>
  <si>
    <t>MP20-2443</t>
  </si>
  <si>
    <t>MP20-2384</t>
  </si>
  <si>
    <t>HDDS,JCPENNEY01,KOHLDSN,MACY02,OVERSTOCK01</t>
  </si>
  <si>
    <t>5/30/2019</t>
  </si>
  <si>
    <t>MP20-2385</t>
  </si>
  <si>
    <t>BLK01,CSNSTORES,HDDS,JCPENNEY01,KOHLDSN,MACY02,OLLIIX,OVERSTOCK01,ZOLA</t>
  </si>
  <si>
    <t>MP20-2386</t>
  </si>
  <si>
    <t>BLK01,CSNSTORES,HDDS,JCPENNEY01,KIRKLANDDS,KOHLDSN,MACY02,ZOLA</t>
  </si>
  <si>
    <t>7/11/2017</t>
  </si>
  <si>
    <t>MP20-2387</t>
  </si>
  <si>
    <t>AMAZON,BLK01,CSNSTORES,JCPENNEY01,KOHLDSN,MACY02,OLLIIX</t>
  </si>
  <si>
    <t>MP20-1190</t>
  </si>
  <si>
    <t>PF001787</t>
  </si>
  <si>
    <t>7/5/2016</t>
  </si>
  <si>
    <t>MP20-1191</t>
  </si>
  <si>
    <t>MP20-1192</t>
  </si>
  <si>
    <t>BLK01,HDDS,JCPENNEY01,KOHLDSN,MACY02,OVERSTOCK01,TGTDVS</t>
  </si>
  <si>
    <t>5/17/2016</t>
  </si>
  <si>
    <t>MP20-1193</t>
  </si>
  <si>
    <t>CSNSTORES,HDDS,HSNDS,JCPENNEY01,KOHLDSN,MACY02,OLLIIX,OVERSTOCK01</t>
  </si>
  <si>
    <t>1/29/2016</t>
  </si>
  <si>
    <t>MP20-1194</t>
  </si>
  <si>
    <t>JCPENNEY01,KOHLDSN,MACY02</t>
  </si>
  <si>
    <t>1/18/2016</t>
  </si>
  <si>
    <t>MP20-4840</t>
  </si>
  <si>
    <t>1500 Thread Count</t>
  </si>
  <si>
    <t>Cotton Blend 4 PC Sheet Set</t>
  </si>
  <si>
    <t>PF002377</t>
  </si>
  <si>
    <t>9/2/2017</t>
  </si>
  <si>
    <t>BEALLSDS,CSNSTORES,HDDS,JCPENNEY01,KOHLDSN,MACY02,OVERSTOCK01,TGTDVS,WALMARTDS</t>
  </si>
  <si>
    <t>9/8/2019</t>
  </si>
  <si>
    <t>MP20-4841</t>
  </si>
  <si>
    <t>4/19/2019</t>
  </si>
  <si>
    <t>MP20-4842</t>
  </si>
  <si>
    <t>MP20-6409</t>
  </si>
  <si>
    <t>PP001239;PF004724</t>
  </si>
  <si>
    <t>MP20-6410</t>
  </si>
  <si>
    <t>MP20-6411</t>
  </si>
  <si>
    <t>BLK01,CSNSTORES,HDDS,JCPENNEY01,KOHLDSN,MACY02,OVERSTOCK01</t>
  </si>
  <si>
    <t>MP20-6404</t>
  </si>
  <si>
    <t>PP001239;PF004723</t>
  </si>
  <si>
    <t>BLK01,CSNSTORES,FINGERHUTDS,HDDS,JCPENNEY01,KOHLDSN,MACY02,OVERSTOCK01,TGTDVS</t>
  </si>
  <si>
    <t>MP20-6405</t>
  </si>
  <si>
    <t>MP20-4850</t>
  </si>
  <si>
    <t>PF002376</t>
  </si>
  <si>
    <t>BEALLSDS,CSNSTORES,JCPENNEY01,KOHLDSN,MACY02,OLLIIX,OVERSTOCK01,TGTDVS</t>
  </si>
  <si>
    <t>MP20-4851</t>
  </si>
  <si>
    <t>MP20-4852</t>
  </si>
  <si>
    <t>CSNSTORES,HDDS,JCPENNEY01,KOHLDSN,OVERSTOCK01,TGTDVS</t>
  </si>
  <si>
    <t>MP20-4845</t>
  </si>
  <si>
    <t>PF002378</t>
  </si>
  <si>
    <t>MP20-4846</t>
  </si>
  <si>
    <t>MP20-4847</t>
  </si>
  <si>
    <t>MP20-4855</t>
  </si>
  <si>
    <t>PF002379</t>
  </si>
  <si>
    <t>MP20-4856</t>
  </si>
  <si>
    <t>MP20-4857</t>
  </si>
  <si>
    <t>BEALLSDS,BLK01,JCPENNEY01,KOHLDSN,MACY02,OVERSTOCK01,TGTDVS</t>
  </si>
  <si>
    <t>MP20-8251</t>
  </si>
  <si>
    <t>300 Thread Count Organic Cotton</t>
  </si>
  <si>
    <t>Deep Pocket Sheet Set</t>
  </si>
  <si>
    <t>PP001890;PF006024</t>
  </si>
  <si>
    <t>8/26/2023</t>
  </si>
  <si>
    <t>MP20-8252</t>
  </si>
  <si>
    <t>AMAZON,KOHLDSN,OLLIIX,OVERSTOCK01,TGTDVS</t>
  </si>
  <si>
    <t>MP20-8247</t>
  </si>
  <si>
    <t>PP001890;PF006022</t>
  </si>
  <si>
    <t>MP20-8248</t>
  </si>
  <si>
    <t>MP20-8253</t>
  </si>
  <si>
    <t>PP001890;PF006025</t>
  </si>
  <si>
    <t>MP20-8254</t>
  </si>
  <si>
    <t>MP20-8249</t>
  </si>
  <si>
    <t>PP001890;PF006023</t>
  </si>
  <si>
    <t>MP20-8250</t>
  </si>
  <si>
    <t>MP20-8229</t>
  </si>
  <si>
    <t>500 Thread Count Egyptian Cotton</t>
  </si>
  <si>
    <t>PP001884;PF006013</t>
  </si>
  <si>
    <t>MP20-8230</t>
  </si>
  <si>
    <t>MP20-8225</t>
  </si>
  <si>
    <t>PP001884;PF006012</t>
  </si>
  <si>
    <t>MP20-8226</t>
  </si>
  <si>
    <t>MP20-8233</t>
  </si>
  <si>
    <t>PP001884;PF006014</t>
  </si>
  <si>
    <t>MP20-8234</t>
  </si>
  <si>
    <t>MP20-8221</t>
  </si>
  <si>
    <t>PP001884;PF006011</t>
  </si>
  <si>
    <t>MP20-8222</t>
  </si>
  <si>
    <t>ZOLA</t>
  </si>
  <si>
    <t>MP20-7167</t>
  </si>
  <si>
    <t>Pima Cotton Sheet Set</t>
  </si>
  <si>
    <t>PF001747</t>
  </si>
  <si>
    <t>4/8/2020</t>
  </si>
  <si>
    <t>MP20-7166</t>
  </si>
  <si>
    <t>PF001729</t>
  </si>
  <si>
    <t>MP20-7999</t>
  </si>
  <si>
    <t>PF005753</t>
  </si>
  <si>
    <t>7/19/2022</t>
  </si>
  <si>
    <t>MP20-8000</t>
  </si>
  <si>
    <t>MP20-8001</t>
  </si>
  <si>
    <t>MP20-8002</t>
  </si>
  <si>
    <t>MP20-8003</t>
  </si>
  <si>
    <t>Rose Gold</t>
  </si>
  <si>
    <t>PF005754</t>
  </si>
  <si>
    <t>MP20-8004</t>
  </si>
  <si>
    <t>MP20-8005</t>
  </si>
  <si>
    <t>CSNSTORES,JCPENNEY01,MACY02,TGTDVS</t>
  </si>
  <si>
    <t>MP20-8006</t>
  </si>
  <si>
    <t>MP20-7995</t>
  </si>
  <si>
    <t>PF005752</t>
  </si>
  <si>
    <t>MP20-7996</t>
  </si>
  <si>
    <t>MP20-7997</t>
  </si>
  <si>
    <t>MP20-7998</t>
  </si>
  <si>
    <t>MP20-7165</t>
  </si>
  <si>
    <t>PF001742</t>
  </si>
  <si>
    <t>CSNSTORES,HDDS,JCPENNEY01,KOHLDSN,MACY02,OVERSTOCK01</t>
  </si>
  <si>
    <t>MP21-7273</t>
  </si>
  <si>
    <t>Silk</t>
  </si>
  <si>
    <t>100% Mulberry Single Pillowcase</t>
  </si>
  <si>
    <t>PP001555;PF005230</t>
  </si>
  <si>
    <t>10/13/2020</t>
  </si>
  <si>
    <t>MP21-7481</t>
  </si>
  <si>
    <t>6/21/2021</t>
  </si>
  <si>
    <t>BLK01,CSNSTORES,JCPENNEY01,MACY02,OVERSTOCK01,TGTDVS</t>
  </si>
  <si>
    <t>MP21-7477</t>
  </si>
  <si>
    <t>MPT21-0127</t>
  </si>
  <si>
    <t>PP001555;PF005905</t>
  </si>
  <si>
    <t>10/20/2022</t>
  </si>
  <si>
    <t>MPT21-0128</t>
  </si>
  <si>
    <t>MPT21-0126</t>
  </si>
  <si>
    <t>9/30/2022</t>
  </si>
  <si>
    <t>MP21-7271</t>
  </si>
  <si>
    <t>PP001555;PF005228</t>
  </si>
  <si>
    <t>5/16/2021</t>
  </si>
  <si>
    <t>9/2/2021</t>
  </si>
  <si>
    <t>MP21-7479</t>
  </si>
  <si>
    <t>MP21-7475</t>
  </si>
  <si>
    <t>BLK01,CSNSTORES,JCPENNEY01,KOHLDSN,MACY02,OLLIIX,OVERSCONSIGN,OVERSTOCK01,TGTDVS</t>
  </si>
  <si>
    <t>MP21-7272</t>
  </si>
  <si>
    <t>PP001555;PF005229</t>
  </si>
  <si>
    <t>MP21-7480</t>
  </si>
  <si>
    <t>MP21-7476</t>
  </si>
  <si>
    <t>MP21-7270</t>
  </si>
  <si>
    <t>PP001555;PF005227</t>
  </si>
  <si>
    <t>BLK01,CSNSTORES,JCPENNEY01,KOHLDSN,MACY02,OVERSCONSIGN,OVERSTOCK01,TGTDVS</t>
  </si>
  <si>
    <t>7/3/2021</t>
  </si>
  <si>
    <t>9/24/2021</t>
  </si>
  <si>
    <t>MP21-7478</t>
  </si>
  <si>
    <t>MP21-7474</t>
  </si>
  <si>
    <t>SHET20-173</t>
  </si>
  <si>
    <t>Satin</t>
  </si>
  <si>
    <t>Luxury 6 PC Sheet Set</t>
  </si>
  <si>
    <t>PF001730</t>
  </si>
  <si>
    <t>4/9/2024</t>
  </si>
  <si>
    <t>AMAZON,BLK01,CSNSTORES,DESINC,FINGERHUTDS,JCPENNEY01,KOHLDSN,MACY02,NRTPORT,OLLIIX,OVERSTOCK01,TGTDVS,WALMARTDS</t>
  </si>
  <si>
    <t>1/2/2019</t>
  </si>
  <si>
    <t>SHET20-174</t>
  </si>
  <si>
    <t>MPE20-769</t>
  </si>
  <si>
    <t>PP001032;PF004512</t>
  </si>
  <si>
    <t>11/25/2018</t>
  </si>
  <si>
    <t>2/20/2019</t>
  </si>
  <si>
    <t>MPE20-771</t>
  </si>
  <si>
    <t>AMAZON,BLK01,CSNSTORES,FINGERHUTDS,HDDS,KOHLDSN,MACY02,NRTPORT,OLLIIX,OVERSTOCK01,TGTDVS,WALMARTDS</t>
  </si>
  <si>
    <t>3/12/2019</t>
  </si>
  <si>
    <t>MPE20-775</t>
  </si>
  <si>
    <t>PP001032;PF004513</t>
  </si>
  <si>
    <t>AMAZON,CSNSTORES,HDDS,MACY02,NRTPORT,OVERSTOCK01,TGTDVS,WALMARTDS</t>
  </si>
  <si>
    <t>4/2/2019</t>
  </si>
  <si>
    <t>MPE20-899</t>
  </si>
  <si>
    <t>PP001032;PF005158</t>
  </si>
  <si>
    <t>4/12/2024</t>
  </si>
  <si>
    <t>AMAZON,BLK01,CSNSTORES,JCPENNEY01,KIRKLANDDS,KOHLDSN,MACY02,NRTPORT,OVERSTOCK01,TGTDVS,WALMARTDS</t>
  </si>
  <si>
    <t>7/4/2021</t>
  </si>
  <si>
    <t>MPE20-901</t>
  </si>
  <si>
    <t>AMAZON,BLK01,CSNSTORES,HDDS,JCPENNEY01,KIRKLANDDS,KOHLDSN,MACY02,NRTPORT,OLLIIX,OVERSTOCK01,TGTDVS,WALMARTDS</t>
  </si>
  <si>
    <t>9/13/2021</t>
  </si>
  <si>
    <t>MPE20-902</t>
  </si>
  <si>
    <t>AMAZON,CSNSTORES,MACY02,NRTPORT,OVERSTOCK01,TGTDVS</t>
  </si>
  <si>
    <t>MPE20-904</t>
  </si>
  <si>
    <t>PP001032;PF005159</t>
  </si>
  <si>
    <t>AMAZON,BLK01,CSNSTORES,DESINC,FINGERHUTDS,HDDS,JCPENNEY01,KOHLDSN,MACY02,NRTPORT,OLLIIX,OVERSTOCK01,TGTDVS,WALMARTDS</t>
  </si>
  <si>
    <t>MPE20-905</t>
  </si>
  <si>
    <t>AMAZON,BLK01,CSNSTORES,FINGERHUTDS,HDDS,JCPENNEY01,KIRKLANDDS,KOHLDSN,MACY02,NRTPORT,OLLIIX,OVERSTOCK01,TGTDVS,WALMARTDS</t>
  </si>
  <si>
    <t>6/22/2021</t>
  </si>
  <si>
    <t>MPE20-906</t>
  </si>
  <si>
    <t>AMAZON,BLK01,CSNSTORES,DESINC,MACY02,NRTPORT,OLLIIX,OVERSTOCK01,TGTDVS</t>
  </si>
  <si>
    <t>11/27/2022</t>
  </si>
  <si>
    <t>MPE20-907</t>
  </si>
  <si>
    <t>PP001032;PF005160</t>
  </si>
  <si>
    <t>9/28/2021</t>
  </si>
  <si>
    <t>MPE20-909</t>
  </si>
  <si>
    <t>AMAZON,BLK01,CSNSTORES,JCPENNEY01,KIRKLANDDS,KOHLDSN,MACY02,NRTPORT,OLLIIX,OVERSTOCK01,TGTDVS</t>
  </si>
  <si>
    <t>5/9/2021</t>
  </si>
  <si>
    <t>MPE20-1012</t>
  </si>
  <si>
    <t>200 Thread Count Printed Cotton</t>
  </si>
  <si>
    <t>Sheet Set</t>
  </si>
  <si>
    <t>Blue Stripe</t>
  </si>
  <si>
    <t>PP001858;PF005942</t>
  </si>
  <si>
    <t>3/22/2023</t>
  </si>
  <si>
    <t>MPE20-1013</t>
  </si>
  <si>
    <t>AMAZON,BLK01,CSNSTORES,DESINC,HDDS,JCPENNEY01,KOHLDSN,MACY02,OLLIIX,OVERSTOCK01,TGTDVS</t>
  </si>
  <si>
    <t>MPE20-1014</t>
  </si>
  <si>
    <t>AMAZON,CSNSTORES,KOHLDSN,MACY02,NRTPORT,OLLIIX</t>
  </si>
  <si>
    <t>MPE20-1006</t>
  </si>
  <si>
    <t>Green Leaves</t>
  </si>
  <si>
    <t>PP001858;PF005940</t>
  </si>
  <si>
    <t>MPE20-1007</t>
  </si>
  <si>
    <t>MPE20-1008</t>
  </si>
  <si>
    <t>AMAZON,AMAZONDS,CSNSTORES,FINGERHUTDS,JCPENNEY01,KOHLDSN,MACY02,OLLIIX,OVERSTOCK01,TGTDVS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</si>
  <si>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</si>
  <si>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</si>
  <si>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</si>
  <si>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</si>
  <si>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</si>
  <si>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</si>
  <si>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</si>
  <si>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</si>
  <si>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DESINC,MACY02,TGTDVS</t>
  </si>
  <si>
    <t>MPE20-1010</t>
  </si>
  <si>
    <t>CSNSTORES,DESINC,FINGERHUTDS,JCPENNEY01,KOHLDSN,MACY02,TGTDVS</t>
  </si>
  <si>
    <t>MPE20-1011</t>
  </si>
  <si>
    <t>AMAZON,BLK01,CSNSTORES,KOHLDSN,MACY02</t>
  </si>
  <si>
    <t>MPE20-1025</t>
  </si>
  <si>
    <t>Printed Satin</t>
  </si>
  <si>
    <t>Blue Marble</t>
  </si>
  <si>
    <t>PP001851;PF006096</t>
  </si>
  <si>
    <t>11/17/2023</t>
  </si>
  <si>
    <t>KOHLDSN,TGTDVS</t>
  </si>
  <si>
    <t>MPE20-1026</t>
  </si>
  <si>
    <t>JCPENNEY01,KOHLDSN,TGTDVS</t>
  </si>
  <si>
    <t>MPE20-1027</t>
  </si>
  <si>
    <t>JCPENNEY01,KOHLDSN,NRTPORT,OLLIIX,OVERSTOCK01,TGTDVS</t>
  </si>
  <si>
    <t>MPE20-1028</t>
  </si>
  <si>
    <t>MPE20-999</t>
  </si>
  <si>
    <t>Gray Leopard</t>
  </si>
  <si>
    <t>PP001851;PF005928</t>
  </si>
  <si>
    <t>3/1/2023</t>
  </si>
  <si>
    <t>AMAZON,CSNSTORES,JCPENNEY01,KOHLDSN,MACY02,TGTDVS</t>
  </si>
  <si>
    <t>MPE20-1000</t>
  </si>
  <si>
    <t>JCPENNEY01,KOHLDSN,NRTPORT,TGTDVS</t>
  </si>
  <si>
    <t>MPE20-1001</t>
  </si>
  <si>
    <t>BLK01,JCPENNEY01,KIRKLANDDS,KOHLDSN,MACY02,NRTPORT,OVERSTOCK01,TGTDVS</t>
  </si>
  <si>
    <t>MPE20-1002</t>
  </si>
  <si>
    <t>AMAZON,CSNSTORES,HDDS,JCPENNEY01,KIRKLANDDS,KOHLDSN,MACY02,NRTPORT,OVERSTOCK01,TGTDVS</t>
  </si>
  <si>
    <t>MPE20-992</t>
  </si>
  <si>
    <t>Taupe Leopard</t>
  </si>
  <si>
    <t>PP001851;PF005927</t>
  </si>
  <si>
    <t>MPE20-993</t>
  </si>
  <si>
    <t>MPE20-994</t>
  </si>
  <si>
    <t>AMAZON,BLK01,CSNSTORES,HDDS,JCPENNEY01,KOHLDSN,MACY02,NRTPORT,OLLIIX,OVERSTOCK01,TGTDVS</t>
  </si>
  <si>
    <t>MPE20-995</t>
  </si>
  <si>
    <t>AMAZON,AMAZONDS,HDDS,JCPENNEY01,KIRKLANDDS,KOHLDSN,MACY02,NRTPORT,OVERSTOCK01,TGTDVS</t>
  </si>
  <si>
    <t>MPE21-777</t>
  </si>
  <si>
    <t>Luxury 2 PC Pillowcases</t>
  </si>
  <si>
    <t>PF001730;PP001032</t>
  </si>
  <si>
    <t>12/11/2018</t>
  </si>
  <si>
    <t>10/28/2019</t>
  </si>
  <si>
    <t>MPE21-776</t>
  </si>
  <si>
    <t>CSNSTORES,FINGERHUTDS,JCPENNEY01,KOHLDSN,MACY02,NRTPORT,OLLIIX,OVERSTOCK01,TGTDVS</t>
  </si>
  <si>
    <t>10/30/2019</t>
  </si>
  <si>
    <t>MPE21-991</t>
  </si>
  <si>
    <t>PP001032;PF005902</t>
  </si>
  <si>
    <t>11/29/2022</t>
  </si>
  <si>
    <t>MPE21-990</t>
  </si>
  <si>
    <t>MPE21-1005</t>
  </si>
  <si>
    <t>MPE21-1004</t>
  </si>
  <si>
    <t>MPE21-918</t>
  </si>
  <si>
    <t>6/1/2021</t>
  </si>
  <si>
    <t>MPE21-917</t>
  </si>
  <si>
    <t>CSNSTORES,FINGERHUTDS,JCPENNEY01,KIRKLANDDS,KOHLDSN,MACY02,OLLIIX,OVERSTOCK01,TGTDVS</t>
  </si>
  <si>
    <t>MPE21-920</t>
  </si>
  <si>
    <t>MPE21-919</t>
  </si>
  <si>
    <t>AMAZON,CSNSTORES,FINGERHUTDS,JCPENNEY01,KIRKLANDDS,KOHLDSN,MACY02,OLLIIX,OVERSTOCK01,TGTDVS</t>
  </si>
  <si>
    <t>MPE21-998</t>
  </si>
  <si>
    <t>AMAZON,CSNSTORES,JCPENNEY01,KIRKLANDDS,KOHLDSN,MACY02,NRTPORT,OLLIIX,OVERSTOCK01,TGTDVS</t>
  </si>
  <si>
    <t>MPE21-997</t>
  </si>
  <si>
    <t>MPE21-916</t>
  </si>
  <si>
    <t>MPE21-915</t>
  </si>
  <si>
    <t>CSNSTORES,FINGERHUTDS,JCPENNEY01,KOHLDSN,MACY02,OLLIIX,OVERSTOCK01,TGTDVS</t>
  </si>
  <si>
    <t>ID20-137</t>
  </si>
  <si>
    <t>All Season Soft Touch Sheet Set</t>
  </si>
  <si>
    <t>PF001769</t>
  </si>
  <si>
    <t>HSNDS,MACY02,TGTDVS,WALMARTDS</t>
  </si>
  <si>
    <t>2/4/2015</t>
  </si>
  <si>
    <t>ID20-1458</t>
  </si>
  <si>
    <t>Sheet Set with Side Storage Pockets</t>
  </si>
  <si>
    <t>HDDS,JCPENNEY01,KOHLDSN,MACY02,OVERSTOCK01,TGTDVS,WALMARTDS</t>
  </si>
  <si>
    <t>ID20-1459</t>
  </si>
  <si>
    <t>BLK01,JCPENNEY01,KOHLDSN,MACY02,TGTDVS</t>
  </si>
  <si>
    <t>ID20-138</t>
  </si>
  <si>
    <t>FINGERHUTDS,HSNDS,TGTDVS,WALMARTDS</t>
  </si>
  <si>
    <t>2/9/2015</t>
  </si>
  <si>
    <t>ID20-1460</t>
  </si>
  <si>
    <t>ID20-139</t>
  </si>
  <si>
    <t>DESINC,JCPENNEY01,MACY02,TGTDVS,WALMARTDS</t>
  </si>
  <si>
    <t>2/10/2015</t>
  </si>
  <si>
    <t>ID20-140</t>
  </si>
  <si>
    <t>BLK01,FINGERHUTDS,HSNDS,MACY02,OLLIIX,TGTDVS</t>
  </si>
  <si>
    <t>ID20-1461</t>
  </si>
  <si>
    <t>BLK01,HDDS,JCPENNEY01,KOHLDSN,MACY02,NRTPORT,OLLIIX,OVERSTOCK01,TGTDVS</t>
  </si>
  <si>
    <t>ID20-141</t>
  </si>
  <si>
    <t>FINGERHUTDS,HSNDS,MACY02,TGTDVS</t>
  </si>
  <si>
    <t>ID20-1914</t>
  </si>
  <si>
    <t>PF001772</t>
  </si>
  <si>
    <t>5/13/2020</t>
  </si>
  <si>
    <t>JCPENNEY01,MACY02,TGTDVS,WALMARTDS</t>
  </si>
  <si>
    <t>ID20-1074</t>
  </si>
  <si>
    <t>AMAZONDS,BLK01,MACY02,TGTDVS,WALMARTDS</t>
  </si>
  <si>
    <t>2/22/2017</t>
  </si>
  <si>
    <t>ID20-1915</t>
  </si>
  <si>
    <t>BLK01,JCPENNEY01,KOHLDSN,MACY02,TGTDVS,WALMARTDS</t>
  </si>
  <si>
    <t>ID20-1075</t>
  </si>
  <si>
    <t>AMAZONDS,BLK01,FINGERHUTDS,HSNDS,MACY02,TGTDVS,WALMARTDS</t>
  </si>
  <si>
    <t>3/14/2017</t>
  </si>
  <si>
    <t>ID20-1916</t>
  </si>
  <si>
    <t>HDDS,JCPENNEY01,MACY02,TGTDVS</t>
  </si>
  <si>
    <t>ID20-1076</t>
  </si>
  <si>
    <t>AMAZON,HSNDS,KOHLDSN,MACY02,TGTDVS</t>
  </si>
  <si>
    <t>3/27/2017</t>
  </si>
  <si>
    <t>ID20-1077</t>
  </si>
  <si>
    <t>AMAZONDS,BLK01,FINGERHUTDS,HSNDS,JCPENNEY01,KOHLDSN,MACY02,OLLIIX,TGTDVS,WALMARTDS</t>
  </si>
  <si>
    <t>2/28/2017</t>
  </si>
  <si>
    <t>ID20-1917</t>
  </si>
  <si>
    <t>ID20-1078</t>
  </si>
  <si>
    <t>AMAZON,AMAZONDS,FINGERHUTDS,HSNDS,KOHLDSN,MACY02,OLLIIX,OVERSTOCK01,TGTDVS</t>
  </si>
  <si>
    <t>ID20-1080</t>
  </si>
  <si>
    <t>PF001773</t>
  </si>
  <si>
    <t>AMAZONDS,BLK01,HSNDS,KOHLDSN,MACY02,OVERSTOCK01,TGTDVS,WALMARTDS</t>
  </si>
  <si>
    <t>2/27/2017</t>
  </si>
  <si>
    <t>ID20-1081</t>
  </si>
  <si>
    <t>AMAZONDS,BLK01,FINGERHUTDS,JCPENNEY01,KOHLDSN,TGTDVS</t>
  </si>
  <si>
    <t>ID20-1082</t>
  </si>
  <si>
    <t>AMAZON,DESINC,HSNDS,JCPENNEY01,MACY02,TGTDVS,WALMARTDS</t>
  </si>
  <si>
    <t>2/24/2017</t>
  </si>
  <si>
    <t>ID20-1083</t>
  </si>
  <si>
    <t>AMAZON,BLK01,CSNSTORES,FINGERHUTDS,HSNDS,MACY02,TGTDVS,WALMARTDS</t>
  </si>
  <si>
    <t>ID20-1084</t>
  </si>
  <si>
    <t>AMAZON,BLK01,FINGERHUTDS,HSNDS,MACY02,OLLIIX,TGTDVS</t>
  </si>
  <si>
    <t>ID20-1454</t>
  </si>
  <si>
    <t>PF001767</t>
  </si>
  <si>
    <t>HDDS,JCPENNEY01,MACY02,TGTDVS,WALMARTDS</t>
  </si>
  <si>
    <t>ID20-132</t>
  </si>
  <si>
    <t>AMAZONDS,MACY02,OLLIIX,TGTDVS</t>
  </si>
  <si>
    <t>ID20-133</t>
  </si>
  <si>
    <t>FINGERHUTDS,HSNDS,TGTDVS</t>
  </si>
  <si>
    <t>2/18/2015</t>
  </si>
  <si>
    <t>ID20-1455</t>
  </si>
  <si>
    <t>AMAZON,BLK01,HDDS,JCPENNEY01,KOHLDSN,MACY02,TGTDVS</t>
  </si>
  <si>
    <t>ID20-1456</t>
  </si>
  <si>
    <t>AMAZON,BLK01,JCPENNEY01,KOHLDSN,MACY02,TGTDVS,WALMARTDS</t>
  </si>
  <si>
    <t>ID20-134</t>
  </si>
  <si>
    <t>AMAZONDS,CSNSTORES,HSNDS,MACY02</t>
  </si>
  <si>
    <t>ID20-1457</t>
  </si>
  <si>
    <t>AMAZON,BLK01,JCPENNEY01,MACY02,OVERSTOCK01,TGTDVS</t>
  </si>
  <si>
    <t>10/6/2019</t>
  </si>
  <si>
    <t>ID20-135</t>
  </si>
  <si>
    <t>AMAZONDS,FINGERHUTDS,HSNDS,JCPENNEY01,KOHLDSN,MACY02,TGTDVS</t>
  </si>
  <si>
    <t>2/6/2015</t>
  </si>
  <si>
    <t>ID20-136</t>
  </si>
  <si>
    <t>AMAZON,FINGERHUTDS,HSNDS,KOHLDSN,MACY02,OVERSTOCK01,TGTDVS,WALMARTDS</t>
  </si>
  <si>
    <t>2/11/2015</t>
  </si>
  <si>
    <t>ID20-2208</t>
  </si>
  <si>
    <t>PP001853;PF005933</t>
  </si>
  <si>
    <t>6/23/2023</t>
  </si>
  <si>
    <t>AMAZON,KOHLDSN,OLLIIX,TGTDVS</t>
  </si>
  <si>
    <t>ID20-2209</t>
  </si>
  <si>
    <t>AMAZON,AMAZONDS,KOHLDSN,TGTDVS</t>
  </si>
  <si>
    <t>ID20-2210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</si>
  <si>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</si>
  <si>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</si>
  <si>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</si>
  <si>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</si>
  <si>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</si>
  <si>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</si>
  <si>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</si>
  <si>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AMAZON,AMAZONDS,JCPENNEY01,OLLIIX,OVERSTOCK01,TGTDVS</t>
  </si>
  <si>
    <t>ID20-2207</t>
  </si>
  <si>
    <t>ID20-2213</t>
  </si>
  <si>
    <t>PP001853;PF005934</t>
  </si>
  <si>
    <t>AMAZON,AMAZONDS,TGTDVS</t>
  </si>
  <si>
    <t>ID20-2214</t>
  </si>
  <si>
    <t>AMAZON,JCPENNEY01,KOHLDSN</t>
  </si>
  <si>
    <t>ID20-2215</t>
  </si>
  <si>
    <t>ID20-2216</t>
  </si>
  <si>
    <t>AMAZON,AMAZONDS,JCPENNEY01,KOHLDSN,TGTDVS</t>
  </si>
  <si>
    <t>ID20-2217</t>
  </si>
  <si>
    <t>ID20-1910</t>
  </si>
  <si>
    <t>PF001770</t>
  </si>
  <si>
    <t>ID20-142</t>
  </si>
  <si>
    <t>AMAZON,HSNDS,MACY02,OLLIIX,TGTDVS</t>
  </si>
  <si>
    <t>ID20-1911</t>
  </si>
  <si>
    <t>AMAZONDS,JCPENNEY01,KOHLDSN,MACY02,OLLIIX,OVERSTOCK01,TGTDVS</t>
  </si>
  <si>
    <t>ID20-143</t>
  </si>
  <si>
    <t>AMAZONDS,HSNDS,JCPENNEY01,KOHLDSN,MACY02,TGTDVS</t>
  </si>
  <si>
    <t>3/12/2015</t>
  </si>
  <si>
    <t>ID20-1912</t>
  </si>
  <si>
    <t>ID20-144</t>
  </si>
  <si>
    <t>AMAZON,CSNSTORES,HSNDS,OLLIIX,OVERSTOCK01,TGTDVS</t>
  </si>
  <si>
    <t>6/3/2015</t>
  </si>
  <si>
    <t>ID20-145</t>
  </si>
  <si>
    <t>AMAZONDS,BLK01,FINGERHUTDS,HSNDS,KOHLDSN,MACY02,OLLIIX,TGTDVS</t>
  </si>
  <si>
    <t>2/23/2015</t>
  </si>
  <si>
    <t>ID20-1913</t>
  </si>
  <si>
    <t>BLK01,JCPENNEY01,MACY02,TGTDVS</t>
  </si>
  <si>
    <t>ID20-146</t>
  </si>
  <si>
    <t>ID20-687</t>
  </si>
  <si>
    <t>Cotton Blend Jersey Knit</t>
  </si>
  <si>
    <t>All Season Sheet Set</t>
  </si>
  <si>
    <t>PF002198</t>
  </si>
  <si>
    <t>Jersey</t>
  </si>
  <si>
    <t>AMAZON,CSNSTORES,JCPENNEY01,OVERSTOCK01,TGTDVS,WALMARTDS</t>
  </si>
  <si>
    <t>ID20-688</t>
  </si>
  <si>
    <t>ID20-690</t>
  </si>
  <si>
    <t>6/6/2017</t>
  </si>
  <si>
    <t>ID20-1250</t>
  </si>
  <si>
    <t>AMAZON,CSNSTORES,KOHLDSN,OLLIIX,TGTDVS</t>
  </si>
  <si>
    <t>ID20-1238</t>
  </si>
  <si>
    <t>PF002204</t>
  </si>
  <si>
    <t>9/9/2017</t>
  </si>
  <si>
    <t>ID20-1239</t>
  </si>
  <si>
    <t>AMAZON,BEALLSDS,BLK01,CSNSTORES,FINGERHUTDS,KOHLDSN,MACY02,OVERSTOCK01,TGTDVS</t>
  </si>
  <si>
    <t>11/15/2017</t>
  </si>
  <si>
    <t>ID20-691</t>
  </si>
  <si>
    <t>PF002199</t>
  </si>
  <si>
    <t>AMAZON,CSNSTORES,KOHLDSN,OVERSTOCK01,TGTDVS,WALMARTDS</t>
  </si>
  <si>
    <t>ID20-692</t>
  </si>
  <si>
    <t>AMAZON,AMAZONDS,CSNSTORES,FINGERHUTDS,JCPENNEY01,KOHLDSN,OVERSTOCK01,TGTDVS</t>
  </si>
  <si>
    <t>ID20-693</t>
  </si>
  <si>
    <t>ID20-694</t>
  </si>
  <si>
    <t>AMAZONDS,BLK01,CSNSTORES,FINGERHUTDS,JCPENNEY01,KOHLDSN,MACY02,OLLIIX,OVERSTOCK01,TGTDVS</t>
  </si>
  <si>
    <t>ID20-1249</t>
  </si>
  <si>
    <t>AMAZON,AMAZONDS,BLK01,CSNSTORES,FINGERHUTDS,MACY02,OVERSTOCK01,TGTDVS</t>
  </si>
  <si>
    <t>11/8/2017</t>
  </si>
  <si>
    <t>ID20-695</t>
  </si>
  <si>
    <t>PF002200</t>
  </si>
  <si>
    <t>AMAZON,BEALLSDS,CSNSTORES,MACY02,TGTDVS</t>
  </si>
  <si>
    <t>ID20-696</t>
  </si>
  <si>
    <t>ID20-698</t>
  </si>
  <si>
    <t>ID20-704</t>
  </si>
  <si>
    <t>PF002202</t>
  </si>
  <si>
    <t>12/1/2017</t>
  </si>
  <si>
    <t>ID20-1469</t>
  </si>
  <si>
    <t>Metallic Dot</t>
  </si>
  <si>
    <t>Printed Sheet Set</t>
  </si>
  <si>
    <t>PP000922</t>
  </si>
  <si>
    <t>AMAZON,OLLIIX,OVERSTOCK01,TGTDVS,WALMARTDS</t>
  </si>
  <si>
    <t>11/6/2019</t>
  </si>
  <si>
    <t>ID20-1471</t>
  </si>
  <si>
    <t>AMAZON,CSNSTORES,KOHLDSN,MACY02,TGTDVS,WALMARTDS</t>
  </si>
  <si>
    <t>ID20-1740</t>
  </si>
  <si>
    <t>PP000922;PF004702</t>
  </si>
  <si>
    <t>6/6/2019</t>
  </si>
  <si>
    <t>AMAZONDS,JCPENNEY01,TGTDVS</t>
  </si>
  <si>
    <t>6/23/2020</t>
  </si>
  <si>
    <t>ID20-1741</t>
  </si>
  <si>
    <t>AMAZONDS,BLK01,KOHLDSN,OVERSTOCK01,TGTDVS</t>
  </si>
  <si>
    <t>ID20-1742</t>
  </si>
  <si>
    <t>AMAZONDS,KOHLDSN,MACY02,OVERSTOCK01,TGTDVS</t>
  </si>
  <si>
    <t>ID20-1743</t>
  </si>
  <si>
    <t>AMAZONDS,BLK01,CSNSTORES,JCPENNEY01,KOHLDSN,MACY02,NRTPORT,OVERSTOCK01,TGTDVS,WALMARTDS</t>
  </si>
  <si>
    <t>ID20-1736</t>
  </si>
  <si>
    <t>PP000922;PF004701</t>
  </si>
  <si>
    <t>ID20-1737</t>
  </si>
  <si>
    <t>AMAZONDS,JCPENNEY01,MACY02</t>
  </si>
  <si>
    <t>ID20-1474</t>
  </si>
  <si>
    <t>Blush/Gold</t>
  </si>
  <si>
    <t>ID20-1427</t>
  </si>
  <si>
    <t>Print Sheet Set</t>
  </si>
  <si>
    <t>TXL</t>
  </si>
  <si>
    <t>Grey/Blue Road Trip</t>
  </si>
  <si>
    <t>PP000909;PF004366</t>
  </si>
  <si>
    <t>1/20/2020</t>
  </si>
  <si>
    <t>ID20-1429</t>
  </si>
  <si>
    <t>AMAZON,KOHLDSN,MACY02,WALMARTDS</t>
  </si>
  <si>
    <t>1/15/2019</t>
  </si>
  <si>
    <t>ID20-1439</t>
  </si>
  <si>
    <t>Aqua Dogs</t>
  </si>
  <si>
    <t>PP000909;PF004369</t>
  </si>
  <si>
    <t>ID20-1441</t>
  </si>
  <si>
    <t>1/28/2019</t>
  </si>
  <si>
    <t>ID20-1434</t>
  </si>
  <si>
    <t>Grey Llamas</t>
  </si>
  <si>
    <t>PP000909;PF004368</t>
  </si>
  <si>
    <t>ID20-1430</t>
  </si>
  <si>
    <t>Pink Cats</t>
  </si>
  <si>
    <t>PP000909;PF004367</t>
  </si>
  <si>
    <t>ID20-1431</t>
  </si>
  <si>
    <t>ID20-1432</t>
  </si>
  <si>
    <t>ID20-1433</t>
  </si>
  <si>
    <t>AMAZON,BLK01,KOHLDSN,MACY02</t>
  </si>
  <si>
    <t>ID20-1757</t>
  </si>
  <si>
    <t>Cozy Soft</t>
  </si>
  <si>
    <t>Cotton Flannel Printed Sheet Set</t>
  </si>
  <si>
    <t>Blue Penguins</t>
  </si>
  <si>
    <t>PP000944;PF004719</t>
  </si>
  <si>
    <t>7/25/2019</t>
  </si>
  <si>
    <t>ID20-1758</t>
  </si>
  <si>
    <t>ID20-1759</t>
  </si>
  <si>
    <t>11/29/2019</t>
  </si>
  <si>
    <t>ID20-1760</t>
  </si>
  <si>
    <t>ID20-1536</t>
  </si>
  <si>
    <t>Blue Stars</t>
  </si>
  <si>
    <t>PP000944;PF004352</t>
  </si>
  <si>
    <t>ID20-1537</t>
  </si>
  <si>
    <t>ID20-1538</t>
  </si>
  <si>
    <t>ID20-1539</t>
  </si>
  <si>
    <t>ID20-2044</t>
  </si>
  <si>
    <t>Grey Sloths</t>
  </si>
  <si>
    <t>PP000944;PF005497</t>
  </si>
  <si>
    <t>ID20-2045</t>
  </si>
  <si>
    <t>ID20-2046</t>
  </si>
  <si>
    <t>FINGERHUTDS</t>
  </si>
  <si>
    <t>ID20-2047</t>
  </si>
  <si>
    <t>ID20-1540</t>
  </si>
  <si>
    <t>Grey Stars</t>
  </si>
  <si>
    <t>PP000944;PF004353</t>
  </si>
  <si>
    <t>ID20-1541</t>
  </si>
  <si>
    <t>ID20-1542</t>
  </si>
  <si>
    <t>ID20-1543</t>
  </si>
  <si>
    <t>10/26/2019</t>
  </si>
  <si>
    <t>ID20-1552</t>
  </si>
  <si>
    <t>Grey/Pink Cats</t>
  </si>
  <si>
    <t>PP000944;PF004356</t>
  </si>
  <si>
    <t>11/1/2019</t>
  </si>
  <si>
    <t>ID20-1553</t>
  </si>
  <si>
    <t>ID20-1554</t>
  </si>
  <si>
    <t>ID20-1555</t>
  </si>
  <si>
    <t>ID20-1556</t>
  </si>
  <si>
    <t>Grey/Pink Dots</t>
  </si>
  <si>
    <t>PP000944;PF004357</t>
  </si>
  <si>
    <t>ID20-1557</t>
  </si>
  <si>
    <t>ID20-1558</t>
  </si>
  <si>
    <t>ID20-1532</t>
  </si>
  <si>
    <t>Pink Llamas</t>
  </si>
  <si>
    <t>PP000944;PF004351</t>
  </si>
  <si>
    <t>Dropped</t>
  </si>
  <si>
    <t>ID20-1534</t>
  </si>
  <si>
    <t>ID20-1535</t>
  </si>
  <si>
    <t>ID20-1749</t>
  </si>
  <si>
    <t>Pink/Grey Hedgehogs</t>
  </si>
  <si>
    <t>PP000944;PF004717</t>
  </si>
  <si>
    <t>ID20-1750</t>
  </si>
  <si>
    <t>ID20-1751</t>
  </si>
  <si>
    <t>ID20-1752</t>
  </si>
  <si>
    <t>ID20-1548</t>
  </si>
  <si>
    <t>Seafoam Foxes</t>
  </si>
  <si>
    <t>PP000944;PF004355</t>
  </si>
  <si>
    <t>ID20-1549</t>
  </si>
  <si>
    <t>ID20-1550</t>
  </si>
  <si>
    <t>ID20-1551</t>
  </si>
  <si>
    <t>ID20-1753</t>
  </si>
  <si>
    <t>Teal Dogs</t>
  </si>
  <si>
    <t>PP000944;PF004718</t>
  </si>
  <si>
    <t>ID20-1754</t>
  </si>
  <si>
    <t>ID20-1755</t>
  </si>
  <si>
    <t>ID20-1756</t>
  </si>
  <si>
    <t>ID20-2218</t>
  </si>
  <si>
    <t>Printed Microfiber</t>
  </si>
  <si>
    <t>Black Floral</t>
  </si>
  <si>
    <t>PP001852;PF005930</t>
  </si>
  <si>
    <t>3/2/2023</t>
  </si>
  <si>
    <t>ID20-2219</t>
  </si>
  <si>
    <t>ID20-2220</t>
  </si>
  <si>
    <t>AMAZON,AMAZONDS,BLK01,JCPENNEY01,KOHLDSN,OVERSTOCK01,TGTDVS</t>
  </si>
  <si>
    <t>ID20-2221</t>
  </si>
  <si>
    <t>AMAZON,BLK01,JCPENNEY01,KOHLDSN,OLLIIX,TGTDVS</t>
  </si>
  <si>
    <t>ID20-2222</t>
  </si>
  <si>
    <t>Blue Chevron</t>
  </si>
  <si>
    <t>PP001852;PF005931</t>
  </si>
  <si>
    <t>ID20-2223</t>
  </si>
  <si>
    <t>ID20-2224</t>
  </si>
  <si>
    <t>ID20-2225</t>
  </si>
  <si>
    <t>TN20-0245</t>
  </si>
  <si>
    <t>Cozy Cotton Flannel</t>
  </si>
  <si>
    <t>Blue Geo</t>
  </si>
  <si>
    <t>PF002292</t>
  </si>
  <si>
    <t>AMAZONDS,CSNSTORES,JCPENNEY01,KOHLDSN,MACY02,TGTDVS,WALMARTDS</t>
  </si>
  <si>
    <t>10/22/2018</t>
  </si>
  <si>
    <t>TN20-0246</t>
  </si>
  <si>
    <t>AMAZON,AMAZONDS,KOHLDSN,TGTDVS,WALMARTDS</t>
  </si>
  <si>
    <t>TN20-0247</t>
  </si>
  <si>
    <t>TN20-0248</t>
  </si>
  <si>
    <t>AMAZONDS,TGTDVS,WALMARTDS</t>
  </si>
  <si>
    <t>11/2/2018</t>
  </si>
  <si>
    <t>TN20-0249</t>
  </si>
  <si>
    <t>TN20-0081</t>
  </si>
  <si>
    <t>Blue Plaid</t>
  </si>
  <si>
    <t>PF002280</t>
  </si>
  <si>
    <t>TN20-0212</t>
  </si>
  <si>
    <t>AMAZONDS,JCPENNEY01,KOHLDSN,MACY02,TGTDVS,WALMARTDS</t>
  </si>
  <si>
    <t>12/5/2017</t>
  </si>
  <si>
    <t>TN20-0083</t>
  </si>
  <si>
    <t>TN20-0084</t>
  </si>
  <si>
    <t>AMAZON,AMAZONDS,JCPENNEY01,KOHLDSN,MACY02,TGTDVS,WALMARTDS</t>
  </si>
  <si>
    <t>12/29/2017</t>
  </si>
  <si>
    <t>TN20-0085</t>
  </si>
  <si>
    <t>TN20-0355</t>
  </si>
  <si>
    <t>Grey Dots</t>
  </si>
  <si>
    <t>PP000954;PF004387</t>
  </si>
  <si>
    <t>8/29/2018</t>
  </si>
  <si>
    <t>AMAZONDS,CSNSTORES,JCPENNEY01,KOHLDSN,MACY02,OVERSTOCK01,TGTDVS,WALMARTDS</t>
  </si>
  <si>
    <t>1/12/2020</t>
  </si>
  <si>
    <t>TN20-0356</t>
  </si>
  <si>
    <t>AMAZONDS,JCPENNEY01,KOHLDSN,TGTDVS</t>
  </si>
  <si>
    <t>TN20-0357</t>
  </si>
  <si>
    <t>OVERSTOCK01,TGTDVS,WALMARTDS</t>
  </si>
  <si>
    <t>TN20-0251</t>
  </si>
  <si>
    <t>Multi Leaves</t>
  </si>
  <si>
    <t>PF002294</t>
  </si>
  <si>
    <t>AMAZONDS,KOHLDSN,MACY02,OVERSTOCK01,WALMARTDS</t>
  </si>
  <si>
    <t>TN20-0252</t>
  </si>
  <si>
    <t>TN20-0253</t>
  </si>
  <si>
    <t>AMAZONDS,CSNSTORES,MACY02</t>
  </si>
  <si>
    <t>TN20-0254</t>
  </si>
  <si>
    <t>TN20-0255</t>
  </si>
  <si>
    <t>TN20-0256</t>
  </si>
  <si>
    <t>1/25/2018</t>
  </si>
  <si>
    <t>TN20-0275</t>
  </si>
  <si>
    <t>Pink Plaid</t>
  </si>
  <si>
    <t>PF002297</t>
  </si>
  <si>
    <t>TN20-0276</t>
  </si>
  <si>
    <t>AMAZONDS,KOHLDSN,MACY02,TGTDVS,WALMARTDS</t>
  </si>
  <si>
    <t>TN20-0277</t>
  </si>
  <si>
    <t>AMAZONDS,JCPENNEY01,KOHLDSN,MACY02,TGTDVS</t>
  </si>
  <si>
    <t>12/13/2017</t>
  </si>
  <si>
    <t>TN20-0278</t>
  </si>
  <si>
    <t>12/6/2017</t>
  </si>
  <si>
    <t>TN20-0279</t>
  </si>
  <si>
    <t>AMAZONDS,KOHLDSN,MACY02,TGTDVS</t>
  </si>
  <si>
    <t>9/19/2018</t>
  </si>
  <si>
    <t>TN20-0415</t>
  </si>
  <si>
    <t>Blush Dots</t>
  </si>
  <si>
    <t>PP000954;PF004715</t>
  </si>
  <si>
    <t>MACY02,TGTDVS,WALMARTDS</t>
  </si>
  <si>
    <t>TN20-0417</t>
  </si>
  <si>
    <t>8/21/2020</t>
  </si>
  <si>
    <t>TN20-0418</t>
  </si>
  <si>
    <t>TN20-0419</t>
  </si>
  <si>
    <t>TN20-0359</t>
  </si>
  <si>
    <t>Aqua Dots</t>
  </si>
  <si>
    <t>PP000954;PF004388</t>
  </si>
  <si>
    <t>4/20/2020</t>
  </si>
  <si>
    <t>TN20-0361</t>
  </si>
  <si>
    <t>TN20-0362</t>
  </si>
  <si>
    <t>1/22/2020</t>
  </si>
  <si>
    <t>TN20-0363</t>
  </si>
  <si>
    <t>TN20-0222</t>
  </si>
  <si>
    <t>Aqua French Bulldog</t>
  </si>
  <si>
    <t>PF002289</t>
  </si>
  <si>
    <t>AMAZONDS,FINGERHUTDS,KOHLDSN,MACY02,TGTDVS</t>
  </si>
  <si>
    <t>11/27/2018</t>
  </si>
  <si>
    <t>TN20-0223</t>
  </si>
  <si>
    <t>11/16/2017</t>
  </si>
  <si>
    <t>TN20-0224</t>
  </si>
  <si>
    <t>TN20-0225</t>
  </si>
  <si>
    <t>TN20-0226</t>
  </si>
  <si>
    <t>TN20-0411</t>
  </si>
  <si>
    <t>PP000954;PF004714</t>
  </si>
  <si>
    <t>9/21/2020</t>
  </si>
  <si>
    <t>TN20-0412</t>
  </si>
  <si>
    <t>TN20-0413</t>
  </si>
  <si>
    <t>TN20-0414</t>
  </si>
  <si>
    <t>4/15/2020</t>
  </si>
  <si>
    <t>TN20-0383</t>
  </si>
  <si>
    <t>Blue Forest</t>
  </si>
  <si>
    <t>PP000954;PF004392</t>
  </si>
  <si>
    <t>TN20-0385</t>
  </si>
  <si>
    <t>TN20-0386</t>
  </si>
  <si>
    <t>3/26/2020</t>
  </si>
  <si>
    <t>TN20-0387</t>
  </si>
  <si>
    <t>TN20-0263</t>
  </si>
  <si>
    <t>Blue Polar Bears</t>
  </si>
  <si>
    <t>PF002295</t>
  </si>
  <si>
    <t>TN20-0264</t>
  </si>
  <si>
    <t>TN20-0266</t>
  </si>
  <si>
    <t>11/17/2017</t>
  </si>
  <si>
    <t>TN20-0267</t>
  </si>
  <si>
    <t>8/27/2018</t>
  </si>
  <si>
    <t>TN20-0121</t>
  </si>
  <si>
    <t>Blue Solid</t>
  </si>
  <si>
    <t>PF002288</t>
  </si>
  <si>
    <t>TN20-0122</t>
  </si>
  <si>
    <t>TN20-0123</t>
  </si>
  <si>
    <t>TN20-0124</t>
  </si>
  <si>
    <t>TN20-0510</t>
  </si>
  <si>
    <t>Gray Skiers</t>
  </si>
  <si>
    <t>PP000954;PF006047</t>
  </si>
  <si>
    <t>AMAZON,MACY02,OLLIIX,TGTDVS</t>
  </si>
  <si>
    <t>TN20-0511</t>
  </si>
  <si>
    <t>DESINC,JCPENNEY01,MACY02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</si>
  <si>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</si>
  <si>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</si>
  <si>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</si>
  <si>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</si>
  <si>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</si>
  <si>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</si>
  <si>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</si>
  <si>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TN20-0517</t>
  </si>
  <si>
    <t>TN20-0518</t>
  </si>
  <si>
    <t>TN20-0519</t>
  </si>
  <si>
    <t>8/22/2023</t>
  </si>
  <si>
    <t>TN20-0520</t>
  </si>
  <si>
    <t>TN20-0521</t>
  </si>
  <si>
    <t>TN20-0377</t>
  </si>
  <si>
    <t>Grey Dogs</t>
  </si>
  <si>
    <t>PP000954;PF004390</t>
  </si>
  <si>
    <t>TN20-0379</t>
  </si>
  <si>
    <t>TN20-0380</t>
  </si>
  <si>
    <t>4/14/2020</t>
  </si>
  <si>
    <t>TN20-0381</t>
  </si>
  <si>
    <t>TN20-0239</t>
  </si>
  <si>
    <t>Grey Geo</t>
  </si>
  <si>
    <t>PF002291</t>
  </si>
  <si>
    <t>TN20-0240</t>
  </si>
  <si>
    <t>10/26/2018</t>
  </si>
  <si>
    <t>TN20-0241</t>
  </si>
  <si>
    <t>TN20-0242</t>
  </si>
  <si>
    <t>11/10/2017</t>
  </si>
  <si>
    <t>TN20-0243</t>
  </si>
  <si>
    <t>TN20-0244</t>
  </si>
  <si>
    <t>11/19/2018</t>
  </si>
  <si>
    <t>TN20-0365</t>
  </si>
  <si>
    <t>Grey Penguins</t>
  </si>
  <si>
    <t>PP000954;PF004389</t>
  </si>
  <si>
    <t>11/21/2020</t>
  </si>
  <si>
    <t>TN20-0367</t>
  </si>
  <si>
    <t>TN20-0368</t>
  </si>
  <si>
    <t>AMAZON,AMAZONDS,JCPENNEY01,KOHLDSN,MACY02,TGTDVS</t>
  </si>
  <si>
    <t>TN20-0369</t>
  </si>
  <si>
    <t>4/24/2020</t>
  </si>
  <si>
    <t>TN20-0106</t>
  </si>
  <si>
    <t>Grey Solid</t>
  </si>
  <si>
    <t>PF002287</t>
  </si>
  <si>
    <t>TN20-0107</t>
  </si>
  <si>
    <t>10/10/2018</t>
  </si>
  <si>
    <t>TN20-0108</t>
  </si>
  <si>
    <t>TN20-0110</t>
  </si>
  <si>
    <t>TN20-0111</t>
  </si>
  <si>
    <t>PF002286</t>
  </si>
  <si>
    <t>TN20-0112</t>
  </si>
  <si>
    <t>TN20-0113</t>
  </si>
  <si>
    <t>TN20-0114</t>
  </si>
  <si>
    <t>TN20-0115</t>
  </si>
  <si>
    <t>TN20-0269</t>
  </si>
  <si>
    <t>Multi Forest Animals</t>
  </si>
  <si>
    <t>PF002296</t>
  </si>
  <si>
    <t>TN20-0270</t>
  </si>
  <si>
    <t>TN20-0271</t>
  </si>
  <si>
    <t>TN20-0272</t>
  </si>
  <si>
    <t>TN20-0273</t>
  </si>
  <si>
    <t>TN20-0373</t>
  </si>
  <si>
    <t>Multi Sloth</t>
  </si>
  <si>
    <t>PP000954;PF004391</t>
  </si>
  <si>
    <t>8/7/2018</t>
  </si>
  <si>
    <t>2/27/2020</t>
  </si>
  <si>
    <t>8/17/2020</t>
  </si>
  <si>
    <t>TN20-0374</t>
  </si>
  <si>
    <t>11/13/2020</t>
  </si>
  <si>
    <t>TN20-0375</t>
  </si>
  <si>
    <t>BLK01,KOHLDSN,TGTDVS</t>
  </si>
  <si>
    <t>4/4/2021</t>
  </si>
  <si>
    <t>TN20-0227</t>
  </si>
  <si>
    <t>Pink French Bulldog</t>
  </si>
  <si>
    <t>PF002290</t>
  </si>
  <si>
    <t>TN20-0228</t>
  </si>
  <si>
    <t>TN20-0229</t>
  </si>
  <si>
    <t>TN20-0231</t>
  </si>
  <si>
    <t>TN20-0066</t>
  </si>
  <si>
    <t>Pink/Grey Snowflakes</t>
  </si>
  <si>
    <t>PF002277</t>
  </si>
  <si>
    <t>TN20-0209</t>
  </si>
  <si>
    <t>11/9/2017</t>
  </si>
  <si>
    <t>TN20-0067</t>
  </si>
  <si>
    <t>TN20-0068</t>
  </si>
  <si>
    <t>TN20-0069</t>
  </si>
  <si>
    <t>12/10/2017</t>
  </si>
  <si>
    <t>TN20-0076</t>
  </si>
  <si>
    <t>PF002279</t>
  </si>
  <si>
    <t>TN20-0211</t>
  </si>
  <si>
    <t>TN20-0079</t>
  </si>
  <si>
    <t>TN20-0080</t>
  </si>
  <si>
    <t>12/10/2018</t>
  </si>
  <si>
    <t>TN20-0406</t>
  </si>
  <si>
    <t>Seafoam Llama</t>
  </si>
  <si>
    <t>PP000954;PF004713</t>
  </si>
  <si>
    <t>TN20-0407</t>
  </si>
  <si>
    <t>TN20-0408</t>
  </si>
  <si>
    <t>1/26/2020</t>
  </si>
  <si>
    <t>TN20-0409</t>
  </si>
  <si>
    <t>AMAZON,AMAZONDS,KOHLDSN,MACY02,TGTDVS</t>
  </si>
  <si>
    <t>9/30/2021</t>
  </si>
  <si>
    <t>TN20-0210</t>
  </si>
  <si>
    <t>PF002278</t>
  </si>
  <si>
    <t>TN20-0074</t>
  </si>
  <si>
    <t>TN20-0075</t>
  </si>
  <si>
    <t>5/5/2017</t>
  </si>
  <si>
    <t>TN20-0116</t>
  </si>
  <si>
    <t>Tan Solid</t>
  </si>
  <si>
    <t>PF002285</t>
  </si>
  <si>
    <t>TN20-0117</t>
  </si>
  <si>
    <t>TN20-0118</t>
  </si>
  <si>
    <t>TN20-0119</t>
  </si>
  <si>
    <t>AMAZON,BLK01,KOHLDSN,MACY02,TGTDVS</t>
  </si>
  <si>
    <t>TN20-0120</t>
  </si>
  <si>
    <t>TN20-0063</t>
  </si>
  <si>
    <t>Tan/Blue Snowflakes</t>
  </si>
  <si>
    <t>PF002276</t>
  </si>
  <si>
    <t>TN20-0064</t>
  </si>
  <si>
    <t>PC20-005</t>
  </si>
  <si>
    <t>Micro Fleece</t>
  </si>
  <si>
    <t>PF001735</t>
  </si>
  <si>
    <t>SHET20-743</t>
  </si>
  <si>
    <t>PC20-006</t>
  </si>
  <si>
    <t>FINGERHUTDS,KOHLDSN,MACY02,WALMARTDS</t>
  </si>
  <si>
    <t>PC20-007</t>
  </si>
  <si>
    <t>10/19/2016</t>
  </si>
  <si>
    <t>PC20-008</t>
  </si>
  <si>
    <t>SHET20-744</t>
  </si>
  <si>
    <t>SHET20-526</t>
  </si>
  <si>
    <t>PF001774</t>
  </si>
  <si>
    <t>SHET20-735</t>
  </si>
  <si>
    <t>SHET20-527</t>
  </si>
  <si>
    <t>SHET20-528</t>
  </si>
  <si>
    <t>SHET20-529</t>
  </si>
  <si>
    <t>AMAZON,FINGERHUTDS,JCPENNEY01,KOHLDSN,MACY02,OVERSTOCK01</t>
  </si>
  <si>
    <t>SHET20-736</t>
  </si>
  <si>
    <t>TN20-0460</t>
  </si>
  <si>
    <t>PP001622;PF005448</t>
  </si>
  <si>
    <t>TN20-0461</t>
  </si>
  <si>
    <t>TN20-0462</t>
  </si>
  <si>
    <t>TN20-0463</t>
  </si>
  <si>
    <t>TN20-0464</t>
  </si>
  <si>
    <t>TN20-0465</t>
  </si>
  <si>
    <t>PC20-009</t>
  </si>
  <si>
    <t>PF001563</t>
  </si>
  <si>
    <t>SHET20-745</t>
  </si>
  <si>
    <t>PC20-010</t>
  </si>
  <si>
    <t>PC20-011</t>
  </si>
  <si>
    <t>PC20-012</t>
  </si>
  <si>
    <t>SHET20-746</t>
  </si>
  <si>
    <t>TN20-0522</t>
  </si>
  <si>
    <t>PP001622;PF006086</t>
  </si>
  <si>
    <t>10/26/2023</t>
  </si>
  <si>
    <t>TN20-0523</t>
  </si>
  <si>
    <t>TN20-0524</t>
  </si>
  <si>
    <t>TN20-0525</t>
  </si>
  <si>
    <t>TN20-0526</t>
  </si>
  <si>
    <t>TN20-0527</t>
  </si>
  <si>
    <t>AMAZON,KOHLDSN</t>
  </si>
  <si>
    <t>SHET20-530</t>
  </si>
  <si>
    <t>PF001775</t>
  </si>
  <si>
    <t>AMAZON,MACY02</t>
  </si>
  <si>
    <t>SHET20-737</t>
  </si>
  <si>
    <t>SHET20-533</t>
  </si>
  <si>
    <t>SHET20-738</t>
  </si>
  <si>
    <t>TN20-0528</t>
  </si>
  <si>
    <t>PP001622;PF006087</t>
  </si>
  <si>
    <t>10/25/2023</t>
  </si>
  <si>
    <t>DESINC,TGTDVS</t>
  </si>
  <si>
    <t>TN20-0529</t>
  </si>
  <si>
    <t>AMAZON,KOHLDSN,OLLIIX</t>
  </si>
  <si>
    <t>TN20-0530</t>
  </si>
  <si>
    <t>AMAZON,JCPENNEY01,KOHLDSN,TGTDVS</t>
  </si>
  <si>
    <t>TN20-0531</t>
  </si>
  <si>
    <t>SHET20-996</t>
  </si>
  <si>
    <t>Grey Plaid</t>
  </si>
  <si>
    <t>PF002215</t>
  </si>
  <si>
    <t>SHET20-997</t>
  </si>
  <si>
    <t>SHET20-998</t>
  </si>
  <si>
    <t>SHET20-999</t>
  </si>
  <si>
    <t>TN20-0532</t>
  </si>
  <si>
    <t>Grey Snowflake</t>
  </si>
  <si>
    <t>PP001622;PF006088</t>
  </si>
  <si>
    <t>TN20-0533</t>
  </si>
  <si>
    <t>AMAZON,CSNSTORES,KOHLDSN</t>
  </si>
  <si>
    <t>TN20-0534</t>
  </si>
  <si>
    <t>TN20-0535</t>
  </si>
  <si>
    <t>PC20-124</t>
  </si>
  <si>
    <t>PF001746</t>
  </si>
  <si>
    <t>SHET20-747</t>
  </si>
  <si>
    <t>AMAZON,HSNDS,KOHLDSN</t>
  </si>
  <si>
    <t>PC20-125</t>
  </si>
  <si>
    <t>AMAZON,HSNDS,KOHLDSN,MACY02</t>
  </si>
  <si>
    <t>PC20-126</t>
  </si>
  <si>
    <t>PC20-127</t>
  </si>
  <si>
    <t>SHET20-748</t>
  </si>
  <si>
    <t>PC20-001</t>
  </si>
  <si>
    <t>PF001674</t>
  </si>
  <si>
    <t>SHET20-741</t>
  </si>
  <si>
    <t>PC20-002</t>
  </si>
  <si>
    <t>PC20-003</t>
  </si>
  <si>
    <t>PC20-004</t>
  </si>
  <si>
    <t>SHET20-742</t>
  </si>
  <si>
    <t>SHET20-796</t>
  </si>
  <si>
    <t>PF001777</t>
  </si>
  <si>
    <t>12/6/2016</t>
  </si>
  <si>
    <t>SHET20-793</t>
  </si>
  <si>
    <t>SHET20-794</t>
  </si>
  <si>
    <t>SHET20-797</t>
  </si>
  <si>
    <t>TN20-0448</t>
  </si>
  <si>
    <t>PP001622;PF005446</t>
  </si>
  <si>
    <t>AMAZON,FINGERHUTDS,KOHLDSN,MACY02</t>
  </si>
  <si>
    <t>TN20-0449</t>
  </si>
  <si>
    <t>AMAZON,CSNSTORES,JCPENNEY01,KOHLDSN,TGTDVS</t>
  </si>
  <si>
    <t>TN20-0450</t>
  </si>
  <si>
    <t>TN20-0451</t>
  </si>
  <si>
    <t>TN20-0452</t>
  </si>
  <si>
    <t>AMAZON,CSNSTORES,FINGERHUTDS,KOHLDSN,MACY02</t>
  </si>
  <si>
    <t>TN20-0453</t>
  </si>
  <si>
    <t>SHET20-534</t>
  </si>
  <si>
    <t>PF001776</t>
  </si>
  <si>
    <t>SHET20-739</t>
  </si>
  <si>
    <t>SHET20-535</t>
  </si>
  <si>
    <t>SHET20-536</t>
  </si>
  <si>
    <t>BLK01,FINGERHUTDS,KOHLDSN,MACY02</t>
  </si>
  <si>
    <t>SHET20-537</t>
  </si>
  <si>
    <t>SHET20-740</t>
  </si>
  <si>
    <t>BL20-0869</t>
  </si>
  <si>
    <t>Soloft Plush</t>
  </si>
  <si>
    <t>PF001719</t>
  </si>
  <si>
    <t>BL20-0870</t>
  </si>
  <si>
    <t>AMAZON,BLK01,CSNSTORES,JCPENNEY01,KOHLDSN</t>
  </si>
  <si>
    <t>2/7/2017</t>
  </si>
  <si>
    <t>BL20-0871</t>
  </si>
  <si>
    <t>AMAZONDS,CSNSTORES,JCPENNEY01,KOHLDSN,MACY02,WALMARTDS</t>
  </si>
  <si>
    <t>3/6/2017</t>
  </si>
  <si>
    <t>BL20-0872</t>
  </si>
  <si>
    <t>AMAZON,BEALLSDS,JCPENNEY01,KOHLDSN,MACY02,OVERSTOCK01</t>
  </si>
  <si>
    <t>BL20-0601</t>
  </si>
  <si>
    <t>PF001708</t>
  </si>
  <si>
    <t>AMAZONDS,KOHLDSN</t>
  </si>
  <si>
    <t>BL20-0602</t>
  </si>
  <si>
    <t>11/19/2015</t>
  </si>
  <si>
    <t>BL20-0603</t>
  </si>
  <si>
    <t>BL20-0604</t>
  </si>
  <si>
    <t>12/21/2015</t>
  </si>
  <si>
    <t>BL20-0453</t>
  </si>
  <si>
    <t>PF001697</t>
  </si>
  <si>
    <t>BL20-0454</t>
  </si>
  <si>
    <t>AMAZONDS,KOHLDSN,MACY02,OVERSTOCK01</t>
  </si>
  <si>
    <t>BL20-0455</t>
  </si>
  <si>
    <t>BL20-0456</t>
  </si>
  <si>
    <t>BL20-0449</t>
  </si>
  <si>
    <t>PF001675</t>
  </si>
  <si>
    <t>AMAZONDS,KOHLDSN,OVERSTOCK01</t>
  </si>
  <si>
    <t>BL20-0450</t>
  </si>
  <si>
    <t>1/15/2016</t>
  </si>
  <si>
    <t>BL20-0451</t>
  </si>
  <si>
    <t>BL20-0452</t>
  </si>
  <si>
    <t>BL20-0457</t>
  </si>
  <si>
    <t>PF001686</t>
  </si>
  <si>
    <t>AMAZONDS,CSNSTORES,KOHLDSN</t>
  </si>
  <si>
    <t>BL20-0458</t>
  </si>
  <si>
    <t>BL20-0459</t>
  </si>
  <si>
    <t>BL20-0460</t>
  </si>
  <si>
    <t>BL20-0445</t>
  </si>
  <si>
    <t>PF001663</t>
  </si>
  <si>
    <t>BL20-0446</t>
  </si>
  <si>
    <t>BL20-0447</t>
  </si>
  <si>
    <t>BL20-0448</t>
  </si>
  <si>
    <t>WR20-2069</t>
  </si>
  <si>
    <t>Cotton Flannel</t>
  </si>
  <si>
    <t>Tan Dog</t>
  </si>
  <si>
    <t>PF002311</t>
  </si>
  <si>
    <t>BLK01,MACY02,WALMARTDS</t>
  </si>
  <si>
    <t>10/25/2022</t>
  </si>
  <si>
    <t>WR20-2070</t>
  </si>
  <si>
    <t>WR20-2037</t>
  </si>
  <si>
    <t>PF002304</t>
  </si>
  <si>
    <t>9/21/2017</t>
  </si>
  <si>
    <t>WR20-2038</t>
  </si>
  <si>
    <t>WR20-2039</t>
  </si>
  <si>
    <t>6/15/2022</t>
  </si>
  <si>
    <t>WR20-3958</t>
  </si>
  <si>
    <t>Black Pine Trees</t>
  </si>
  <si>
    <t>PP000952;PF006050</t>
  </si>
  <si>
    <t>7/26/2023</t>
  </si>
  <si>
    <t>WR20-3959</t>
  </si>
  <si>
    <t>WR20-3960</t>
  </si>
  <si>
    <t>WR20-3961</t>
  </si>
  <si>
    <t>WR20-3962</t>
  </si>
  <si>
    <t>WR20-2043</t>
  </si>
  <si>
    <t>PF002306</t>
  </si>
  <si>
    <t>11/27/2021</t>
  </si>
  <si>
    <t>WR20-2044</t>
  </si>
  <si>
    <t>WR20-2045</t>
  </si>
  <si>
    <t>WR20-2279</t>
  </si>
  <si>
    <t>Blue Sheep</t>
  </si>
  <si>
    <t>PP000952;PF004383</t>
  </si>
  <si>
    <t>11/24/2021</t>
  </si>
  <si>
    <t>WR20-2280</t>
  </si>
  <si>
    <t>PP000952;PF004384</t>
  </si>
  <si>
    <t>WR20-2281</t>
  </si>
  <si>
    <t>PP000952;PF004385</t>
  </si>
  <si>
    <t>1/10/2022</t>
  </si>
  <si>
    <t>WR20-1787</t>
  </si>
  <si>
    <t>Blue Snowflake</t>
  </si>
  <si>
    <t>PF002274</t>
  </si>
  <si>
    <t>1/5/2022</t>
  </si>
  <si>
    <t>WR20-1788</t>
  </si>
  <si>
    <t>WR20-1789</t>
  </si>
  <si>
    <t>WR20-2031</t>
  </si>
  <si>
    <t>Blue Winter Frost</t>
  </si>
  <si>
    <t>PF002302</t>
  </si>
  <si>
    <t>WR20-2032</t>
  </si>
  <si>
    <t>4/6/2022</t>
  </si>
  <si>
    <t>WR20-2033</t>
  </si>
  <si>
    <t>HSNDS,MACY02,OVERSTOCK01,TGTDVS</t>
  </si>
  <si>
    <t>WR20-1796</t>
  </si>
  <si>
    <t>Brown Plaid</t>
  </si>
  <si>
    <t>PF002272</t>
  </si>
  <si>
    <t>12/15/2021</t>
  </si>
  <si>
    <t>WR20-1797</t>
  </si>
  <si>
    <t>WR20-1798</t>
  </si>
  <si>
    <t>12/16/2021</t>
  </si>
  <si>
    <t>WR20-1793</t>
  </si>
  <si>
    <t>Green Plaid</t>
  </si>
  <si>
    <t>PF002271</t>
  </si>
  <si>
    <t>WR20-1794</t>
  </si>
  <si>
    <t>12/19/2021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</si>
  <si>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</si>
  <si>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</si>
  <si>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</si>
  <si>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</si>
  <si>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</si>
  <si>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</si>
  <si>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</si>
  <si>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WR20-2282</t>
  </si>
  <si>
    <t>Grey Moose</t>
  </si>
  <si>
    <t>WR20-2283</t>
  </si>
  <si>
    <t>WR20-2284</t>
  </si>
  <si>
    <t>WR20-2046</t>
  </si>
  <si>
    <t>PF002307</t>
  </si>
  <si>
    <t>WR20-2047</t>
  </si>
  <si>
    <t>WR20-2048</t>
  </si>
  <si>
    <t>WR20-1799</t>
  </si>
  <si>
    <t>PF002273</t>
  </si>
  <si>
    <t>WR20-1800</t>
  </si>
  <si>
    <t>WR20-1801</t>
  </si>
  <si>
    <t>12/21/2021</t>
  </si>
  <si>
    <t>WR20-2285</t>
  </si>
  <si>
    <t>WR20-2286</t>
  </si>
  <si>
    <t>12/27/2021</t>
  </si>
  <si>
    <t>WR20-2287</t>
  </si>
  <si>
    <t>WR20-2071</t>
  </si>
  <si>
    <t>Tan Cars</t>
  </si>
  <si>
    <t>PF002312</t>
  </si>
  <si>
    <t>WR20-2072</t>
  </si>
  <si>
    <t>WR20-2040</t>
  </si>
  <si>
    <t>PF002305</t>
  </si>
  <si>
    <t>WR20-2041</t>
  </si>
  <si>
    <t>11/13/2023</t>
  </si>
  <si>
    <t>WR20-2042</t>
  </si>
  <si>
    <t>11/16/2022</t>
  </si>
  <si>
    <t>MZ20-415</t>
  </si>
  <si>
    <t>Mi Zone</t>
  </si>
  <si>
    <t>Polka Dot</t>
  </si>
  <si>
    <t>Printed 100% Cotton Sheet Set</t>
  </si>
  <si>
    <t>PF001570</t>
  </si>
  <si>
    <t>AMAZON,BLK01,CSNSTORES,MACY02,OVERSTOCK01,WALMARTDS</t>
  </si>
  <si>
    <t>MZ20-417</t>
  </si>
  <si>
    <t>MZ20-420</t>
  </si>
  <si>
    <t>PF001571</t>
  </si>
  <si>
    <t>SHET20-960</t>
  </si>
  <si>
    <t>Smart Cool Microfiber</t>
  </si>
  <si>
    <t>PF002216</t>
  </si>
  <si>
    <t>Coolmax</t>
  </si>
  <si>
    <t>SHET20-961</t>
  </si>
  <si>
    <t>AMAZON,BLK01,JCPENNEY01,KOHLDSN,MACY02,TGTDVS</t>
  </si>
  <si>
    <t>SHET20-963</t>
  </si>
  <si>
    <t>AMAZON,BLK01,CSNSTORES,KOHLDSN,TGTDVS,ZOLA</t>
  </si>
  <si>
    <t>SHET20-964</t>
  </si>
  <si>
    <t>AMAZON,JCPENNEY01,KOHLDSN,OLLIIX,TGTDVS</t>
  </si>
  <si>
    <t>SHET20-970</t>
  </si>
  <si>
    <t>PF002218</t>
  </si>
  <si>
    <t>SHET20-971</t>
  </si>
  <si>
    <t>SHET20-972</t>
  </si>
  <si>
    <t>JCPENNEY01,KOHLDSN,MACY02,OVERSTOCK01,TGTDVS,ZOLA</t>
  </si>
  <si>
    <t>SHET20-973</t>
  </si>
  <si>
    <t>SHET20-975</t>
  </si>
  <si>
    <t>PF002219</t>
  </si>
  <si>
    <t>SHET20-976</t>
  </si>
  <si>
    <t>SHET20-978</t>
  </si>
  <si>
    <t>JCPENNEY01,KOHLDSN,MACY02,OLLIIX,TGTDVS,ZOLA</t>
  </si>
  <si>
    <t>SHET20-1184</t>
  </si>
  <si>
    <t>PP001565;PF005246</t>
  </si>
  <si>
    <t>12/21/2020</t>
  </si>
  <si>
    <t>SHET20-1185</t>
  </si>
  <si>
    <t>SHET20-1186</t>
  </si>
  <si>
    <t>SHET20-1187</t>
  </si>
  <si>
    <t>SHET20-965</t>
  </si>
  <si>
    <t>PF002217</t>
  </si>
  <si>
    <t>BLK01,KOHLDSN,MACY02,OLLIIX,TGTDVS</t>
  </si>
  <si>
    <t>SHET20-966</t>
  </si>
  <si>
    <t>SHET20-967</t>
  </si>
  <si>
    <t>BLK01,KOHLDSN,MACY02,OLLIIX,OVERSTOCK01,TGTDVS,ZOLA</t>
  </si>
  <si>
    <t>SHET20-968</t>
  </si>
  <si>
    <t>BEALLSDS,BLK01,JCPENNEY01,KOHLDSN,MACY02,OLLIIX,TGTDVS,ZOLA</t>
  </si>
  <si>
    <t>1/23/2017</t>
  </si>
  <si>
    <t>UH20-2466</t>
  </si>
  <si>
    <t>Comfort Cool Jersey Knit</t>
  </si>
  <si>
    <t>Nylon Blend Sheet Set</t>
  </si>
  <si>
    <t>PP001859;PF005950</t>
  </si>
  <si>
    <t>UH20-2468</t>
  </si>
  <si>
    <t>UH20-2469</t>
  </si>
  <si>
    <t>UH20-2470</t>
  </si>
  <si>
    <t>AMAZON,BLK01,JCPENNEY01,MACY02,TGTDVS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</si>
  <si>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</si>
  <si>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</si>
  <si>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</si>
  <si>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</si>
  <si>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</si>
  <si>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</si>
  <si>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</si>
  <si>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</si>
  <si>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UH20-2457</t>
  </si>
  <si>
    <t>UH20-2458</t>
  </si>
  <si>
    <t>MP73-5974</t>
  </si>
  <si>
    <t>TOWL</t>
  </si>
  <si>
    <t>BATH TOWEL</t>
  </si>
  <si>
    <t>Cotton Waffle Jacquard Antimicrobial Bath Towel 6 Piece Set</t>
  </si>
  <si>
    <t>PP000511</t>
  </si>
  <si>
    <t>AMAZON,AMAZONDS,BEALLSDS,BLK01,CSNSTORES,JCPENNEY01,KOHLDSN,MACY02,OLLIIX,OVERSTOCK01,TGTDVS,WALMARTDS,ZOLA</t>
  </si>
  <si>
    <t>5/1/2020</t>
  </si>
  <si>
    <t>MP73-5913</t>
  </si>
  <si>
    <t>AMAZON,BLK01,CSNSTORES,HDDS,JCPENNEY01,KOHLDSN,MACY02,OLLIIX,OVERSTOCK01,TGTDVS,WALMARTDS,ZOLA</t>
  </si>
  <si>
    <t>MP73-6220</t>
  </si>
  <si>
    <t>3/30/2019</t>
  </si>
  <si>
    <t>6/30/2024</t>
  </si>
  <si>
    <t>MP73-5912</t>
  </si>
  <si>
    <t>AMAZON,AMAZONDS,BLK01,CSNSTORES,HDDS,HOUZZ,JCPENNEY01,KOHLDSN,MACY02,OLLIIX,OVERSTOCK01,TGTDVS,WALMARTDS,ZOLA</t>
  </si>
  <si>
    <t>2/26/2020</t>
  </si>
  <si>
    <t>MP73-7179</t>
  </si>
  <si>
    <t>AMAZON,BLK01,CSNSTORES,JCPENNEY01,KIRKLANDDS,KOHLDSN,MACY02,OLLIIX,OVERSTOCK01,TGTDVS,WALMARTDS,ZOLA</t>
  </si>
  <si>
    <t>5/14/2021</t>
  </si>
  <si>
    <t>MP73-5915</t>
  </si>
  <si>
    <t>AMAZON,BEALLSDS,BLK01,CSNSTORES,HDDS,JCPENNEY01,KOHLDSN,MACY02,OLLIIX,OVERSTOCK01,TGTDVS,ZOLA</t>
  </si>
  <si>
    <t>MP73-5914</t>
  </si>
  <si>
    <t>AMAZON,AMAZONDS,BLK01,CSNSTORES,HDDS,JCPENNEY01,KOHLDSN,MACY02,OLLIIX,OVERSTOCK01,TGTDVS,ZOLA</t>
  </si>
  <si>
    <t>8/11/2019</t>
  </si>
  <si>
    <t>10/11/2020</t>
  </si>
  <si>
    <t>MP73-5138</t>
  </si>
  <si>
    <t>Organic</t>
  </si>
  <si>
    <t>6 Piece Organic Cotton Towel Set</t>
  </si>
  <si>
    <t>AMAZON,AMAZONDS,BLK01,JCPENNEY01,KOHLDSN,MACY02,OLLIIX,OVERSTOCK01,TGTDVS,WALMARTDS,ZOLA</t>
  </si>
  <si>
    <t>MP73-6181</t>
  </si>
  <si>
    <t>PP001101</t>
  </si>
  <si>
    <t>AMAZON,AMAZONDS,BLK01,CSNSTORES,JCPENNEY01,KOHLDSN,MACY02,OVERSTOCK01,TGTDVS,WALMARTDS,ZOLA</t>
  </si>
  <si>
    <t>10/21/2019</t>
  </si>
  <si>
    <t>MP73-7473</t>
  </si>
  <si>
    <t>6/8/2021</t>
  </si>
  <si>
    <t>MP73-5137</t>
  </si>
  <si>
    <t>AMAZONDS,BLK01,JCPENNEY01,KOHLDSN,MACY02,OVERSTOCK01,TGTDVS,ZOLA</t>
  </si>
  <si>
    <t>1/4/2018</t>
  </si>
  <si>
    <t>MP73-7472</t>
  </si>
  <si>
    <t>MP73-6629</t>
  </si>
  <si>
    <t>9/20/2019</t>
  </si>
  <si>
    <t>BLK01,JCPENNEY01,KOHLDSN,MACY02,OVERSTOCK01,TGTDVS,ZOLA</t>
  </si>
  <si>
    <t>MP73-6182</t>
  </si>
  <si>
    <t>AMAZON,AMAZONDS,BLK01,CSNSTORES,HDDS,JCPENNEY01,KOHLDSN,MACY02,OVERSTOCK01,TGTDVS,ZOLA</t>
  </si>
  <si>
    <t>MPS73-461</t>
  </si>
  <si>
    <t>800gsm</t>
  </si>
  <si>
    <t>100% Cotton Bath Sheet Antimicrobial 2 Piece Set</t>
  </si>
  <si>
    <t>34x68" – 2PK</t>
  </si>
  <si>
    <t>PF001493;PP001046</t>
  </si>
  <si>
    <t>AMAZON,AMAZONDS,BLK01,CSNSTORES,HDDS,JCPENNEY01,KOHLDSN,MACY02,OVERSTOCK01,TGTDVS,WALMARTDS</t>
  </si>
  <si>
    <t>8/17/2021</t>
  </si>
  <si>
    <t>MPS73-460</t>
  </si>
  <si>
    <t>PF001499;PP001046</t>
  </si>
  <si>
    <t>AMAZON,AMAZONDS,BLK01,CSNSTORES,HDDS,JCPENNEY01,KOHLDSN,MACY02,OVERSTOCK01,ZOLA</t>
  </si>
  <si>
    <t>MPS73-199</t>
  </si>
  <si>
    <t>800GSM</t>
  </si>
  <si>
    <t>100% Cotton 8 Piece Antimicrobial Towel Set</t>
  </si>
  <si>
    <t>AMAZON,AMAZONDS,BLK01,CSNSTORES,DESINC,FINGERHUTDS,JCPENNEY01,KOHLDSN,MACY02,OLLIIX,OVERSTOCK01,TGTDVS,WALMARTDS</t>
  </si>
  <si>
    <t>MPS73-320</t>
  </si>
  <si>
    <t>PP001046;PF005089</t>
  </si>
  <si>
    <t>AMAZON,AMAZONDS,BLK01,CSNSTORES,FINGERHUTDS,HDDS,JCPENNEY01,KOHLDSN,MACY02,OLLIIX,OVERSTOCK01,TGTDVS</t>
  </si>
  <si>
    <t>9/10/2018</t>
  </si>
  <si>
    <t>MPS73-471</t>
  </si>
  <si>
    <t>PP001046;PF005251</t>
  </si>
  <si>
    <t>12/2/2020</t>
  </si>
  <si>
    <t>2/12/2024</t>
  </si>
  <si>
    <t>MPS73-195</t>
  </si>
  <si>
    <t>PF001495;PP001046</t>
  </si>
  <si>
    <t>AMAZON,AMAZONDS,BLK01,CSNSTORES,FINGERHUTDS,HDDS,JCPENNEY01,KOHLDSN,MACY02,OVERSTOCK01,TGTDVS</t>
  </si>
  <si>
    <t>MPS73-430</t>
  </si>
  <si>
    <t>PF001497;PP001046</t>
  </si>
  <si>
    <t>AMAZON,AMAZONDS,BLK01,CSNSTORES,HDDS,JCPENNEY01,KOHLDSN,MACY02,OLLIIX,OVERSTOCK01,TGTDVS</t>
  </si>
  <si>
    <t>6/16/2020</t>
  </si>
  <si>
    <t>MPS73-190</t>
  </si>
  <si>
    <t>PF001490;PP001046</t>
  </si>
  <si>
    <t>AMAZON,AMAZONDS,CSNSTORES,FINGERHUTDS,HDDS,JCPENNEY01,KOHLDSN,MACY02,OLLIIX,OVERSTOCK01,TGTDVS,ZOLA</t>
  </si>
  <si>
    <t>MPS73-200</t>
  </si>
  <si>
    <t>PF001500;PP001046</t>
  </si>
  <si>
    <t>AAFESDS,AMAZON,AMAZONDS,BLK01,CSNSTORES,FINGERHUTDS,JCPENNEY01,KOHLDSN,MACY02,OLLIIX,OVERSTOCK01,TGTDVS,ZOLA</t>
  </si>
  <si>
    <t>6/14/2018</t>
  </si>
  <si>
    <t>MPS73-412</t>
  </si>
  <si>
    <t>PF004534;PP001046</t>
  </si>
  <si>
    <t>MPS73-514</t>
  </si>
  <si>
    <t>PP001046;PF005956</t>
  </si>
  <si>
    <t>5/22/2023</t>
  </si>
  <si>
    <t>AMAZON,BLK01,CSNSTORES,FINGERHUTDS,KOHLDSN,MACY02,OLLIIX,OVERSTOCK01,TGTDVS,ZOLA</t>
  </si>
  <si>
    <t>MPS73-431</t>
  </si>
  <si>
    <t>PF001491;PP001046</t>
  </si>
  <si>
    <t>AMAZON,AMAZONDS,CSNSTORES,HDDS,JCPENNEY01,KOHLDSN,MACY02,OVERSTOCK01,TGTDVS</t>
  </si>
  <si>
    <t>MPS73-191</t>
  </si>
  <si>
    <t>AMAZON,AMAZONDS,BLK01,CSNSTORES,DESINC,FINGERHUTDS,HDDS,JCPENNEY01,KOHLDSN,MACY02,OLLIIX,OVERSCONSIGN,OVERSTOCK01,TGTDVS,ZOLA</t>
  </si>
  <si>
    <t>6/22/2018</t>
  </si>
  <si>
    <t>MPS73-432</t>
  </si>
  <si>
    <t>PF001488;PP001046</t>
  </si>
  <si>
    <t>AMAZON,AMAZONDS,BLK01,CSNSTORES,HDDS,JCPENNEY01,MACY02,OLLIIX,OVERSTOCK01,TGTDVS</t>
  </si>
  <si>
    <t>MPS73-188</t>
  </si>
  <si>
    <t>3/17/2017</t>
  </si>
  <si>
    <t>MPS73-454</t>
  </si>
  <si>
    <t>Turkish</t>
  </si>
  <si>
    <t>Cotton 6 Piece Bath Towel Set</t>
  </si>
  <si>
    <t>PP001361</t>
  </si>
  <si>
    <t>AAFESDS,AMAZON,AMAZONDS,BLK01,CSNSTORES,DESINC,FINGERHUTDS,HDDS,JCPENNEY01,KOHLDSN,MACY02,OLLIIX,OVERSTOCK01,TGTDVS,WALMARTDS,ZOLA</t>
  </si>
  <si>
    <t>MPS73-416</t>
  </si>
  <si>
    <t>AAFESDS,AMAZON,AMAZONDS,BLK01,CSNSTORES,FINGERHUTDS,JCPENNEY01,KOHLDSN,MACY02,OLLIIX,OVERSCONSIGN,OVERSTOCK01,TGTDVS,ZOLA</t>
  </si>
  <si>
    <t>MPS73-450</t>
  </si>
  <si>
    <t>AMAZONDS,BLK01,CSNSTORES,HDDS,JCPENNEY01,KOHLDSN,MACY02,OVERSTOCK01,TGTDVS,ZOLA</t>
  </si>
  <si>
    <t>MPS73-316</t>
  </si>
  <si>
    <t>AMAZON,AMAZONDS,BEALLSDS,BLK01,CSNSTORES,DESINC,HDDS,JCPENNEY01,KOHLDSN,MACY02,OLLIIX,OVERSTOCK01,TGTDVS,ZOLA</t>
  </si>
  <si>
    <t>MPS73-475</t>
  </si>
  <si>
    <t>11/4/2020</t>
  </si>
  <si>
    <t>MPS73-455</t>
  </si>
  <si>
    <t>MPS73-468</t>
  </si>
  <si>
    <t>AAFESDS,AMAZON,AMAZONDS,BLK01,CSNSTORES,HDDS,HOUZZ,JCPENNEY01,KOHLDSN,MACY02,OLLIIX,OVERSTOCK01,TGTDVS,ZOLA</t>
  </si>
  <si>
    <t>MPS73-467</t>
  </si>
  <si>
    <t>8/26/2020</t>
  </si>
  <si>
    <t>AMAZON,BLK01,CSNSTORES,JCPENNEY01,KOHLDSN,MACY02,OLLIIX,OVERSTOCK01,TGTDVS,ZOLA</t>
  </si>
  <si>
    <t>MPS73-319</t>
  </si>
  <si>
    <t>AAFESDS,AMAZON,AMAZONDS,BEALLSDS,BLK01,CSNSTORES,JCPENNEY01,KOHLDSN,MACY02,OLLIIX,OVERSCONSIGN,OVERSTOCK01,TGTDVS,ZOLA</t>
  </si>
  <si>
    <t>4/20/2018</t>
  </si>
  <si>
    <t>MPS73-349</t>
  </si>
  <si>
    <t>AAFESDS,AMAZON,AMAZONDS,BLK01,CSNSTORES,HDDS,JCPENNEY01,KOHLDSN,MACY02,OLLIIX,OVERSTOCK01,TGTDVS,ZOLA</t>
  </si>
  <si>
    <t>3/12/2018</t>
  </si>
  <si>
    <t>MPS73-477</t>
  </si>
  <si>
    <t>Luce</t>
  </si>
  <si>
    <t>100% Egyptian Cotton 6 Piece Towel Set</t>
  </si>
  <si>
    <t>PP001119</t>
  </si>
  <si>
    <t>6/25/2024</t>
  </si>
  <si>
    <t>CSNSTORES,JCPENNEY01,KOHLDSN,MACY02,OVERSTOCK01,TGTDVS,ZOLA</t>
  </si>
  <si>
    <t>MPS73-427</t>
  </si>
  <si>
    <t>Dark Taupe</t>
  </si>
  <si>
    <t>5/2/2019</t>
  </si>
  <si>
    <t>11/5/2019</t>
  </si>
  <si>
    <t>MPS73-476</t>
  </si>
  <si>
    <t>MPS73-429</t>
  </si>
  <si>
    <t>AMAZON,JCPENNEY01,KIRKLANDDS,KOHLDSN,MACY02,OLLIIX,OVERSTOCK01,TGTDVS</t>
  </si>
  <si>
    <t>MPS73-426</t>
  </si>
  <si>
    <t>AMAZON,BLK01,JCPENNEY01,KOHLDSN,MACY02,OLLIIX,OVERSTOCK01,TGTDVS,ZOLA</t>
  </si>
  <si>
    <t>MPS73-425</t>
  </si>
  <si>
    <t>AMAZON,HDDS,JCPENNEY01,KOHLDSN,MACY02,OLLIIX,OVERSTOCK01,TGTDVS,ZOLA</t>
  </si>
  <si>
    <t>MPS73-433</t>
  </si>
  <si>
    <t>1000gsm 100% Cotton 6 Piece Towel Set</t>
  </si>
  <si>
    <t>PP001153</t>
  </si>
  <si>
    <t>5/21/2019</t>
  </si>
  <si>
    <t>AMAZON,BLK01,FINGERHUTDS,HDDS,JCPENNEY01,KOHLDSN,MACY02,OLLIIX,OVERSTOCK01,TGTDVS</t>
  </si>
  <si>
    <t>6/5/2020</t>
  </si>
  <si>
    <t>MPS73-470</t>
  </si>
  <si>
    <t>AMAZONDS,BLK01,CSNSTORES,HDDS,JCPENNEY01,MACY02,OLLIIX,OVERSTOCK01,TGTDVS</t>
  </si>
  <si>
    <t>MPS73-435</t>
  </si>
  <si>
    <t>AMAZON,AMAZONDS,BLK01,CSNSTORES,JCPENNEY01,MACY02</t>
  </si>
  <si>
    <t>12/18/2020</t>
  </si>
  <si>
    <t>MPS73-436</t>
  </si>
  <si>
    <t>AMAZONDS,BLK01,CSNSTORES,HDDS,JCPENNEY01,KOHLDSN,MACY02,OLLIIX,OVERSTOCK01,TGTDVS</t>
  </si>
  <si>
    <t>7/7/2020</t>
  </si>
  <si>
    <t>MPS73-434</t>
  </si>
  <si>
    <t>AMAZON,BLK01,CSNSTORES,FINGERHUTDS,HDDS,JCPENNEY01,MACY02,OLLIIX,OVERSTOCK01,TGTDVS</t>
  </si>
  <si>
    <t>MPE73-668</t>
  </si>
  <si>
    <t>Adrien</t>
  </si>
  <si>
    <t>Roman</t>
  </si>
  <si>
    <t>Super Soft Cotton Quick Dry Bath Towel 6 Piece Set</t>
  </si>
  <si>
    <t>AMAZON,BLK01,CSNSTORES,JCPENNEY01,KOHLDSN,MACY02,OLLIIX,OVERSTOCK01,WALMARTDS</t>
  </si>
  <si>
    <t>MPE73-788</t>
  </si>
  <si>
    <t>PP001058</t>
  </si>
  <si>
    <t>1/24/2019</t>
  </si>
  <si>
    <t>MPE73-1024</t>
  </si>
  <si>
    <t>PP001058;PF005959</t>
  </si>
  <si>
    <t>AMAZON,AMAZONDS,CSNSTORES,KOHLDSN,MACY02,OVERSTOCK01,TGTDVS,ZOLA</t>
  </si>
  <si>
    <t>MPE73-667</t>
  </si>
  <si>
    <t>7/16/2024</t>
  </si>
  <si>
    <t>AMAZON,AMAZONDS,BEALLSDS,BIGLOTSDS,BLK01,CSNSTORES,JCPENNEY01,KOHLDSN,MACY02,TGTDVS</t>
  </si>
  <si>
    <t>MPE73-664</t>
  </si>
  <si>
    <t>BLK01,CSNSTORES,JCPENNEY01,KOHLDSN,MACY02,TGTDVS</t>
  </si>
  <si>
    <t>MPE73-665</t>
  </si>
  <si>
    <t>MPE73-662</t>
  </si>
  <si>
    <t>5DS73-0234</t>
  </si>
  <si>
    <t>Aegean</t>
  </si>
  <si>
    <t>100% Turkish Cotton 6 Piece Towel Set</t>
  </si>
  <si>
    <t>PP001568;PF005266</t>
  </si>
  <si>
    <t>BIGLOTSDS,BLK01,FINGERHUTDS,JCPENNEY01,KIRKLANDDS,KOHLDSN,MACY02,OLLIIX,OVERSTOCK01,TGTDVS,WALMARTDS</t>
  </si>
  <si>
    <t>6/14/2022</t>
  </si>
  <si>
    <t>5DS73-0232</t>
  </si>
  <si>
    <t>PP001568;PF005264</t>
  </si>
  <si>
    <t>BIGLOTSDS,BLK01,JCPENNEY01,KOHLDSN,MACY02,OLLIIX,WALMARTDS</t>
  </si>
  <si>
    <t>5DS73-0236</t>
  </si>
  <si>
    <t>PP001568;PF005268</t>
  </si>
  <si>
    <t>BLK01,FINGERHUTDS,JCPENNEY01,KIRKLANDDS,KOHLDSN,MACY02,OLLIIX,OVERSTOCK01,TGTDVS</t>
  </si>
  <si>
    <t>5DS73-0233</t>
  </si>
  <si>
    <t>PP001568;PF005265</t>
  </si>
  <si>
    <t>BIGLOTSDS,BLK01,FINGERHUTDS,KOHLDSN,MACY02,OVERSCONSIGN,TGTDVS</t>
  </si>
  <si>
    <t>5DS73-0237</t>
  </si>
  <si>
    <t>PP001568;PF005269</t>
  </si>
  <si>
    <t>BLK01,JCPENNEY01,KIRKLANDDS,KOHLDSN,MACY02,OLLIIX,OVERSTOCK01,TGTDVS</t>
  </si>
  <si>
    <t>8/9/2021</t>
  </si>
  <si>
    <t>5DS73-0217</t>
  </si>
  <si>
    <t>Big Bundle</t>
  </si>
  <si>
    <t>100% Cotton Quick Dry 12 Piece Bath Towel Set</t>
  </si>
  <si>
    <t>PP001159;PF006347</t>
  </si>
  <si>
    <t>BIGLOTSDS,BLK01,FINGERHUTDS,JCPENNEY01,KIRKLANDDS,KOHLDSN,MACY02,TGTDVS</t>
  </si>
  <si>
    <t>5DS73-0201</t>
  </si>
  <si>
    <t>PP001159;PF006346</t>
  </si>
  <si>
    <t>AAFESDS,AMAZONDS,BEALLSDS,BLK01,FINGERHUTDS,JCPENNEY01,KOHLDSN,MACY02,TGTDVS</t>
  </si>
  <si>
    <t>5DS73-0202</t>
  </si>
  <si>
    <t>PP001159;PF006343</t>
  </si>
  <si>
    <t>AAFESDS,BEALLSDS,FINGERHUTDS,JCPENNEY01,KOHLDSN,MACY02,OLLIIX,TGTDVS</t>
  </si>
  <si>
    <t>11/16/2020</t>
  </si>
  <si>
    <t>5DS73-0261</t>
  </si>
  <si>
    <t>PP001159;PF006345</t>
  </si>
  <si>
    <t>BLK01,FINGERHUTDS,JCPENNEY01,KOHLDSN,MACY02,TGTDVS</t>
  </si>
  <si>
    <t>5DS73-0200</t>
  </si>
  <si>
    <t>PP001159;PF006344</t>
  </si>
  <si>
    <t>8/26/2024</t>
  </si>
  <si>
    <t>BIGLOTSDS,BLK01,FINGERHUTDS,JCPENNEY01,KOHLDSN,MACY02,OLLIIX,OVERSTOCK01</t>
  </si>
  <si>
    <t>BR73-3755</t>
  </si>
  <si>
    <t>Nuage</t>
  </si>
  <si>
    <t>Cotton Tencel Blend Antimicrobial 6 Piece Towel Set</t>
  </si>
  <si>
    <t>PP001792;PF005774</t>
  </si>
  <si>
    <t>AMAZONDS,CSNSTORES,JCPENNEY01,KOHLDSN,MACY02,OLLIIX,TGTDVS,ZOLA</t>
  </si>
  <si>
    <t>BR73-3753</t>
  </si>
  <si>
    <t>PP001792;PF005772</t>
  </si>
  <si>
    <t>BR73-3750</t>
  </si>
  <si>
    <t>PP001792;PF005769</t>
  </si>
  <si>
    <t>AMAZONDS,CSNSTORES,JCPENNEY01,MACY02,OLLIIX,TGTDVS,ZOLA</t>
  </si>
  <si>
    <t>BR73-3752</t>
  </si>
  <si>
    <t>PP001792;PF005771</t>
  </si>
  <si>
    <t>AMAZONDS,BLK01,CSNSTORES,JCPENNEY01,MACY02,OLLIIX,OVERSTOCK01,TGTDVS</t>
  </si>
  <si>
    <t>BR73-3754</t>
  </si>
  <si>
    <t>PP001792;PF005773</t>
  </si>
  <si>
    <t>AMAZONDS,CSNSTORES,JCPENNEY01,MACY02,TGTDVS</t>
  </si>
  <si>
    <t>BR73-3751</t>
  </si>
  <si>
    <t>PP001792;PF005770</t>
  </si>
  <si>
    <t>AMAZONDS,JCPENNEY01,KOHLDSN,MACY02,OLLIIX,TGTDVS</t>
  </si>
  <si>
    <t>BR73-2438</t>
  </si>
  <si>
    <t>100% Cotton Feather Touch Antimicrobial Towel 6 Piece Set</t>
  </si>
  <si>
    <t>PP001590;PF005339</t>
  </si>
  <si>
    <t>AMAZON,JCPENNEY01,MACY02,NORDSTRACKDS,OLLIIX,OVERSTOCK01,TGTDVS,ZOLA</t>
  </si>
  <si>
    <t>BR73-2440</t>
  </si>
  <si>
    <t>PP001590;PF005341</t>
  </si>
  <si>
    <t>BR73-2439</t>
  </si>
  <si>
    <t>AMAZON,JCPENNEY01,KOHLDSN,MACY02,OLLIIX,OVERSTOCK01,TGTDVS,ZOLA</t>
  </si>
  <si>
    <t>BR73-2436</t>
  </si>
  <si>
    <t>AMAZON,JCPENNEY01,KOHLDSN,MACY02,OVERSTOCK01,TGTDVS,ZOLA</t>
  </si>
  <si>
    <t>BR73-4070</t>
  </si>
  <si>
    <t>PP001590;PF005957</t>
  </si>
  <si>
    <t>AMAZON,AMAZONDS,MACY02,OLLIIX,ZOLA</t>
  </si>
  <si>
    <t>BR73-2437</t>
  </si>
  <si>
    <t>PP001590;PF005338</t>
  </si>
  <si>
    <t>AMAZON,AMAZONDS,BEALLSDS,JCPENNEY01,MACY02,OLLIIX,OVERSTOCK01,ZOLA</t>
  </si>
  <si>
    <t>BR73-2435</t>
  </si>
  <si>
    <t>LCN73-0132</t>
  </si>
  <si>
    <t>Nurture</t>
  </si>
  <si>
    <t>Sustainable Antimicrobial Bath Towel 6 Piece Set</t>
  </si>
  <si>
    <t>PP001624;PF005453</t>
  </si>
  <si>
    <t>LCN73-0130</t>
  </si>
  <si>
    <t>PP001624;PF005451</t>
  </si>
  <si>
    <t>LCN73-0131</t>
  </si>
  <si>
    <t>PP001624;PF005452</t>
  </si>
  <si>
    <t>LCN73-0129</t>
  </si>
  <si>
    <t>PP001624;PF005450</t>
  </si>
  <si>
    <t>KOHLDSN,MACY02,OLLIIX,ZOLA</t>
  </si>
  <si>
    <t>MP40-6761</t>
  </si>
  <si>
    <t>WIN</t>
  </si>
  <si>
    <t>Anaheim</t>
  </si>
  <si>
    <t>Salford</t>
  </si>
  <si>
    <t>Plaid Faux Leather Tab Top Curtain Panel with Fleece Lining</t>
  </si>
  <si>
    <t>50x84"</t>
  </si>
  <si>
    <t>PP001397;PF004933</t>
  </si>
  <si>
    <t>Light Filtering</t>
  </si>
  <si>
    <t>AMAZON,AMAZONDS,BLK01,TGTDVS,WALMARTDS</t>
  </si>
  <si>
    <t>7/15/2020</t>
  </si>
  <si>
    <t>MP40-6764</t>
  </si>
  <si>
    <t>Plaid Rod Pocket and Back Tab Curtain Panel with Fleece Lining</t>
  </si>
  <si>
    <t>50x95"</t>
  </si>
  <si>
    <t>AMAZONDS,CSNSTORES,HDDS,KOHLDSN,OLLIIX,OVERSTOCK01,TGTDVS,WALMARTDS</t>
  </si>
  <si>
    <t>MP40-6767</t>
  </si>
  <si>
    <t>PP001397;PF004934</t>
  </si>
  <si>
    <t>AMAZON,CSNSTORES,HDDS,JCPENNEY01,KOHLDSN,OVERSTOCK01,TGTDVS,WALMARTDS</t>
  </si>
  <si>
    <t>1/10/2021</t>
  </si>
  <si>
    <t>MP40-6765</t>
  </si>
  <si>
    <t>AMAZON,CSNSTORES,HDDS,JCPENNEY01,TGTDVS</t>
  </si>
  <si>
    <t>MP40-6768</t>
  </si>
  <si>
    <t>AMAZONDS,CSNSTORES,KOHLDSN,OLLIIX,TGTDVS,WALMARTDS</t>
  </si>
  <si>
    <t>MP40-8297</t>
  </si>
  <si>
    <t>PP001397;PF006073</t>
  </si>
  <si>
    <t>Mid-Century|Lodge/Cabin</t>
  </si>
  <si>
    <t>MP40-8295</t>
  </si>
  <si>
    <t>9/22/2023</t>
  </si>
  <si>
    <t>MP40-8296</t>
  </si>
  <si>
    <t>AMAZON,CSNSTORES,DESINC,JCPENNEY01,NRTPORT,OVERSTOCK01</t>
  </si>
  <si>
    <t>MP40-8276</t>
  </si>
  <si>
    <t>PP001397;PF006072</t>
  </si>
  <si>
    <t>MP40-8274</t>
  </si>
  <si>
    <t>MP40-8275</t>
  </si>
  <si>
    <t>CSNSTORES,NRTPORT,OLLIIX</t>
  </si>
  <si>
    <t>MP40-6366</t>
  </si>
  <si>
    <t>Lillian</t>
  </si>
  <si>
    <t>Twist Tab Total Blackout Window Curtain Panel</t>
  </si>
  <si>
    <t>50x84" Blackout</t>
  </si>
  <si>
    <t>PF003958</t>
  </si>
  <si>
    <t>Total Blackout</t>
  </si>
  <si>
    <t>AMAZON,AMAZONDS,ASHFURNDS,BLK01,CSNSTORES,FINGERHUTDS,JCPENNEY01,KOHLDSN,OLLIIX,OVERSTOCK01,TGTDVS</t>
  </si>
  <si>
    <t>MP40-6367</t>
  </si>
  <si>
    <t>50x95" Blackout</t>
  </si>
  <si>
    <t>AMAZON,AMAZONDS,ASHFURNDS,BLK01,CSNSTORES,HDDS,JCPENNEY01,KIRKLANDDS,KOHLDSN,OLLIIX,OVERSTOCK01,TGTDVS,WALMARTDS</t>
  </si>
  <si>
    <t>6/12/2020</t>
  </si>
  <si>
    <t>MP40-7405</t>
  </si>
  <si>
    <t>PF003966;PP001164</t>
  </si>
  <si>
    <t>MP40-7406</t>
  </si>
  <si>
    <t>BLK01,CSNSTORES,JCPENNEY01,TGTDVS</t>
  </si>
  <si>
    <t>MP40-6369</t>
  </si>
  <si>
    <t>PF003964</t>
  </si>
  <si>
    <t>ASHFURNDS,CSNSTORES,HOUZZ,JCPENNEY01,KOHLDSN,TGTDVS</t>
  </si>
  <si>
    <t>MP40-7407</t>
  </si>
  <si>
    <t>Pewter</t>
  </si>
  <si>
    <t>PF003967;PP001164</t>
  </si>
  <si>
    <t>AMAZON,AMAZONDS,JCPENNEY01,OVERSTOCK01,TGTDVS</t>
  </si>
  <si>
    <t>MP40-7408</t>
  </si>
  <si>
    <t>BLK01,CSNSTORES,JCPENNEY01,OLLIIX</t>
  </si>
  <si>
    <t>MP40-3624</t>
  </si>
  <si>
    <t>Joycelyn</t>
  </si>
  <si>
    <t>Ariana</t>
  </si>
  <si>
    <t>Cotton Oversized Ruffle Curtain Panel</t>
  </si>
  <si>
    <t>50x63"</t>
  </si>
  <si>
    <t>PF003972</t>
  </si>
  <si>
    <t>3/22/2017</t>
  </si>
  <si>
    <t>WIN40-140</t>
  </si>
  <si>
    <t>AMAZON,AMAZONDS,CSNSTORES,JCPENNEY01,KOHLDSN,OLLIIX,OVERSTOCK01,TGTDVS,WALMARTDS</t>
  </si>
  <si>
    <t>6/23/2016</t>
  </si>
  <si>
    <t>WIN40-098</t>
  </si>
  <si>
    <t>Andora</t>
  </si>
  <si>
    <t>Eliza</t>
  </si>
  <si>
    <t>Aden</t>
  </si>
  <si>
    <t>PF003798</t>
  </si>
  <si>
    <t>AMAZON,BEALLSDS,CSNSTORES,JCPENNEY01,KOHLDSN,TGTDVS,WALMARTDS</t>
  </si>
  <si>
    <t>6/16/2016</t>
  </si>
  <si>
    <t>MP40-716</t>
  </si>
  <si>
    <t>AMAZON,ASHFURNDS,BLK01,HSNDS,JCPENNEY01,KOHLDSN,TGTDVS</t>
  </si>
  <si>
    <t>8/3/2016</t>
  </si>
  <si>
    <t>MP40-1781</t>
  </si>
  <si>
    <t>PF003840</t>
  </si>
  <si>
    <t>BLK01,CSNSTORES,HDDS,KOHLDSN,WALMARTDS</t>
  </si>
  <si>
    <t>MP40-1782</t>
  </si>
  <si>
    <t>AMAZON,DESINC,JCPENNEY01,KOHLDSN</t>
  </si>
  <si>
    <t>MP40-1295</t>
  </si>
  <si>
    <t>PF003823</t>
  </si>
  <si>
    <t>AMAZON,AMAZONDS,BEALLSDS,HDDS,JCPENNEY01,OVERSTOCK01,TGTDVS</t>
  </si>
  <si>
    <t>5/24/2016</t>
  </si>
  <si>
    <t>MP40-1297</t>
  </si>
  <si>
    <t>BLK01,CSNSTORES,HDDS,JCPENNEY01,OVERSTOCK01,TGTDVS</t>
  </si>
  <si>
    <t>8/8/2016</t>
  </si>
  <si>
    <t>MP40-1296</t>
  </si>
  <si>
    <t>PF003962</t>
  </si>
  <si>
    <t>AMAZONDS,HDDS,JCPENNEY01,TGTDVS</t>
  </si>
  <si>
    <t>7/18/2016</t>
  </si>
  <si>
    <t>WIN40-100</t>
  </si>
  <si>
    <t>PF003816</t>
  </si>
  <si>
    <t>AMAZON,CSNSTORES,HDDS,HSNDS,JCPENNEY01,KOHLDSN,TGTDVS</t>
  </si>
  <si>
    <t>6/13/2016</t>
  </si>
  <si>
    <t>MP40-718</t>
  </si>
  <si>
    <t>ASHFURNDS,CSNSTORES,HDDS,JCPENNEY01,TGTDVS</t>
  </si>
  <si>
    <t>9/14/2016</t>
  </si>
  <si>
    <t>MP40-1280</t>
  </si>
  <si>
    <t>Saratoga</t>
  </si>
  <si>
    <t>Westmont</t>
  </si>
  <si>
    <t>Sereno</t>
  </si>
  <si>
    <t>Fretwork Print Grommet Top Window Curtain Panel</t>
  </si>
  <si>
    <t>PF003997;PP000501</t>
  </si>
  <si>
    <t>BIGLOTSDS,JCPENNEY01,KOHLDSN,TGTDVS</t>
  </si>
  <si>
    <t>8/22/2016</t>
  </si>
  <si>
    <t>MP40-1282</t>
  </si>
  <si>
    <t>AMAZON,HSNDS,JCPENNEY01,KOHLDSN,TGTDVS</t>
  </si>
  <si>
    <t>MP40-1284</t>
  </si>
  <si>
    <t>AMAZON,AMAZONDS,DESINC,JCPENNEY01,TGTDVS</t>
  </si>
  <si>
    <t>8/15/2016</t>
  </si>
  <si>
    <t>MP40-2018</t>
  </si>
  <si>
    <t>50x108"</t>
  </si>
  <si>
    <t>9/23/2016</t>
  </si>
  <si>
    <t>MP40-3597</t>
  </si>
  <si>
    <t>Beige/Gold</t>
  </si>
  <si>
    <t>PF004004;PP000501</t>
  </si>
  <si>
    <t>AMAZONDS,BIGLOTSDS,JCPENNEY01,KOHLDSN,TGTDVS</t>
  </si>
  <si>
    <t>MP40-3598</t>
  </si>
  <si>
    <t>AMAZONDS,BIGLOTSDS,BLK01,CSNSTORES,JCPENNEY01,KOHLDSN,TGTDVS</t>
  </si>
  <si>
    <t>MP40-3600</t>
  </si>
  <si>
    <t>MP40-1279</t>
  </si>
  <si>
    <t>Beige/Grey</t>
  </si>
  <si>
    <t>PF003996;PP000501</t>
  </si>
  <si>
    <t>BIGLOTSDS,JCPENNEY01,KOHLDSN</t>
  </si>
  <si>
    <t>8/17/2016</t>
  </si>
  <si>
    <t>MP40-1281</t>
  </si>
  <si>
    <t>CSNSTORES,HSNDS,JCPENNEY01,KOHLDSN,TGTDVS</t>
  </si>
  <si>
    <t>8/12/2016</t>
  </si>
  <si>
    <t>MP40-1283</t>
  </si>
  <si>
    <t>8/23/2016</t>
  </si>
  <si>
    <t>MP40-2019</t>
  </si>
  <si>
    <t>DESINC,JCPENNEY01,KOHLDSN</t>
  </si>
  <si>
    <t>MP40-2395</t>
  </si>
  <si>
    <t>PF004001;PP000501</t>
  </si>
  <si>
    <t>4/27/2017</t>
  </si>
  <si>
    <t>AMAZON,BIGLOTSDS,CSNSTORES,JCPENNEY01,KOHLDSN,TGTDVS</t>
  </si>
  <si>
    <t>MP40-2396</t>
  </si>
  <si>
    <t>AMAZON,CSNSTORES,JCPENNEY01,KOHLDSN,OLLIIX,TGTDVS</t>
  </si>
  <si>
    <t>1/6/2017</t>
  </si>
  <si>
    <t>MP40-2397</t>
  </si>
  <si>
    <t>1/24/2017</t>
  </si>
  <si>
    <t>MP40-2398</t>
  </si>
  <si>
    <t>MP40-2401</t>
  </si>
  <si>
    <t>Seafoam/White</t>
  </si>
  <si>
    <t>PF004002;PP000501</t>
  </si>
  <si>
    <t>MP40-2402</t>
  </si>
  <si>
    <t>AMAZON,BIGLOTSDS,CSNSTORES,JCPENNEY01,KOHLDSN,OVERSTOCK01,TGTDVS</t>
  </si>
  <si>
    <t>MP40-2403</t>
  </si>
  <si>
    <t>MP40-2404</t>
  </si>
  <si>
    <t>AMAZONDS,JCPENNEY01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</si>
  <si>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</si>
  <si>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</si>
  <si>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</si>
  <si>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</si>
  <si>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</si>
  <si>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</si>
  <si>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AMAZON,AMAZONDS,BLK01,JCPENNEY01,KOHLDSN,OLLIIX</t>
  </si>
  <si>
    <t>MP40-7494</t>
  </si>
  <si>
    <t>Faux Linen Tab Top Fleece Lined Curtain Panel</t>
  </si>
  <si>
    <t>AMAZON,AMAZONDS,BLK01,CSNSTORES,JCPENNEY01,KOHLDSN,OVERSTOCK01</t>
  </si>
  <si>
    <t>MP40-7496</t>
  </si>
  <si>
    <t>MP40-6750</t>
  </si>
  <si>
    <t>Englewood</t>
  </si>
  <si>
    <t>Oslow</t>
  </si>
  <si>
    <t>Lincoln</t>
  </si>
  <si>
    <t>Solid Piece Dyed Grommet Top Curtain Panel</t>
  </si>
  <si>
    <t>PP001398;PF004938</t>
  </si>
  <si>
    <t>2/13/2023</t>
  </si>
  <si>
    <t>MP40-6751</t>
  </si>
  <si>
    <t>MP40-6752</t>
  </si>
  <si>
    <t>ASHFURNDS,CSNSTORES,JCPENNEY01,KOHLDSN,OLLIIX,TGTDVS</t>
  </si>
  <si>
    <t>11/8/2022</t>
  </si>
  <si>
    <t>MP40-4209</t>
  </si>
  <si>
    <t>Embroidered Curtain Panel</t>
  </si>
  <si>
    <t>AMAZON,BLK01,TGTDVS</t>
  </si>
  <si>
    <t>5/1/2017</t>
  </si>
  <si>
    <t>10/24/2017</t>
  </si>
  <si>
    <t>MP40-5478</t>
  </si>
  <si>
    <t>1/3/2018</t>
  </si>
  <si>
    <t>AMAZON,BLK01,CSNSTORES,JCPENNEY01,KOHLDSN,TGTDVS</t>
  </si>
  <si>
    <t>12/31/2018</t>
  </si>
  <si>
    <t>MP40-5468</t>
  </si>
  <si>
    <t>Sheer Pair</t>
  </si>
  <si>
    <t>Ceres</t>
  </si>
  <si>
    <t>Elowen</t>
  </si>
  <si>
    <t>Persis</t>
  </si>
  <si>
    <t>Twist Tab Voile Sheer Window Pair</t>
  </si>
  <si>
    <t>2-PK 50x84"</t>
  </si>
  <si>
    <t>PF004097</t>
  </si>
  <si>
    <t>Sheer</t>
  </si>
  <si>
    <t>AMAZON,BEALLSDS,BIGLOTSDS,BLK01,CSNSTORES,JCPENNEY01,KOHLDSN,OVERSTOCK01,TGTDVS,WALMARTDS</t>
  </si>
  <si>
    <t>MP40-5469</t>
  </si>
  <si>
    <t>2-PK 50x95"</t>
  </si>
  <si>
    <t>AMAZON,ASHFURNDS,CSNSTORES,JCPENNEY01,KOHLDSN,OVERSTOCK01,TGTDVS,WALMARTDS</t>
  </si>
  <si>
    <t>8/15/2018</t>
  </si>
  <si>
    <t>MP40-7372</t>
  </si>
  <si>
    <t>Twisted Tab Voile Sheer Window Pair</t>
  </si>
  <si>
    <t>PP001184;PF005382</t>
  </si>
  <si>
    <t>4/6/2021</t>
  </si>
  <si>
    <t>AMAZON,CSNSTORES,DESINC,JCPENNEY01,KOHLDSN,OVERSTOCK01</t>
  </si>
  <si>
    <t>MP40-7371</t>
  </si>
  <si>
    <t>2-PK 50x63"</t>
  </si>
  <si>
    <t>AMAZON,CSNSTORES,JCPENNEY01,KOHLDSN</t>
  </si>
  <si>
    <t>MP40-7373</t>
  </si>
  <si>
    <t>AMAZONDS,CSNSTORES,JCPENNEY01,KOHLDSN</t>
  </si>
  <si>
    <t>MP40-4525</t>
  </si>
  <si>
    <t>Kaylee</t>
  </si>
  <si>
    <t>Solid Crushed Curtain Panel Pair</t>
  </si>
  <si>
    <t>42x84"</t>
  </si>
  <si>
    <t>PF003909</t>
  </si>
  <si>
    <t>AMAZON,AMAZONDS,CSNSTORES,DESINC,JCPENNEY01,KOHLDSN,OLLIIX,TGTDVS,WALMARTDS</t>
  </si>
  <si>
    <t>MP40-4526</t>
  </si>
  <si>
    <t>42x95"</t>
  </si>
  <si>
    <t>MP40-4485</t>
  </si>
  <si>
    <t>PF003910</t>
  </si>
  <si>
    <t>AMAZON,CSNSTORES,DESINC,JCPENNEY01,KOHLDSN,OVERSTOCK01,WALMARTDS</t>
  </si>
  <si>
    <t>MP40-4486</t>
  </si>
  <si>
    <t>KOHLDSN,OLLIIX,TGTDVS</t>
  </si>
  <si>
    <t>MP40-4501</t>
  </si>
  <si>
    <t>PF003912</t>
  </si>
  <si>
    <t>MP40-4497</t>
  </si>
  <si>
    <t>PF003913</t>
  </si>
  <si>
    <t>9/7/2018</t>
  </si>
  <si>
    <t>MP40-4498</t>
  </si>
  <si>
    <t>MP40-8258</t>
  </si>
  <si>
    <t>Burnout Printed Curtain Panel Pair</t>
  </si>
  <si>
    <t>PP001540;PF005196</t>
  </si>
  <si>
    <t>BLK01,CSNSTORES,OVERSTOCK01</t>
  </si>
  <si>
    <t>MP40-8257</t>
  </si>
  <si>
    <t>PP001360;PF005422</t>
  </si>
  <si>
    <t>MP40-4513</t>
  </si>
  <si>
    <t>Window Scarf</t>
  </si>
  <si>
    <t>Solid Crushed Scarf Sheer</t>
  </si>
  <si>
    <t>42x216"</t>
  </si>
  <si>
    <t>AMAZON,AMAZONDS,BIGLOTSDS,BLK01,CSNSTORES,JCPENNEY01,KOHLDSN,OVERSTOCK01,TGTDVS,WALMARTDS</t>
  </si>
  <si>
    <t>5/22/2018</t>
  </si>
  <si>
    <t>MP40-4505</t>
  </si>
  <si>
    <t>MP40-4511</t>
  </si>
  <si>
    <t>MP40-4938</t>
  </si>
  <si>
    <t>Irina</t>
  </si>
  <si>
    <t>Iris</t>
  </si>
  <si>
    <t>Clarissa</t>
  </si>
  <si>
    <t>Diamond Sheer Embroidered Window Scarf</t>
  </si>
  <si>
    <t>50x144"</t>
  </si>
  <si>
    <t>PF004006</t>
  </si>
  <si>
    <t>CSNSTORES,DESINC,JCPENNEY01,KOHLDSN</t>
  </si>
  <si>
    <t>9/25/2017</t>
  </si>
  <si>
    <t>12/20/2017</t>
  </si>
  <si>
    <t>MP40-4939</t>
  </si>
  <si>
    <t>50x216"</t>
  </si>
  <si>
    <t>AMAZON,AMAZONDS,BLK01,CSNSTORES,KOHLDSN,TGTDVS,WALMARTDS</t>
  </si>
  <si>
    <t>MP40-4942</t>
  </si>
  <si>
    <t>PF004007</t>
  </si>
  <si>
    <t>MP40-4935</t>
  </si>
  <si>
    <t>PF004005</t>
  </si>
  <si>
    <t>AMAZON,ASHFURNDS,CSNSTORES,JCPENNEY01,KOHLDSN,OVERSTOCK01,TGTDVS</t>
  </si>
  <si>
    <t>12/2/2018</t>
  </si>
  <si>
    <t>MP40-4946</t>
  </si>
  <si>
    <t>PF004008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</si>
  <si>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</si>
  <si>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</si>
  <si>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</si>
  <si>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</si>
  <si>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</si>
  <si>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</si>
  <si>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AMAZON,CSNSTORES,DESINC,JCPENNEY01,KOHLDSN,OVERSTOCK01,TGTDVS,WALMARTDS</t>
  </si>
  <si>
    <t>9/6/2016</t>
  </si>
  <si>
    <t>MP40-3595</t>
  </si>
  <si>
    <t>PF003984</t>
  </si>
  <si>
    <t>Nature</t>
  </si>
  <si>
    <t>MP40-5650</t>
  </si>
  <si>
    <t>Rosette</t>
  </si>
  <si>
    <t>Florah</t>
  </si>
  <si>
    <t>Bloom</t>
  </si>
  <si>
    <t>Floral Embellished Cuff Tab Top Solid Curtain Panel</t>
  </si>
  <si>
    <t>PP000857;PF004201</t>
  </si>
  <si>
    <t>CSNSTORES,JCPENNEY01,KOHLDSN,WALMARTDS</t>
  </si>
  <si>
    <t>7/2/2018</t>
  </si>
  <si>
    <t>MP40-5651</t>
  </si>
  <si>
    <t>AMAZON,AMAZONDS,ASHFURNDS,BLK01,CSNSTORES,JCPENNEY01,OVERSTOCK01,TGTDVS</t>
  </si>
  <si>
    <t>10/30/2018</t>
  </si>
  <si>
    <t>MP40-5652</t>
  </si>
  <si>
    <t>AMAZON,CSNSTORES,JCPENNEY01,TGTDVS</t>
  </si>
  <si>
    <t>7/12/2018</t>
  </si>
  <si>
    <t>MP40-5647</t>
  </si>
  <si>
    <t>PP000857;PF004200</t>
  </si>
  <si>
    <t>8/24/2018</t>
  </si>
  <si>
    <t>MP40-5648</t>
  </si>
  <si>
    <t>AMAZON,ASHFURNDS,BLK01,CSNSTORES,KOHLDSN,OLLIIX,OVERSTOCK01,TGTDVS</t>
  </si>
  <si>
    <t>MP40-5649</t>
  </si>
  <si>
    <t>AMAZON,AMAZONDS,CSNSTORES,KOHLDSN</t>
  </si>
  <si>
    <t>MP40-6829</t>
  </si>
  <si>
    <t>PP000857;PF004966</t>
  </si>
  <si>
    <t>11/21/2019</t>
  </si>
  <si>
    <t>AMAZON,AMAZONDS,ASHFURNDS,CSNSTORES,KOHLDSN</t>
  </si>
  <si>
    <t>MP40-6830</t>
  </si>
  <si>
    <t>OLLIIX,OVERSCONSIGN</t>
  </si>
  <si>
    <t>1/27/2020</t>
  </si>
  <si>
    <t>MP40-7228</t>
  </si>
  <si>
    <t>Burnout Printed Curtain Panel</t>
  </si>
  <si>
    <t>9/22/2020</t>
  </si>
  <si>
    <t>AMAZON,AMAZONDS,BEALLSDS,CSNSTORES,JCPENNEY01,KOHLDSN,OVERSTOCK01,TGTDVS</t>
  </si>
  <si>
    <t>MP40-7910</t>
  </si>
  <si>
    <t>3/16/2022</t>
  </si>
  <si>
    <t>AMAZON,AMAZONDS,CSNSTORES,DESINC,JCPENNEY01,KOHLDSN,OVERSTOCK01</t>
  </si>
  <si>
    <t>MP40-7909</t>
  </si>
  <si>
    <t>PF001560;PP001540</t>
  </si>
  <si>
    <t>AMAZON,AMAZONDS,CSNSTORES,HDDS,JCPENNEY01,KOHLDSN,OVERSTOCK01</t>
  </si>
  <si>
    <t>MP40-6605</t>
  </si>
  <si>
    <t>AMAZON,ASHFURNDS,BEALLSDS,CSNSTORES,FINGERHUTDS,JCPENNEY01,KOHLDSN,OVERSTOCK01,TGTDVS</t>
  </si>
  <si>
    <t>MP40-7911</t>
  </si>
  <si>
    <t>CSNSTORES,HDDS,JCPENNEY01,KOHLDSN,OVERSTOCK01</t>
  </si>
  <si>
    <t>MP40-7434</t>
  </si>
  <si>
    <t>4/14/2021</t>
  </si>
  <si>
    <t>MP40-7908</t>
  </si>
  <si>
    <t>AMAZON,AMAZONDS,CSNSTORES,JCPENNEY01,KOHLDSN</t>
  </si>
  <si>
    <t>MP40-3776</t>
  </si>
  <si>
    <t>Laya</t>
  </si>
  <si>
    <t>Zoe</t>
  </si>
  <si>
    <t>Fretwork Burnout Sheer Curtain Panel</t>
  </si>
  <si>
    <t>PF003820</t>
  </si>
  <si>
    <t>CSNSTORES,FINGERHUTDS,KOHLDSN</t>
  </si>
  <si>
    <t>MP40-3777</t>
  </si>
  <si>
    <t>BEALLSDS,CSNSTORES,FINGERHUTDS,JCPENNEY01,KOHLDSN,OVERSTOCK01,TGTDVS</t>
  </si>
  <si>
    <t>7/28/2017</t>
  </si>
  <si>
    <t>MP40-3778</t>
  </si>
  <si>
    <t>BLK01,CSNSTORES,DESINC,JCPENNEY01,TGTDVS</t>
  </si>
  <si>
    <t>MP40-3773</t>
  </si>
  <si>
    <t>PF003821</t>
  </si>
  <si>
    <t>ASHFURNDS,CSNSTORES,FINGERHUTDS,JCPENNEY01,TGTDVS</t>
  </si>
  <si>
    <t>9/11/2017</t>
  </si>
  <si>
    <t>MP40-3775</t>
  </si>
  <si>
    <t>9/12/2017</t>
  </si>
  <si>
    <t>MP40-1066</t>
  </si>
  <si>
    <t>Diamond Sheer Window Curtain Panel</t>
  </si>
  <si>
    <t>7/25/2016</t>
  </si>
  <si>
    <t>MP40-1065</t>
  </si>
  <si>
    <t>AMAZONDS,BLK01,KOHLDSN,TGTDVS</t>
  </si>
  <si>
    <t>MP40-2333</t>
  </si>
  <si>
    <t>6/29/2016</t>
  </si>
  <si>
    <t>MP40-2332</t>
  </si>
  <si>
    <t>HDDS,KOHLDSN,TGTDVS</t>
  </si>
  <si>
    <t>7/6/2016</t>
  </si>
  <si>
    <t>MP40-2010</t>
  </si>
  <si>
    <t>AMAZON,BEALLSDS,CSNSTORES,HDDS,OVERSTOCK01,TGTDVS</t>
  </si>
  <si>
    <t>MP40-7491</t>
  </si>
  <si>
    <t>Leilani</t>
  </si>
  <si>
    <t>Kauna</t>
  </si>
  <si>
    <t>Maui</t>
  </si>
  <si>
    <t>Palm Leaf Burnout Window Sheer</t>
  </si>
  <si>
    <t>PP001628;PF005464</t>
  </si>
  <si>
    <t>MP40-7492</t>
  </si>
  <si>
    <t>MP40-7493</t>
  </si>
  <si>
    <t>AMAZONDS,CSNSTORES,KOHLDSN,OVERSTOCK01</t>
  </si>
  <si>
    <t>MP40-2679</t>
  </si>
  <si>
    <t>Panel Pair</t>
  </si>
  <si>
    <t>Jacquard Curtain Panel Pair</t>
  </si>
  <si>
    <t>AMAZON,AMAZONDS,BLK01,HDDS</t>
  </si>
  <si>
    <t>MP40-4897</t>
  </si>
  <si>
    <t>3/6/2019</t>
  </si>
  <si>
    <t>MP40-8259</t>
  </si>
  <si>
    <t>Twist Tab Lined Window Curtain Panel Pair</t>
  </si>
  <si>
    <t>Room Darkening</t>
  </si>
  <si>
    <t>9/27/2023</t>
  </si>
  <si>
    <t>BLK01,OVERSTOCK01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</si>
  <si>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</si>
  <si>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</si>
  <si>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</si>
  <si>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</si>
  <si>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</si>
  <si>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</si>
  <si>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</si>
  <si>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AMAZONDS,CSNSTORES,HDDS,JCPENNEY01,OLLIIX,OVERSTOCK01</t>
  </si>
  <si>
    <t>MP40-7922</t>
  </si>
  <si>
    <t>PP001307;PF004745</t>
  </si>
  <si>
    <t>CSNSTORES,HDDS,JCPENNEY01,KOHLDSN,OLLIIX,OVERSTOCK01</t>
  </si>
  <si>
    <t>MP40-7924</t>
  </si>
  <si>
    <t>PP001307;PF005195</t>
  </si>
  <si>
    <t>CSNSTORES,HDDS,JCPENNEY01,KIRKLANDDS,KOHLDSN</t>
  </si>
  <si>
    <t>MP40-7985</t>
  </si>
  <si>
    <t>Kyler</t>
  </si>
  <si>
    <t>Suvi</t>
  </si>
  <si>
    <t>Juno</t>
  </si>
  <si>
    <t>Linen Blend Light Filtering Curtain Panel Pair</t>
  </si>
  <si>
    <t>2-PK 52x84"</t>
  </si>
  <si>
    <t>PP001787;PF005750</t>
  </si>
  <si>
    <t>8/12/2022</t>
  </si>
  <si>
    <t>CSNSTORES,JCPENNEY01,KIRKLANDDS,KOHLDSN</t>
  </si>
  <si>
    <t>MP40-7983</t>
  </si>
  <si>
    <t>PP001787;PF005748</t>
  </si>
  <si>
    <t>MP40-7435</t>
  </si>
  <si>
    <t>Roman Shade</t>
  </si>
  <si>
    <t>Como</t>
  </si>
  <si>
    <t>Leighton</t>
  </si>
  <si>
    <t>Printed Faux Silk Room Darkening Cordless Roman Shade</t>
  </si>
  <si>
    <t>27x64"</t>
  </si>
  <si>
    <t>PP001428;PF004982</t>
  </si>
  <si>
    <t>AMAZON,JCPENNEY01,TGTDVS</t>
  </si>
  <si>
    <t>MP40-7436</t>
  </si>
  <si>
    <t>31x64"</t>
  </si>
  <si>
    <t>MP40-7437</t>
  </si>
  <si>
    <t>33x64"</t>
  </si>
  <si>
    <t>AMAZON,HDDS,HOUZZ,JCPENNEY01,KOHLDSN</t>
  </si>
  <si>
    <t>MP40-7438</t>
  </si>
  <si>
    <t>35x64"</t>
  </si>
  <si>
    <t>AMAZON,AMAZONDS,DESINC,HDDS,JCPENNEY01,TGTDVS</t>
  </si>
  <si>
    <t>MP40-7439</t>
  </si>
  <si>
    <t>39x64"</t>
  </si>
  <si>
    <t>MP40-7445</t>
  </si>
  <si>
    <t>PP001428;PF004983</t>
  </si>
  <si>
    <t>AMAZONDS,CSNSTORES,TGTDVS</t>
  </si>
  <si>
    <t>MP40-7446</t>
  </si>
  <si>
    <t>MP40-7447</t>
  </si>
  <si>
    <t>MP40-7448</t>
  </si>
  <si>
    <t>MP40-7449</t>
  </si>
  <si>
    <t>AMAZON,AMAZONDS,BLK01,OLLIIX,TGTDVS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</si>
  <si>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</si>
  <si>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</si>
  <si>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</si>
  <si>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</si>
  <si>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</si>
  <si>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</si>
  <si>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</si>
  <si>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</si>
  <si>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4/5/2022</t>
  </si>
  <si>
    <t>AMAZONDS,CSNSTORES,HDDS,JCPENNEY01,KOHLDSN</t>
  </si>
  <si>
    <t>MP40-7800</t>
  </si>
  <si>
    <t>29x64"</t>
  </si>
  <si>
    <t>AMAZONDS,HDDS,JCPENNEY01,KIRKLANDDS,OVERSTOCK01</t>
  </si>
  <si>
    <t>MP40-7801</t>
  </si>
  <si>
    <t>AMAZONDS,CSNSTORES,HDDS,JCPENNEY01,KOHLDSN,OLLIIX,OVERSTOCK01</t>
  </si>
  <si>
    <t>MP40-7802</t>
  </si>
  <si>
    <t>AMAZONDS,HDDS,JCPENNEY01,KOHLDSN,OLLIIX,OVERSTOCK01</t>
  </si>
  <si>
    <t>MP40-7803</t>
  </si>
  <si>
    <t>MP40-7809</t>
  </si>
  <si>
    <t>Teak</t>
  </si>
  <si>
    <t>PP001722;PF005638</t>
  </si>
  <si>
    <t>AMAZONDS,HDDS,JCPENNEY01,KOHLDSN,OVERSTOCK01</t>
  </si>
  <si>
    <t>MP40-7810</t>
  </si>
  <si>
    <t>AMAZONDS,CSNSTORES,HDDS,JCPENNEY01,KOHLDSN,OVERSTOCK01</t>
  </si>
  <si>
    <t>MP40-7811</t>
  </si>
  <si>
    <t>MP40-7812</t>
  </si>
  <si>
    <t>MP40-7813</t>
  </si>
  <si>
    <t>MP40-7870</t>
  </si>
  <si>
    <t>Basketweave Room Darkening Cordless Roman Shade</t>
  </si>
  <si>
    <t>23x64"</t>
  </si>
  <si>
    <t>AMAZONDS,HDDS,KOHLDSN</t>
  </si>
  <si>
    <t>MP40-7317</t>
  </si>
  <si>
    <t>1/5/2021</t>
  </si>
  <si>
    <t>AMAZON,CSNSTORES,HDDS,TGTDVS</t>
  </si>
  <si>
    <t>MP40-7871</t>
  </si>
  <si>
    <t>AMAZON,AMAZONDS,JCPENNEY01,KOHLDSN</t>
  </si>
  <si>
    <t>MP40-7318</t>
  </si>
  <si>
    <t>AMAZON,HDDS,HOUZZ,TGTDVS</t>
  </si>
  <si>
    <t>MP40-7319</t>
  </si>
  <si>
    <t>AMAZON,HOUZZ,KOHLDSN,TGTDVS</t>
  </si>
  <si>
    <t>MP40-7872</t>
  </si>
  <si>
    <t>34x64"</t>
  </si>
  <si>
    <t>AMAZON,AMAZONDS,DESINC,JCPENNEY01,OVERSTOCK01</t>
  </si>
  <si>
    <t>MP40-7320</t>
  </si>
  <si>
    <t>AMAZON,AMAZONDS,BEALLSDS,CSNSTORES,HDDS,JCPENNEY01,KOHLDSN,TGTDVS</t>
  </si>
  <si>
    <t>MP40-7321</t>
  </si>
  <si>
    <t>MP40-7749</t>
  </si>
  <si>
    <t>PP001307;PF004746</t>
  </si>
  <si>
    <t>AMAZON,CSNSTORES,HDDS,JCPENNEY01,KOHLDSN</t>
  </si>
  <si>
    <t>MP40-7750</t>
  </si>
  <si>
    <t>AMAZON,AMAZONDS,JCPENNEY01</t>
  </si>
  <si>
    <t>MP40-6552</t>
  </si>
  <si>
    <t>AMAZON,AMAZONDS,HDDS,KOHLDSN,TGTDVS</t>
  </si>
  <si>
    <t>11/17/2019</t>
  </si>
  <si>
    <t>MP40-7751</t>
  </si>
  <si>
    <t>AMAZON,HDDS,JCPENNEY01</t>
  </si>
  <si>
    <t>MP40-7195</t>
  </si>
  <si>
    <t>MP40-7746</t>
  </si>
  <si>
    <t>MP40-7747</t>
  </si>
  <si>
    <t>AMAZON,AMAZONDS,HDDS,JCPENNEY01,KOHLDSN,OVERSTOCK01</t>
  </si>
  <si>
    <t>MP40-7748</t>
  </si>
  <si>
    <t>MP40-7194</t>
  </si>
  <si>
    <t>MP40-7867</t>
  </si>
  <si>
    <t>PP001307;PF005660</t>
  </si>
  <si>
    <t>AMAZON,AMAZONDS,HDDS,KOHLDSN,OVERSTOCK01</t>
  </si>
  <si>
    <t>MP40-7322</t>
  </si>
  <si>
    <t>CSNSTORES,HDDS,JCPENNEY01,KOHLDSN,TGTDVS</t>
  </si>
  <si>
    <t>MP40-7868</t>
  </si>
  <si>
    <t>AMAZON,AMAZONDS,CSNSTORES,JCPENNEY01,KOHLDSN,OVERSTOCK01</t>
  </si>
  <si>
    <t>MP40-7323</t>
  </si>
  <si>
    <t>MP40-7324</t>
  </si>
  <si>
    <t>MP40-7869</t>
  </si>
  <si>
    <t>MP40-7325</t>
  </si>
  <si>
    <t>AMAZON,CSNSTORES,HDDS,JCPENNEY01,KOHLDSN,TGTDVS</t>
  </si>
  <si>
    <t>MP40-7326</t>
  </si>
  <si>
    <t>CSNSTORES,HDDS,JCPENNEY01,TGTDVS</t>
  </si>
  <si>
    <t>MP40-7864</t>
  </si>
  <si>
    <t>AMAZON,AMAZONDS,CSNSTORES,HDDS,JCPENNEY01,KOHLDSN</t>
  </si>
  <si>
    <t>MP40-7223</t>
  </si>
  <si>
    <t>AMAZON,CSNSTORES,HDDS,JCPENNEY01,KOHLDSN,OLLIIX,OVERSTOCK01,TGTDVS</t>
  </si>
  <si>
    <t>MP40-7865</t>
  </si>
  <si>
    <t>AMAZON,AMAZONDS,CSNSTORES,HDDS,JCPENNEY01,KOHLDSN,OLLIIX,OVERSTOCK01</t>
  </si>
  <si>
    <t>MP40-7224</t>
  </si>
  <si>
    <t>MP40-7225</t>
  </si>
  <si>
    <t>AMAZON,CSNSTORES,HDDS,JCPENNEY01,OLLIIX,TGTDVS</t>
  </si>
  <si>
    <t>MP40-7866</t>
  </si>
  <si>
    <t>AMAZON,AMAZONDS,BIGLOTSDS,CSNSTORES,HDDS,JCPENNEY01,KOHLDSN,OVERSTOCK01</t>
  </si>
  <si>
    <t>MP40-7226</t>
  </si>
  <si>
    <t>AMAZON,HDDS,JCPENNEY01,KOHLDSN,OLLIIX,TGTDVS</t>
  </si>
  <si>
    <t>MP40-7227</t>
  </si>
  <si>
    <t>MP40-7978</t>
  </si>
  <si>
    <t>Linen Blend Light Filtering Cordless Roman Shade</t>
  </si>
  <si>
    <t>MP40-7979</t>
  </si>
  <si>
    <t>AMAZON,CSNSTORES,HDDS,JCPENNEY01,KOHLDSN,OLLIIX</t>
  </si>
  <si>
    <t>MP40-7980</t>
  </si>
  <si>
    <t>MP40-7981</t>
  </si>
  <si>
    <t>MP40-7982</t>
  </si>
  <si>
    <t>MP40-7968</t>
  </si>
  <si>
    <t>CSNSTORES,HDDS</t>
  </si>
  <si>
    <t>MP40-7969</t>
  </si>
  <si>
    <t>CSNSTORES,HDDS,JCPENNEY01,OLLIIX</t>
  </si>
  <si>
    <t>MP40-7970</t>
  </si>
  <si>
    <t>CSNSTORES,HDDS,JCPENNEY01,OVERSTOCK01</t>
  </si>
  <si>
    <t>MP40-7971</t>
  </si>
  <si>
    <t>CSNSTORES,HDDS,NRTPORT</t>
  </si>
  <si>
    <t>MP40-7972</t>
  </si>
  <si>
    <t>MP41-4991</t>
  </si>
  <si>
    <t>Jacquard Window Rod Pocket Valance With Beads</t>
  </si>
  <si>
    <t>50x18"</t>
  </si>
  <si>
    <t>AMAZON,BIGLOTSDS,CSNSTORES,DESINC,JCPENNEY01,KOHLDSN,OLLIIX,TGTDVS,WALMARTDS</t>
  </si>
  <si>
    <t>MP41-7425</t>
  </si>
  <si>
    <t>PF003394;PP000381</t>
  </si>
  <si>
    <t>MP41-4572</t>
  </si>
  <si>
    <t>Faux Silk Embroidered Window Valance</t>
  </si>
  <si>
    <t>6/29/2017</t>
  </si>
  <si>
    <t>JCPENNEY01,KOHLDSN,OVERSTOCK01,TGTDVS,WALMARTDS</t>
  </si>
  <si>
    <t>MP41-4571</t>
  </si>
  <si>
    <t>BEALLSDS,CSNSTORES,JCPENNEY01,KOHLDSN</t>
  </si>
  <si>
    <t>MP41-4941</t>
  </si>
  <si>
    <t>Diamond Sheer Embroidered Waterfall Valance</t>
  </si>
  <si>
    <t>38x46"</t>
  </si>
  <si>
    <t>AMAZON,AMAZONDS,BIGLOTSDS,KOHLDSN,TGTDVS,WALMARTDS</t>
  </si>
  <si>
    <t>10/31/2017</t>
  </si>
  <si>
    <t>MP41-4937</t>
  </si>
  <si>
    <t>AMAZONDS,BLK01,JCPENNEY01,TGTDVS</t>
  </si>
  <si>
    <t>12/7/2017</t>
  </si>
  <si>
    <t>MP41-4933</t>
  </si>
  <si>
    <t>MP41-4945</t>
  </si>
  <si>
    <t>MP41-2226</t>
  </si>
  <si>
    <t>Polyoni Pintuck Window Valance</t>
  </si>
  <si>
    <t>PF002411;PP000373</t>
  </si>
  <si>
    <t>AMAZON,ASHFURNDS,BEALLSDS,CSNSTORES,JCPENNEY01,KOHLDSN,OVERSTOCK01,TGTDVS,WALMARTDS</t>
  </si>
  <si>
    <t>MP41-2227</t>
  </si>
  <si>
    <t>PF002412;PP000373</t>
  </si>
  <si>
    <t>MP41-2230</t>
  </si>
  <si>
    <t>ASHFURNDS,CSNSTORES,JCPENNEY01,KOHLDSN,OVERSTOCK01,TGTDVS</t>
  </si>
  <si>
    <t>7/8/2016</t>
  </si>
  <si>
    <t>MP41-4961</t>
  </si>
  <si>
    <t>Elena</t>
  </si>
  <si>
    <t>Juline</t>
  </si>
  <si>
    <t>Gail</t>
  </si>
  <si>
    <t>Faux Silk Waterfall Embellished Valance</t>
  </si>
  <si>
    <t>PF003965</t>
  </si>
  <si>
    <t>AMAZON,BIGLOTSDS,CSNSTORES,FINGERHUTDS,JCPENNEY01,KOHLDSN,OVERSTOCK01,TGTDVS</t>
  </si>
  <si>
    <t>MP41-7411</t>
  </si>
  <si>
    <t>PP001164;PF004653</t>
  </si>
  <si>
    <t>4/20/2021</t>
  </si>
  <si>
    <t>AMAZON,CSNSTORES,KOHLDSN,OVERSCONSIGN</t>
  </si>
  <si>
    <t>MP41-4958</t>
  </si>
  <si>
    <t>PF003967</t>
  </si>
  <si>
    <t>12/8/2017</t>
  </si>
  <si>
    <t>MP41-7410</t>
  </si>
  <si>
    <t>PP001164;PF004651</t>
  </si>
  <si>
    <t>MP41-6325</t>
  </si>
  <si>
    <t>Lightweight Faux Silk Valance With Beads</t>
  </si>
  <si>
    <t>50x26"</t>
  </si>
  <si>
    <t>PP001164;PF004652</t>
  </si>
  <si>
    <t>5/9/2019</t>
  </si>
  <si>
    <t>AMAZON,CSNSTORES,FINGERHUTDS,JCPENNEY01,KOHLDSN</t>
  </si>
  <si>
    <t>MP41-6560</t>
  </si>
  <si>
    <t>PP001164;PF004762</t>
  </si>
  <si>
    <t>7/27/2019</t>
  </si>
  <si>
    <t>MP41-4455</t>
  </si>
  <si>
    <t>4/21/2020</t>
  </si>
  <si>
    <t>MP41-6320</t>
  </si>
  <si>
    <t>9/3/2019</t>
  </si>
  <si>
    <t>MP41-4452</t>
  </si>
  <si>
    <t>AMAZON,AMAZONDS,BLK01,CSNSTORES,DESINC,JCPENNEY01,KOHLDSN</t>
  </si>
  <si>
    <t>MP41-6330</t>
  </si>
  <si>
    <t>CSNSTORES,JCPENNEY01,TGTDVS</t>
  </si>
  <si>
    <t>MP41-4453</t>
  </si>
  <si>
    <t>AMAZON,BLK01,CSNSTORES,HDDS,JCPENNEY01,KOHLDSN</t>
  </si>
  <si>
    <t>MP41-4210</t>
  </si>
  <si>
    <t>Embroidered Window Valance</t>
  </si>
  <si>
    <t>MP41-5479</t>
  </si>
  <si>
    <t>SS40-0059</t>
  </si>
  <si>
    <t>SunSmart</t>
  </si>
  <si>
    <t>Bentley</t>
  </si>
  <si>
    <t>Abel</t>
  </si>
  <si>
    <t>Byron</t>
  </si>
  <si>
    <t>Ogee Knitted Jacquard Total Blackout Curtain Panel</t>
  </si>
  <si>
    <t>PP000358;PF004025</t>
  </si>
  <si>
    <t>AMAZON,ASHFURNDS,BLK01,CSNSTORES,JCPENNEY01,KOHLDSN,TGTDVS,WALMARTDS</t>
  </si>
  <si>
    <t>7/6/2018</t>
  </si>
  <si>
    <t>SS40-0060</t>
  </si>
  <si>
    <t>AMAZON,JCPENNEY01,OVERSTOCK01,TGTDVS,WALMARTDS</t>
  </si>
  <si>
    <t>SS40-0061</t>
  </si>
  <si>
    <t>SS40-0062</t>
  </si>
  <si>
    <t>PP000358;PF004024</t>
  </si>
  <si>
    <t>SS40-0063</t>
  </si>
  <si>
    <t>AMAZON,CSNSTORES,JCPENNEY01,WALMARTDS</t>
  </si>
  <si>
    <t>11/8/2018</t>
  </si>
  <si>
    <t>SS40-0064</t>
  </si>
  <si>
    <t>KOHLDSN,OLLIIX,WALMARTDS</t>
  </si>
  <si>
    <t>SS40-0145</t>
  </si>
  <si>
    <t>PP000358;PF005185</t>
  </si>
  <si>
    <t>ASHFURNDS,CSNSTORES,DESINC,KOHLDSN,OLLIIX,OVERSTOCK01,TGTDVS</t>
  </si>
  <si>
    <t>SS40-0146</t>
  </si>
  <si>
    <t>SS40-0120</t>
  </si>
  <si>
    <t>PP000358;PF004699</t>
  </si>
  <si>
    <t>AMAZON,ASHFURNDS,CSNSTORES,JCPENNEY01,KOHLDSN,OLLIIX,OVERSTOCK01</t>
  </si>
  <si>
    <t>SS40-0121</t>
  </si>
  <si>
    <t>SS40-0009</t>
  </si>
  <si>
    <t>Tindra</t>
  </si>
  <si>
    <t>Jacquard Printed Room Darkening Curtain Panel</t>
  </si>
  <si>
    <t>PF003941;PP001627</t>
  </si>
  <si>
    <t>BEALLSDS,BLK01,CSNSTORES,JCPENNEY01,KOHLDSN,OVERSTOCK01,TGTDVS,WALMARTDS</t>
  </si>
  <si>
    <t>11/19/2017</t>
  </si>
  <si>
    <t>SS40-0010</t>
  </si>
  <si>
    <t>SS40-0112</t>
  </si>
  <si>
    <t>Blakesly</t>
  </si>
  <si>
    <t>Etro</t>
  </si>
  <si>
    <t>Printed Ikat Blackout Patio Curtain</t>
  </si>
  <si>
    <t>100x84"</t>
  </si>
  <si>
    <t>PP000592;PF004056</t>
  </si>
  <si>
    <t>Blackout</t>
  </si>
  <si>
    <t>AMAZON,CSNSTORES,HDDS,JCPENNEY01,KOHLDSN,OLLIIX,TGTDVS</t>
  </si>
  <si>
    <t>SS40-0069</t>
  </si>
  <si>
    <t>Printed Ikat Blackout Curtain Panel</t>
  </si>
  <si>
    <t>PP000592;PF004055</t>
  </si>
  <si>
    <t>10/12/2018</t>
  </si>
  <si>
    <t>SS40-0111</t>
  </si>
  <si>
    <t>SS40-0067</t>
  </si>
  <si>
    <t>PP000592;PF004054</t>
  </si>
  <si>
    <t>SS40-0113</t>
  </si>
  <si>
    <t>AMERSIGNDS,CSNSTORES,HDDS,JCPENNEY01,KOHLDSN,OVERSTOCK01,TGTDVS</t>
  </si>
  <si>
    <t>SS40-0097</t>
  </si>
  <si>
    <t>Cassius</t>
  </si>
  <si>
    <t>Jacquard Lined Total Blackout Rod Pocket/Back Tab Curtain Panel</t>
  </si>
  <si>
    <t>PF004522;PP001040</t>
  </si>
  <si>
    <t>12/9/2018</t>
  </si>
  <si>
    <t>SS40-0098</t>
  </si>
  <si>
    <t>AMAZON,ASHFURNDS,CSNSTORES,OLLIIX,OVERSTOCK01,TGTDVS</t>
  </si>
  <si>
    <t>SS40-0099</t>
  </si>
  <si>
    <t>SS40-0110</t>
  </si>
  <si>
    <t>Arlie</t>
  </si>
  <si>
    <t>Rune</t>
  </si>
  <si>
    <t>Printed Heathered Blackout Window Patio Panel</t>
  </si>
  <si>
    <t>100x84" Blackout</t>
  </si>
  <si>
    <t>Dusty Seafoam</t>
  </si>
  <si>
    <t>PF003954;PP001038</t>
  </si>
  <si>
    <t>ASHFURNDS,CSNSTORES,DESINC,JCPENNEY01,KOHLDSN,OLLIIX,TGTDVS</t>
  </si>
  <si>
    <t>SS40-0108</t>
  </si>
  <si>
    <t>PF003955</t>
  </si>
  <si>
    <t>SS40-0109</t>
  </si>
  <si>
    <t>PF003956</t>
  </si>
  <si>
    <t>ASHFURNDS,BEALLSDS,CSNSTORES,JCPENNEY01,KOHLDSN,OLLIIX,TGTDVS</t>
  </si>
  <si>
    <t>SS40-0101</t>
  </si>
  <si>
    <t>Elysia</t>
  </si>
  <si>
    <t>Azalea</t>
  </si>
  <si>
    <t>Knitted Jacquard Damask Total Blackout Grommet Top Curtain Panel</t>
  </si>
  <si>
    <t>PP001039;PF004521</t>
  </si>
  <si>
    <t>AMAZON,CSNSTORES,HDDS,KOHLDSN,OLLIIX,OVERSTOCK01,TGTDVS</t>
  </si>
  <si>
    <t>SS40-0102</t>
  </si>
  <si>
    <t>AMAZON,AMAZONDS,ASHFURNDS,CSNSTORES,HDDS,JCPENNEY01,TGTDVS</t>
  </si>
  <si>
    <t>SS40-0103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</si>
  <si>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</si>
  <si>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</si>
  <si>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</si>
  <si>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</si>
  <si>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</si>
  <si>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</si>
  <si>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</si>
  <si>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</si>
  <si>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AMAZON,ASHFURNDS,CSNSTORES,JCPENNEY01,OVERSTOCK01,TGTDVS</t>
  </si>
  <si>
    <t>SS40-0092</t>
  </si>
  <si>
    <t>SS40-0136</t>
  </si>
  <si>
    <t>Tonal Printed Faux Silk Room Darkening Curtain Panel Pair</t>
  </si>
  <si>
    <t>CSNSTORES,HDDS,JCPENNEY01,KOHLDSN,OLLIIX,TGTDVS</t>
  </si>
  <si>
    <t>SS40-0137</t>
  </si>
  <si>
    <t>AMAZONDS,ASHFURNDS,CSNSTORES,DESINC,JCPENNEY01,KOHLDSN,OLLIIX,TGTDVS</t>
  </si>
  <si>
    <t>SS40-0139</t>
  </si>
  <si>
    <t>DESINC,HDDS,OLLIIX,TGTDVS</t>
  </si>
  <si>
    <t>SS40-0140</t>
  </si>
  <si>
    <t>SS40-0237</t>
  </si>
  <si>
    <t>Knitted Jacquard Damask Total Blackout Grommet Top Curtain Panel Pair</t>
  </si>
  <si>
    <t>PP001653;PF005527</t>
  </si>
  <si>
    <t>8/7/2023</t>
  </si>
  <si>
    <t>ID40-1772</t>
  </si>
  <si>
    <t>Callie</t>
  </si>
  <si>
    <t>Cotton Jacquard Pom Pom Curtain Panel</t>
  </si>
  <si>
    <t>PF004432</t>
  </si>
  <si>
    <t>CSNSTORES,KOHLDSN,OVERSTOCK01,TGTDVS,WALMARTDS</t>
  </si>
  <si>
    <t>ID40-2021</t>
  </si>
  <si>
    <t>Lillie</t>
  </si>
  <si>
    <t>Kendra</t>
  </si>
  <si>
    <t>Grommet Top Metallic Animal Printed Total Blackout Curtain</t>
  </si>
  <si>
    <t>PF005053</t>
  </si>
  <si>
    <t>AMAZONDS,CSNSTORES,JCPENNEY01,NRTPORT,TGTDVS</t>
  </si>
  <si>
    <t>ID40-2020</t>
  </si>
  <si>
    <t>AMAZONDS,CSNSTORES,JCPENNEY01,NRTPORT,OVERSTOCK01,TGTDVS</t>
  </si>
  <si>
    <t>ID40-1617</t>
  </si>
  <si>
    <t>Total Blackout Metallic Print Grommet Top Curtain Panel</t>
  </si>
  <si>
    <t>12/20/2018</t>
  </si>
  <si>
    <t>AMAZON,BEALLSDS,BLK01,CSNSTORES,DESINC,JCPENNEY01,KOHLDSN</t>
  </si>
  <si>
    <t>ID40-1616</t>
  </si>
  <si>
    <t>PF001696;PP000896</t>
  </si>
  <si>
    <t>ID40-1618</t>
  </si>
  <si>
    <t>ID40-1615</t>
  </si>
  <si>
    <t>Ivory/Gold</t>
  </si>
  <si>
    <t>PP000896;PF004343</t>
  </si>
  <si>
    <t>AMAZON,CSNSTORES,DESINC,JCPENNEY01,KOHLDSN,OVERSCONSIGN</t>
  </si>
  <si>
    <t>ID40-1614</t>
  </si>
  <si>
    <t>AMAZON,AMERSIGNDS,CSNSTORES,JCPENNEY01,OVERSTOCK01</t>
  </si>
  <si>
    <t>ID40-1807</t>
  </si>
  <si>
    <t>White/Silver</t>
  </si>
  <si>
    <t>PP000896;PF004928</t>
  </si>
  <si>
    <t>AMAZON,BEALLSDS,CSNSTORES,DESINC,JCPENNEY01,TGTDVS</t>
  </si>
  <si>
    <t>ID40-1808</t>
  </si>
  <si>
    <t>AMAZON,BEALLSDS,CSNSTORES,HDDS,JCPENNEY01,TGTDVS</t>
  </si>
  <si>
    <t>ID40-1797</t>
  </si>
  <si>
    <t>Pom Pom Embellished Curtain Panel</t>
  </si>
  <si>
    <t>9/10/2019</t>
  </si>
  <si>
    <t>AMAZON,BLK01,JCPENNEY01,TGTDVS</t>
  </si>
  <si>
    <t>ID40-1798</t>
  </si>
  <si>
    <t>AMAZON,BLK01,CSNSTORES,JCPENNEY01,TGTDVS</t>
  </si>
  <si>
    <t>ID40-2232</t>
  </si>
  <si>
    <t>Total Blackout Metallic Print Grommet Top Curtain Panel Pair</t>
  </si>
  <si>
    <t>ID40-2233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</si>
  <si>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</si>
  <si>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</si>
  <si>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</si>
  <si>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</si>
  <si>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</si>
  <si>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</si>
  <si>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</si>
  <si>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</si>
  <si>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</si>
  <si>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AMAZON,AMAZONDS,CSNSTORES,JCPENNEY01,MACY02,NRTPORT,OLLIIX,OVERSTOCK01,TGTDVS</t>
  </si>
  <si>
    <t>ID31-2035</t>
  </si>
  <si>
    <t>PF004187;PP000936</t>
  </si>
  <si>
    <t>ID31-2033</t>
  </si>
  <si>
    <t>PF004347;PP000936</t>
  </si>
  <si>
    <t>ID31-2032</t>
  </si>
  <si>
    <t>PF004188;PP000936</t>
  </si>
  <si>
    <t>ID31-1933</t>
  </si>
  <si>
    <t>Indoor Cushion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</si>
  <si>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</si>
  <si>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</si>
  <si>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</si>
  <si>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</si>
  <si>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</si>
  <si>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</si>
  <si>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</si>
  <si>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ID31-1932</t>
  </si>
  <si>
    <t>AMAZON,AMAZONDS,ASHFURNDS,CSNSTORES,JCPENNEY01,MACY02,NRTPORT,OLLIIX,OVERSTOCK01,TGTDVS</t>
  </si>
  <si>
    <t>MZK40-140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</si>
  <si>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</si>
  <si>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</si>
  <si>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</si>
  <si>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</si>
  <si>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</si>
  <si>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</si>
  <si>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8/12/2017</t>
  </si>
  <si>
    <t>AMAZON,BLK01,CSNSTORES,KOHLDSN,OVERSTOCK01,WALMARTDS</t>
  </si>
  <si>
    <t>5DS40-0227</t>
  </si>
  <si>
    <t>Colt</t>
  </si>
  <si>
    <t>Garett</t>
  </si>
  <si>
    <t>Room Darkening Metallic Printed Poly Velvet Rod Pocket/Back Tab Window Panel Pair</t>
  </si>
  <si>
    <t>37x63"</t>
  </si>
  <si>
    <t>PP000910;PF005231</t>
  </si>
  <si>
    <t>10/7/2020</t>
  </si>
  <si>
    <t>5DS40-0228</t>
  </si>
  <si>
    <t>37x84"</t>
  </si>
  <si>
    <t>5DS40-0229</t>
  </si>
  <si>
    <t>37x95"</t>
  </si>
  <si>
    <t>ASHFURNDS,BLK01,OLLIIX,TGTDVS</t>
  </si>
  <si>
    <t>5DS40-0151</t>
  </si>
  <si>
    <t>PP000910;PF004315</t>
  </si>
  <si>
    <t>6/29/2024</t>
  </si>
  <si>
    <t>7/16/2019</t>
  </si>
  <si>
    <t>5DS40-0152</t>
  </si>
  <si>
    <t>5DS40-0153</t>
  </si>
  <si>
    <t>5DS40-0160</t>
  </si>
  <si>
    <t>PP000910;PF004318</t>
  </si>
  <si>
    <t>5DS40-0161</t>
  </si>
  <si>
    <t>CSNSTORES,JCPENNEY01,KIRKLANDDS,KOHLDSN,OLLIIX,TGTDVS</t>
  </si>
  <si>
    <t>5DS40-0162</t>
  </si>
  <si>
    <t>BLK01,CSNSTORES,KIRKLANDDS,OLLIIX,TGTDVS</t>
  </si>
  <si>
    <t>II40-1234</t>
  </si>
  <si>
    <t>Cotton Printed Curtain Panel with Chenille Stripe and Lining</t>
  </si>
  <si>
    <t>PF005068;PP001556</t>
  </si>
  <si>
    <t>AMAZON,AMAZONDS,CSNSTORES,HDDS,KIRKLANDDS,OVERSTOCK01</t>
  </si>
  <si>
    <t>II40-1181</t>
  </si>
  <si>
    <t>AMAZON,ASHFURNDS,CSNSTORES,HDDS,NRTPORT,OLLIIX,OVERSTOCK01,TGTDVS</t>
  </si>
  <si>
    <t>II40-1293</t>
  </si>
  <si>
    <t>AMAZON,AMAZONDS,CSNSTORES,KOHLDSN,OVERSCONSIGN,OVERSTOCK01</t>
  </si>
  <si>
    <t>II40-1180</t>
  </si>
  <si>
    <t>AMAZON,AMAZONDS,ASHFURNDS,CSNSTORES,HDDS,JCPENNEY01,KOHLDSN,NRTPORT,OLLIIX,OVERSTOCK01,TGTDVS</t>
  </si>
  <si>
    <t>II40-1292</t>
  </si>
  <si>
    <t>AMAZON,BLK01,CSNSTORES,JCPENNEY01,KOHLDSN,NRTPORT,OLLIIX,OVERSTOCK01</t>
  </si>
  <si>
    <t>II40-1294</t>
  </si>
  <si>
    <t>II40-1295</t>
  </si>
  <si>
    <t>CSNSTORES,JCPENNEY01,OVERSCONSIGN,OVERSTOCK01</t>
  </si>
  <si>
    <t>II40-1182</t>
  </si>
  <si>
    <t>Cotton Printed Curtain Panel with Chenille detail and Lining</t>
  </si>
  <si>
    <t>5/11/2021</t>
  </si>
  <si>
    <t>7/22/2024</t>
  </si>
  <si>
    <t>II40-1183</t>
  </si>
  <si>
    <t>AMAZON,ASHFURNDS,CSNSTORES,DESINC,JCPENNEY01,KOHLDSN,TGTDVS</t>
  </si>
  <si>
    <t>II40-1184</t>
  </si>
  <si>
    <t>Cotton Printed Curtain Panel with tassel trim and Lining</t>
  </si>
  <si>
    <t>2/26/2021</t>
  </si>
  <si>
    <t>ID10-1942</t>
  </si>
  <si>
    <t>YOUT</t>
  </si>
  <si>
    <t>Felicia</t>
  </si>
  <si>
    <t>Isabel</t>
  </si>
  <si>
    <t>Velvet Comforter Set with Throw Pillow</t>
  </si>
  <si>
    <t>PP001091;PF005199</t>
  </si>
  <si>
    <t>AMAZON,BLK01,KOHLDSN,MACY02,NRTPORT,OVERSTOCK01,TGTDVS,WALMARTDS</t>
  </si>
  <si>
    <t>ID10-1943</t>
  </si>
  <si>
    <t>AMAZON,AMAZONDS,BLK01,CSNSTORES,HDDS,JCPENNEY01,KOHLDSN,MACY02,NRTPORT,OVERSCONSIGN,OVERSTOCK01,TGTDVS,WALMARTDS</t>
  </si>
  <si>
    <t>ID10-2056</t>
  </si>
  <si>
    <t>9/9/2021</t>
  </si>
  <si>
    <t>AMAZONDS,CSNSTORES,HDDS,KOHLDSN,NRTPORT,OVERSCONSIGN,OVERSTOCK01,TGTDVS</t>
  </si>
  <si>
    <t>ID10-1901</t>
  </si>
  <si>
    <t>PP001091;PF005085</t>
  </si>
  <si>
    <t>AMAZONDS,CSNSTORES,HDDS,JCPENNEY01,KOHLDSN,OVERSTOCK01,TGTDVS,WALMARTDS</t>
  </si>
  <si>
    <t>6/7/2021</t>
  </si>
  <si>
    <t>ID10-1902</t>
  </si>
  <si>
    <t>AMAZONDS,CSNSTORES,FINGERHUTDS,JCPENNEY01,KOHLDSN,NRTPORT,OVERSTOCK01,TGTDVS,WALMARTDS</t>
  </si>
  <si>
    <t>ID10-1978</t>
  </si>
  <si>
    <t>AMAZON,AMAZONDS,CSNSTORES,FINGERHUTDS,HDDS,JCPENNEY01,KOHLDSN,MACY02,NRTPORT,OVERSTOCK01,TGTDVS,WALMARTDS</t>
  </si>
  <si>
    <t>ID10-1905</t>
  </si>
  <si>
    <t>PP001091;PF005084</t>
  </si>
  <si>
    <t>ID10-1906</t>
  </si>
  <si>
    <t>ID10-1976</t>
  </si>
  <si>
    <t>2/24/2021</t>
  </si>
  <si>
    <t>AMAZON,AMAZONDS,CSNSTORES,FINGERHUTDS,HDDS,JCPENNEY01,KOHLDSN,MACY02,NRTPORT,OVERSTOCK01,TGTDVS</t>
  </si>
  <si>
    <t>ID10-2156</t>
  </si>
  <si>
    <t>PP001091;PF005800</t>
  </si>
  <si>
    <t>HDDS,JCPENNEY01,NRTPORT,OVERSTOCK01,TGTDVS</t>
  </si>
  <si>
    <t>ID10-2157</t>
  </si>
  <si>
    <t>AMAZONDS,JCPENNEY01,KOHLDSN,MACY02,NRTPORT,OLLIIX,OVERSTOCK01,TGTDVS</t>
  </si>
  <si>
    <t>ID10-2158</t>
  </si>
  <si>
    <t>ID10-2400</t>
  </si>
  <si>
    <t>PP001091;PF006267</t>
  </si>
  <si>
    <t>ID10-2401</t>
  </si>
  <si>
    <t>ID10-2402</t>
  </si>
  <si>
    <t>ID10-2412</t>
  </si>
  <si>
    <t>PP001091;PF006269</t>
  </si>
  <si>
    <t>ID10-2413</t>
  </si>
  <si>
    <t>ID10-2414</t>
  </si>
  <si>
    <t>ID10-1972</t>
  </si>
  <si>
    <t>PP001091;PF004858</t>
  </si>
  <si>
    <t>2/23/2021</t>
  </si>
  <si>
    <t>ID10-1660</t>
  </si>
  <si>
    <t>PP001091;PF004576</t>
  </si>
  <si>
    <t>3/11/2019</t>
  </si>
  <si>
    <t>AMAZON,AMAZONDS,OLLIIX,OVERSTOCK01,TGTDVS</t>
  </si>
  <si>
    <t>3/24/2019</t>
  </si>
  <si>
    <t>ID10-2406</t>
  </si>
  <si>
    <t>PP001091;PF006268</t>
  </si>
  <si>
    <t>ID10-2407</t>
  </si>
  <si>
    <t>ID10-2408</t>
  </si>
  <si>
    <t>ID10-1098</t>
  </si>
  <si>
    <t>Adley</t>
  </si>
  <si>
    <t>PF001714</t>
  </si>
  <si>
    <t>AMAZON,CSNSTORES,FINGERHUTDS,JCPENNEY01,MACY02,OVERSTOCK01,TGTDVS,WALMARTDS</t>
  </si>
  <si>
    <t>ID10-1330</t>
  </si>
  <si>
    <t>Rudy</t>
  </si>
  <si>
    <t>Plaid Comforter Set</t>
  </si>
  <si>
    <t>AMAZON,BLK01,CSNSTORES,KOHLDSN,OLLIIX,OVERSTOCK01,TGTDVS,WALMARTDS</t>
  </si>
  <si>
    <t>ID10-238</t>
  </si>
  <si>
    <t>Olivia</t>
  </si>
  <si>
    <t>Skye</t>
  </si>
  <si>
    <t>Floral Comforter Set</t>
  </si>
  <si>
    <t>PF001605;PP000477</t>
  </si>
  <si>
    <t>AMAZON,BIGLOTSDS,CSNSTORES,HDDS,JCPENNEY01,MACY02,NRTPORT,OVERSTOCK01,TGTDVS,WALMARTDS</t>
  </si>
  <si>
    <t>ID10-168</t>
  </si>
  <si>
    <t>PF001604;PP000477</t>
  </si>
  <si>
    <t>AMERSIGNDS,CSNSTORES,HDDS,JCPENNEY01,KOHLDSN,MACY02,NRTPORT,OVERSTOCK01,ROOMECOM,TGTDVS</t>
  </si>
  <si>
    <t>ID10-002</t>
  </si>
  <si>
    <t>Senna</t>
  </si>
  <si>
    <t>PF001620;PP000503</t>
  </si>
  <si>
    <t>BLK01,CSNSTORES,FINGERHUTDS,HDDS,JCPENNEY01,MACY02,OLLIIX,TGTDVS,WALMARTDS</t>
  </si>
  <si>
    <t>ID10-1866</t>
  </si>
  <si>
    <t>Metallic Animal Printed Comforter Set</t>
  </si>
  <si>
    <t>AMAZON,HDDS,JCPENNEY01,KOHLDSN,ROOMECOM,TGTDVS</t>
  </si>
  <si>
    <t>ID10-1867</t>
  </si>
  <si>
    <t>AMAZON,AMAZONDS,FINGERHUTDS,HDDS,JCPENNEY01,KOHLDSN,MACY02,NRTPORT,OVERSTOCK01,TGTDVS,WALMARTDS</t>
  </si>
  <si>
    <t>ID10-1963</t>
  </si>
  <si>
    <t>3/26/2021</t>
  </si>
  <si>
    <t>AMAZON,JCPENNEY01,MACY02,NRTPORT,OLLIIX,OVERSTOCK01,TGTDVS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</si>
  <si>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</si>
  <si>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</si>
  <si>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</si>
  <si>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</si>
  <si>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</si>
  <si>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</si>
  <si>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ID10-1988</t>
  </si>
  <si>
    <t>AMAZON,AMAZONDS,CSNSTORES,DESINC,FINGERHUTDS,HDDS,JCPENNEY01,KOHLDSN,MACY02,NRTPORT,OLLIIX,OVERSTOCK01,TGTDVS</t>
  </si>
  <si>
    <t>ID10-2261</t>
  </si>
  <si>
    <t>PF005394;PP001904</t>
  </si>
  <si>
    <t>10/11/2023</t>
  </si>
  <si>
    <t>AMAZON,AMAZONDS,CSNSTORES,KOHLDSN,NRTPORT,OVERSTOCK01</t>
  </si>
  <si>
    <t>ID10-2385</t>
  </si>
  <si>
    <t>PP001904;PF006265</t>
  </si>
  <si>
    <t>ID10-2386</t>
  </si>
  <si>
    <t>ID10-2387</t>
  </si>
  <si>
    <t>ID10-2255</t>
  </si>
  <si>
    <t>PP001904;PF006071</t>
  </si>
  <si>
    <t>9/5/2023</t>
  </si>
  <si>
    <t>ID10-2256</t>
  </si>
  <si>
    <t>AMAZON,CSNSTORES,HDDS,JCPENNEY01,KOHLDSN,NRTPORT,TGTDVS</t>
  </si>
  <si>
    <t>ID10-2257</t>
  </si>
  <si>
    <t>ID10-1966</t>
  </si>
  <si>
    <t>Dorsey</t>
  </si>
  <si>
    <t>Renee</t>
  </si>
  <si>
    <t>Floral Print Comforter Set</t>
  </si>
  <si>
    <t>PF004478</t>
  </si>
  <si>
    <t>1/25/2021</t>
  </si>
  <si>
    <t>AMAZON,BIGLOTSDS,BLK01,CSNSTORES,HDDS,KOHLDSN,MACY02,OVERSTOCK01,TGTDVS</t>
  </si>
  <si>
    <t>ID10-1817</t>
  </si>
  <si>
    <t>Metallic Printed Comforter Set</t>
  </si>
  <si>
    <t>10/19/2019</t>
  </si>
  <si>
    <t>AMAZON,CSNSTORES,NRTPORT</t>
  </si>
  <si>
    <t>ID10-1818</t>
  </si>
  <si>
    <t>AMAZON,AMAZONDS,CSNSTORES,FINGERHUTDS,HDDS,JCPENNEY01,NRTPORT,OVERSTOCK01,TGTDVS</t>
  </si>
  <si>
    <t>ID10-1819</t>
  </si>
  <si>
    <t>ID10-2125</t>
  </si>
  <si>
    <t>Celestial Comforter Set</t>
  </si>
  <si>
    <t>PF005672</t>
  </si>
  <si>
    <t>ID10-2126</t>
  </si>
  <si>
    <t>3/22/2022</t>
  </si>
  <si>
    <t>AMAZONDS,DESINC,HDDS,JCPENNEY01,KOHLDSN,OVERSTOCK01,TGTDVS</t>
  </si>
  <si>
    <t>ID10-1225</t>
  </si>
  <si>
    <t>Robbie</t>
  </si>
  <si>
    <t>Roger</t>
  </si>
  <si>
    <t>Rick</t>
  </si>
  <si>
    <t>Plaid Comforter Set with Bed Sheets</t>
  </si>
  <si>
    <t>PF001691</t>
  </si>
  <si>
    <t>6/27/2017</t>
  </si>
  <si>
    <t>AMAZON,CSNSTORES,JCPENNEY01,OLLIIX,OVERSTOCK01,TGTDVS,WALMARTDS</t>
  </si>
  <si>
    <t>ID10-1226</t>
  </si>
  <si>
    <t>AMAZON,AMAZONDS,BIGLOTSDS,CSNSTORES,HDDS,JCPENNEY01,KOHLDSN,MACY02,OLLIIX,OVERSTOCK01,ROOMECOM,TGTDVS,WALMARTDS</t>
  </si>
  <si>
    <t>ID10-1227</t>
  </si>
  <si>
    <t>AMAZON,AMAZONDS,BLK01,CSNSTORES,HDDS,JCPENNEY01,KOHLDSN,MACY02,OLLIIX,OVERSTOCK01,TGTDVS,WALMARTDS</t>
  </si>
  <si>
    <t>ID10-2430</t>
  </si>
  <si>
    <t>Teal/Black</t>
  </si>
  <si>
    <t>PP001972;PF006282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</si>
  <si>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</si>
  <si>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</si>
  <si>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</si>
  <si>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</si>
  <si>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</si>
  <si>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</si>
  <si>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</si>
  <si>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</si>
  <si>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PF004648</t>
  </si>
  <si>
    <t>5/10/2019</t>
  </si>
  <si>
    <t>ID10-1730</t>
  </si>
  <si>
    <t>ID10-1731</t>
  </si>
  <si>
    <t>CSNSTORES,JCPENNEY01,KOHLDSN,MACY02,OLLIIX,OVERSCONSIGN,OVERSTOCK01,TGTDVS,WALMARTDS</t>
  </si>
  <si>
    <t>ID10-1732</t>
  </si>
  <si>
    <t>12/26/2019</t>
  </si>
  <si>
    <t>ID10-2230</t>
  </si>
  <si>
    <t>Ombre Shaggy Faux Fur Comforter Set</t>
  </si>
  <si>
    <t>Blush Multi</t>
  </si>
  <si>
    <t>PF005946;PP001917</t>
  </si>
  <si>
    <t>3/24/2023</t>
  </si>
  <si>
    <t>AMAZON,AMAZONDS,BLK01,CSNSTORES,DESINC,KOHLDSN,NRTPORT,OVERSTOCK01,TGTDVS</t>
  </si>
  <si>
    <t>ID10-2231</t>
  </si>
  <si>
    <t>AMAZON,BLK01,CSNSTORES,HDDS,JCPENNEY01,KOHLDSN,MACY02,NRTPORT,OLLIIX,OVERSCONSIGN,OVERSTOCK01,TGTDVS</t>
  </si>
  <si>
    <t>ID10-2357</t>
  </si>
  <si>
    <t>3/26/2024</t>
  </si>
  <si>
    <t>BLK01,HDDS</t>
  </si>
  <si>
    <t>ID10-2291</t>
  </si>
  <si>
    <t>PP001917;PF006126</t>
  </si>
  <si>
    <t>2/24/2024</t>
  </si>
  <si>
    <t>AMAZON,AMAZONDS,CSNSTORES,KOHLDSN,OVERSTOCK01</t>
  </si>
  <si>
    <t>ID10-2292</t>
  </si>
  <si>
    <t>ID10-2369</t>
  </si>
  <si>
    <t>Elise</t>
  </si>
  <si>
    <t>Clip Jacquard Comforter Set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</si>
  <si>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</si>
  <si>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</si>
  <si>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</si>
  <si>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</si>
  <si>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</si>
  <si>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</si>
  <si>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</si>
  <si>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ID10-2282</t>
  </si>
  <si>
    <t>PP001813;PF006085</t>
  </si>
  <si>
    <t>10/24/2023</t>
  </si>
  <si>
    <t>ID10-2283</t>
  </si>
  <si>
    <t>ID10-2284</t>
  </si>
  <si>
    <t>CSNSTORES,KOHLDSN,NRTPORT</t>
  </si>
  <si>
    <t>ID10-2188</t>
  </si>
  <si>
    <t>PP001813;PF005818</t>
  </si>
  <si>
    <t>CSNSTORES,JCPENNEY01,KOHLDSN,NRTPORT,OVERSTOCK01,TGTDVS</t>
  </si>
  <si>
    <t>ID10-2189</t>
  </si>
  <si>
    <t>AMAZON,BLK01,CSNSTORES,HDDS,KOHLDSN,OLLIIX,OVERSTOCK01,TGTDVS</t>
  </si>
  <si>
    <t>ID10-2288</t>
  </si>
  <si>
    <t>11/8/2023</t>
  </si>
  <si>
    <t>ID10-2277</t>
  </si>
  <si>
    <t>PP001813;PF006084</t>
  </si>
  <si>
    <t>ID10-2278</t>
  </si>
  <si>
    <t>ID10-2279</t>
  </si>
  <si>
    <t>ID10-2192</t>
  </si>
  <si>
    <t>PP001813;PF005819</t>
  </si>
  <si>
    <t>AMAZON,BLK01,CSNSTORES,JCPENNEY01,MACY02,NRTPORT,OVERSTOCK01,TGTDVS</t>
  </si>
  <si>
    <t>ID10-2193</t>
  </si>
  <si>
    <t>6/22/2024</t>
  </si>
  <si>
    <t>AMAZON,AMAZONDS,BLK01,CSNSTORES,JCPENNEY01,KOHLDSN,MACY02,NRTPORT,OLLIIX,OVERSTOCK01,TGTDVS</t>
  </si>
  <si>
    <t>ID10-2287</t>
  </si>
  <si>
    <t>ID10-2272</t>
  </si>
  <si>
    <t>PP001813;PF006083</t>
  </si>
  <si>
    <t>ID10-2273</t>
  </si>
  <si>
    <t>ID10-2274</t>
  </si>
  <si>
    <t>ID10-2266</t>
  </si>
  <si>
    <t>Mira</t>
  </si>
  <si>
    <t>Gemma</t>
  </si>
  <si>
    <t>Arabella</t>
  </si>
  <si>
    <t>Crushed Velvet Sherpa Reversible Comforter Set</t>
  </si>
  <si>
    <t>PP001907;PF006081</t>
  </si>
  <si>
    <t>CSNSTORES,KOHLDSN,NRTPORT,TGTDVS</t>
  </si>
  <si>
    <t>ID10-2267</t>
  </si>
  <si>
    <t>ID10-2268</t>
  </si>
  <si>
    <t>ID10-2269</t>
  </si>
  <si>
    <t>PP001907;PF006082</t>
  </si>
  <si>
    <t>ID10-2270</t>
  </si>
  <si>
    <t>ID10-2271</t>
  </si>
  <si>
    <t>AMAZON,CSNSTORES,KOHLDSN,NRTPORT,OVERSTOCK01,TGTDVS</t>
  </si>
  <si>
    <t>ID10-2263</t>
  </si>
  <si>
    <t>PP001907;PF006080</t>
  </si>
  <si>
    <t>ID10-2264</t>
  </si>
  <si>
    <t>ID10-2265</t>
  </si>
  <si>
    <t>ID10-2237</t>
  </si>
  <si>
    <t>Naomi</t>
  </si>
  <si>
    <t>Alaia</t>
  </si>
  <si>
    <t>Madelyn</t>
  </si>
  <si>
    <t>Metallic Print Faux Fur Comforter Set</t>
  </si>
  <si>
    <t>Black/Silver</t>
  </si>
  <si>
    <t>PF006026;PP001891</t>
  </si>
  <si>
    <t>8/2/2023</t>
  </si>
  <si>
    <t>ID10-2238</t>
  </si>
  <si>
    <t>ID10-2249</t>
  </si>
  <si>
    <t>AMAZON,CSNSTORES,JCPENNEY01,OLLIIX,OVERSTOCK01,TGTDVS</t>
  </si>
  <si>
    <t>ID10-2241</t>
  </si>
  <si>
    <t>PP001891;PF006028</t>
  </si>
  <si>
    <t>ID10-2242</t>
  </si>
  <si>
    <t>CSNSTORES,JCPENNEY01,MACY02,NRTPORT,OVERSTOCK01</t>
  </si>
  <si>
    <t>ID10-2251</t>
  </si>
  <si>
    <t>ID10-2239</t>
  </si>
  <si>
    <t>PP001891;PF006027</t>
  </si>
  <si>
    <t>ID10-2240</t>
  </si>
  <si>
    <t>AMAZON,BLK01,CSNSTORES,JCPENNEY01,OLLIIX,OVERSTOCK01,TGTDVS</t>
  </si>
  <si>
    <t>ID10-2250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</si>
  <si>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</si>
  <si>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</si>
  <si>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</si>
  <si>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</si>
  <si>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</si>
  <si>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</si>
  <si>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</si>
  <si>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CSP10-1484</t>
  </si>
  <si>
    <t>6/9/2021</t>
  </si>
  <si>
    <t>CSP10-1485</t>
  </si>
  <si>
    <t>ID12-1944</t>
  </si>
  <si>
    <t>Velvet Duvet Cover Set with Throw Pillow</t>
  </si>
  <si>
    <t>AMAZONDS,NRTPORT,TGTDVS,WALMARTDS</t>
  </si>
  <si>
    <t>ID12-1945</t>
  </si>
  <si>
    <t>AMAZON,CSNSTORES,JCPENNEY01,MACY02,NRTPORT,OVERSTOCK01,TGTDVS,WALMARTDS</t>
  </si>
  <si>
    <t>8/2/2021</t>
  </si>
  <si>
    <t>ID12-2057</t>
  </si>
  <si>
    <t>9/10/2021</t>
  </si>
  <si>
    <t>ID12-1907</t>
  </si>
  <si>
    <t>AMAZON,NRTPORT,TGTDVS</t>
  </si>
  <si>
    <t>ID12-1908</t>
  </si>
  <si>
    <t>AMAZONDS,BLK01,CSNSTORES,HDDS,NRTPORT,OVERSTOCK01,TGTDVS,WALMARTDS</t>
  </si>
  <si>
    <t>ID12-1977</t>
  </si>
  <si>
    <t>AMAZON,AMAZONDS,CSNSTORES,JCPENNEY01,NRTPORT,TGTDVS</t>
  </si>
  <si>
    <t>ID12-1793</t>
  </si>
  <si>
    <t>9/27/2019</t>
  </si>
  <si>
    <t>AMAZON,AMAZONDS,NRTPORT,TGTDVS</t>
  </si>
  <si>
    <t>ID12-1794</t>
  </si>
  <si>
    <t>AMAZON,BLK01,HDDS,MACY02,NRTPORT,OVERSTOCK01,TGTDVS,WALMARTDS</t>
  </si>
  <si>
    <t>ID12-1973</t>
  </si>
  <si>
    <t>3/3/2021</t>
  </si>
  <si>
    <t>ID12-2159</t>
  </si>
  <si>
    <t>ID12-2160</t>
  </si>
  <si>
    <t>AMAZONDS,JCPENNEY01,NRTPORT,OVERSTOCK01</t>
  </si>
  <si>
    <t>ID12-2161</t>
  </si>
  <si>
    <t>AMAZONDS,CSNSTORES,JCPENNEY01</t>
  </si>
  <si>
    <t>ID12-1676</t>
  </si>
  <si>
    <t>Nicole</t>
  </si>
  <si>
    <t>Metallic Printed and Pintucked Duvet Cover Set</t>
  </si>
  <si>
    <t>PF004580</t>
  </si>
  <si>
    <t>BLK01,JCPENNEY01,KOHLDSN,OVERSTOCK01,TGTDVS</t>
  </si>
  <si>
    <t>ID12-1677</t>
  </si>
  <si>
    <t>ID12-1989</t>
  </si>
  <si>
    <t>Watercolor Tie Dye Printed Duvet Cover Set with Throw Pillow</t>
  </si>
  <si>
    <t>AMAZON,AMAZONDS,CSNSTORES,HDDS,JCPENNEY01,OVERSTOCK01,TGTDVS</t>
  </si>
  <si>
    <t>ID12-1990</t>
  </si>
  <si>
    <t>ID12-2262</t>
  </si>
  <si>
    <t>ID12-2258</t>
  </si>
  <si>
    <t>ID12-2259</t>
  </si>
  <si>
    <t>ID12-2260</t>
  </si>
  <si>
    <t>ID12-1967</t>
  </si>
  <si>
    <t>Floral Print Duvet Cover Set</t>
  </si>
  <si>
    <t>PF004478;PP001844</t>
  </si>
  <si>
    <t>BIGLOTSDS,JCPENNEY01,OVERSTOCK01</t>
  </si>
  <si>
    <t>ID12-1868</t>
  </si>
  <si>
    <t>Metallic Animal Printed Duvet Cover Set</t>
  </si>
  <si>
    <t>ID12-2127</t>
  </si>
  <si>
    <t>Celestial Duvet Cover Set</t>
  </si>
  <si>
    <t>ID12-2128</t>
  </si>
  <si>
    <t>ID12-2285</t>
  </si>
  <si>
    <t>Clip Jacquard Duvet Cover Set</t>
  </si>
  <si>
    <t>ID12-2286</t>
  </si>
  <si>
    <t>ID12-2190</t>
  </si>
  <si>
    <t>ID12-2191</t>
  </si>
  <si>
    <t>CSNSTORES,JCPENNEY01,KOHLDSN,MACY02,OLLIIX,OVERSCONSIGN,OVERSTOCK01,TGTDVS</t>
  </si>
  <si>
    <t>ID12-2280</t>
  </si>
  <si>
    <t>ID12-2281</t>
  </si>
  <si>
    <t>ID12-2194</t>
  </si>
  <si>
    <t>ID12-2195</t>
  </si>
  <si>
    <t>ID12-2275</t>
  </si>
  <si>
    <t>ID12-2276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</si>
  <si>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</si>
  <si>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</si>
  <si>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</si>
  <si>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</si>
  <si>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</si>
  <si>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</si>
  <si>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</si>
  <si>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CSNSTORES,NRTPORT,TGTDVS</t>
  </si>
  <si>
    <t>ID13-1100</t>
  </si>
  <si>
    <t>AMAZON,CSNSTORES,JCPENNEY01,KOHLDSN,MACY02,TGTDVS,WALMARTDS</t>
  </si>
  <si>
    <t>ID13-1101</t>
  </si>
  <si>
    <t>ID13-2289</t>
  </si>
  <si>
    <t>Watercolor Tie Dye Printed Quilt Set with Throw Pillow</t>
  </si>
  <si>
    <t>12/15/2023</t>
  </si>
  <si>
    <t>AMAZON,AMAZONDS,CSNSTORES,JCPENNEY01,KOHLDSN,NRTPORT,OVERSTOCK01,TGTDVS</t>
  </si>
  <si>
    <t>ID13-2290</t>
  </si>
  <si>
    <t>AMAZON,AMAZONDS,CSNSTORES,JCPENNEY01,KOHLDSN,NRTPORT,OLLIIX,OVERSTOCK01,TGTDVS</t>
  </si>
  <si>
    <t>ID80-761</t>
  </si>
  <si>
    <t>Mona</t>
  </si>
  <si>
    <t>Eva</t>
  </si>
  <si>
    <t>PF001666;PP000470</t>
  </si>
  <si>
    <t>BLK01,CSNSTORES,HDDS,OVERSTOCK01,TGTDVS</t>
  </si>
  <si>
    <t>ID80-762</t>
  </si>
  <si>
    <t>BLK01,CSNSTORES,HDDS,JCPENNEY01,KOHLDSN,MACY02,OLLIIX,OVERSCONSIGN,OVERSTOCK01,TGTDVS</t>
  </si>
  <si>
    <t>ID13-1980</t>
  </si>
  <si>
    <t>12/4/2020</t>
  </si>
  <si>
    <t>CSNSTORES,HDDS,KOHLDSN,MACY02,OVERSCONSIGN,OVERSTOCK01</t>
  </si>
  <si>
    <t>MZ10-224</t>
  </si>
  <si>
    <t>Riley</t>
  </si>
  <si>
    <t>Angela</t>
  </si>
  <si>
    <t>PF000201</t>
  </si>
  <si>
    <t>AMAZON,AMAZONDS,CSNSTORES,FINGERHUTDS,HDDS,NRTPORT,OVERSTOCK01,TGTDVS,WALMARTDS</t>
  </si>
  <si>
    <t>5/20/2015</t>
  </si>
  <si>
    <t>MZ10-0645</t>
  </si>
  <si>
    <t>Allison</t>
  </si>
  <si>
    <t>Mackenzie</t>
  </si>
  <si>
    <t>PF000013;PP000370</t>
  </si>
  <si>
    <t>MZ10-0652</t>
  </si>
  <si>
    <t>Jenna</t>
  </si>
  <si>
    <t>Audrey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</si>
  <si>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</si>
  <si>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</si>
  <si>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</si>
  <si>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</si>
  <si>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</si>
  <si>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</si>
  <si>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</si>
  <si>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</si>
  <si>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</si>
  <si>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</si>
  <si>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MZ10-0642</t>
  </si>
  <si>
    <t>Primrose</t>
  </si>
  <si>
    <t>Talia</t>
  </si>
  <si>
    <t>Evie</t>
  </si>
  <si>
    <t>Purple Multi</t>
  </si>
  <si>
    <t>PF005829</t>
  </si>
  <si>
    <t>AMAZON,AMAZONDS,BLK01,CSNSTORES,DESINC,HDDS,JCPENNEY01,KOHLDSN,MACY02,OVERSTOCK01,TGTDVS</t>
  </si>
  <si>
    <t>MZ10-0643</t>
  </si>
  <si>
    <t>MZ80-220</t>
  </si>
  <si>
    <t>Tamil</t>
  </si>
  <si>
    <t>Asha</t>
  </si>
  <si>
    <t>Tula</t>
  </si>
  <si>
    <t>Reversible Paisley Quilt Set with Throw Pillow</t>
  </si>
  <si>
    <t>PF000542;PP000517</t>
  </si>
  <si>
    <t>BLK01,HDDS,HSNDS,OVERSTOCK01,TGTDVS,WALMARTDS</t>
  </si>
  <si>
    <t>6/29/2015</t>
  </si>
  <si>
    <t>MZ12-0646</t>
  </si>
  <si>
    <t>Ombre Shaggy Faux Fur Duvet Cover Set</t>
  </si>
  <si>
    <t>1/11/2024</t>
  </si>
  <si>
    <t>MZ12-0647</t>
  </si>
  <si>
    <t>MZ12-0597</t>
  </si>
  <si>
    <t>Sparkle</t>
  </si>
  <si>
    <t>Dazzle</t>
  </si>
  <si>
    <t>Metallic Glitter Printed Reversible Duvet Cover Set</t>
  </si>
  <si>
    <t>PF004812</t>
  </si>
  <si>
    <t>8/14/2019</t>
  </si>
  <si>
    <t>UH13-2208</t>
  </si>
  <si>
    <t>Cotton Jacquard Daybed Set</t>
  </si>
  <si>
    <t>Cottage/Country|Farmhouse</t>
  </si>
  <si>
    <t>AMAZON,BEALLSDS,CSNSTORES,HDDS,KOHLDSN,OVERSTOCK01,TGTDVS,WALMARTDS</t>
  </si>
  <si>
    <t>UH13-2321</t>
  </si>
  <si>
    <t>Camden</t>
  </si>
  <si>
    <t>3 Piece Cotton Quilt Set with Chenille Trims</t>
  </si>
  <si>
    <t>PP001460;PF005049</t>
  </si>
  <si>
    <t>8/14/2020</t>
  </si>
  <si>
    <t>UH13-2322</t>
  </si>
  <si>
    <t>HDDS,JCPENNEY01,KOHLDSN,OVERSTOCK01,TGTDVS</t>
  </si>
  <si>
    <t>UH10-2494</t>
  </si>
  <si>
    <t>Cotton Jacquard Comforter Set with Euro Shams and Throw Pillows</t>
  </si>
  <si>
    <t>PP000834;PF006097</t>
  </si>
  <si>
    <t>12/30/2023</t>
  </si>
  <si>
    <t>9/6/2024</t>
  </si>
  <si>
    <t>UH10-2495</t>
  </si>
  <si>
    <t>UH10-2496</t>
  </si>
  <si>
    <t>UH10-2476</t>
  </si>
  <si>
    <t>Sawyer</t>
  </si>
  <si>
    <t>3 Piece Knitted Jersey Comforter Set</t>
  </si>
  <si>
    <t>PF005973</t>
  </si>
  <si>
    <t>Pending</t>
  </si>
  <si>
    <t>UH10-2477</t>
  </si>
  <si>
    <t>UH12-2319</t>
  </si>
  <si>
    <t>3 Piece Cotton Chenille Duvet Cover Set</t>
  </si>
  <si>
    <t>4/11/2021</t>
  </si>
  <si>
    <t>UH12-2320</t>
  </si>
  <si>
    <t>10/26/2020</t>
  </si>
  <si>
    <t>UH12-2478</t>
  </si>
  <si>
    <t>3 Piece Knitted Jersey Duvet Cover Set</t>
  </si>
  <si>
    <t>UH12-2479</t>
  </si>
  <si>
    <t>UHK13-0102</t>
  </si>
  <si>
    <t>Urban Habitat Kids</t>
  </si>
  <si>
    <t xml:space="preserve">Unicorn Reversible Cotton  Quilt Set with Throw Pillows</t>
  </si>
  <si>
    <t>PP000904;PF004525</t>
  </si>
  <si>
    <t>AMAZONDS,HDDS,JCPENNEY01,OVERSTOCK01,TGTDVS</t>
  </si>
  <si>
    <t>UHK13-0103</t>
  </si>
  <si>
    <t>1/11/2019</t>
  </si>
  <si>
    <t>AMAZON,AMAZONDS,KOHLDSN,OVERSTOCK01,TGTDVS,WALMARTDS</t>
  </si>
  <si>
    <t>UHK13-0186</t>
  </si>
  <si>
    <t>Ellie</t>
  </si>
  <si>
    <t>Mandy</t>
  </si>
  <si>
    <t>Reversible Sunshine Printed Cotton Quilt Set with Throw Pillow</t>
  </si>
  <si>
    <t>Yellow/Coral</t>
  </si>
  <si>
    <t>PF005674</t>
  </si>
  <si>
    <t>3/24/2022</t>
  </si>
  <si>
    <t>BLK01,CSNSTORES,HDDS,JCPENNEY01,KOHLDSN,OVERSTOCK01,TGTDVS</t>
  </si>
  <si>
    <t>UHK13-0187</t>
  </si>
  <si>
    <t>UHK13-0164</t>
  </si>
  <si>
    <t>Rory</t>
  </si>
  <si>
    <t>Jessie</t>
  </si>
  <si>
    <t>Erin</t>
  </si>
  <si>
    <t>Rainbow Sunburst Reversible Cotton Quilt Set with Throw Pillow</t>
  </si>
  <si>
    <t>PF005390</t>
  </si>
  <si>
    <t>AMAZON,AMAZONDS,BLK01,DESINC,JCPENNEY01,OLLIIX,OVERSTOCK01,TGTDVS</t>
  </si>
  <si>
    <t>UHK13-0165</t>
  </si>
  <si>
    <t>UHK13-0224</t>
  </si>
  <si>
    <t>Kinsley</t>
  </si>
  <si>
    <t>Woodland Animals Reversible Cotton Quilt Set</t>
  </si>
  <si>
    <t>PF005316</t>
  </si>
  <si>
    <t>7/12/2023</t>
  </si>
  <si>
    <t>AMAZONDS,OVERSTOCK01,TGTDVS</t>
  </si>
  <si>
    <t>UHK13-0225</t>
  </si>
  <si>
    <t>UHK13-0222</t>
  </si>
  <si>
    <t>Noah</t>
  </si>
  <si>
    <t>Stripe Printed Quilt Set</t>
  </si>
  <si>
    <t>PF005207</t>
  </si>
  <si>
    <t>7/27/2023</t>
  </si>
  <si>
    <t>UHK13-0223</t>
  </si>
  <si>
    <t>UHK13-0084</t>
  </si>
  <si>
    <t>Cloud</t>
  </si>
  <si>
    <t>Bliss</t>
  </si>
  <si>
    <t>Euphoria</t>
  </si>
  <si>
    <t>6 Piece Cotton Reversible Daybed Set</t>
  </si>
  <si>
    <t>PP000645;PF004077</t>
  </si>
  <si>
    <t>AMAZON,OLLIIX,OVERSTOCK01,TGTDVS</t>
  </si>
  <si>
    <t>1/23/2020</t>
  </si>
  <si>
    <t>UHK10-0184</t>
  </si>
  <si>
    <t>Sunshine Printed Reversible Comforter Set</t>
  </si>
  <si>
    <t>UHK10-0185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</si>
  <si>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</si>
  <si>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</si>
  <si>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</si>
  <si>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</si>
  <si>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</si>
  <si>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</si>
  <si>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</si>
  <si>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</si>
  <si>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11/18/2023</t>
  </si>
  <si>
    <t>UHK10-0170</t>
  </si>
  <si>
    <t>Haisley</t>
  </si>
  <si>
    <t>Piper</t>
  </si>
  <si>
    <t>Cotton Comforter Set with Chenille Trim</t>
  </si>
  <si>
    <t>PP001606;PF005391</t>
  </si>
  <si>
    <t>AMAZON,CSNSTORES,DESINC,HDDS,KOHLDSN,OLLIIX,OVERSTOCK01,TGTDVS</t>
  </si>
  <si>
    <t>UHK10-0171</t>
  </si>
  <si>
    <t>AMAZON,AMAZONDS,CSNSTORES,DESINC,HDDS,KOHLDSN,OVERSTOCK01,TGTDVS</t>
  </si>
  <si>
    <t>UHK10-0156</t>
  </si>
  <si>
    <t>Woodland Animals Cotton Reversible Comforter Set</t>
  </si>
  <si>
    <t>1/9/2021</t>
  </si>
  <si>
    <t>UHK10-0162</t>
  </si>
  <si>
    <t>Rainbow Sunburst Reversible Cotton Comforter Set</t>
  </si>
  <si>
    <t>AMAZON,AMAZONDS,CSNSTORES,DESINC,HDDS,JCPENNEY01,MACY02,OLLIIX,OVERSTOCK01,TGTDVS</t>
  </si>
  <si>
    <t>UHK10-0163</t>
  </si>
  <si>
    <t>AMAZON,AMAZONDS,BLK01,DESINC,HDDS,JCPENNEY01,KOHLDSN,MACY02,NRTPORT,OLLIIX,OVERSTOCK01,TGTDVS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</si>
  <si>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</si>
  <si>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</si>
  <si>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</si>
  <si>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</si>
  <si>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</si>
  <si>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</si>
  <si>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UHK12-0139</t>
  </si>
  <si>
    <t>AMAZON,AMAZONDS,OVERSTOCK01,TGTDVS</t>
  </si>
  <si>
    <t>UHK12-0034</t>
  </si>
  <si>
    <t>Cotton Printed Duvet Cover Set</t>
  </si>
  <si>
    <t>PF002480</t>
  </si>
  <si>
    <t>UHK12-0172</t>
  </si>
  <si>
    <t>Cotton Duvet Cover Set with Chenille Trim</t>
  </si>
  <si>
    <t>HDDS,OLLIIX,OVERSTOCK01,TGTDVS</t>
  </si>
  <si>
    <t>UHK12-0173</t>
  </si>
  <si>
    <t>CSNSTORES,HDDS,MACY02,OVERSTOCK01,TGTDVS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</si>
  <si>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</si>
  <si>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</si>
  <si>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</si>
  <si>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</si>
  <si>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</si>
  <si>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</si>
  <si>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AMAZON,AMAZONDS,CSNSTORES,DESINC,FINGERHUTDS,HDDS,JCPENNEY01,KOHLDSN,MACY02,OLLIIX,OVERSTOCK01,TGTDVS</t>
  </si>
  <si>
    <t>MZK10-227</t>
  </si>
  <si>
    <t>MZK10-201</t>
  </si>
  <si>
    <t>Quinny</t>
  </si>
  <si>
    <t>Glow In The Dark Plush Comforter Set</t>
  </si>
  <si>
    <t>PF004726</t>
  </si>
  <si>
    <t>AMAZON,CSNSTORES,HDDS,JCPENNEY01,MACY02,OVERSTOCK01,TGTDVS</t>
  </si>
  <si>
    <t>2/21/2020</t>
  </si>
  <si>
    <t>MZK10-261</t>
  </si>
  <si>
    <t>Tanya</t>
  </si>
  <si>
    <t>Jamie</t>
  </si>
  <si>
    <t>Tassel Comforter Set with Heart Shaped Throw Pillow</t>
  </si>
  <si>
    <t>PP001045;PF006019</t>
  </si>
  <si>
    <t>AMAZON,BLK01,CSNSTORES,JCPENNEY01,KOHLDSN,NRTPORT,OLLIIX,OVERSTOCK01,TGTDVS</t>
  </si>
  <si>
    <t>MZK10-262</t>
  </si>
  <si>
    <t>MZK10-273</t>
  </si>
  <si>
    <t>PP001045;PF006288</t>
  </si>
  <si>
    <t>MZK10-274</t>
  </si>
  <si>
    <t>MZK10-265</t>
  </si>
  <si>
    <t>Forest Animals Plush Reversible Comforter Set</t>
  </si>
  <si>
    <t>PF006065</t>
  </si>
  <si>
    <t>MZK10-266</t>
  </si>
  <si>
    <t>10/1/2023</t>
  </si>
  <si>
    <t>AMAZON,CSNSTORES,HDDS,KOHLDSN,NRTPORT,OLLIIX,OVERSTOCK01,TGTDVS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</si>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</sst>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385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67.2</v>
      </c>
      <c r="M6" s="3">
        <v>70.55</v>
      </c>
      <c r="N6" s="3">
        <v>139.99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227</v>
      </c>
      <c r="AA6" s="4">
        <f>=ROUNDDOWN(13.3529411764706,0)</f>
      </c>
      <c r="AB6" s="5">
        <v>17</v>
      </c>
      <c r="AC6" s="2" t="s">
        <v>107</v>
      </c>
      <c r="AD6" s="4">
        <v>60</v>
      </c>
      <c r="AE6" s="4">
        <v>130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2</v>
      </c>
      <c r="AQ6" s="8">
        <v>136.08</v>
      </c>
      <c r="AR6" s="4"/>
      <c r="AS6" s="8"/>
      <c r="AT6" s="7"/>
      <c r="AU6" s="7"/>
      <c r="AV6" s="4">
        <v>6</v>
      </c>
      <c r="AW6" s="8">
        <v>453.6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0.3</v>
      </c>
      <c r="BC6" s="4">
        <v>8</v>
      </c>
      <c r="BD6" s="8">
        <v>612.36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0.7407</v>
      </c>
      <c r="BJ6" s="4">
        <v>55</v>
      </c>
      <c r="BK6" s="8">
        <v>3699.94</v>
      </c>
      <c r="BL6" s="2" t="s">
        <v>108</v>
      </c>
      <c r="BM6" s="7">
        <v>0.0364</v>
      </c>
      <c r="BN6" s="7">
        <v>0.0368</v>
      </c>
      <c r="BO6" s="4">
        <v>2</v>
      </c>
      <c r="BP6" s="8">
        <v>136.08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76.8</v>
      </c>
      <c r="M7" s="3">
        <v>80.63</v>
      </c>
      <c r="N7" s="3">
        <v>159.99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360</v>
      </c>
      <c r="AA7" s="4">
        <f>=ROUNDDOWN(20,0)</f>
      </c>
      <c r="AB7" s="5">
        <v>18</v>
      </c>
      <c r="AC7" s="2" t="s">
        <v>107</v>
      </c>
      <c r="AD7" s="4">
        <v>200</v>
      </c>
      <c r="AE7" s="4">
        <v>300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3</v>
      </c>
      <c r="AQ7" s="8">
        <v>238.14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0.525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54</v>
      </c>
      <c r="BK7" s="8">
        <v>4270.33</v>
      </c>
      <c r="BL7" s="2" t="s">
        <v>115</v>
      </c>
      <c r="BM7" s="7">
        <v>0.0556</v>
      </c>
      <c r="BN7" s="7">
        <v>0.0558</v>
      </c>
      <c r="BO7" s="4">
        <v>3</v>
      </c>
      <c r="BP7" s="8">
        <v>238.14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116</v>
      </c>
      <c r="BY7" s="2" t="s">
        <v>112</v>
      </c>
      <c r="BZ7" s="2" t="s">
        <v>100</v>
      </c>
    </row>
    <row r="8">
      <c r="A8" s="2" t="s">
        <v>117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118</v>
      </c>
      <c r="K8" s="2" t="s">
        <v>96</v>
      </c>
      <c r="L8" s="3">
        <v>76.8</v>
      </c>
      <c r="M8" s="3">
        <v>80.63</v>
      </c>
      <c r="N8" s="3">
        <v>159.99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100</v>
      </c>
      <c r="U8" s="2" t="s">
        <v>102</v>
      </c>
      <c r="V8" s="2" t="s">
        <v>103</v>
      </c>
      <c r="W8" s="2" t="s">
        <v>104</v>
      </c>
      <c r="X8" s="2" t="s">
        <v>105</v>
      </c>
      <c r="Y8" s="2" t="s">
        <v>106</v>
      </c>
      <c r="Z8" s="4">
        <v>117</v>
      </c>
      <c r="AA8" s="4">
        <f>=ROUNDDOWN(19.5,0)</f>
      </c>
      <c r="AB8" s="5">
        <v>6</v>
      </c>
      <c r="AC8" s="2" t="s">
        <v>107</v>
      </c>
      <c r="AD8" s="4">
        <v>60</v>
      </c>
      <c r="AE8" s="4">
        <v>110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1</v>
      </c>
      <c r="AQ8" s="8">
        <v>79.38</v>
      </c>
      <c r="AR8" s="4"/>
      <c r="AS8" s="8"/>
      <c r="AT8" s="7"/>
      <c r="AU8" s="7"/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0.175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20</v>
      </c>
      <c r="BK8" s="8">
        <v>1518.23</v>
      </c>
      <c r="BL8" s="2" t="s">
        <v>119</v>
      </c>
      <c r="BM8" s="7">
        <v>0.05</v>
      </c>
      <c r="BN8" s="7">
        <v>0.0523</v>
      </c>
      <c r="BO8" s="4">
        <v>1</v>
      </c>
      <c r="BP8" s="8">
        <v>79.38</v>
      </c>
      <c r="BQ8" s="4"/>
      <c r="BR8" s="8"/>
      <c r="BS8" s="7"/>
      <c r="BT8" s="7"/>
      <c r="BU8" s="2" t="s">
        <v>109</v>
      </c>
      <c r="BV8" s="2" t="s">
        <v>97</v>
      </c>
      <c r="BW8" s="2" t="s">
        <v>110</v>
      </c>
      <c r="BX8" s="2" t="s">
        <v>120</v>
      </c>
      <c r="BY8" s="2" t="s">
        <v>112</v>
      </c>
      <c r="BZ8" s="2" t="s">
        <v>100</v>
      </c>
    </row>
    <row r="9">
      <c r="A9" s="2" t="s">
        <v>121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92</v>
      </c>
      <c r="H9" s="2" t="s">
        <v>93</v>
      </c>
      <c r="I9" s="2" t="s">
        <v>94</v>
      </c>
      <c r="J9" s="2" t="s">
        <v>114</v>
      </c>
      <c r="K9" s="2" t="s">
        <v>122</v>
      </c>
      <c r="L9" s="3">
        <v>76.8</v>
      </c>
      <c r="M9" s="3">
        <v>80.63</v>
      </c>
      <c r="N9" s="3">
        <v>159.99</v>
      </c>
      <c r="O9" s="2" t="s">
        <v>97</v>
      </c>
      <c r="P9" s="2" t="s">
        <v>123</v>
      </c>
      <c r="Q9" s="2" t="s">
        <v>99</v>
      </c>
      <c r="R9" s="2" t="s">
        <v>100</v>
      </c>
      <c r="S9" s="2" t="s">
        <v>124</v>
      </c>
      <c r="T9" s="2" t="s">
        <v>100</v>
      </c>
      <c r="U9" s="2" t="s">
        <v>102</v>
      </c>
      <c r="V9" s="2" t="s">
        <v>103</v>
      </c>
      <c r="W9" s="2" t="s">
        <v>104</v>
      </c>
      <c r="X9" s="2" t="s">
        <v>105</v>
      </c>
      <c r="Y9" s="2" t="s">
        <v>125</v>
      </c>
      <c r="Z9" s="4">
        <v>537</v>
      </c>
      <c r="AA9" s="4">
        <f>=ROUNDDOWN(17.9,0)</f>
      </c>
      <c r="AB9" s="5">
        <v>30</v>
      </c>
      <c r="AC9" s="2" t="s">
        <v>107</v>
      </c>
      <c r="AD9" s="4">
        <v>100</v>
      </c>
      <c r="AE9" s="4">
        <v>420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2</v>
      </c>
      <c r="AQ9" s="8">
        <v>158.76</v>
      </c>
      <c r="AR9" s="4"/>
      <c r="AS9" s="8"/>
      <c r="AT9" s="7"/>
      <c r="AU9" s="7"/>
      <c r="AV9" s="4">
        <v>2</v>
      </c>
      <c r="AW9" s="8">
        <v>158.76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1</v>
      </c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0.2593</v>
      </c>
      <c r="BJ9" s="4">
        <v>75</v>
      </c>
      <c r="BK9" s="8">
        <v>5792.62</v>
      </c>
      <c r="BL9" s="2" t="s">
        <v>126</v>
      </c>
      <c r="BM9" s="7">
        <v>0.0267</v>
      </c>
      <c r="BN9" s="7">
        <v>0.0274</v>
      </c>
      <c r="BO9" s="4">
        <v>2</v>
      </c>
      <c r="BP9" s="8">
        <v>158.76</v>
      </c>
      <c r="BQ9" s="4"/>
      <c r="BR9" s="8"/>
      <c r="BS9" s="7"/>
      <c r="BT9" s="7"/>
      <c r="BU9" s="2" t="s">
        <v>109</v>
      </c>
      <c r="BV9" s="2" t="s">
        <v>97</v>
      </c>
      <c r="BW9" s="2" t="s">
        <v>127</v>
      </c>
      <c r="BX9" s="2" t="s">
        <v>128</v>
      </c>
      <c r="BY9" s="2" t="s">
        <v>112</v>
      </c>
      <c r="BZ9" s="2" t="s">
        <v>100</v>
      </c>
    </row>
    <row r="10">
      <c r="A10" s="2" t="s">
        <v>129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91</v>
      </c>
      <c r="G10" s="2" t="s">
        <v>92</v>
      </c>
      <c r="H10" s="2" t="s">
        <v>93</v>
      </c>
      <c r="I10" s="2" t="s">
        <v>94</v>
      </c>
      <c r="J10" s="2" t="s">
        <v>118</v>
      </c>
      <c r="K10" s="2" t="s">
        <v>122</v>
      </c>
      <c r="L10" s="3">
        <v>76.8</v>
      </c>
      <c r="M10" s="3">
        <v>80.63</v>
      </c>
      <c r="N10" s="3">
        <v>159.99</v>
      </c>
      <c r="O10" s="2" t="s">
        <v>97</v>
      </c>
      <c r="P10" s="2" t="s">
        <v>123</v>
      </c>
      <c r="Q10" s="2" t="s">
        <v>99</v>
      </c>
      <c r="R10" s="2" t="s">
        <v>100</v>
      </c>
      <c r="S10" s="2" t="s">
        <v>124</v>
      </c>
      <c r="T10" s="2" t="s">
        <v>100</v>
      </c>
      <c r="U10" s="2" t="s">
        <v>102</v>
      </c>
      <c r="V10" s="2" t="s">
        <v>103</v>
      </c>
      <c r="W10" s="2" t="s">
        <v>104</v>
      </c>
      <c r="X10" s="2" t="s">
        <v>105</v>
      </c>
      <c r="Y10" s="2" t="s">
        <v>125</v>
      </c>
      <c r="Z10" s="4">
        <v>324</v>
      </c>
      <c r="AA10" s="4">
        <f>=ROUNDDOWN(32.4,0)</f>
      </c>
      <c r="AB10" s="5">
        <v>10</v>
      </c>
      <c r="AC10" s="2" t="s">
        <v>130</v>
      </c>
      <c r="AD10" s="4">
        <v>40</v>
      </c>
      <c r="AE10" s="4">
        <v>180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/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42</v>
      </c>
      <c r="BK10" s="8">
        <v>3280.34</v>
      </c>
      <c r="BL10" s="2" t="s">
        <v>131</v>
      </c>
      <c r="BM10" s="7"/>
      <c r="BN10" s="7"/>
      <c r="BO10" s="4"/>
      <c r="BP10" s="8"/>
      <c r="BQ10" s="4"/>
      <c r="BR10" s="8"/>
      <c r="BS10" s="7"/>
      <c r="BT10" s="7"/>
      <c r="BU10" s="2" t="s">
        <v>109</v>
      </c>
      <c r="BV10" s="2" t="s">
        <v>97</v>
      </c>
      <c r="BW10" s="2" t="s">
        <v>127</v>
      </c>
      <c r="BX10" s="2" t="s">
        <v>132</v>
      </c>
      <c r="BY10" s="2" t="s">
        <v>112</v>
      </c>
      <c r="BZ10" s="2" t="s">
        <v>100</v>
      </c>
    </row>
    <row r="11">
      <c r="A11" s="2" t="s">
        <v>133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134</v>
      </c>
      <c r="G11" s="2" t="s">
        <v>135</v>
      </c>
      <c r="H11" s="2" t="s">
        <v>136</v>
      </c>
      <c r="I11" s="2" t="s">
        <v>137</v>
      </c>
      <c r="J11" s="2" t="s">
        <v>114</v>
      </c>
      <c r="K11" s="2" t="s">
        <v>138</v>
      </c>
      <c r="L11" s="3">
        <v>81.21</v>
      </c>
      <c r="M11" s="3">
        <v>85.27</v>
      </c>
      <c r="N11" s="3">
        <v>169.99</v>
      </c>
      <c r="O11" s="2" t="s">
        <v>97</v>
      </c>
      <c r="P11" s="2" t="s">
        <v>139</v>
      </c>
      <c r="Q11" s="2" t="s">
        <v>99</v>
      </c>
      <c r="R11" s="2" t="s">
        <v>100</v>
      </c>
      <c r="S11" s="2" t="s">
        <v>140</v>
      </c>
      <c r="T11" s="2" t="s">
        <v>100</v>
      </c>
      <c r="U11" s="2" t="s">
        <v>102</v>
      </c>
      <c r="V11" s="2" t="s">
        <v>141</v>
      </c>
      <c r="W11" s="2" t="s">
        <v>142</v>
      </c>
      <c r="X11" s="2" t="s">
        <v>143</v>
      </c>
      <c r="Y11" s="2" t="s">
        <v>144</v>
      </c>
      <c r="Z11" s="4">
        <v>853</v>
      </c>
      <c r="AA11" s="4">
        <f>=ROUNDDOWN(22.4473684210526,0)</f>
      </c>
      <c r="AB11" s="5">
        <v>38</v>
      </c>
      <c r="AC11" s="2" t="s">
        <v>145</v>
      </c>
      <c r="AD11" s="4">
        <v>100</v>
      </c>
      <c r="AE11" s="4">
        <v>800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4</v>
      </c>
      <c r="AQ11" s="8">
        <v>304.84</v>
      </c>
      <c r="AR11" s="4"/>
      <c r="AS11" s="8"/>
      <c r="AT11" s="7"/>
      <c r="AU11" s="7"/>
      <c r="AV11" s="4">
        <v>7</v>
      </c>
      <c r="AW11" s="8">
        <v>533.47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0.5714</v>
      </c>
      <c r="BC11" s="4">
        <v>8</v>
      </c>
      <c r="BD11" s="8">
        <v>609.68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>
        <v>0.875</v>
      </c>
      <c r="BJ11" s="4">
        <v>98</v>
      </c>
      <c r="BK11" s="8">
        <v>8191.82</v>
      </c>
      <c r="BL11" s="2" t="s">
        <v>146</v>
      </c>
      <c r="BM11" s="7">
        <v>0.0408</v>
      </c>
      <c r="BN11" s="7">
        <v>0.0372</v>
      </c>
      <c r="BO11" s="4">
        <v>4</v>
      </c>
      <c r="BP11" s="8">
        <v>304.84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147</v>
      </c>
      <c r="BX11" s="2" t="s">
        <v>148</v>
      </c>
      <c r="BY11" s="2" t="s">
        <v>112</v>
      </c>
      <c r="BZ11" s="2" t="s">
        <v>149</v>
      </c>
    </row>
    <row r="12">
      <c r="A12" s="2" t="s">
        <v>150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134</v>
      </c>
      <c r="G12" s="2" t="s">
        <v>135</v>
      </c>
      <c r="H12" s="2" t="s">
        <v>136</v>
      </c>
      <c r="I12" s="2" t="s">
        <v>137</v>
      </c>
      <c r="J12" s="2" t="s">
        <v>118</v>
      </c>
      <c r="K12" s="2" t="s">
        <v>138</v>
      </c>
      <c r="L12" s="3">
        <v>81.21</v>
      </c>
      <c r="M12" s="3">
        <v>85.27</v>
      </c>
      <c r="N12" s="3">
        <v>169.99</v>
      </c>
      <c r="O12" s="2" t="s">
        <v>97</v>
      </c>
      <c r="P12" s="2" t="s">
        <v>139</v>
      </c>
      <c r="Q12" s="2" t="s">
        <v>99</v>
      </c>
      <c r="R12" s="2" t="s">
        <v>100</v>
      </c>
      <c r="S12" s="2" t="s">
        <v>140</v>
      </c>
      <c r="T12" s="2" t="s">
        <v>100</v>
      </c>
      <c r="U12" s="2" t="s">
        <v>102</v>
      </c>
      <c r="V12" s="2" t="s">
        <v>141</v>
      </c>
      <c r="W12" s="2" t="s">
        <v>142</v>
      </c>
      <c r="X12" s="2" t="s">
        <v>143</v>
      </c>
      <c r="Y12" s="2" t="s">
        <v>151</v>
      </c>
      <c r="Z12" s="4">
        <v>354</v>
      </c>
      <c r="AA12" s="4">
        <f>=ROUNDDOWN(22.125,0)</f>
      </c>
      <c r="AB12" s="5">
        <v>16</v>
      </c>
      <c r="AC12" s="2" t="s">
        <v>145</v>
      </c>
      <c r="AD12" s="4">
        <v>50</v>
      </c>
      <c r="AE12" s="4">
        <v>200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3</v>
      </c>
      <c r="AQ12" s="8">
        <v>228.63</v>
      </c>
      <c r="AR12" s="4"/>
      <c r="AS12" s="8"/>
      <c r="AT12" s="7"/>
      <c r="AU12" s="7"/>
      <c r="AV12" s="4" t="s">
        <v>100</v>
      </c>
      <c r="AW12" s="8" t="s">
        <v>100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0.4286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 t="s">
        <v>100</v>
      </c>
      <c r="BJ12" s="4">
        <v>49</v>
      </c>
      <c r="BK12" s="8">
        <v>4055</v>
      </c>
      <c r="BL12" s="2" t="s">
        <v>152</v>
      </c>
      <c r="BM12" s="7">
        <v>0.0612</v>
      </c>
      <c r="BN12" s="7">
        <v>0.0564</v>
      </c>
      <c r="BO12" s="4">
        <v>3</v>
      </c>
      <c r="BP12" s="8">
        <v>228.63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147</v>
      </c>
      <c r="BX12" s="2" t="s">
        <v>153</v>
      </c>
      <c r="BY12" s="2" t="s">
        <v>112</v>
      </c>
      <c r="BZ12" s="2" t="s">
        <v>149</v>
      </c>
    </row>
    <row r="13">
      <c r="A13" s="2" t="s">
        <v>154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134</v>
      </c>
      <c r="G13" s="2" t="s">
        <v>135</v>
      </c>
      <c r="H13" s="2" t="s">
        <v>136</v>
      </c>
      <c r="I13" s="2" t="s">
        <v>137</v>
      </c>
      <c r="J13" s="2" t="s">
        <v>114</v>
      </c>
      <c r="K13" s="2" t="s">
        <v>155</v>
      </c>
      <c r="L13" s="3">
        <v>81.21</v>
      </c>
      <c r="M13" s="3">
        <v>85.27</v>
      </c>
      <c r="N13" s="3">
        <v>169.99</v>
      </c>
      <c r="O13" s="2" t="s">
        <v>97</v>
      </c>
      <c r="P13" s="2" t="s">
        <v>156</v>
      </c>
      <c r="Q13" s="2" t="s">
        <v>99</v>
      </c>
      <c r="R13" s="2" t="s">
        <v>100</v>
      </c>
      <c r="S13" s="2" t="s">
        <v>157</v>
      </c>
      <c r="T13" s="2" t="s">
        <v>100</v>
      </c>
      <c r="U13" s="2" t="s">
        <v>102</v>
      </c>
      <c r="V13" s="2" t="s">
        <v>141</v>
      </c>
      <c r="W13" s="2" t="s">
        <v>142</v>
      </c>
      <c r="X13" s="2" t="s">
        <v>143</v>
      </c>
      <c r="Y13" s="2" t="s">
        <v>144</v>
      </c>
      <c r="Z13" s="4">
        <v>579</v>
      </c>
      <c r="AA13" s="4">
        <f>=ROUNDDOWN(28.95,0)</f>
      </c>
      <c r="AB13" s="5">
        <v>20</v>
      </c>
      <c r="AC13" s="2" t="s">
        <v>107</v>
      </c>
      <c r="AD13" s="4">
        <v>159</v>
      </c>
      <c r="AE13" s="4">
        <v>159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>
        <v>1</v>
      </c>
      <c r="AW13" s="8">
        <v>76.21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/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>
        <v>0.125</v>
      </c>
      <c r="BJ13" s="4">
        <v>39</v>
      </c>
      <c r="BK13" s="8">
        <v>3315.41</v>
      </c>
      <c r="BL13" s="2" t="s">
        <v>158</v>
      </c>
      <c r="BM13" s="7"/>
      <c r="BN13" s="7"/>
      <c r="BO13" s="4"/>
      <c r="BP13" s="8"/>
      <c r="BQ13" s="4"/>
      <c r="BR13" s="8"/>
      <c r="BS13" s="7"/>
      <c r="BT13" s="7"/>
      <c r="BU13" s="2" t="s">
        <v>109</v>
      </c>
      <c r="BV13" s="2" t="s">
        <v>97</v>
      </c>
      <c r="BW13" s="2" t="s">
        <v>159</v>
      </c>
      <c r="BX13" s="2" t="s">
        <v>160</v>
      </c>
      <c r="BY13" s="2" t="s">
        <v>112</v>
      </c>
      <c r="BZ13" s="2" t="s">
        <v>100</v>
      </c>
    </row>
    <row r="14">
      <c r="A14" s="2" t="s">
        <v>161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134</v>
      </c>
      <c r="G14" s="2" t="s">
        <v>135</v>
      </c>
      <c r="H14" s="2" t="s">
        <v>136</v>
      </c>
      <c r="I14" s="2" t="s">
        <v>137</v>
      </c>
      <c r="J14" s="2" t="s">
        <v>118</v>
      </c>
      <c r="K14" s="2" t="s">
        <v>155</v>
      </c>
      <c r="L14" s="3">
        <v>81.21</v>
      </c>
      <c r="M14" s="3">
        <v>85.27</v>
      </c>
      <c r="N14" s="3">
        <v>169.99</v>
      </c>
      <c r="O14" s="2" t="s">
        <v>97</v>
      </c>
      <c r="P14" s="2" t="s">
        <v>156</v>
      </c>
      <c r="Q14" s="2" t="s">
        <v>99</v>
      </c>
      <c r="R14" s="2" t="s">
        <v>100</v>
      </c>
      <c r="S14" s="2" t="s">
        <v>157</v>
      </c>
      <c r="T14" s="2" t="s">
        <v>100</v>
      </c>
      <c r="U14" s="2" t="s">
        <v>102</v>
      </c>
      <c r="V14" s="2" t="s">
        <v>141</v>
      </c>
      <c r="W14" s="2" t="s">
        <v>142</v>
      </c>
      <c r="X14" s="2" t="s">
        <v>143</v>
      </c>
      <c r="Y14" s="2" t="s">
        <v>144</v>
      </c>
      <c r="Z14" s="4">
        <v>319</v>
      </c>
      <c r="AA14" s="4">
        <f>=ROUNDDOWN(35.4444444444444,0)</f>
      </c>
      <c r="AB14" s="5">
        <v>9</v>
      </c>
      <c r="AC14" s="2" t="s">
        <v>107</v>
      </c>
      <c r="AD14" s="4">
        <v>70</v>
      </c>
      <c r="AE14" s="4">
        <v>70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1</v>
      </c>
      <c r="AQ14" s="8">
        <v>76.21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1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12</v>
      </c>
      <c r="BK14" s="8">
        <v>927.71</v>
      </c>
      <c r="BL14" s="2" t="s">
        <v>162</v>
      </c>
      <c r="BM14" s="7">
        <v>0.0833</v>
      </c>
      <c r="BN14" s="7">
        <v>0.0821</v>
      </c>
      <c r="BO14" s="4">
        <v>1</v>
      </c>
      <c r="BP14" s="8">
        <v>76.21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159</v>
      </c>
      <c r="BX14" s="2" t="s">
        <v>163</v>
      </c>
      <c r="BY14" s="2" t="s">
        <v>112</v>
      </c>
      <c r="BZ14" s="2" t="s">
        <v>100</v>
      </c>
    </row>
    <row r="15">
      <c r="A15" s="2" t="s">
        <v>164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134</v>
      </c>
      <c r="G15" s="2" t="s">
        <v>135</v>
      </c>
      <c r="H15" s="2" t="s">
        <v>136</v>
      </c>
      <c r="I15" s="2" t="s">
        <v>137</v>
      </c>
      <c r="J15" s="2" t="s">
        <v>95</v>
      </c>
      <c r="K15" s="2" t="s">
        <v>165</v>
      </c>
      <c r="L15" s="3">
        <v>69.55</v>
      </c>
      <c r="M15" s="3">
        <v>73.03</v>
      </c>
      <c r="N15" s="3">
        <v>149.99</v>
      </c>
      <c r="O15" s="2" t="s">
        <v>97</v>
      </c>
      <c r="P15" s="2" t="s">
        <v>98</v>
      </c>
      <c r="Q15" s="2" t="s">
        <v>99</v>
      </c>
      <c r="R15" s="2" t="s">
        <v>100</v>
      </c>
      <c r="S15" s="2" t="s">
        <v>166</v>
      </c>
      <c r="T15" s="2" t="s">
        <v>167</v>
      </c>
      <c r="U15" s="2" t="s">
        <v>102</v>
      </c>
      <c r="V15" s="2" t="s">
        <v>141</v>
      </c>
      <c r="W15" s="2" t="s">
        <v>142</v>
      </c>
      <c r="X15" s="2" t="s">
        <v>168</v>
      </c>
      <c r="Y15" s="2" t="s">
        <v>169</v>
      </c>
      <c r="Z15" s="4">
        <v>294</v>
      </c>
      <c r="AA15" s="4">
        <f>=ROUNDDOWN(17.2941176470588,0)</f>
      </c>
      <c r="AB15" s="5">
        <v>17</v>
      </c>
      <c r="AC15" s="2" t="s">
        <v>145</v>
      </c>
      <c r="AD15" s="4">
        <v>169</v>
      </c>
      <c r="AE15" s="4">
        <v>379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100</v>
      </c>
      <c r="AW15" s="8" t="s">
        <v>100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/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 t="s">
        <v>100</v>
      </c>
      <c r="BJ15" s="4">
        <v>51</v>
      </c>
      <c r="BK15" s="8">
        <v>3717.04</v>
      </c>
      <c r="BL15" s="2" t="s">
        <v>170</v>
      </c>
      <c r="BM15" s="7"/>
      <c r="BN15" s="7"/>
      <c r="BO15" s="4"/>
      <c r="BP15" s="8"/>
      <c r="BQ15" s="4"/>
      <c r="BR15" s="8"/>
      <c r="BS15" s="7"/>
      <c r="BT15" s="7"/>
      <c r="BU15" s="2" t="s">
        <v>171</v>
      </c>
      <c r="BV15" s="2" t="s">
        <v>97</v>
      </c>
      <c r="BW15" s="2" t="s">
        <v>100</v>
      </c>
      <c r="BX15" s="2" t="s">
        <v>100</v>
      </c>
      <c r="BY15" s="2" t="s">
        <v>112</v>
      </c>
      <c r="BZ15" s="2" t="s">
        <v>100</v>
      </c>
    </row>
    <row r="16">
      <c r="A16" s="2" t="s">
        <v>172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134</v>
      </c>
      <c r="G16" s="2" t="s">
        <v>135</v>
      </c>
      <c r="H16" s="2" t="s">
        <v>136</v>
      </c>
      <c r="I16" s="2" t="s">
        <v>137</v>
      </c>
      <c r="J16" s="2" t="s">
        <v>114</v>
      </c>
      <c r="K16" s="2" t="s">
        <v>165</v>
      </c>
      <c r="L16" s="3">
        <v>81.21</v>
      </c>
      <c r="M16" s="3">
        <v>85.27</v>
      </c>
      <c r="N16" s="3">
        <v>169.99</v>
      </c>
      <c r="O16" s="2" t="s">
        <v>97</v>
      </c>
      <c r="P16" s="2" t="s">
        <v>98</v>
      </c>
      <c r="Q16" s="2" t="s">
        <v>99</v>
      </c>
      <c r="R16" s="2" t="s">
        <v>100</v>
      </c>
      <c r="S16" s="2" t="s">
        <v>166</v>
      </c>
      <c r="T16" s="2" t="s">
        <v>167</v>
      </c>
      <c r="U16" s="2" t="s">
        <v>102</v>
      </c>
      <c r="V16" s="2" t="s">
        <v>141</v>
      </c>
      <c r="W16" s="2" t="s">
        <v>142</v>
      </c>
      <c r="X16" s="2" t="s">
        <v>168</v>
      </c>
      <c r="Y16" s="2" t="s">
        <v>169</v>
      </c>
      <c r="Z16" s="4">
        <v>363</v>
      </c>
      <c r="AA16" s="4">
        <f>=ROUNDDOWN(30.25,0)</f>
      </c>
      <c r="AB16" s="5">
        <v>12</v>
      </c>
      <c r="AC16" s="2" t="s">
        <v>173</v>
      </c>
      <c r="AD16" s="4">
        <v>150</v>
      </c>
      <c r="AE16" s="4">
        <v>150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/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32</v>
      </c>
      <c r="BK16" s="8">
        <v>2718.2</v>
      </c>
      <c r="BL16" s="2" t="s">
        <v>174</v>
      </c>
      <c r="BM16" s="7"/>
      <c r="BN16" s="7"/>
      <c r="BO16" s="4"/>
      <c r="BP16" s="8"/>
      <c r="BQ16" s="4"/>
      <c r="BR16" s="8"/>
      <c r="BS16" s="7"/>
      <c r="BT16" s="7"/>
      <c r="BU16" s="2" t="s">
        <v>171</v>
      </c>
      <c r="BV16" s="2" t="s">
        <v>97</v>
      </c>
      <c r="BW16" s="2" t="s">
        <v>100</v>
      </c>
      <c r="BX16" s="2" t="s">
        <v>100</v>
      </c>
      <c r="BY16" s="2" t="s">
        <v>112</v>
      </c>
      <c r="BZ16" s="2" t="s">
        <v>100</v>
      </c>
    </row>
    <row r="17">
      <c r="A17" s="2" t="s">
        <v>175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134</v>
      </c>
      <c r="G17" s="2" t="s">
        <v>135</v>
      </c>
      <c r="H17" s="2" t="s">
        <v>136</v>
      </c>
      <c r="I17" s="2" t="s">
        <v>137</v>
      </c>
      <c r="J17" s="2" t="s">
        <v>118</v>
      </c>
      <c r="K17" s="2" t="s">
        <v>165</v>
      </c>
      <c r="L17" s="3">
        <v>81.21</v>
      </c>
      <c r="M17" s="3">
        <v>85.27</v>
      </c>
      <c r="N17" s="3">
        <v>169.99</v>
      </c>
      <c r="O17" s="2" t="s">
        <v>97</v>
      </c>
      <c r="P17" s="2" t="s">
        <v>98</v>
      </c>
      <c r="Q17" s="2" t="s">
        <v>99</v>
      </c>
      <c r="R17" s="2" t="s">
        <v>100</v>
      </c>
      <c r="S17" s="2" t="s">
        <v>166</v>
      </c>
      <c r="T17" s="2" t="s">
        <v>167</v>
      </c>
      <c r="U17" s="2" t="s">
        <v>102</v>
      </c>
      <c r="V17" s="2" t="s">
        <v>141</v>
      </c>
      <c r="W17" s="2" t="s">
        <v>142</v>
      </c>
      <c r="X17" s="2" t="s">
        <v>168</v>
      </c>
      <c r="Y17" s="2" t="s">
        <v>176</v>
      </c>
      <c r="Z17" s="4">
        <v>199</v>
      </c>
      <c r="AA17" s="4">
        <f>=ROUNDDOWN(28.4285714285714,0)</f>
      </c>
      <c r="AB17" s="5">
        <v>7</v>
      </c>
      <c r="AC17" s="2" t="s">
        <v>173</v>
      </c>
      <c r="AD17" s="4">
        <v>70</v>
      </c>
      <c r="AE17" s="4">
        <v>70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/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17</v>
      </c>
      <c r="BK17" s="8">
        <v>1424.02</v>
      </c>
      <c r="BL17" s="2" t="s">
        <v>177</v>
      </c>
      <c r="BM17" s="7"/>
      <c r="BN17" s="7"/>
      <c r="BO17" s="4"/>
      <c r="BP17" s="8"/>
      <c r="BQ17" s="4"/>
      <c r="BR17" s="8"/>
      <c r="BS17" s="7"/>
      <c r="BT17" s="7"/>
      <c r="BU17" s="2" t="s">
        <v>171</v>
      </c>
      <c r="BV17" s="2" t="s">
        <v>97</v>
      </c>
      <c r="BW17" s="2" t="s">
        <v>100</v>
      </c>
      <c r="BX17" s="2" t="s">
        <v>100</v>
      </c>
      <c r="BY17" s="2" t="s">
        <v>112</v>
      </c>
      <c r="BZ17" s="2" t="s">
        <v>100</v>
      </c>
    </row>
    <row r="18">
      <c r="A18" s="2" t="s">
        <v>178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134</v>
      </c>
      <c r="G18" s="2" t="s">
        <v>135</v>
      </c>
      <c r="H18" s="2" t="s">
        <v>136</v>
      </c>
      <c r="I18" s="2" t="s">
        <v>137</v>
      </c>
      <c r="J18" s="2" t="s">
        <v>118</v>
      </c>
      <c r="K18" s="2" t="s">
        <v>179</v>
      </c>
      <c r="L18" s="3">
        <v>81.21</v>
      </c>
      <c r="M18" s="3">
        <v>85.27</v>
      </c>
      <c r="N18" s="3">
        <v>169.99</v>
      </c>
      <c r="O18" s="2" t="s">
        <v>97</v>
      </c>
      <c r="P18" s="2" t="s">
        <v>156</v>
      </c>
      <c r="Q18" s="2" t="s">
        <v>99</v>
      </c>
      <c r="R18" s="2" t="s">
        <v>100</v>
      </c>
      <c r="S18" s="2" t="s">
        <v>180</v>
      </c>
      <c r="T18" s="2" t="s">
        <v>100</v>
      </c>
      <c r="U18" s="2" t="s">
        <v>102</v>
      </c>
      <c r="V18" s="2" t="s">
        <v>141</v>
      </c>
      <c r="W18" s="2" t="s">
        <v>142</v>
      </c>
      <c r="X18" s="2" t="s">
        <v>143</v>
      </c>
      <c r="Y18" s="2" t="s">
        <v>144</v>
      </c>
      <c r="Z18" s="4">
        <v>268</v>
      </c>
      <c r="AA18" s="4">
        <f>=ROUNDDOWN(29.7777777777778,0)</f>
      </c>
      <c r="AB18" s="5">
        <v>9</v>
      </c>
      <c r="AC18" s="2" t="s">
        <v>100</v>
      </c>
      <c r="AD18" s="4"/>
      <c r="AE18" s="4"/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/>
      <c r="AW18" s="8"/>
      <c r="AX18" s="4"/>
      <c r="AY18" s="8"/>
      <c r="AZ18" s="7"/>
      <c r="BA18" s="7"/>
      <c r="BB18" s="7"/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/>
      <c r="BJ18" s="4">
        <v>3</v>
      </c>
      <c r="BK18" s="8">
        <v>269.48</v>
      </c>
      <c r="BL18" s="2" t="s">
        <v>181</v>
      </c>
      <c r="BM18" s="7"/>
      <c r="BN18" s="7"/>
      <c r="BO18" s="4"/>
      <c r="BP18" s="8"/>
      <c r="BQ18" s="4"/>
      <c r="BR18" s="8"/>
      <c r="BS18" s="7"/>
      <c r="BT18" s="7"/>
      <c r="BU18" s="2" t="s">
        <v>109</v>
      </c>
      <c r="BV18" s="2" t="s">
        <v>97</v>
      </c>
      <c r="BW18" s="2" t="s">
        <v>159</v>
      </c>
      <c r="BX18" s="2" t="s">
        <v>182</v>
      </c>
      <c r="BY18" s="2" t="s">
        <v>112</v>
      </c>
      <c r="BZ18" s="2" t="s">
        <v>149</v>
      </c>
    </row>
    <row r="19">
      <c r="A19" s="2" t="s">
        <v>183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184</v>
      </c>
      <c r="G19" s="2" t="s">
        <v>185</v>
      </c>
      <c r="H19" s="2" t="s">
        <v>186</v>
      </c>
      <c r="I19" s="2" t="s">
        <v>187</v>
      </c>
      <c r="J19" s="2" t="s">
        <v>95</v>
      </c>
      <c r="K19" s="2" t="s">
        <v>188</v>
      </c>
      <c r="L19" s="3">
        <v>82.71</v>
      </c>
      <c r="M19" s="3">
        <v>86.85</v>
      </c>
      <c r="N19" s="3">
        <v>174.99</v>
      </c>
      <c r="O19" s="2" t="s">
        <v>97</v>
      </c>
      <c r="P19" s="2" t="s">
        <v>139</v>
      </c>
      <c r="Q19" s="2" t="s">
        <v>99</v>
      </c>
      <c r="R19" s="2" t="s">
        <v>100</v>
      </c>
      <c r="S19" s="2" t="s">
        <v>189</v>
      </c>
      <c r="T19" s="2" t="s">
        <v>190</v>
      </c>
      <c r="U19" s="2" t="s">
        <v>191</v>
      </c>
      <c r="V19" s="2" t="s">
        <v>192</v>
      </c>
      <c r="W19" s="2" t="s">
        <v>193</v>
      </c>
      <c r="X19" s="2" t="s">
        <v>194</v>
      </c>
      <c r="Y19" s="2" t="s">
        <v>195</v>
      </c>
      <c r="Z19" s="4">
        <v>1280</v>
      </c>
      <c r="AA19" s="4">
        <f>=ROUNDDOWN(22.0689655172414,0)</f>
      </c>
      <c r="AB19" s="5">
        <v>58</v>
      </c>
      <c r="AC19" s="2" t="s">
        <v>196</v>
      </c>
      <c r="AD19" s="4">
        <v>50</v>
      </c>
      <c r="AE19" s="4">
        <v>710</v>
      </c>
      <c r="AF19" s="6">
        <v>65</v>
      </c>
      <c r="AG19" s="6">
        <v>73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2</v>
      </c>
      <c r="AQ19" s="8">
        <v>152.42</v>
      </c>
      <c r="AR19" s="4"/>
      <c r="AS19" s="8"/>
      <c r="AT19" s="7"/>
      <c r="AU19" s="7"/>
      <c r="AV19" s="4">
        <v>6</v>
      </c>
      <c r="AW19" s="8">
        <v>500.78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0.3044</v>
      </c>
      <c r="BC19" s="4">
        <v>6</v>
      </c>
      <c r="BD19" s="8">
        <v>500.78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>
        <v>1</v>
      </c>
      <c r="BJ19" s="4">
        <v>258</v>
      </c>
      <c r="BK19" s="8">
        <v>23395.21</v>
      </c>
      <c r="BL19" s="2" t="s">
        <v>197</v>
      </c>
      <c r="BM19" s="7">
        <v>0.0078</v>
      </c>
      <c r="BN19" s="7">
        <v>0.0065</v>
      </c>
      <c r="BO19" s="4">
        <v>2</v>
      </c>
      <c r="BP19" s="8">
        <v>152.42</v>
      </c>
      <c r="BQ19" s="4"/>
      <c r="BR19" s="8"/>
      <c r="BS19" s="7"/>
      <c r="BT19" s="7"/>
      <c r="BU19" s="2" t="s">
        <v>109</v>
      </c>
      <c r="BV19" s="2" t="s">
        <v>97</v>
      </c>
      <c r="BW19" s="2" t="s">
        <v>198</v>
      </c>
      <c r="BX19" s="2" t="s">
        <v>199</v>
      </c>
      <c r="BY19" s="2" t="s">
        <v>112</v>
      </c>
      <c r="BZ19" s="2" t="s">
        <v>100</v>
      </c>
    </row>
    <row r="20">
      <c r="A20" s="2" t="s">
        <v>200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184</v>
      </c>
      <c r="G20" s="2" t="s">
        <v>185</v>
      </c>
      <c r="H20" s="2" t="s">
        <v>186</v>
      </c>
      <c r="I20" s="2" t="s">
        <v>187</v>
      </c>
      <c r="J20" s="2" t="s">
        <v>114</v>
      </c>
      <c r="K20" s="2" t="s">
        <v>188</v>
      </c>
      <c r="L20" s="3">
        <v>93.05</v>
      </c>
      <c r="M20" s="3">
        <v>97.7</v>
      </c>
      <c r="N20" s="3">
        <v>194.99</v>
      </c>
      <c r="O20" s="2" t="s">
        <v>97</v>
      </c>
      <c r="P20" s="2" t="s">
        <v>139</v>
      </c>
      <c r="Q20" s="2" t="s">
        <v>99</v>
      </c>
      <c r="R20" s="2" t="s">
        <v>100</v>
      </c>
      <c r="S20" s="2" t="s">
        <v>189</v>
      </c>
      <c r="T20" s="2" t="s">
        <v>190</v>
      </c>
      <c r="U20" s="2" t="s">
        <v>191</v>
      </c>
      <c r="V20" s="2" t="s">
        <v>192</v>
      </c>
      <c r="W20" s="2" t="s">
        <v>193</v>
      </c>
      <c r="X20" s="2" t="s">
        <v>194</v>
      </c>
      <c r="Y20" s="2" t="s">
        <v>195</v>
      </c>
      <c r="Z20" s="4">
        <v>520</v>
      </c>
      <c r="AA20" s="4">
        <f>=ROUNDDOWN(15.2941176470588,0)</f>
      </c>
      <c r="AB20" s="5">
        <v>34</v>
      </c>
      <c r="AC20" s="2" t="s">
        <v>201</v>
      </c>
      <c r="AD20" s="4">
        <v>80</v>
      </c>
      <c r="AE20" s="4">
        <v>690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4</v>
      </c>
      <c r="AQ20" s="8">
        <v>348.36</v>
      </c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0.6956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130</v>
      </c>
      <c r="BK20" s="8">
        <v>13317.55</v>
      </c>
      <c r="BL20" s="2" t="s">
        <v>202</v>
      </c>
      <c r="BM20" s="7">
        <v>0.0308</v>
      </c>
      <c r="BN20" s="7">
        <v>0.0262</v>
      </c>
      <c r="BO20" s="4">
        <v>4</v>
      </c>
      <c r="BP20" s="8">
        <v>348.36</v>
      </c>
      <c r="BQ20" s="4"/>
      <c r="BR20" s="8"/>
      <c r="BS20" s="7"/>
      <c r="BT20" s="7"/>
      <c r="BU20" s="2" t="s">
        <v>109</v>
      </c>
      <c r="BV20" s="2" t="s">
        <v>97</v>
      </c>
      <c r="BW20" s="2" t="s">
        <v>203</v>
      </c>
      <c r="BX20" s="2" t="s">
        <v>204</v>
      </c>
      <c r="BY20" s="2" t="s">
        <v>112</v>
      </c>
      <c r="BZ20" s="2" t="s">
        <v>100</v>
      </c>
    </row>
    <row r="21">
      <c r="A21" s="2" t="s">
        <v>205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184</v>
      </c>
      <c r="G21" s="2" t="s">
        <v>185</v>
      </c>
      <c r="H21" s="2" t="s">
        <v>186</v>
      </c>
      <c r="I21" s="2" t="s">
        <v>187</v>
      </c>
      <c r="J21" s="2" t="s">
        <v>118</v>
      </c>
      <c r="K21" s="2" t="s">
        <v>188</v>
      </c>
      <c r="L21" s="3">
        <v>93.05</v>
      </c>
      <c r="M21" s="3">
        <v>97.7</v>
      </c>
      <c r="N21" s="3">
        <v>194.99</v>
      </c>
      <c r="O21" s="2" t="s">
        <v>97</v>
      </c>
      <c r="P21" s="2" t="s">
        <v>139</v>
      </c>
      <c r="Q21" s="2" t="s">
        <v>99</v>
      </c>
      <c r="R21" s="2" t="s">
        <v>100</v>
      </c>
      <c r="S21" s="2" t="s">
        <v>189</v>
      </c>
      <c r="T21" s="2" t="s">
        <v>190</v>
      </c>
      <c r="U21" s="2" t="s">
        <v>191</v>
      </c>
      <c r="V21" s="2" t="s">
        <v>192</v>
      </c>
      <c r="W21" s="2" t="s">
        <v>193</v>
      </c>
      <c r="X21" s="2" t="s">
        <v>194</v>
      </c>
      <c r="Y21" s="2" t="s">
        <v>195</v>
      </c>
      <c r="Z21" s="4">
        <v>186</v>
      </c>
      <c r="AA21" s="4">
        <f>=ROUNDDOWN(8.08695652173913,0)</f>
      </c>
      <c r="AB21" s="5">
        <v>23</v>
      </c>
      <c r="AC21" s="2" t="s">
        <v>206</v>
      </c>
      <c r="AD21" s="4">
        <v>30</v>
      </c>
      <c r="AE21" s="4">
        <v>700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/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69</v>
      </c>
      <c r="BK21" s="8">
        <v>7162.95</v>
      </c>
      <c r="BL21" s="2" t="s">
        <v>207</v>
      </c>
      <c r="BM21" s="7"/>
      <c r="BN21" s="7"/>
      <c r="BO21" s="4"/>
      <c r="BP21" s="8"/>
      <c r="BQ21" s="4"/>
      <c r="BR21" s="8"/>
      <c r="BS21" s="7"/>
      <c r="BT21" s="7"/>
      <c r="BU21" s="2" t="s">
        <v>109</v>
      </c>
      <c r="BV21" s="2" t="s">
        <v>97</v>
      </c>
      <c r="BW21" s="2" t="s">
        <v>198</v>
      </c>
      <c r="BX21" s="2" t="s">
        <v>208</v>
      </c>
      <c r="BY21" s="2" t="s">
        <v>112</v>
      </c>
      <c r="BZ21" s="2" t="s">
        <v>100</v>
      </c>
    </row>
    <row r="22">
      <c r="A22" s="2" t="s">
        <v>209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184</v>
      </c>
      <c r="G22" s="2" t="s">
        <v>185</v>
      </c>
      <c r="H22" s="2" t="s">
        <v>186</v>
      </c>
      <c r="I22" s="2" t="s">
        <v>187</v>
      </c>
      <c r="J22" s="2" t="s">
        <v>95</v>
      </c>
      <c r="K22" s="2" t="s">
        <v>179</v>
      </c>
      <c r="L22" s="3">
        <v>82.71</v>
      </c>
      <c r="M22" s="3">
        <v>86.85</v>
      </c>
      <c r="N22" s="3">
        <v>174.99</v>
      </c>
      <c r="O22" s="2" t="s">
        <v>97</v>
      </c>
      <c r="P22" s="2" t="s">
        <v>98</v>
      </c>
      <c r="Q22" s="2" t="s">
        <v>99</v>
      </c>
      <c r="R22" s="2" t="s">
        <v>100</v>
      </c>
      <c r="S22" s="2" t="s">
        <v>210</v>
      </c>
      <c r="T22" s="2" t="s">
        <v>190</v>
      </c>
      <c r="U22" s="2" t="s">
        <v>191</v>
      </c>
      <c r="V22" s="2" t="s">
        <v>192</v>
      </c>
      <c r="W22" s="2" t="s">
        <v>193</v>
      </c>
      <c r="X22" s="2" t="s">
        <v>211</v>
      </c>
      <c r="Y22" s="2" t="s">
        <v>212</v>
      </c>
      <c r="Z22" s="4">
        <v>266</v>
      </c>
      <c r="AA22" s="4">
        <f>=ROUNDDOWN(20.4615384615385,0)</f>
      </c>
      <c r="AB22" s="5">
        <v>13</v>
      </c>
      <c r="AC22" s="2" t="s">
        <v>206</v>
      </c>
      <c r="AD22" s="4">
        <v>50</v>
      </c>
      <c r="AE22" s="4">
        <v>220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/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32</v>
      </c>
      <c r="BK22" s="8">
        <v>2867.07</v>
      </c>
      <c r="BL22" s="2" t="s">
        <v>213</v>
      </c>
      <c r="BM22" s="7"/>
      <c r="BN22" s="7"/>
      <c r="BO22" s="4"/>
      <c r="BP22" s="8"/>
      <c r="BQ22" s="4"/>
      <c r="BR22" s="8"/>
      <c r="BS22" s="7"/>
      <c r="BT22" s="7"/>
      <c r="BU22" s="2" t="s">
        <v>171</v>
      </c>
      <c r="BV22" s="2" t="s">
        <v>97</v>
      </c>
      <c r="BW22" s="2" t="s">
        <v>100</v>
      </c>
      <c r="BX22" s="2" t="s">
        <v>100</v>
      </c>
      <c r="BY22" s="2" t="s">
        <v>112</v>
      </c>
      <c r="BZ22" s="2" t="s">
        <v>100</v>
      </c>
    </row>
    <row r="23">
      <c r="A23" s="2" t="s">
        <v>214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184</v>
      </c>
      <c r="G23" s="2" t="s">
        <v>185</v>
      </c>
      <c r="H23" s="2" t="s">
        <v>186</v>
      </c>
      <c r="I23" s="2" t="s">
        <v>187</v>
      </c>
      <c r="J23" s="2" t="s">
        <v>114</v>
      </c>
      <c r="K23" s="2" t="s">
        <v>179</v>
      </c>
      <c r="L23" s="3">
        <v>93.05</v>
      </c>
      <c r="M23" s="3">
        <v>97.7</v>
      </c>
      <c r="N23" s="3">
        <v>194.99</v>
      </c>
      <c r="O23" s="2" t="s">
        <v>97</v>
      </c>
      <c r="P23" s="2" t="s">
        <v>98</v>
      </c>
      <c r="Q23" s="2" t="s">
        <v>99</v>
      </c>
      <c r="R23" s="2" t="s">
        <v>100</v>
      </c>
      <c r="S23" s="2" t="s">
        <v>210</v>
      </c>
      <c r="T23" s="2" t="s">
        <v>190</v>
      </c>
      <c r="U23" s="2" t="s">
        <v>191</v>
      </c>
      <c r="V23" s="2" t="s">
        <v>192</v>
      </c>
      <c r="W23" s="2" t="s">
        <v>193</v>
      </c>
      <c r="X23" s="2" t="s">
        <v>211</v>
      </c>
      <c r="Y23" s="2" t="s">
        <v>212</v>
      </c>
      <c r="Z23" s="4">
        <v>128</v>
      </c>
      <c r="AA23" s="4">
        <f>=ROUNDDOWN(14.2222222222222,0)</f>
      </c>
      <c r="AB23" s="5">
        <v>9</v>
      </c>
      <c r="AC23" s="2" t="s">
        <v>206</v>
      </c>
      <c r="AD23" s="4">
        <v>70</v>
      </c>
      <c r="AE23" s="4">
        <v>190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/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20</v>
      </c>
      <c r="BK23" s="8">
        <v>2080.14</v>
      </c>
      <c r="BL23" s="2" t="s">
        <v>215</v>
      </c>
      <c r="BM23" s="7"/>
      <c r="BN23" s="7"/>
      <c r="BO23" s="4"/>
      <c r="BP23" s="8"/>
      <c r="BQ23" s="4"/>
      <c r="BR23" s="8"/>
      <c r="BS23" s="7"/>
      <c r="BT23" s="7"/>
      <c r="BU23" s="2" t="s">
        <v>171</v>
      </c>
      <c r="BV23" s="2" t="s">
        <v>97</v>
      </c>
      <c r="BW23" s="2" t="s">
        <v>100</v>
      </c>
      <c r="BX23" s="2" t="s">
        <v>100</v>
      </c>
      <c r="BY23" s="2" t="s">
        <v>112</v>
      </c>
      <c r="BZ23" s="2" t="s">
        <v>100</v>
      </c>
    </row>
    <row r="24">
      <c r="A24" s="2" t="s">
        <v>216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184</v>
      </c>
      <c r="G24" s="2" t="s">
        <v>185</v>
      </c>
      <c r="H24" s="2" t="s">
        <v>186</v>
      </c>
      <c r="I24" s="2" t="s">
        <v>187</v>
      </c>
      <c r="J24" s="2" t="s">
        <v>118</v>
      </c>
      <c r="K24" s="2" t="s">
        <v>179</v>
      </c>
      <c r="L24" s="3">
        <v>93.05</v>
      </c>
      <c r="M24" s="3">
        <v>97.7</v>
      </c>
      <c r="N24" s="3">
        <v>194.99</v>
      </c>
      <c r="O24" s="2" t="s">
        <v>97</v>
      </c>
      <c r="P24" s="2" t="s">
        <v>98</v>
      </c>
      <c r="Q24" s="2" t="s">
        <v>99</v>
      </c>
      <c r="R24" s="2" t="s">
        <v>100</v>
      </c>
      <c r="S24" s="2" t="s">
        <v>210</v>
      </c>
      <c r="T24" s="2" t="s">
        <v>190</v>
      </c>
      <c r="U24" s="2" t="s">
        <v>191</v>
      </c>
      <c r="V24" s="2" t="s">
        <v>192</v>
      </c>
      <c r="W24" s="2" t="s">
        <v>193</v>
      </c>
      <c r="X24" s="2" t="s">
        <v>211</v>
      </c>
      <c r="Y24" s="2" t="s">
        <v>212</v>
      </c>
      <c r="Z24" s="4">
        <v>104</v>
      </c>
      <c r="AA24" s="4">
        <f>=ROUNDDOWN(34.6666666666667,0)</f>
      </c>
      <c r="AB24" s="5">
        <v>3</v>
      </c>
      <c r="AC24" s="2" t="s">
        <v>100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/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9</v>
      </c>
      <c r="BK24" s="8">
        <v>946.65</v>
      </c>
      <c r="BL24" s="2" t="s">
        <v>217</v>
      </c>
      <c r="BM24" s="7"/>
      <c r="BN24" s="7"/>
      <c r="BO24" s="4"/>
      <c r="BP24" s="8"/>
      <c r="BQ24" s="4"/>
      <c r="BR24" s="8"/>
      <c r="BS24" s="7"/>
      <c r="BT24" s="7"/>
      <c r="BU24" s="2" t="s">
        <v>171</v>
      </c>
      <c r="BV24" s="2" t="s">
        <v>97</v>
      </c>
      <c r="BW24" s="2" t="s">
        <v>100</v>
      </c>
      <c r="BX24" s="2" t="s">
        <v>100</v>
      </c>
      <c r="BY24" s="2" t="s">
        <v>112</v>
      </c>
      <c r="BZ24" s="2" t="s">
        <v>100</v>
      </c>
    </row>
    <row r="25">
      <c r="A25" s="2" t="s">
        <v>218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219</v>
      </c>
      <c r="G25" s="2" t="s">
        <v>220</v>
      </c>
      <c r="H25" s="2" t="s">
        <v>221</v>
      </c>
      <c r="I25" s="2" t="s">
        <v>222</v>
      </c>
      <c r="J25" s="2" t="s">
        <v>95</v>
      </c>
      <c r="K25" s="2" t="s">
        <v>223</v>
      </c>
      <c r="L25" s="3">
        <v>69</v>
      </c>
      <c r="M25" s="3">
        <v>72.45</v>
      </c>
      <c r="N25" s="3">
        <v>149.99</v>
      </c>
      <c r="O25" s="2" t="s">
        <v>97</v>
      </c>
      <c r="P25" s="2" t="s">
        <v>98</v>
      </c>
      <c r="Q25" s="2" t="s">
        <v>99</v>
      </c>
      <c r="R25" s="2" t="s">
        <v>100</v>
      </c>
      <c r="S25" s="2" t="s">
        <v>224</v>
      </c>
      <c r="T25" s="2" t="s">
        <v>100</v>
      </c>
      <c r="U25" s="2" t="s">
        <v>102</v>
      </c>
      <c r="V25" s="2" t="s">
        <v>103</v>
      </c>
      <c r="W25" s="2" t="s">
        <v>104</v>
      </c>
      <c r="X25" s="2" t="s">
        <v>105</v>
      </c>
      <c r="Y25" s="2" t="s">
        <v>225</v>
      </c>
      <c r="Z25" s="4">
        <v>469</v>
      </c>
      <c r="AA25" s="4">
        <f>=ROUNDDOWN(27.5882352941176,0)</f>
      </c>
      <c r="AB25" s="5">
        <v>17</v>
      </c>
      <c r="AC25" s="2" t="s">
        <v>201</v>
      </c>
      <c r="AD25" s="4">
        <v>70</v>
      </c>
      <c r="AE25" s="4">
        <v>70</v>
      </c>
      <c r="AF25" s="6">
        <v>64</v>
      </c>
      <c r="AG25" s="6">
        <v>47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>
        <v>3</v>
      </c>
      <c r="AW25" s="8">
        <v>244.95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/>
      <c r="BC25" s="4">
        <v>6</v>
      </c>
      <c r="BD25" s="8">
        <v>468.12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>
        <v>0.5233</v>
      </c>
      <c r="BJ25" s="4">
        <v>50</v>
      </c>
      <c r="BK25" s="8">
        <v>3369.04</v>
      </c>
      <c r="BL25" s="2" t="s">
        <v>226</v>
      </c>
      <c r="BM25" s="7"/>
      <c r="BN25" s="7"/>
      <c r="BO25" s="4"/>
      <c r="BP25" s="8"/>
      <c r="BQ25" s="4"/>
      <c r="BR25" s="8"/>
      <c r="BS25" s="7"/>
      <c r="BT25" s="7"/>
      <c r="BU25" s="2" t="s">
        <v>109</v>
      </c>
      <c r="BV25" s="2" t="s">
        <v>97</v>
      </c>
      <c r="BW25" s="2" t="s">
        <v>127</v>
      </c>
      <c r="BX25" s="2" t="s">
        <v>227</v>
      </c>
      <c r="BY25" s="2" t="s">
        <v>112</v>
      </c>
      <c r="BZ25" s="2" t="s">
        <v>100</v>
      </c>
    </row>
    <row r="26">
      <c r="A26" s="2" t="s">
        <v>228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219</v>
      </c>
      <c r="G26" s="2" t="s">
        <v>220</v>
      </c>
      <c r="H26" s="2" t="s">
        <v>221</v>
      </c>
      <c r="I26" s="2" t="s">
        <v>222</v>
      </c>
      <c r="J26" s="2" t="s">
        <v>114</v>
      </c>
      <c r="K26" s="2" t="s">
        <v>223</v>
      </c>
      <c r="L26" s="3">
        <v>78.2</v>
      </c>
      <c r="M26" s="3">
        <v>82.11</v>
      </c>
      <c r="N26" s="3">
        <v>169.99</v>
      </c>
      <c r="O26" s="2" t="s">
        <v>97</v>
      </c>
      <c r="P26" s="2" t="s">
        <v>98</v>
      </c>
      <c r="Q26" s="2" t="s">
        <v>99</v>
      </c>
      <c r="R26" s="2" t="s">
        <v>100</v>
      </c>
      <c r="S26" s="2" t="s">
        <v>224</v>
      </c>
      <c r="T26" s="2" t="s">
        <v>100</v>
      </c>
      <c r="U26" s="2" t="s">
        <v>102</v>
      </c>
      <c r="V26" s="2" t="s">
        <v>103</v>
      </c>
      <c r="W26" s="2" t="s">
        <v>104</v>
      </c>
      <c r="X26" s="2" t="s">
        <v>105</v>
      </c>
      <c r="Y26" s="2" t="s">
        <v>229</v>
      </c>
      <c r="Z26" s="4">
        <v>367</v>
      </c>
      <c r="AA26" s="4">
        <f>=ROUNDDOWN(22.9375,0)</f>
      </c>
      <c r="AB26" s="5">
        <v>16</v>
      </c>
      <c r="AC26" s="2" t="s">
        <v>201</v>
      </c>
      <c r="AD26" s="4">
        <v>200</v>
      </c>
      <c r="AE26" s="4">
        <v>200</v>
      </c>
      <c r="AF26" s="6">
        <v>64</v>
      </c>
      <c r="AG26" s="6">
        <v>47</v>
      </c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2</v>
      </c>
      <c r="AQ26" s="8">
        <v>163.3</v>
      </c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0.6667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56</v>
      </c>
      <c r="BK26" s="8">
        <v>4461.43</v>
      </c>
      <c r="BL26" s="2" t="s">
        <v>230</v>
      </c>
      <c r="BM26" s="7">
        <v>0.0357</v>
      </c>
      <c r="BN26" s="7">
        <v>0.0366</v>
      </c>
      <c r="BO26" s="4">
        <v>2</v>
      </c>
      <c r="BP26" s="8">
        <v>163.3</v>
      </c>
      <c r="BQ26" s="4"/>
      <c r="BR26" s="8"/>
      <c r="BS26" s="7"/>
      <c r="BT26" s="7"/>
      <c r="BU26" s="2" t="s">
        <v>109</v>
      </c>
      <c r="BV26" s="2" t="s">
        <v>97</v>
      </c>
      <c r="BW26" s="2" t="s">
        <v>127</v>
      </c>
      <c r="BX26" s="2" t="s">
        <v>231</v>
      </c>
      <c r="BY26" s="2" t="s">
        <v>112</v>
      </c>
      <c r="BZ26" s="2" t="s">
        <v>100</v>
      </c>
    </row>
    <row r="27">
      <c r="A27" s="2" t="s">
        <v>232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219</v>
      </c>
      <c r="G27" s="2" t="s">
        <v>220</v>
      </c>
      <c r="H27" s="2" t="s">
        <v>221</v>
      </c>
      <c r="I27" s="2" t="s">
        <v>222</v>
      </c>
      <c r="J27" s="2" t="s">
        <v>118</v>
      </c>
      <c r="K27" s="2" t="s">
        <v>223</v>
      </c>
      <c r="L27" s="3">
        <v>78.2</v>
      </c>
      <c r="M27" s="3">
        <v>82.11</v>
      </c>
      <c r="N27" s="3">
        <v>169.99</v>
      </c>
      <c r="O27" s="2" t="s">
        <v>97</v>
      </c>
      <c r="P27" s="2" t="s">
        <v>98</v>
      </c>
      <c r="Q27" s="2" t="s">
        <v>99</v>
      </c>
      <c r="R27" s="2" t="s">
        <v>100</v>
      </c>
      <c r="S27" s="2" t="s">
        <v>224</v>
      </c>
      <c r="T27" s="2" t="s">
        <v>100</v>
      </c>
      <c r="U27" s="2" t="s">
        <v>102</v>
      </c>
      <c r="V27" s="2" t="s">
        <v>103</v>
      </c>
      <c r="W27" s="2" t="s">
        <v>104</v>
      </c>
      <c r="X27" s="2" t="s">
        <v>105</v>
      </c>
      <c r="Y27" s="2" t="s">
        <v>229</v>
      </c>
      <c r="Z27" s="4">
        <v>170</v>
      </c>
      <c r="AA27" s="4">
        <f>=ROUNDDOWN(17,0)</f>
      </c>
      <c r="AB27" s="5">
        <v>10</v>
      </c>
      <c r="AC27" s="2" t="s">
        <v>201</v>
      </c>
      <c r="AD27" s="4">
        <v>80</v>
      </c>
      <c r="AE27" s="4">
        <v>80</v>
      </c>
      <c r="AF27" s="6">
        <v>64</v>
      </c>
      <c r="AG27" s="6">
        <v>47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1</v>
      </c>
      <c r="AQ27" s="8">
        <v>81.65</v>
      </c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0.3333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27</v>
      </c>
      <c r="BK27" s="8">
        <v>2102.44</v>
      </c>
      <c r="BL27" s="2" t="s">
        <v>233</v>
      </c>
      <c r="BM27" s="7">
        <v>0.037</v>
      </c>
      <c r="BN27" s="7">
        <v>0.0388</v>
      </c>
      <c r="BO27" s="4">
        <v>1</v>
      </c>
      <c r="BP27" s="8">
        <v>81.65</v>
      </c>
      <c r="BQ27" s="4"/>
      <c r="BR27" s="8"/>
      <c r="BS27" s="7"/>
      <c r="BT27" s="7"/>
      <c r="BU27" s="2" t="s">
        <v>109</v>
      </c>
      <c r="BV27" s="2" t="s">
        <v>97</v>
      </c>
      <c r="BW27" s="2" t="s">
        <v>127</v>
      </c>
      <c r="BX27" s="2" t="s">
        <v>234</v>
      </c>
      <c r="BY27" s="2" t="s">
        <v>112</v>
      </c>
      <c r="BZ27" s="2" t="s">
        <v>100</v>
      </c>
    </row>
    <row r="28">
      <c r="A28" s="2" t="s">
        <v>235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219</v>
      </c>
      <c r="G28" s="2" t="s">
        <v>220</v>
      </c>
      <c r="H28" s="2" t="s">
        <v>221</v>
      </c>
      <c r="I28" s="2" t="s">
        <v>222</v>
      </c>
      <c r="J28" s="2" t="s">
        <v>95</v>
      </c>
      <c r="K28" s="2" t="s">
        <v>236</v>
      </c>
      <c r="L28" s="3">
        <v>69</v>
      </c>
      <c r="M28" s="3">
        <v>72.45</v>
      </c>
      <c r="N28" s="3">
        <v>149.99</v>
      </c>
      <c r="O28" s="2" t="s">
        <v>97</v>
      </c>
      <c r="P28" s="2" t="s">
        <v>123</v>
      </c>
      <c r="Q28" s="2" t="s">
        <v>99</v>
      </c>
      <c r="R28" s="2" t="s">
        <v>100</v>
      </c>
      <c r="S28" s="2" t="s">
        <v>237</v>
      </c>
      <c r="T28" s="2" t="s">
        <v>100</v>
      </c>
      <c r="U28" s="2" t="s">
        <v>102</v>
      </c>
      <c r="V28" s="2" t="s">
        <v>103</v>
      </c>
      <c r="W28" s="2" t="s">
        <v>104</v>
      </c>
      <c r="X28" s="2" t="s">
        <v>105</v>
      </c>
      <c r="Y28" s="2" t="s">
        <v>144</v>
      </c>
      <c r="Z28" s="4">
        <v>728</v>
      </c>
      <c r="AA28" s="4">
        <f>=ROUNDDOWN(28,0)</f>
      </c>
      <c r="AB28" s="5">
        <v>26</v>
      </c>
      <c r="AC28" s="2" t="s">
        <v>100</v>
      </c>
      <c r="AD28" s="4"/>
      <c r="AE28" s="4"/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2</v>
      </c>
      <c r="AQ28" s="8">
        <v>141.52</v>
      </c>
      <c r="AR28" s="4"/>
      <c r="AS28" s="8"/>
      <c r="AT28" s="7"/>
      <c r="AU28" s="7"/>
      <c r="AV28" s="4">
        <v>3</v>
      </c>
      <c r="AW28" s="8">
        <v>223.17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0.6341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>
        <v>0.4767</v>
      </c>
      <c r="BJ28" s="4">
        <v>48</v>
      </c>
      <c r="BK28" s="8">
        <v>3298.86</v>
      </c>
      <c r="BL28" s="2" t="s">
        <v>238</v>
      </c>
      <c r="BM28" s="7">
        <v>0.0417</v>
      </c>
      <c r="BN28" s="7">
        <v>0.0429</v>
      </c>
      <c r="BO28" s="4">
        <v>2</v>
      </c>
      <c r="BP28" s="8">
        <v>141.52</v>
      </c>
      <c r="BQ28" s="4"/>
      <c r="BR28" s="8"/>
      <c r="BS28" s="7"/>
      <c r="BT28" s="7"/>
      <c r="BU28" s="2" t="s">
        <v>109</v>
      </c>
      <c r="BV28" s="2" t="s">
        <v>97</v>
      </c>
      <c r="BW28" s="2" t="s">
        <v>159</v>
      </c>
      <c r="BX28" s="2" t="s">
        <v>239</v>
      </c>
      <c r="BY28" s="2" t="s">
        <v>112</v>
      </c>
      <c r="BZ28" s="2" t="s">
        <v>149</v>
      </c>
    </row>
    <row r="29">
      <c r="A29" s="2" t="s">
        <v>240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219</v>
      </c>
      <c r="G29" s="2" t="s">
        <v>220</v>
      </c>
      <c r="H29" s="2" t="s">
        <v>221</v>
      </c>
      <c r="I29" s="2" t="s">
        <v>222</v>
      </c>
      <c r="J29" s="2" t="s">
        <v>114</v>
      </c>
      <c r="K29" s="2" t="s">
        <v>236</v>
      </c>
      <c r="L29" s="3">
        <v>78.2</v>
      </c>
      <c r="M29" s="3">
        <v>82.11</v>
      </c>
      <c r="N29" s="3">
        <v>169.99</v>
      </c>
      <c r="O29" s="2" t="s">
        <v>97</v>
      </c>
      <c r="P29" s="2" t="s">
        <v>123</v>
      </c>
      <c r="Q29" s="2" t="s">
        <v>99</v>
      </c>
      <c r="R29" s="2" t="s">
        <v>100</v>
      </c>
      <c r="S29" s="2" t="s">
        <v>237</v>
      </c>
      <c r="T29" s="2" t="s">
        <v>100</v>
      </c>
      <c r="U29" s="2" t="s">
        <v>102</v>
      </c>
      <c r="V29" s="2" t="s">
        <v>103</v>
      </c>
      <c r="W29" s="2" t="s">
        <v>104</v>
      </c>
      <c r="X29" s="2" t="s">
        <v>105</v>
      </c>
      <c r="Y29" s="2" t="s">
        <v>144</v>
      </c>
      <c r="Z29" s="4">
        <v>510</v>
      </c>
      <c r="AA29" s="4">
        <f>=ROUNDDOWN(31.875,0)</f>
      </c>
      <c r="AB29" s="5">
        <v>16</v>
      </c>
      <c r="AC29" s="2" t="s">
        <v>100</v>
      </c>
      <c r="AD29" s="4"/>
      <c r="AE29" s="4"/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1</v>
      </c>
      <c r="AQ29" s="8">
        <v>81.65</v>
      </c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0.3659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36</v>
      </c>
      <c r="BK29" s="8">
        <v>2883.37</v>
      </c>
      <c r="BL29" s="2" t="s">
        <v>241</v>
      </c>
      <c r="BM29" s="7">
        <v>0.0278</v>
      </c>
      <c r="BN29" s="7">
        <v>0.0283</v>
      </c>
      <c r="BO29" s="4">
        <v>1</v>
      </c>
      <c r="BP29" s="8">
        <v>81.65</v>
      </c>
      <c r="BQ29" s="4"/>
      <c r="BR29" s="8"/>
      <c r="BS29" s="7"/>
      <c r="BT29" s="7"/>
      <c r="BU29" s="2" t="s">
        <v>109</v>
      </c>
      <c r="BV29" s="2" t="s">
        <v>97</v>
      </c>
      <c r="BW29" s="2" t="s">
        <v>159</v>
      </c>
      <c r="BX29" s="2" t="s">
        <v>242</v>
      </c>
      <c r="BY29" s="2" t="s">
        <v>112</v>
      </c>
      <c r="BZ29" s="2" t="s">
        <v>149</v>
      </c>
    </row>
    <row r="30">
      <c r="A30" s="2" t="s">
        <v>243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219</v>
      </c>
      <c r="G30" s="2" t="s">
        <v>220</v>
      </c>
      <c r="H30" s="2" t="s">
        <v>221</v>
      </c>
      <c r="I30" s="2" t="s">
        <v>222</v>
      </c>
      <c r="J30" s="2" t="s">
        <v>95</v>
      </c>
      <c r="K30" s="2" t="s">
        <v>165</v>
      </c>
      <c r="L30" s="3">
        <v>69</v>
      </c>
      <c r="M30" s="3">
        <v>72.45</v>
      </c>
      <c r="N30" s="3">
        <v>149.99</v>
      </c>
      <c r="O30" s="2" t="s">
        <v>97</v>
      </c>
      <c r="P30" s="2" t="s">
        <v>98</v>
      </c>
      <c r="Q30" s="2" t="s">
        <v>99</v>
      </c>
      <c r="R30" s="2" t="s">
        <v>100</v>
      </c>
      <c r="S30" s="2" t="s">
        <v>244</v>
      </c>
      <c r="T30" s="2" t="s">
        <v>100</v>
      </c>
      <c r="U30" s="2" t="s">
        <v>102</v>
      </c>
      <c r="V30" s="2" t="s">
        <v>103</v>
      </c>
      <c r="W30" s="2" t="s">
        <v>104</v>
      </c>
      <c r="X30" s="2" t="s">
        <v>142</v>
      </c>
      <c r="Y30" s="2" t="s">
        <v>245</v>
      </c>
      <c r="Z30" s="4">
        <v>357</v>
      </c>
      <c r="AA30" s="4">
        <f>=ROUNDDOWN(59.5,0)</f>
      </c>
      <c r="AB30" s="5">
        <v>6</v>
      </c>
      <c r="AC30" s="2" t="s">
        <v>100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100</v>
      </c>
      <c r="AW30" s="8" t="s">
        <v>100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/>
      <c r="BC30" s="4" t="s">
        <v>100</v>
      </c>
      <c r="BD30" s="8" t="s">
        <v>100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 t="s">
        <v>100</v>
      </c>
      <c r="BJ30" s="4">
        <v>21</v>
      </c>
      <c r="BK30" s="8">
        <v>1422.8</v>
      </c>
      <c r="BL30" s="2" t="s">
        <v>246</v>
      </c>
      <c r="BM30" s="7"/>
      <c r="BN30" s="7"/>
      <c r="BO30" s="4"/>
      <c r="BP30" s="8"/>
      <c r="BQ30" s="4"/>
      <c r="BR30" s="8"/>
      <c r="BS30" s="7"/>
      <c r="BT30" s="7"/>
      <c r="BU30" s="2" t="s">
        <v>171</v>
      </c>
      <c r="BV30" s="2" t="s">
        <v>97</v>
      </c>
      <c r="BW30" s="2" t="s">
        <v>100</v>
      </c>
      <c r="BX30" s="2" t="s">
        <v>100</v>
      </c>
      <c r="BY30" s="2" t="s">
        <v>112</v>
      </c>
      <c r="BZ30" s="2" t="s">
        <v>149</v>
      </c>
    </row>
    <row r="31">
      <c r="A31" s="2" t="s">
        <v>247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219</v>
      </c>
      <c r="G31" s="2" t="s">
        <v>220</v>
      </c>
      <c r="H31" s="2" t="s">
        <v>221</v>
      </c>
      <c r="I31" s="2" t="s">
        <v>222</v>
      </c>
      <c r="J31" s="2" t="s">
        <v>114</v>
      </c>
      <c r="K31" s="2" t="s">
        <v>165</v>
      </c>
      <c r="L31" s="3">
        <v>78.2</v>
      </c>
      <c r="M31" s="3">
        <v>82.11</v>
      </c>
      <c r="N31" s="3">
        <v>169.99</v>
      </c>
      <c r="O31" s="2" t="s">
        <v>97</v>
      </c>
      <c r="P31" s="2" t="s">
        <v>98</v>
      </c>
      <c r="Q31" s="2" t="s">
        <v>99</v>
      </c>
      <c r="R31" s="2" t="s">
        <v>100</v>
      </c>
      <c r="S31" s="2" t="s">
        <v>244</v>
      </c>
      <c r="T31" s="2" t="s">
        <v>100</v>
      </c>
      <c r="U31" s="2" t="s">
        <v>102</v>
      </c>
      <c r="V31" s="2" t="s">
        <v>103</v>
      </c>
      <c r="W31" s="2" t="s">
        <v>104</v>
      </c>
      <c r="X31" s="2" t="s">
        <v>142</v>
      </c>
      <c r="Y31" s="2" t="s">
        <v>245</v>
      </c>
      <c r="Z31" s="4">
        <v>478</v>
      </c>
      <c r="AA31" s="4">
        <f>=ROUNDDOWN(68.2857142857143,0)</f>
      </c>
      <c r="AB31" s="5">
        <v>7</v>
      </c>
      <c r="AC31" s="2" t="s">
        <v>100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/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20</v>
      </c>
      <c r="BK31" s="8">
        <v>1578.4</v>
      </c>
      <c r="BL31" s="2" t="s">
        <v>248</v>
      </c>
      <c r="BM31" s="7"/>
      <c r="BN31" s="7"/>
      <c r="BO31" s="4"/>
      <c r="BP31" s="8"/>
      <c r="BQ31" s="4"/>
      <c r="BR31" s="8"/>
      <c r="BS31" s="7"/>
      <c r="BT31" s="7"/>
      <c r="BU31" s="2" t="s">
        <v>171</v>
      </c>
      <c r="BV31" s="2" t="s">
        <v>97</v>
      </c>
      <c r="BW31" s="2" t="s">
        <v>100</v>
      </c>
      <c r="BX31" s="2" t="s">
        <v>100</v>
      </c>
      <c r="BY31" s="2" t="s">
        <v>112</v>
      </c>
      <c r="BZ31" s="2" t="s">
        <v>149</v>
      </c>
    </row>
    <row r="32">
      <c r="A32" s="2" t="s">
        <v>249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219</v>
      </c>
      <c r="G32" s="2" t="s">
        <v>220</v>
      </c>
      <c r="H32" s="2" t="s">
        <v>221</v>
      </c>
      <c r="I32" s="2" t="s">
        <v>222</v>
      </c>
      <c r="J32" s="2" t="s">
        <v>118</v>
      </c>
      <c r="K32" s="2" t="s">
        <v>165</v>
      </c>
      <c r="L32" s="3">
        <v>78.2</v>
      </c>
      <c r="M32" s="3">
        <v>82.11</v>
      </c>
      <c r="N32" s="3">
        <v>169.99</v>
      </c>
      <c r="O32" s="2" t="s">
        <v>97</v>
      </c>
      <c r="P32" s="2" t="s">
        <v>98</v>
      </c>
      <c r="Q32" s="2" t="s">
        <v>99</v>
      </c>
      <c r="R32" s="2" t="s">
        <v>100</v>
      </c>
      <c r="S32" s="2" t="s">
        <v>244</v>
      </c>
      <c r="T32" s="2" t="s">
        <v>100</v>
      </c>
      <c r="U32" s="2" t="s">
        <v>102</v>
      </c>
      <c r="V32" s="2" t="s">
        <v>103</v>
      </c>
      <c r="W32" s="2" t="s">
        <v>104</v>
      </c>
      <c r="X32" s="2" t="s">
        <v>142</v>
      </c>
      <c r="Y32" s="2" t="s">
        <v>245</v>
      </c>
      <c r="Z32" s="4">
        <v>313</v>
      </c>
      <c r="AA32" s="4">
        <f>=ROUNDDOWN(104.333333333333,0)</f>
      </c>
      <c r="AB32" s="5">
        <v>3</v>
      </c>
      <c r="AC32" s="2" t="s">
        <v>100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100</v>
      </c>
      <c r="AW32" s="8" t="s">
        <v>100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/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 t="s">
        <v>100</v>
      </c>
      <c r="BJ32" s="4">
        <v>9</v>
      </c>
      <c r="BK32" s="8">
        <v>699.16</v>
      </c>
      <c r="BL32" s="2" t="s">
        <v>250</v>
      </c>
      <c r="BM32" s="7"/>
      <c r="BN32" s="7"/>
      <c r="BO32" s="4"/>
      <c r="BP32" s="8"/>
      <c r="BQ32" s="4"/>
      <c r="BR32" s="8"/>
      <c r="BS32" s="7"/>
      <c r="BT32" s="7"/>
      <c r="BU32" s="2" t="s">
        <v>171</v>
      </c>
      <c r="BV32" s="2" t="s">
        <v>97</v>
      </c>
      <c r="BW32" s="2" t="s">
        <v>100</v>
      </c>
      <c r="BX32" s="2" t="s">
        <v>100</v>
      </c>
      <c r="BY32" s="2" t="s">
        <v>112</v>
      </c>
      <c r="BZ32" s="2" t="s">
        <v>149</v>
      </c>
    </row>
    <row r="33">
      <c r="A33" s="2" t="s">
        <v>251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252</v>
      </c>
      <c r="G33" s="2" t="s">
        <v>253</v>
      </c>
      <c r="H33" s="2" t="s">
        <v>254</v>
      </c>
      <c r="I33" s="2" t="s">
        <v>255</v>
      </c>
      <c r="J33" s="2" t="s">
        <v>114</v>
      </c>
      <c r="K33" s="2" t="s">
        <v>256</v>
      </c>
      <c r="L33" s="3">
        <v>76.49</v>
      </c>
      <c r="M33" s="3">
        <v>80.32</v>
      </c>
      <c r="N33" s="3">
        <v>159.99</v>
      </c>
      <c r="O33" s="2" t="s">
        <v>97</v>
      </c>
      <c r="P33" s="2" t="s">
        <v>98</v>
      </c>
      <c r="Q33" s="2" t="s">
        <v>99</v>
      </c>
      <c r="R33" s="2" t="s">
        <v>100</v>
      </c>
      <c r="S33" s="2" t="s">
        <v>257</v>
      </c>
      <c r="T33" s="2" t="s">
        <v>100</v>
      </c>
      <c r="U33" s="2" t="s">
        <v>102</v>
      </c>
      <c r="V33" s="2" t="s">
        <v>141</v>
      </c>
      <c r="W33" s="2" t="s">
        <v>142</v>
      </c>
      <c r="X33" s="2" t="s">
        <v>143</v>
      </c>
      <c r="Y33" s="2" t="s">
        <v>144</v>
      </c>
      <c r="Z33" s="4">
        <v>549</v>
      </c>
      <c r="AA33" s="4">
        <f>=ROUNDDOWN(54.9,0)</f>
      </c>
      <c r="AB33" s="5">
        <v>10</v>
      </c>
      <c r="AC33" s="2" t="s">
        <v>100</v>
      </c>
      <c r="AD33" s="4"/>
      <c r="AE33" s="4"/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3</v>
      </c>
      <c r="AQ33" s="8">
        <v>238.11</v>
      </c>
      <c r="AR33" s="4"/>
      <c r="AS33" s="8"/>
      <c r="AT33" s="7"/>
      <c r="AU33" s="7"/>
      <c r="AV33" s="4">
        <v>3</v>
      </c>
      <c r="AW33" s="8">
        <v>238.11</v>
      </c>
      <c r="AX33" s="4"/>
      <c r="AY33" s="8"/>
      <c r="AZ33" s="7"/>
      <c r="BA33" s="7"/>
      <c r="BB33" s="7">
        <v>1</v>
      </c>
      <c r="BC33" s="4">
        <v>6</v>
      </c>
      <c r="BD33" s="8">
        <v>442.2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>
        <v>0.5385</v>
      </c>
      <c r="BJ33" s="4">
        <v>30</v>
      </c>
      <c r="BK33" s="8">
        <v>2380.26</v>
      </c>
      <c r="BL33" s="2" t="s">
        <v>258</v>
      </c>
      <c r="BM33" s="7">
        <v>0.1</v>
      </c>
      <c r="BN33" s="7">
        <v>0.1</v>
      </c>
      <c r="BO33" s="4">
        <v>3</v>
      </c>
      <c r="BP33" s="8">
        <v>238.11</v>
      </c>
      <c r="BQ33" s="4"/>
      <c r="BR33" s="8"/>
      <c r="BS33" s="7"/>
      <c r="BT33" s="7"/>
      <c r="BU33" s="2" t="s">
        <v>109</v>
      </c>
      <c r="BV33" s="2" t="s">
        <v>97</v>
      </c>
      <c r="BW33" s="2" t="s">
        <v>159</v>
      </c>
      <c r="BX33" s="2" t="s">
        <v>259</v>
      </c>
      <c r="BY33" s="2" t="s">
        <v>112</v>
      </c>
      <c r="BZ33" s="2" t="s">
        <v>100</v>
      </c>
    </row>
    <row r="34">
      <c r="A34" s="2" t="s">
        <v>260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252</v>
      </c>
      <c r="G34" s="2" t="s">
        <v>253</v>
      </c>
      <c r="H34" s="2" t="s">
        <v>254</v>
      </c>
      <c r="I34" s="2" t="s">
        <v>255</v>
      </c>
      <c r="J34" s="2" t="s">
        <v>95</v>
      </c>
      <c r="K34" s="2" t="s">
        <v>236</v>
      </c>
      <c r="L34" s="3">
        <v>66.29</v>
      </c>
      <c r="M34" s="3">
        <v>69.61</v>
      </c>
      <c r="N34" s="3">
        <v>139.99</v>
      </c>
      <c r="O34" s="2" t="s">
        <v>97</v>
      </c>
      <c r="P34" s="2" t="s">
        <v>156</v>
      </c>
      <c r="Q34" s="2" t="s">
        <v>99</v>
      </c>
      <c r="R34" s="2" t="s">
        <v>100</v>
      </c>
      <c r="S34" s="2" t="s">
        <v>261</v>
      </c>
      <c r="T34" s="2" t="s">
        <v>100</v>
      </c>
      <c r="U34" s="2" t="s">
        <v>102</v>
      </c>
      <c r="V34" s="2" t="s">
        <v>141</v>
      </c>
      <c r="W34" s="2" t="s">
        <v>142</v>
      </c>
      <c r="X34" s="2" t="s">
        <v>143</v>
      </c>
      <c r="Y34" s="2" t="s">
        <v>144</v>
      </c>
      <c r="Z34" s="4">
        <v>614</v>
      </c>
      <c r="AA34" s="4">
        <f>=ROUNDDOWN(34.1111111111111,0)</f>
      </c>
      <c r="AB34" s="5">
        <v>18</v>
      </c>
      <c r="AC34" s="2" t="s">
        <v>262</v>
      </c>
      <c r="AD34" s="4">
        <v>150</v>
      </c>
      <c r="AE34" s="4">
        <v>150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3</v>
      </c>
      <c r="AQ34" s="8">
        <v>204.09</v>
      </c>
      <c r="AR34" s="4"/>
      <c r="AS34" s="8"/>
      <c r="AT34" s="7"/>
      <c r="AU34" s="7"/>
      <c r="AV34" s="4">
        <v>3</v>
      </c>
      <c r="AW34" s="8">
        <v>204.09</v>
      </c>
      <c r="AX34" s="4"/>
      <c r="AY34" s="8"/>
      <c r="AZ34" s="7"/>
      <c r="BA34" s="7"/>
      <c r="BB34" s="7">
        <v>1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>
        <v>0.4615</v>
      </c>
      <c r="BJ34" s="4">
        <v>80</v>
      </c>
      <c r="BK34" s="8">
        <v>5552.14</v>
      </c>
      <c r="BL34" s="2" t="s">
        <v>263</v>
      </c>
      <c r="BM34" s="7">
        <v>0.0375</v>
      </c>
      <c r="BN34" s="7">
        <v>0.0368</v>
      </c>
      <c r="BO34" s="4">
        <v>3</v>
      </c>
      <c r="BP34" s="8">
        <v>204.09</v>
      </c>
      <c r="BQ34" s="4"/>
      <c r="BR34" s="8"/>
      <c r="BS34" s="7"/>
      <c r="BT34" s="7"/>
      <c r="BU34" s="2" t="s">
        <v>109</v>
      </c>
      <c r="BV34" s="2" t="s">
        <v>97</v>
      </c>
      <c r="BW34" s="2" t="s">
        <v>159</v>
      </c>
      <c r="BX34" s="2" t="s">
        <v>160</v>
      </c>
      <c r="BY34" s="2" t="s">
        <v>112</v>
      </c>
      <c r="BZ34" s="2" t="s">
        <v>100</v>
      </c>
    </row>
    <row r="35">
      <c r="A35" s="2" t="s">
        <v>264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265</v>
      </c>
      <c r="G35" s="2" t="s">
        <v>266</v>
      </c>
      <c r="H35" s="2" t="s">
        <v>267</v>
      </c>
      <c r="I35" s="2" t="s">
        <v>268</v>
      </c>
      <c r="J35" s="2" t="s">
        <v>95</v>
      </c>
      <c r="K35" s="2" t="s">
        <v>236</v>
      </c>
      <c r="L35" s="3">
        <v>57.96</v>
      </c>
      <c r="M35" s="3">
        <v>60.86</v>
      </c>
      <c r="N35" s="3">
        <v>129.99</v>
      </c>
      <c r="O35" s="2" t="s">
        <v>97</v>
      </c>
      <c r="P35" s="2" t="s">
        <v>123</v>
      </c>
      <c r="Q35" s="2" t="s">
        <v>99</v>
      </c>
      <c r="R35" s="2" t="s">
        <v>100</v>
      </c>
      <c r="S35" s="2" t="s">
        <v>100</v>
      </c>
      <c r="T35" s="2" t="s">
        <v>100</v>
      </c>
      <c r="U35" s="2" t="s">
        <v>102</v>
      </c>
      <c r="V35" s="2" t="s">
        <v>269</v>
      </c>
      <c r="W35" s="2" t="s">
        <v>270</v>
      </c>
      <c r="X35" s="2" t="s">
        <v>271</v>
      </c>
      <c r="Y35" s="2" t="s">
        <v>272</v>
      </c>
      <c r="Z35" s="4">
        <v>526</v>
      </c>
      <c r="AA35" s="4">
        <f>=ROUNDDOWN(52.6,0)</f>
      </c>
      <c r="AB35" s="5">
        <v>10</v>
      </c>
      <c r="AC35" s="2" t="s">
        <v>173</v>
      </c>
      <c r="AD35" s="4">
        <v>100</v>
      </c>
      <c r="AE35" s="4">
        <v>100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2</v>
      </c>
      <c r="AQ35" s="8">
        <v>130.64</v>
      </c>
      <c r="AR35" s="4"/>
      <c r="AS35" s="8"/>
      <c r="AT35" s="7"/>
      <c r="AU35" s="7"/>
      <c r="AV35" s="4">
        <v>4</v>
      </c>
      <c r="AW35" s="8">
        <v>283.06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0.4615</v>
      </c>
      <c r="BC35" s="4">
        <v>4</v>
      </c>
      <c r="BD35" s="8">
        <v>283.06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>
        <v>1</v>
      </c>
      <c r="BJ35" s="4">
        <v>35</v>
      </c>
      <c r="BK35" s="8">
        <v>2291.31</v>
      </c>
      <c r="BL35" s="2" t="s">
        <v>273</v>
      </c>
      <c r="BM35" s="7">
        <v>0.0571</v>
      </c>
      <c r="BN35" s="7">
        <v>0.057</v>
      </c>
      <c r="BO35" s="4">
        <v>2</v>
      </c>
      <c r="BP35" s="8">
        <v>130.64</v>
      </c>
      <c r="BQ35" s="4"/>
      <c r="BR35" s="8"/>
      <c r="BS35" s="7"/>
      <c r="BT35" s="7"/>
      <c r="BU35" s="2" t="s">
        <v>109</v>
      </c>
      <c r="BV35" s="2" t="s">
        <v>97</v>
      </c>
      <c r="BW35" s="2" t="s">
        <v>274</v>
      </c>
      <c r="BX35" s="2" t="s">
        <v>275</v>
      </c>
      <c r="BY35" s="2" t="s">
        <v>112</v>
      </c>
      <c r="BZ35" s="2" t="s">
        <v>100</v>
      </c>
    </row>
    <row r="36">
      <c r="A36" s="2" t="s">
        <v>276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265</v>
      </c>
      <c r="G36" s="2" t="s">
        <v>266</v>
      </c>
      <c r="H36" s="2" t="s">
        <v>267</v>
      </c>
      <c r="I36" s="2" t="s">
        <v>268</v>
      </c>
      <c r="J36" s="2" t="s">
        <v>114</v>
      </c>
      <c r="K36" s="2" t="s">
        <v>236</v>
      </c>
      <c r="L36" s="3">
        <v>66.24</v>
      </c>
      <c r="M36" s="3">
        <v>69.55</v>
      </c>
      <c r="N36" s="3">
        <v>149.99</v>
      </c>
      <c r="O36" s="2" t="s">
        <v>97</v>
      </c>
      <c r="P36" s="2" t="s">
        <v>123</v>
      </c>
      <c r="Q36" s="2" t="s">
        <v>99</v>
      </c>
      <c r="R36" s="2" t="s">
        <v>100</v>
      </c>
      <c r="S36" s="2" t="s">
        <v>100</v>
      </c>
      <c r="T36" s="2" t="s">
        <v>100</v>
      </c>
      <c r="U36" s="2" t="s">
        <v>102</v>
      </c>
      <c r="V36" s="2" t="s">
        <v>269</v>
      </c>
      <c r="W36" s="2" t="s">
        <v>270</v>
      </c>
      <c r="X36" s="2" t="s">
        <v>271</v>
      </c>
      <c r="Y36" s="2" t="s">
        <v>153</v>
      </c>
      <c r="Z36" s="4">
        <v>467</v>
      </c>
      <c r="AA36" s="4">
        <f>=ROUNDDOWN(116.75,0)</f>
      </c>
      <c r="AB36" s="5">
        <v>4</v>
      </c>
      <c r="AC36" s="2" t="s">
        <v>173</v>
      </c>
      <c r="AD36" s="4">
        <v>90</v>
      </c>
      <c r="AE36" s="4">
        <v>90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1</v>
      </c>
      <c r="AQ36" s="8">
        <v>76.21</v>
      </c>
      <c r="AR36" s="4"/>
      <c r="AS36" s="8"/>
      <c r="AT36" s="7"/>
      <c r="AU36" s="7"/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0.2692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 t="s">
        <v>100</v>
      </c>
      <c r="BJ36" s="4">
        <v>24</v>
      </c>
      <c r="BK36" s="8">
        <v>1818.87</v>
      </c>
      <c r="BL36" s="2" t="s">
        <v>277</v>
      </c>
      <c r="BM36" s="7">
        <v>0.0417</v>
      </c>
      <c r="BN36" s="7">
        <v>0.0419</v>
      </c>
      <c r="BO36" s="4">
        <v>1</v>
      </c>
      <c r="BP36" s="8">
        <v>76.21</v>
      </c>
      <c r="BQ36" s="4"/>
      <c r="BR36" s="8"/>
      <c r="BS36" s="7"/>
      <c r="BT36" s="7"/>
      <c r="BU36" s="2" t="s">
        <v>109</v>
      </c>
      <c r="BV36" s="2" t="s">
        <v>97</v>
      </c>
      <c r="BW36" s="2" t="s">
        <v>274</v>
      </c>
      <c r="BX36" s="2" t="s">
        <v>278</v>
      </c>
      <c r="BY36" s="2" t="s">
        <v>112</v>
      </c>
      <c r="BZ36" s="2" t="s">
        <v>100</v>
      </c>
    </row>
    <row r="37">
      <c r="A37" s="2" t="s">
        <v>279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265</v>
      </c>
      <c r="G37" s="2" t="s">
        <v>266</v>
      </c>
      <c r="H37" s="2" t="s">
        <v>267</v>
      </c>
      <c r="I37" s="2" t="s">
        <v>268</v>
      </c>
      <c r="J37" s="2" t="s">
        <v>118</v>
      </c>
      <c r="K37" s="2" t="s">
        <v>236</v>
      </c>
      <c r="L37" s="3">
        <v>66.24</v>
      </c>
      <c r="M37" s="3">
        <v>69.55</v>
      </c>
      <c r="N37" s="3">
        <v>149.99</v>
      </c>
      <c r="O37" s="2" t="s">
        <v>97</v>
      </c>
      <c r="P37" s="2" t="s">
        <v>123</v>
      </c>
      <c r="Q37" s="2" t="s">
        <v>99</v>
      </c>
      <c r="R37" s="2" t="s">
        <v>100</v>
      </c>
      <c r="S37" s="2" t="s">
        <v>100</v>
      </c>
      <c r="T37" s="2" t="s">
        <v>100</v>
      </c>
      <c r="U37" s="2" t="s">
        <v>102</v>
      </c>
      <c r="V37" s="2" t="s">
        <v>269</v>
      </c>
      <c r="W37" s="2" t="s">
        <v>270</v>
      </c>
      <c r="X37" s="2" t="s">
        <v>271</v>
      </c>
      <c r="Y37" s="2" t="s">
        <v>153</v>
      </c>
      <c r="Z37" s="4">
        <v>495</v>
      </c>
      <c r="AA37" s="4">
        <f>=ROUNDDOWN(165,0)</f>
      </c>
      <c r="AB37" s="5">
        <v>3</v>
      </c>
      <c r="AC37" s="2" t="s">
        <v>173</v>
      </c>
      <c r="AD37" s="4">
        <v>30</v>
      </c>
      <c r="AE37" s="4">
        <v>30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1</v>
      </c>
      <c r="AQ37" s="8">
        <v>76.21</v>
      </c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0.2692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6</v>
      </c>
      <c r="BK37" s="8">
        <v>471.12</v>
      </c>
      <c r="BL37" s="2" t="s">
        <v>280</v>
      </c>
      <c r="BM37" s="7">
        <v>0.1667</v>
      </c>
      <c r="BN37" s="7">
        <v>0.1618</v>
      </c>
      <c r="BO37" s="4">
        <v>1</v>
      </c>
      <c r="BP37" s="8">
        <v>76.21</v>
      </c>
      <c r="BQ37" s="4"/>
      <c r="BR37" s="8"/>
      <c r="BS37" s="7"/>
      <c r="BT37" s="7"/>
      <c r="BU37" s="2" t="s">
        <v>109</v>
      </c>
      <c r="BV37" s="2" t="s">
        <v>97</v>
      </c>
      <c r="BW37" s="2" t="s">
        <v>274</v>
      </c>
      <c r="BX37" s="2" t="s">
        <v>281</v>
      </c>
      <c r="BY37" s="2" t="s">
        <v>112</v>
      </c>
      <c r="BZ37" s="2" t="s">
        <v>100</v>
      </c>
    </row>
    <row r="38">
      <c r="A38" s="2" t="s">
        <v>282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265</v>
      </c>
      <c r="G38" s="2" t="s">
        <v>266</v>
      </c>
      <c r="H38" s="2" t="s">
        <v>267</v>
      </c>
      <c r="I38" s="2" t="s">
        <v>268</v>
      </c>
      <c r="J38" s="2" t="s">
        <v>114</v>
      </c>
      <c r="K38" s="2" t="s">
        <v>96</v>
      </c>
      <c r="L38" s="3">
        <v>66.24</v>
      </c>
      <c r="M38" s="3">
        <v>69.55</v>
      </c>
      <c r="N38" s="3">
        <v>149.99</v>
      </c>
      <c r="O38" s="2" t="s">
        <v>97</v>
      </c>
      <c r="P38" s="2" t="s">
        <v>139</v>
      </c>
      <c r="Q38" s="2" t="s">
        <v>99</v>
      </c>
      <c r="R38" s="2" t="s">
        <v>100</v>
      </c>
      <c r="S38" s="2" t="s">
        <v>100</v>
      </c>
      <c r="T38" s="2" t="s">
        <v>100</v>
      </c>
      <c r="U38" s="2" t="s">
        <v>102</v>
      </c>
      <c r="V38" s="2" t="s">
        <v>269</v>
      </c>
      <c r="W38" s="2" t="s">
        <v>270</v>
      </c>
      <c r="X38" s="2" t="s">
        <v>271</v>
      </c>
      <c r="Y38" s="2" t="s">
        <v>153</v>
      </c>
      <c r="Z38" s="4">
        <v>543</v>
      </c>
      <c r="AA38" s="4">
        <f>=ROUNDDOWN(54.3,0)</f>
      </c>
      <c r="AB38" s="5">
        <v>10</v>
      </c>
      <c r="AC38" s="2" t="s">
        <v>173</v>
      </c>
      <c r="AD38" s="4">
        <v>60</v>
      </c>
      <c r="AE38" s="4">
        <v>60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/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38</v>
      </c>
      <c r="BK38" s="8">
        <v>2921.97</v>
      </c>
      <c r="BL38" s="2" t="s">
        <v>283</v>
      </c>
      <c r="BM38" s="7"/>
      <c r="BN38" s="7"/>
      <c r="BO38" s="4"/>
      <c r="BP38" s="8"/>
      <c r="BQ38" s="4"/>
      <c r="BR38" s="8"/>
      <c r="BS38" s="7"/>
      <c r="BT38" s="7"/>
      <c r="BU38" s="2" t="s">
        <v>109</v>
      </c>
      <c r="BV38" s="2" t="s">
        <v>97</v>
      </c>
      <c r="BW38" s="2" t="s">
        <v>274</v>
      </c>
      <c r="BX38" s="2" t="s">
        <v>284</v>
      </c>
      <c r="BY38" s="2" t="s">
        <v>112</v>
      </c>
      <c r="BZ38" s="2" t="s">
        <v>100</v>
      </c>
    </row>
    <row r="39">
      <c r="A39" s="2" t="s">
        <v>285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265</v>
      </c>
      <c r="G39" s="2" t="s">
        <v>266</v>
      </c>
      <c r="H39" s="2" t="s">
        <v>267</v>
      </c>
      <c r="I39" s="2" t="s">
        <v>268</v>
      </c>
      <c r="J39" s="2" t="s">
        <v>118</v>
      </c>
      <c r="K39" s="2" t="s">
        <v>96</v>
      </c>
      <c r="L39" s="3">
        <v>66.24</v>
      </c>
      <c r="M39" s="3">
        <v>69.55</v>
      </c>
      <c r="N39" s="3">
        <v>149.99</v>
      </c>
      <c r="O39" s="2" t="s">
        <v>97</v>
      </c>
      <c r="P39" s="2" t="s">
        <v>139</v>
      </c>
      <c r="Q39" s="2" t="s">
        <v>99</v>
      </c>
      <c r="R39" s="2" t="s">
        <v>100</v>
      </c>
      <c r="S39" s="2" t="s">
        <v>100</v>
      </c>
      <c r="T39" s="2" t="s">
        <v>100</v>
      </c>
      <c r="U39" s="2" t="s">
        <v>102</v>
      </c>
      <c r="V39" s="2" t="s">
        <v>269</v>
      </c>
      <c r="W39" s="2" t="s">
        <v>270</v>
      </c>
      <c r="X39" s="2" t="s">
        <v>271</v>
      </c>
      <c r="Y39" s="2" t="s">
        <v>153</v>
      </c>
      <c r="Z39" s="4">
        <v>251</v>
      </c>
      <c r="AA39" s="4">
        <f>=ROUNDDOWN(50.2,0)</f>
      </c>
      <c r="AB39" s="5">
        <v>5</v>
      </c>
      <c r="AC39" s="2" t="s">
        <v>262</v>
      </c>
      <c r="AD39" s="4">
        <v>50</v>
      </c>
      <c r="AE39" s="4">
        <v>150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100</v>
      </c>
      <c r="AW39" s="8" t="s">
        <v>100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/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 t="s">
        <v>100</v>
      </c>
      <c r="BJ39" s="4">
        <v>18</v>
      </c>
      <c r="BK39" s="8">
        <v>1384.33</v>
      </c>
      <c r="BL39" s="2" t="s">
        <v>286</v>
      </c>
      <c r="BM39" s="7"/>
      <c r="BN39" s="7"/>
      <c r="BO39" s="4"/>
      <c r="BP39" s="8"/>
      <c r="BQ39" s="4"/>
      <c r="BR39" s="8"/>
      <c r="BS39" s="7"/>
      <c r="BT39" s="7"/>
      <c r="BU39" s="2" t="s">
        <v>109</v>
      </c>
      <c r="BV39" s="2" t="s">
        <v>97</v>
      </c>
      <c r="BW39" s="2" t="s">
        <v>274</v>
      </c>
      <c r="BX39" s="2" t="s">
        <v>287</v>
      </c>
      <c r="BY39" s="2" t="s">
        <v>112</v>
      </c>
      <c r="BZ39" s="2" t="s">
        <v>149</v>
      </c>
    </row>
    <row r="40">
      <c r="A40" s="2" t="s">
        <v>288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265</v>
      </c>
      <c r="G40" s="2" t="s">
        <v>266</v>
      </c>
      <c r="H40" s="2" t="s">
        <v>267</v>
      </c>
      <c r="I40" s="2" t="s">
        <v>268</v>
      </c>
      <c r="J40" s="2" t="s">
        <v>95</v>
      </c>
      <c r="K40" s="2" t="s">
        <v>289</v>
      </c>
      <c r="L40" s="3">
        <v>57.96</v>
      </c>
      <c r="M40" s="3">
        <v>60.86</v>
      </c>
      <c r="N40" s="3">
        <v>129.99</v>
      </c>
      <c r="O40" s="2" t="s">
        <v>97</v>
      </c>
      <c r="P40" s="2" t="s">
        <v>139</v>
      </c>
      <c r="Q40" s="2" t="s">
        <v>99</v>
      </c>
      <c r="R40" s="2" t="s">
        <v>100</v>
      </c>
      <c r="S40" s="2" t="s">
        <v>290</v>
      </c>
      <c r="T40" s="2" t="s">
        <v>100</v>
      </c>
      <c r="U40" s="2" t="s">
        <v>102</v>
      </c>
      <c r="V40" s="2" t="s">
        <v>269</v>
      </c>
      <c r="W40" s="2" t="s">
        <v>270</v>
      </c>
      <c r="X40" s="2" t="s">
        <v>271</v>
      </c>
      <c r="Y40" s="2" t="s">
        <v>291</v>
      </c>
      <c r="Z40" s="4">
        <v>355</v>
      </c>
      <c r="AA40" s="4">
        <f>=ROUNDDOWN(15.4347826086957,0)</f>
      </c>
      <c r="AB40" s="5">
        <v>23</v>
      </c>
      <c r="AC40" s="2" t="s">
        <v>130</v>
      </c>
      <c r="AD40" s="4">
        <v>320</v>
      </c>
      <c r="AE40" s="4">
        <v>770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/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158</v>
      </c>
      <c r="BK40" s="8">
        <v>10494.47</v>
      </c>
      <c r="BL40" s="2" t="s">
        <v>292</v>
      </c>
      <c r="BM40" s="7"/>
      <c r="BN40" s="7"/>
      <c r="BO40" s="4"/>
      <c r="BP40" s="8"/>
      <c r="BQ40" s="4"/>
      <c r="BR40" s="8"/>
      <c r="BS40" s="7"/>
      <c r="BT40" s="7"/>
      <c r="BU40" s="2" t="s">
        <v>171</v>
      </c>
      <c r="BV40" s="2" t="s">
        <v>97</v>
      </c>
      <c r="BW40" s="2" t="s">
        <v>100</v>
      </c>
      <c r="BX40" s="2" t="s">
        <v>100</v>
      </c>
      <c r="BY40" s="2" t="s">
        <v>112</v>
      </c>
      <c r="BZ40" s="2" t="s">
        <v>100</v>
      </c>
    </row>
    <row r="41">
      <c r="A41" s="2" t="s">
        <v>293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265</v>
      </c>
      <c r="G41" s="2" t="s">
        <v>266</v>
      </c>
      <c r="H41" s="2" t="s">
        <v>267</v>
      </c>
      <c r="I41" s="2" t="s">
        <v>268</v>
      </c>
      <c r="J41" s="2" t="s">
        <v>114</v>
      </c>
      <c r="K41" s="2" t="s">
        <v>289</v>
      </c>
      <c r="L41" s="3">
        <v>66.24</v>
      </c>
      <c r="M41" s="3">
        <v>69.55</v>
      </c>
      <c r="N41" s="3">
        <v>149.99</v>
      </c>
      <c r="O41" s="2" t="s">
        <v>97</v>
      </c>
      <c r="P41" s="2" t="s">
        <v>139</v>
      </c>
      <c r="Q41" s="2" t="s">
        <v>99</v>
      </c>
      <c r="R41" s="2" t="s">
        <v>100</v>
      </c>
      <c r="S41" s="2" t="s">
        <v>290</v>
      </c>
      <c r="T41" s="2" t="s">
        <v>100</v>
      </c>
      <c r="U41" s="2" t="s">
        <v>102</v>
      </c>
      <c r="V41" s="2" t="s">
        <v>269</v>
      </c>
      <c r="W41" s="2" t="s">
        <v>270</v>
      </c>
      <c r="X41" s="2" t="s">
        <v>271</v>
      </c>
      <c r="Y41" s="2" t="s">
        <v>291</v>
      </c>
      <c r="Z41" s="4">
        <v>185</v>
      </c>
      <c r="AA41" s="4">
        <f>=ROUNDDOWN(10.2777777777778,0)</f>
      </c>
      <c r="AB41" s="5">
        <v>18</v>
      </c>
      <c r="AC41" s="2" t="s">
        <v>130</v>
      </c>
      <c r="AD41" s="4">
        <v>230</v>
      </c>
      <c r="AE41" s="4">
        <v>670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/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97</v>
      </c>
      <c r="BK41" s="8">
        <v>7134.96</v>
      </c>
      <c r="BL41" s="2" t="s">
        <v>294</v>
      </c>
      <c r="BM41" s="7"/>
      <c r="BN41" s="7"/>
      <c r="BO41" s="4"/>
      <c r="BP41" s="8"/>
      <c r="BQ41" s="4"/>
      <c r="BR41" s="8"/>
      <c r="BS41" s="7"/>
      <c r="BT41" s="7"/>
      <c r="BU41" s="2" t="s">
        <v>171</v>
      </c>
      <c r="BV41" s="2" t="s">
        <v>97</v>
      </c>
      <c r="BW41" s="2" t="s">
        <v>100</v>
      </c>
      <c r="BX41" s="2" t="s">
        <v>100</v>
      </c>
      <c r="BY41" s="2" t="s">
        <v>112</v>
      </c>
      <c r="BZ41" s="2" t="s">
        <v>100</v>
      </c>
    </row>
    <row r="42">
      <c r="A42" s="2" t="s">
        <v>295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265</v>
      </c>
      <c r="G42" s="2" t="s">
        <v>266</v>
      </c>
      <c r="H42" s="2" t="s">
        <v>267</v>
      </c>
      <c r="I42" s="2" t="s">
        <v>268</v>
      </c>
      <c r="J42" s="2" t="s">
        <v>118</v>
      </c>
      <c r="K42" s="2" t="s">
        <v>289</v>
      </c>
      <c r="L42" s="3">
        <v>66.24</v>
      </c>
      <c r="M42" s="3">
        <v>69.55</v>
      </c>
      <c r="N42" s="3">
        <v>149.99</v>
      </c>
      <c r="O42" s="2" t="s">
        <v>97</v>
      </c>
      <c r="P42" s="2" t="s">
        <v>139</v>
      </c>
      <c r="Q42" s="2" t="s">
        <v>99</v>
      </c>
      <c r="R42" s="2" t="s">
        <v>100</v>
      </c>
      <c r="S42" s="2" t="s">
        <v>290</v>
      </c>
      <c r="T42" s="2" t="s">
        <v>100</v>
      </c>
      <c r="U42" s="2" t="s">
        <v>102</v>
      </c>
      <c r="V42" s="2" t="s">
        <v>269</v>
      </c>
      <c r="W42" s="2" t="s">
        <v>270</v>
      </c>
      <c r="X42" s="2" t="s">
        <v>271</v>
      </c>
      <c r="Y42" s="2" t="s">
        <v>291</v>
      </c>
      <c r="Z42" s="4">
        <v>187</v>
      </c>
      <c r="AA42" s="4">
        <f>=ROUNDDOWN(26.7142857142857,0)</f>
      </c>
      <c r="AB42" s="5">
        <v>7</v>
      </c>
      <c r="AC42" s="2" t="s">
        <v>130</v>
      </c>
      <c r="AD42" s="4">
        <v>80</v>
      </c>
      <c r="AE42" s="4">
        <v>80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100</v>
      </c>
      <c r="AW42" s="8" t="s">
        <v>100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/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 t="s">
        <v>100</v>
      </c>
      <c r="BJ42" s="4">
        <v>23</v>
      </c>
      <c r="BK42" s="8">
        <v>1871.11</v>
      </c>
      <c r="BL42" s="2" t="s">
        <v>296</v>
      </c>
      <c r="BM42" s="7"/>
      <c r="BN42" s="7"/>
      <c r="BO42" s="4"/>
      <c r="BP42" s="8"/>
      <c r="BQ42" s="4"/>
      <c r="BR42" s="8"/>
      <c r="BS42" s="7"/>
      <c r="BT42" s="7"/>
      <c r="BU42" s="2" t="s">
        <v>171</v>
      </c>
      <c r="BV42" s="2" t="s">
        <v>97</v>
      </c>
      <c r="BW42" s="2" t="s">
        <v>100</v>
      </c>
      <c r="BX42" s="2" t="s">
        <v>100</v>
      </c>
      <c r="BY42" s="2" t="s">
        <v>112</v>
      </c>
      <c r="BZ42" s="2" t="s">
        <v>100</v>
      </c>
    </row>
    <row r="43">
      <c r="A43" s="2" t="s">
        <v>297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298</v>
      </c>
      <c r="G43" s="2" t="s">
        <v>299</v>
      </c>
      <c r="H43" s="2" t="s">
        <v>300</v>
      </c>
      <c r="I43" s="2" t="s">
        <v>301</v>
      </c>
      <c r="J43" s="2" t="s">
        <v>95</v>
      </c>
      <c r="K43" s="2" t="s">
        <v>302</v>
      </c>
      <c r="L43" s="3">
        <v>86.29</v>
      </c>
      <c r="M43" s="3">
        <v>90.6</v>
      </c>
      <c r="N43" s="3">
        <v>179.99</v>
      </c>
      <c r="O43" s="2" t="s">
        <v>97</v>
      </c>
      <c r="P43" s="2" t="s">
        <v>123</v>
      </c>
      <c r="Q43" s="2" t="s">
        <v>99</v>
      </c>
      <c r="R43" s="2" t="s">
        <v>100</v>
      </c>
      <c r="S43" s="2" t="s">
        <v>303</v>
      </c>
      <c r="T43" s="2" t="s">
        <v>100</v>
      </c>
      <c r="U43" s="2" t="s">
        <v>191</v>
      </c>
      <c r="V43" s="2" t="s">
        <v>304</v>
      </c>
      <c r="W43" s="2" t="s">
        <v>104</v>
      </c>
      <c r="X43" s="2" t="s">
        <v>305</v>
      </c>
      <c r="Y43" s="2" t="s">
        <v>306</v>
      </c>
      <c r="Z43" s="4">
        <v>703</v>
      </c>
      <c r="AA43" s="4">
        <f>=ROUNDDOWN(29.2916666666667,0)</f>
      </c>
      <c r="AB43" s="5">
        <v>24</v>
      </c>
      <c r="AC43" s="2" t="s">
        <v>307</v>
      </c>
      <c r="AD43" s="4">
        <v>50</v>
      </c>
      <c r="AE43" s="4">
        <v>400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>
        <v>2</v>
      </c>
      <c r="AW43" s="8">
        <v>185.06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/>
      <c r="BC43" s="4">
        <v>3</v>
      </c>
      <c r="BD43" s="8">
        <v>277.59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>
        <v>0.6667</v>
      </c>
      <c r="BJ43" s="4">
        <v>55</v>
      </c>
      <c r="BK43" s="8">
        <v>4602.42</v>
      </c>
      <c r="BL43" s="2" t="s">
        <v>308</v>
      </c>
      <c r="BM43" s="7"/>
      <c r="BN43" s="7"/>
      <c r="BO43" s="4"/>
      <c r="BP43" s="8"/>
      <c r="BQ43" s="4"/>
      <c r="BR43" s="8"/>
      <c r="BS43" s="7"/>
      <c r="BT43" s="7"/>
      <c r="BU43" s="2" t="s">
        <v>109</v>
      </c>
      <c r="BV43" s="2" t="s">
        <v>97</v>
      </c>
      <c r="BW43" s="2" t="s">
        <v>309</v>
      </c>
      <c r="BX43" s="2" t="s">
        <v>310</v>
      </c>
      <c r="BY43" s="2" t="s">
        <v>112</v>
      </c>
      <c r="BZ43" s="2" t="s">
        <v>100</v>
      </c>
    </row>
    <row r="44">
      <c r="A44" s="2" t="s">
        <v>311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298</v>
      </c>
      <c r="G44" s="2" t="s">
        <v>299</v>
      </c>
      <c r="H44" s="2" t="s">
        <v>300</v>
      </c>
      <c r="I44" s="2" t="s">
        <v>301</v>
      </c>
      <c r="J44" s="2" t="s">
        <v>118</v>
      </c>
      <c r="K44" s="2" t="s">
        <v>302</v>
      </c>
      <c r="L44" s="3">
        <v>98.49</v>
      </c>
      <c r="M44" s="3">
        <v>103.41</v>
      </c>
      <c r="N44" s="3">
        <v>199.99</v>
      </c>
      <c r="O44" s="2" t="s">
        <v>97</v>
      </c>
      <c r="P44" s="2" t="s">
        <v>123</v>
      </c>
      <c r="Q44" s="2" t="s">
        <v>99</v>
      </c>
      <c r="R44" s="2" t="s">
        <v>100</v>
      </c>
      <c r="S44" s="2" t="s">
        <v>303</v>
      </c>
      <c r="T44" s="2" t="s">
        <v>100</v>
      </c>
      <c r="U44" s="2" t="s">
        <v>191</v>
      </c>
      <c r="V44" s="2" t="s">
        <v>304</v>
      </c>
      <c r="W44" s="2" t="s">
        <v>104</v>
      </c>
      <c r="X44" s="2" t="s">
        <v>305</v>
      </c>
      <c r="Y44" s="2" t="s">
        <v>306</v>
      </c>
      <c r="Z44" s="4">
        <v>310</v>
      </c>
      <c r="AA44" s="4">
        <f>=ROUNDDOWN(22.1428571428571,0)</f>
      </c>
      <c r="AB44" s="5">
        <v>14</v>
      </c>
      <c r="AC44" s="2" t="s">
        <v>312</v>
      </c>
      <c r="AD44" s="4">
        <v>60</v>
      </c>
      <c r="AE44" s="4">
        <v>120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2</v>
      </c>
      <c r="AQ44" s="8">
        <v>185.06</v>
      </c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1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49</v>
      </c>
      <c r="BK44" s="8">
        <v>5038.44</v>
      </c>
      <c r="BL44" s="2" t="s">
        <v>313</v>
      </c>
      <c r="BM44" s="7">
        <v>0.0408</v>
      </c>
      <c r="BN44" s="7">
        <v>0.0367</v>
      </c>
      <c r="BO44" s="4">
        <v>2</v>
      </c>
      <c r="BP44" s="8">
        <v>185.06</v>
      </c>
      <c r="BQ44" s="4"/>
      <c r="BR44" s="8"/>
      <c r="BS44" s="7"/>
      <c r="BT44" s="7"/>
      <c r="BU44" s="2" t="s">
        <v>109</v>
      </c>
      <c r="BV44" s="2" t="s">
        <v>97</v>
      </c>
      <c r="BW44" s="2" t="s">
        <v>309</v>
      </c>
      <c r="BX44" s="2" t="s">
        <v>314</v>
      </c>
      <c r="BY44" s="2" t="s">
        <v>112</v>
      </c>
      <c r="BZ44" s="2" t="s">
        <v>100</v>
      </c>
    </row>
    <row r="45">
      <c r="A45" s="2" t="s">
        <v>315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298</v>
      </c>
      <c r="G45" s="2" t="s">
        <v>299</v>
      </c>
      <c r="H45" s="2" t="s">
        <v>300</v>
      </c>
      <c r="I45" s="2" t="s">
        <v>301</v>
      </c>
      <c r="J45" s="2" t="s">
        <v>118</v>
      </c>
      <c r="K45" s="2" t="s">
        <v>316</v>
      </c>
      <c r="L45" s="3">
        <v>98.49</v>
      </c>
      <c r="M45" s="3">
        <v>103.41</v>
      </c>
      <c r="N45" s="3">
        <v>199.99</v>
      </c>
      <c r="O45" s="2" t="s">
        <v>97</v>
      </c>
      <c r="P45" s="2" t="s">
        <v>317</v>
      </c>
      <c r="Q45" s="2" t="s">
        <v>99</v>
      </c>
      <c r="R45" s="2" t="s">
        <v>100</v>
      </c>
      <c r="S45" s="2" t="s">
        <v>318</v>
      </c>
      <c r="T45" s="2" t="s">
        <v>100</v>
      </c>
      <c r="U45" s="2" t="s">
        <v>191</v>
      </c>
      <c r="V45" s="2" t="s">
        <v>304</v>
      </c>
      <c r="W45" s="2" t="s">
        <v>104</v>
      </c>
      <c r="X45" s="2" t="s">
        <v>305</v>
      </c>
      <c r="Y45" s="2" t="s">
        <v>319</v>
      </c>
      <c r="Z45" s="4">
        <v>705</v>
      </c>
      <c r="AA45" s="4">
        <f>=ROUNDDOWN(28.2,0)</f>
      </c>
      <c r="AB45" s="5">
        <v>25</v>
      </c>
      <c r="AC45" s="2" t="s">
        <v>145</v>
      </c>
      <c r="AD45" s="4">
        <v>70</v>
      </c>
      <c r="AE45" s="4">
        <v>270</v>
      </c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1</v>
      </c>
      <c r="AQ45" s="8">
        <v>92.53</v>
      </c>
      <c r="AR45" s="4"/>
      <c r="AS45" s="8"/>
      <c r="AT45" s="7"/>
      <c r="AU45" s="7"/>
      <c r="AV45" s="4">
        <v>1</v>
      </c>
      <c r="AW45" s="8">
        <v>92.53</v>
      </c>
      <c r="AX45" s="4"/>
      <c r="AY45" s="8"/>
      <c r="AZ45" s="7"/>
      <c r="BA45" s="7"/>
      <c r="BB45" s="7">
        <v>1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0.3333</v>
      </c>
      <c r="BJ45" s="4">
        <v>65</v>
      </c>
      <c r="BK45" s="8">
        <v>6788.76</v>
      </c>
      <c r="BL45" s="2" t="s">
        <v>320</v>
      </c>
      <c r="BM45" s="7">
        <v>0.0154</v>
      </c>
      <c r="BN45" s="7">
        <v>0.0136</v>
      </c>
      <c r="BO45" s="4">
        <v>1</v>
      </c>
      <c r="BP45" s="8">
        <v>92.53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321</v>
      </c>
      <c r="BX45" s="2" t="s">
        <v>322</v>
      </c>
      <c r="BY45" s="2" t="s">
        <v>112</v>
      </c>
      <c r="BZ45" s="2" t="s">
        <v>149</v>
      </c>
    </row>
    <row r="46">
      <c r="A46" s="2" t="s">
        <v>323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298</v>
      </c>
      <c r="G46" s="2" t="s">
        <v>299</v>
      </c>
      <c r="H46" s="2" t="s">
        <v>324</v>
      </c>
      <c r="I46" s="2" t="s">
        <v>301</v>
      </c>
      <c r="J46" s="2" t="s">
        <v>95</v>
      </c>
      <c r="K46" s="2" t="s">
        <v>325</v>
      </c>
      <c r="L46" s="3">
        <v>86.29</v>
      </c>
      <c r="M46" s="3">
        <v>90.6</v>
      </c>
      <c r="N46" s="3">
        <v>179.99</v>
      </c>
      <c r="O46" s="2" t="s">
        <v>97</v>
      </c>
      <c r="P46" s="2" t="s">
        <v>156</v>
      </c>
      <c r="Q46" s="2" t="s">
        <v>99</v>
      </c>
      <c r="R46" s="2" t="s">
        <v>100</v>
      </c>
      <c r="S46" s="2" t="s">
        <v>326</v>
      </c>
      <c r="T46" s="2" t="s">
        <v>100</v>
      </c>
      <c r="U46" s="2" t="s">
        <v>191</v>
      </c>
      <c r="V46" s="2" t="s">
        <v>304</v>
      </c>
      <c r="W46" s="2" t="s">
        <v>104</v>
      </c>
      <c r="X46" s="2" t="s">
        <v>305</v>
      </c>
      <c r="Y46" s="2" t="s">
        <v>327</v>
      </c>
      <c r="Z46" s="4">
        <v>503</v>
      </c>
      <c r="AA46" s="4">
        <f>=ROUNDDOWN(17.9642857142857,0)</f>
      </c>
      <c r="AB46" s="5">
        <v>28</v>
      </c>
      <c r="AC46" s="2" t="s">
        <v>312</v>
      </c>
      <c r="AD46" s="4">
        <v>200</v>
      </c>
      <c r="AE46" s="4">
        <v>370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/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94</v>
      </c>
      <c r="BK46" s="8">
        <v>8199.32</v>
      </c>
      <c r="BL46" s="2" t="s">
        <v>328</v>
      </c>
      <c r="BM46" s="7"/>
      <c r="BN46" s="7"/>
      <c r="BO46" s="4"/>
      <c r="BP46" s="8"/>
      <c r="BQ46" s="4"/>
      <c r="BR46" s="8"/>
      <c r="BS46" s="7"/>
      <c r="BT46" s="7"/>
      <c r="BU46" s="2" t="s">
        <v>171</v>
      </c>
      <c r="BV46" s="2" t="s">
        <v>97</v>
      </c>
      <c r="BW46" s="2" t="s">
        <v>100</v>
      </c>
      <c r="BX46" s="2" t="s">
        <v>100</v>
      </c>
      <c r="BY46" s="2" t="s">
        <v>112</v>
      </c>
      <c r="BZ46" s="2" t="s">
        <v>100</v>
      </c>
    </row>
    <row r="47">
      <c r="A47" s="2" t="s">
        <v>329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298</v>
      </c>
      <c r="G47" s="2" t="s">
        <v>299</v>
      </c>
      <c r="H47" s="2" t="s">
        <v>324</v>
      </c>
      <c r="I47" s="2" t="s">
        <v>301</v>
      </c>
      <c r="J47" s="2" t="s">
        <v>114</v>
      </c>
      <c r="K47" s="2" t="s">
        <v>325</v>
      </c>
      <c r="L47" s="3">
        <v>98.49</v>
      </c>
      <c r="M47" s="3">
        <v>103.41</v>
      </c>
      <c r="N47" s="3">
        <v>199.99</v>
      </c>
      <c r="O47" s="2" t="s">
        <v>97</v>
      </c>
      <c r="P47" s="2" t="s">
        <v>156</v>
      </c>
      <c r="Q47" s="2" t="s">
        <v>99</v>
      </c>
      <c r="R47" s="2" t="s">
        <v>100</v>
      </c>
      <c r="S47" s="2" t="s">
        <v>326</v>
      </c>
      <c r="T47" s="2" t="s">
        <v>100</v>
      </c>
      <c r="U47" s="2" t="s">
        <v>191</v>
      </c>
      <c r="V47" s="2" t="s">
        <v>304</v>
      </c>
      <c r="W47" s="2" t="s">
        <v>104</v>
      </c>
      <c r="X47" s="2" t="s">
        <v>305</v>
      </c>
      <c r="Y47" s="2" t="s">
        <v>327</v>
      </c>
      <c r="Z47" s="4">
        <v>672</v>
      </c>
      <c r="AA47" s="4">
        <f>=ROUNDDOWN(28,0)</f>
      </c>
      <c r="AB47" s="5">
        <v>24</v>
      </c>
      <c r="AC47" s="2" t="s">
        <v>330</v>
      </c>
      <c r="AD47" s="4">
        <v>140</v>
      </c>
      <c r="AE47" s="4">
        <v>140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/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76</v>
      </c>
      <c r="BK47" s="8">
        <v>7752.7</v>
      </c>
      <c r="BL47" s="2" t="s">
        <v>331</v>
      </c>
      <c r="BM47" s="7"/>
      <c r="BN47" s="7"/>
      <c r="BO47" s="4"/>
      <c r="BP47" s="8"/>
      <c r="BQ47" s="4"/>
      <c r="BR47" s="8"/>
      <c r="BS47" s="7"/>
      <c r="BT47" s="7"/>
      <c r="BU47" s="2" t="s">
        <v>171</v>
      </c>
      <c r="BV47" s="2" t="s">
        <v>97</v>
      </c>
      <c r="BW47" s="2" t="s">
        <v>100</v>
      </c>
      <c r="BX47" s="2" t="s">
        <v>100</v>
      </c>
      <c r="BY47" s="2" t="s">
        <v>112</v>
      </c>
      <c r="BZ47" s="2" t="s">
        <v>100</v>
      </c>
    </row>
    <row r="48">
      <c r="A48" s="2" t="s">
        <v>332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298</v>
      </c>
      <c r="G48" s="2" t="s">
        <v>299</v>
      </c>
      <c r="H48" s="2" t="s">
        <v>324</v>
      </c>
      <c r="I48" s="2" t="s">
        <v>301</v>
      </c>
      <c r="J48" s="2" t="s">
        <v>118</v>
      </c>
      <c r="K48" s="2" t="s">
        <v>325</v>
      </c>
      <c r="L48" s="3">
        <v>98.49</v>
      </c>
      <c r="M48" s="3">
        <v>103.41</v>
      </c>
      <c r="N48" s="3">
        <v>199.99</v>
      </c>
      <c r="O48" s="2" t="s">
        <v>97</v>
      </c>
      <c r="P48" s="2" t="s">
        <v>156</v>
      </c>
      <c r="Q48" s="2" t="s">
        <v>99</v>
      </c>
      <c r="R48" s="2" t="s">
        <v>100</v>
      </c>
      <c r="S48" s="2" t="s">
        <v>326</v>
      </c>
      <c r="T48" s="2" t="s">
        <v>100</v>
      </c>
      <c r="U48" s="2" t="s">
        <v>191</v>
      </c>
      <c r="V48" s="2" t="s">
        <v>304</v>
      </c>
      <c r="W48" s="2" t="s">
        <v>104</v>
      </c>
      <c r="X48" s="2" t="s">
        <v>305</v>
      </c>
      <c r="Y48" s="2" t="s">
        <v>327</v>
      </c>
      <c r="Z48" s="4">
        <v>453</v>
      </c>
      <c r="AA48" s="4">
        <f>=ROUNDDOWN(30.2,0)</f>
      </c>
      <c r="AB48" s="5">
        <v>15</v>
      </c>
      <c r="AC48" s="2" t="s">
        <v>330</v>
      </c>
      <c r="AD48" s="4">
        <v>100</v>
      </c>
      <c r="AE48" s="4">
        <v>100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/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34</v>
      </c>
      <c r="BK48" s="8">
        <v>3456.32</v>
      </c>
      <c r="BL48" s="2" t="s">
        <v>333</v>
      </c>
      <c r="BM48" s="7"/>
      <c r="BN48" s="7"/>
      <c r="BO48" s="4"/>
      <c r="BP48" s="8"/>
      <c r="BQ48" s="4"/>
      <c r="BR48" s="8"/>
      <c r="BS48" s="7"/>
      <c r="BT48" s="7"/>
      <c r="BU48" s="2" t="s">
        <v>171</v>
      </c>
      <c r="BV48" s="2" t="s">
        <v>97</v>
      </c>
      <c r="BW48" s="2" t="s">
        <v>100</v>
      </c>
      <c r="BX48" s="2" t="s">
        <v>100</v>
      </c>
      <c r="BY48" s="2" t="s">
        <v>112</v>
      </c>
      <c r="BZ48" s="2" t="s">
        <v>100</v>
      </c>
    </row>
    <row r="49">
      <c r="A49" s="2" t="s">
        <v>334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298</v>
      </c>
      <c r="G49" s="2" t="s">
        <v>299</v>
      </c>
      <c r="H49" s="2" t="s">
        <v>300</v>
      </c>
      <c r="I49" s="2" t="s">
        <v>301</v>
      </c>
      <c r="J49" s="2" t="s">
        <v>95</v>
      </c>
      <c r="K49" s="2" t="s">
        <v>335</v>
      </c>
      <c r="L49" s="3">
        <v>86.29</v>
      </c>
      <c r="M49" s="3">
        <v>90.6</v>
      </c>
      <c r="N49" s="3">
        <v>179.99</v>
      </c>
      <c r="O49" s="2" t="s">
        <v>97</v>
      </c>
      <c r="P49" s="2" t="s">
        <v>317</v>
      </c>
      <c r="Q49" s="2" t="s">
        <v>99</v>
      </c>
      <c r="R49" s="2" t="s">
        <v>100</v>
      </c>
      <c r="S49" s="2" t="s">
        <v>336</v>
      </c>
      <c r="T49" s="2" t="s">
        <v>100</v>
      </c>
      <c r="U49" s="2" t="s">
        <v>191</v>
      </c>
      <c r="V49" s="2" t="s">
        <v>304</v>
      </c>
      <c r="W49" s="2" t="s">
        <v>104</v>
      </c>
      <c r="X49" s="2" t="s">
        <v>305</v>
      </c>
      <c r="Y49" s="2" t="s">
        <v>337</v>
      </c>
      <c r="Z49" s="4">
        <v>995</v>
      </c>
      <c r="AA49" s="4">
        <f>=ROUNDDOWN(21.1702127659574,0)</f>
      </c>
      <c r="AB49" s="5">
        <v>47</v>
      </c>
      <c r="AC49" s="2" t="s">
        <v>312</v>
      </c>
      <c r="AD49" s="4">
        <v>250</v>
      </c>
      <c r="AE49" s="4">
        <v>620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/>
      <c r="AW49" s="8"/>
      <c r="AX49" s="4"/>
      <c r="AY49" s="8"/>
      <c r="AZ49" s="7"/>
      <c r="BA49" s="7"/>
      <c r="BB49" s="7"/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/>
      <c r="BJ49" s="4">
        <v>124</v>
      </c>
      <c r="BK49" s="8">
        <v>11388.26</v>
      </c>
      <c r="BL49" s="2" t="s">
        <v>338</v>
      </c>
      <c r="BM49" s="7"/>
      <c r="BN49" s="7"/>
      <c r="BO49" s="4"/>
      <c r="BP49" s="8"/>
      <c r="BQ49" s="4"/>
      <c r="BR49" s="8"/>
      <c r="BS49" s="7"/>
      <c r="BT49" s="7"/>
      <c r="BU49" s="2" t="s">
        <v>109</v>
      </c>
      <c r="BV49" s="2" t="s">
        <v>97</v>
      </c>
      <c r="BW49" s="2" t="s">
        <v>309</v>
      </c>
      <c r="BX49" s="2" t="s">
        <v>339</v>
      </c>
      <c r="BY49" s="2" t="s">
        <v>112</v>
      </c>
      <c r="BZ49" s="2" t="s">
        <v>100</v>
      </c>
    </row>
    <row r="50">
      <c r="A50" s="2" t="s">
        <v>340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341</v>
      </c>
      <c r="G50" s="2" t="s">
        <v>342</v>
      </c>
      <c r="H50" s="2" t="s">
        <v>267</v>
      </c>
      <c r="I50" s="2" t="s">
        <v>343</v>
      </c>
      <c r="J50" s="2" t="s">
        <v>118</v>
      </c>
      <c r="K50" s="2" t="s">
        <v>236</v>
      </c>
      <c r="L50" s="3">
        <v>75.2</v>
      </c>
      <c r="M50" s="3">
        <v>78.96</v>
      </c>
      <c r="N50" s="3">
        <v>159.99</v>
      </c>
      <c r="O50" s="2" t="s">
        <v>97</v>
      </c>
      <c r="P50" s="2" t="s">
        <v>156</v>
      </c>
      <c r="Q50" s="2" t="s">
        <v>99</v>
      </c>
      <c r="R50" s="2" t="s">
        <v>100</v>
      </c>
      <c r="S50" s="2" t="s">
        <v>344</v>
      </c>
      <c r="T50" s="2" t="s">
        <v>100</v>
      </c>
      <c r="U50" s="2" t="s">
        <v>102</v>
      </c>
      <c r="V50" s="2" t="s">
        <v>141</v>
      </c>
      <c r="W50" s="2" t="s">
        <v>270</v>
      </c>
      <c r="X50" s="2" t="s">
        <v>143</v>
      </c>
      <c r="Y50" s="2" t="s">
        <v>144</v>
      </c>
      <c r="Z50" s="4">
        <v>216</v>
      </c>
      <c r="AA50" s="4">
        <f>=ROUNDDOWN(24,0)</f>
      </c>
      <c r="AB50" s="5">
        <v>9</v>
      </c>
      <c r="AC50" s="2" t="s">
        <v>312</v>
      </c>
      <c r="AD50" s="4">
        <v>160</v>
      </c>
      <c r="AE50" s="4">
        <v>160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3</v>
      </c>
      <c r="AQ50" s="8">
        <v>228.63</v>
      </c>
      <c r="AR50" s="4"/>
      <c r="AS50" s="8"/>
      <c r="AT50" s="7"/>
      <c r="AU50" s="7"/>
      <c r="AV50" s="4">
        <v>3</v>
      </c>
      <c r="AW50" s="8">
        <v>228.63</v>
      </c>
      <c r="AX50" s="4"/>
      <c r="AY50" s="8"/>
      <c r="AZ50" s="7"/>
      <c r="BA50" s="7"/>
      <c r="BB50" s="7">
        <v>1</v>
      </c>
      <c r="BC50" s="4">
        <v>3</v>
      </c>
      <c r="BD50" s="8">
        <v>228.63</v>
      </c>
      <c r="BE50" s="4"/>
      <c r="BF50" s="8"/>
      <c r="BG50" s="7"/>
      <c r="BH50" s="7"/>
      <c r="BI50" s="7">
        <v>1</v>
      </c>
      <c r="BJ50" s="4">
        <v>23</v>
      </c>
      <c r="BK50" s="8">
        <v>1950.35</v>
      </c>
      <c r="BL50" s="2" t="s">
        <v>345</v>
      </c>
      <c r="BM50" s="7">
        <v>0.1304</v>
      </c>
      <c r="BN50" s="7">
        <v>0.1172</v>
      </c>
      <c r="BO50" s="4">
        <v>3</v>
      </c>
      <c r="BP50" s="8">
        <v>228.63</v>
      </c>
      <c r="BQ50" s="4"/>
      <c r="BR50" s="8"/>
      <c r="BS50" s="7"/>
      <c r="BT50" s="7"/>
      <c r="BU50" s="2" t="s">
        <v>109</v>
      </c>
      <c r="BV50" s="2" t="s">
        <v>97</v>
      </c>
      <c r="BW50" s="2" t="s">
        <v>159</v>
      </c>
      <c r="BX50" s="2" t="s">
        <v>346</v>
      </c>
      <c r="BY50" s="2" t="s">
        <v>112</v>
      </c>
      <c r="BZ50" s="2" t="s">
        <v>100</v>
      </c>
    </row>
    <row r="51">
      <c r="A51" s="2" t="s">
        <v>347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348</v>
      </c>
      <c r="G51" s="2" t="s">
        <v>349</v>
      </c>
      <c r="H51" s="2" t="s">
        <v>350</v>
      </c>
      <c r="I51" s="2" t="s">
        <v>351</v>
      </c>
      <c r="J51" s="2" t="s">
        <v>352</v>
      </c>
      <c r="K51" s="2" t="s">
        <v>353</v>
      </c>
      <c r="L51" s="3">
        <v>49.68</v>
      </c>
      <c r="M51" s="3">
        <v>52.16</v>
      </c>
      <c r="N51" s="3">
        <v>99.99</v>
      </c>
      <c r="O51" s="2" t="s">
        <v>97</v>
      </c>
      <c r="P51" s="2" t="s">
        <v>98</v>
      </c>
      <c r="Q51" s="2" t="s">
        <v>99</v>
      </c>
      <c r="R51" s="2" t="s">
        <v>100</v>
      </c>
      <c r="S51" s="2" t="s">
        <v>354</v>
      </c>
      <c r="T51" s="2" t="s">
        <v>100</v>
      </c>
      <c r="U51" s="2" t="s">
        <v>355</v>
      </c>
      <c r="V51" s="2" t="s">
        <v>192</v>
      </c>
      <c r="W51" s="2" t="s">
        <v>142</v>
      </c>
      <c r="X51" s="2" t="s">
        <v>356</v>
      </c>
      <c r="Y51" s="2" t="s">
        <v>144</v>
      </c>
      <c r="Z51" s="4">
        <v>64</v>
      </c>
      <c r="AA51" s="4">
        <f>=ROUNDDOWN(16,0)</f>
      </c>
      <c r="AB51" s="5">
        <v>4</v>
      </c>
      <c r="AC51" s="2" t="s">
        <v>262</v>
      </c>
      <c r="AD51" s="4">
        <v>30</v>
      </c>
      <c r="AE51" s="4">
        <v>120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>
        <v>2</v>
      </c>
      <c r="AW51" s="8">
        <v>170.08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/>
      <c r="BC51" s="4">
        <v>2</v>
      </c>
      <c r="BD51" s="8">
        <v>170.08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1</v>
      </c>
      <c r="BJ51" s="4">
        <v>11</v>
      </c>
      <c r="BK51" s="8">
        <v>610.46</v>
      </c>
      <c r="BL51" s="2" t="s">
        <v>357</v>
      </c>
      <c r="BM51" s="7"/>
      <c r="BN51" s="7"/>
      <c r="BO51" s="4"/>
      <c r="BP51" s="8"/>
      <c r="BQ51" s="4"/>
      <c r="BR51" s="8"/>
      <c r="BS51" s="7"/>
      <c r="BT51" s="7"/>
      <c r="BU51" s="2" t="s">
        <v>109</v>
      </c>
      <c r="BV51" s="2" t="s">
        <v>97</v>
      </c>
      <c r="BW51" s="2" t="s">
        <v>159</v>
      </c>
      <c r="BX51" s="2" t="s">
        <v>358</v>
      </c>
      <c r="BY51" s="2" t="s">
        <v>112</v>
      </c>
      <c r="BZ51" s="2" t="s">
        <v>149</v>
      </c>
    </row>
    <row r="52">
      <c r="A52" s="2" t="s">
        <v>359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348</v>
      </c>
      <c r="G52" s="2" t="s">
        <v>349</v>
      </c>
      <c r="H52" s="2" t="s">
        <v>350</v>
      </c>
      <c r="I52" s="2" t="s">
        <v>351</v>
      </c>
      <c r="J52" s="2" t="s">
        <v>118</v>
      </c>
      <c r="K52" s="2" t="s">
        <v>353</v>
      </c>
      <c r="L52" s="3">
        <v>74.96</v>
      </c>
      <c r="M52" s="3">
        <v>78.71</v>
      </c>
      <c r="N52" s="3">
        <v>149.99</v>
      </c>
      <c r="O52" s="2" t="s">
        <v>97</v>
      </c>
      <c r="P52" s="2" t="s">
        <v>98</v>
      </c>
      <c r="Q52" s="2" t="s">
        <v>99</v>
      </c>
      <c r="R52" s="2" t="s">
        <v>100</v>
      </c>
      <c r="S52" s="2" t="s">
        <v>354</v>
      </c>
      <c r="T52" s="2" t="s">
        <v>100</v>
      </c>
      <c r="U52" s="2" t="s">
        <v>102</v>
      </c>
      <c r="V52" s="2" t="s">
        <v>192</v>
      </c>
      <c r="W52" s="2" t="s">
        <v>142</v>
      </c>
      <c r="X52" s="2" t="s">
        <v>356</v>
      </c>
      <c r="Y52" s="2" t="s">
        <v>144</v>
      </c>
      <c r="Z52" s="4">
        <v>102</v>
      </c>
      <c r="AA52" s="4">
        <f>=ROUNDDOWN(20.4,0)</f>
      </c>
      <c r="AB52" s="5">
        <v>5</v>
      </c>
      <c r="AC52" s="2" t="s">
        <v>262</v>
      </c>
      <c r="AD52" s="4">
        <v>30</v>
      </c>
      <c r="AE52" s="4">
        <v>90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2</v>
      </c>
      <c r="AQ52" s="8">
        <v>170.08</v>
      </c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1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17</v>
      </c>
      <c r="BK52" s="8">
        <v>1312.78</v>
      </c>
      <c r="BL52" s="2" t="s">
        <v>360</v>
      </c>
      <c r="BM52" s="7">
        <v>0.1176</v>
      </c>
      <c r="BN52" s="7">
        <v>0.1296</v>
      </c>
      <c r="BO52" s="4">
        <v>2</v>
      </c>
      <c r="BP52" s="8">
        <v>170.08</v>
      </c>
      <c r="BQ52" s="4"/>
      <c r="BR52" s="8"/>
      <c r="BS52" s="7"/>
      <c r="BT52" s="7"/>
      <c r="BU52" s="2" t="s">
        <v>109</v>
      </c>
      <c r="BV52" s="2" t="s">
        <v>97</v>
      </c>
      <c r="BW52" s="2" t="s">
        <v>159</v>
      </c>
      <c r="BX52" s="2" t="s">
        <v>358</v>
      </c>
      <c r="BY52" s="2" t="s">
        <v>112</v>
      </c>
      <c r="BZ52" s="2" t="s">
        <v>100</v>
      </c>
    </row>
    <row r="53">
      <c r="A53" s="2" t="s">
        <v>361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362</v>
      </c>
      <c r="G53" s="2" t="s">
        <v>363</v>
      </c>
      <c r="H53" s="2" t="s">
        <v>364</v>
      </c>
      <c r="I53" s="2" t="s">
        <v>94</v>
      </c>
      <c r="J53" s="2" t="s">
        <v>95</v>
      </c>
      <c r="K53" s="2" t="s">
        <v>365</v>
      </c>
      <c r="L53" s="3">
        <v>62.1</v>
      </c>
      <c r="M53" s="3">
        <v>65.2</v>
      </c>
      <c r="N53" s="3">
        <v>139.99</v>
      </c>
      <c r="O53" s="2" t="s">
        <v>97</v>
      </c>
      <c r="P53" s="2" t="s">
        <v>156</v>
      </c>
      <c r="Q53" s="2" t="s">
        <v>99</v>
      </c>
      <c r="R53" s="2" t="s">
        <v>100</v>
      </c>
      <c r="S53" s="2" t="s">
        <v>366</v>
      </c>
      <c r="T53" s="2" t="s">
        <v>100</v>
      </c>
      <c r="U53" s="2" t="s">
        <v>102</v>
      </c>
      <c r="V53" s="2" t="s">
        <v>367</v>
      </c>
      <c r="W53" s="2" t="s">
        <v>142</v>
      </c>
      <c r="X53" s="2" t="s">
        <v>368</v>
      </c>
      <c r="Y53" s="2" t="s">
        <v>144</v>
      </c>
      <c r="Z53" s="4">
        <v>489</v>
      </c>
      <c r="AA53" s="4">
        <f>=ROUNDDOWN(21.2608695652174,0)</f>
      </c>
      <c r="AB53" s="5">
        <v>23</v>
      </c>
      <c r="AC53" s="2" t="s">
        <v>107</v>
      </c>
      <c r="AD53" s="4">
        <v>70</v>
      </c>
      <c r="AE53" s="4">
        <v>520</v>
      </c>
      <c r="AF53" s="6">
        <v>66</v>
      </c>
      <c r="AG53" s="6">
        <v>49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1</v>
      </c>
      <c r="AQ53" s="8">
        <v>70.76</v>
      </c>
      <c r="AR53" s="4"/>
      <c r="AS53" s="8"/>
      <c r="AT53" s="7"/>
      <c r="AU53" s="7"/>
      <c r="AV53" s="4">
        <v>2</v>
      </c>
      <c r="AW53" s="8">
        <v>152.41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>
        <v>0.4643</v>
      </c>
      <c r="BC53" s="4">
        <v>2</v>
      </c>
      <c r="BD53" s="8">
        <v>152.41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>
        <v>1</v>
      </c>
      <c r="BJ53" s="4">
        <v>87</v>
      </c>
      <c r="BK53" s="8">
        <v>6825.44</v>
      </c>
      <c r="BL53" s="2" t="s">
        <v>369</v>
      </c>
      <c r="BM53" s="7">
        <v>0.0115</v>
      </c>
      <c r="BN53" s="7">
        <v>0.0104</v>
      </c>
      <c r="BO53" s="4">
        <v>1</v>
      </c>
      <c r="BP53" s="8">
        <v>70.76</v>
      </c>
      <c r="BQ53" s="4"/>
      <c r="BR53" s="8"/>
      <c r="BS53" s="7"/>
      <c r="BT53" s="7"/>
      <c r="BU53" s="2" t="s">
        <v>109</v>
      </c>
      <c r="BV53" s="2" t="s">
        <v>97</v>
      </c>
      <c r="BW53" s="2" t="s">
        <v>370</v>
      </c>
      <c r="BX53" s="2" t="s">
        <v>371</v>
      </c>
      <c r="BY53" s="2" t="s">
        <v>112</v>
      </c>
      <c r="BZ53" s="2" t="s">
        <v>100</v>
      </c>
    </row>
    <row r="54">
      <c r="A54" s="2" t="s">
        <v>372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362</v>
      </c>
      <c r="G54" s="2" t="s">
        <v>363</v>
      </c>
      <c r="H54" s="2" t="s">
        <v>364</v>
      </c>
      <c r="I54" s="2" t="s">
        <v>94</v>
      </c>
      <c r="J54" s="2" t="s">
        <v>118</v>
      </c>
      <c r="K54" s="2" t="s">
        <v>365</v>
      </c>
      <c r="L54" s="3">
        <v>70.38</v>
      </c>
      <c r="M54" s="3">
        <v>73.9</v>
      </c>
      <c r="N54" s="3">
        <v>159.99</v>
      </c>
      <c r="O54" s="2" t="s">
        <v>97</v>
      </c>
      <c r="P54" s="2" t="s">
        <v>156</v>
      </c>
      <c r="Q54" s="2" t="s">
        <v>99</v>
      </c>
      <c r="R54" s="2" t="s">
        <v>100</v>
      </c>
      <c r="S54" s="2" t="s">
        <v>366</v>
      </c>
      <c r="T54" s="2" t="s">
        <v>100</v>
      </c>
      <c r="U54" s="2" t="s">
        <v>102</v>
      </c>
      <c r="V54" s="2" t="s">
        <v>367</v>
      </c>
      <c r="W54" s="2" t="s">
        <v>142</v>
      </c>
      <c r="X54" s="2" t="s">
        <v>368</v>
      </c>
      <c r="Y54" s="2" t="s">
        <v>144</v>
      </c>
      <c r="Z54" s="4">
        <v>211</v>
      </c>
      <c r="AA54" s="4">
        <f>=ROUNDDOWN(21.1,0)</f>
      </c>
      <c r="AB54" s="5">
        <v>10</v>
      </c>
      <c r="AC54" s="2" t="s">
        <v>107</v>
      </c>
      <c r="AD54" s="4">
        <v>30</v>
      </c>
      <c r="AE54" s="4">
        <v>220</v>
      </c>
      <c r="AF54" s="6">
        <v>66</v>
      </c>
      <c r="AG54" s="6">
        <v>49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1</v>
      </c>
      <c r="AQ54" s="8">
        <v>81.65</v>
      </c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0.5357</v>
      </c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 t="s">
        <v>100</v>
      </c>
      <c r="BJ54" s="4">
        <v>35</v>
      </c>
      <c r="BK54" s="8">
        <v>3180.82</v>
      </c>
      <c r="BL54" s="2" t="s">
        <v>373</v>
      </c>
      <c r="BM54" s="7">
        <v>0.0286</v>
      </c>
      <c r="BN54" s="7">
        <v>0.0257</v>
      </c>
      <c r="BO54" s="4">
        <v>1</v>
      </c>
      <c r="BP54" s="8">
        <v>81.65</v>
      </c>
      <c r="BQ54" s="4"/>
      <c r="BR54" s="8"/>
      <c r="BS54" s="7"/>
      <c r="BT54" s="7"/>
      <c r="BU54" s="2" t="s">
        <v>109</v>
      </c>
      <c r="BV54" s="2" t="s">
        <v>97</v>
      </c>
      <c r="BW54" s="2" t="s">
        <v>370</v>
      </c>
      <c r="BX54" s="2" t="s">
        <v>374</v>
      </c>
      <c r="BY54" s="2" t="s">
        <v>112</v>
      </c>
      <c r="BZ54" s="2" t="s">
        <v>100</v>
      </c>
    </row>
    <row r="55">
      <c r="A55" s="2" t="s">
        <v>375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362</v>
      </c>
      <c r="G55" s="2" t="s">
        <v>363</v>
      </c>
      <c r="H55" s="2" t="s">
        <v>364</v>
      </c>
      <c r="I55" s="2" t="s">
        <v>94</v>
      </c>
      <c r="J55" s="2" t="s">
        <v>95</v>
      </c>
      <c r="K55" s="2" t="s">
        <v>223</v>
      </c>
      <c r="L55" s="3">
        <v>62.1</v>
      </c>
      <c r="M55" s="3">
        <v>65.2</v>
      </c>
      <c r="N55" s="3">
        <v>139.99</v>
      </c>
      <c r="O55" s="2" t="s">
        <v>97</v>
      </c>
      <c r="P55" s="2" t="s">
        <v>123</v>
      </c>
      <c r="Q55" s="2" t="s">
        <v>99</v>
      </c>
      <c r="R55" s="2" t="s">
        <v>100</v>
      </c>
      <c r="S55" s="2" t="s">
        <v>376</v>
      </c>
      <c r="T55" s="2" t="s">
        <v>100</v>
      </c>
      <c r="U55" s="2" t="s">
        <v>102</v>
      </c>
      <c r="V55" s="2" t="s">
        <v>367</v>
      </c>
      <c r="W55" s="2" t="s">
        <v>142</v>
      </c>
      <c r="X55" s="2" t="s">
        <v>377</v>
      </c>
      <c r="Y55" s="2" t="s">
        <v>378</v>
      </c>
      <c r="Z55" s="4">
        <v>243</v>
      </c>
      <c r="AA55" s="4">
        <f>=ROUNDDOWN(6.37795275590551,0)</f>
      </c>
      <c r="AB55" s="5">
        <v>38.1</v>
      </c>
      <c r="AC55" s="2" t="s">
        <v>107</v>
      </c>
      <c r="AD55" s="4">
        <v>80</v>
      </c>
      <c r="AE55" s="4">
        <v>1460</v>
      </c>
      <c r="AF55" s="6">
        <v>66</v>
      </c>
      <c r="AG55" s="6">
        <v>49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/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191</v>
      </c>
      <c r="BK55" s="8">
        <v>15551.67</v>
      </c>
      <c r="BL55" s="2" t="s">
        <v>379</v>
      </c>
      <c r="BM55" s="7"/>
      <c r="BN55" s="7"/>
      <c r="BO55" s="4"/>
      <c r="BP55" s="8"/>
      <c r="BQ55" s="4"/>
      <c r="BR55" s="8"/>
      <c r="BS55" s="7"/>
      <c r="BT55" s="7"/>
      <c r="BU55" s="2" t="s">
        <v>171</v>
      </c>
      <c r="BV55" s="2" t="s">
        <v>97</v>
      </c>
      <c r="BW55" s="2" t="s">
        <v>100</v>
      </c>
      <c r="BX55" s="2" t="s">
        <v>100</v>
      </c>
      <c r="BY55" s="2" t="s">
        <v>112</v>
      </c>
      <c r="BZ55" s="2" t="s">
        <v>100</v>
      </c>
    </row>
    <row r="56">
      <c r="A56" s="2" t="s">
        <v>380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362</v>
      </c>
      <c r="G56" s="2" t="s">
        <v>363</v>
      </c>
      <c r="H56" s="2" t="s">
        <v>364</v>
      </c>
      <c r="I56" s="2" t="s">
        <v>94</v>
      </c>
      <c r="J56" s="2" t="s">
        <v>114</v>
      </c>
      <c r="K56" s="2" t="s">
        <v>223</v>
      </c>
      <c r="L56" s="3">
        <v>70.38</v>
      </c>
      <c r="M56" s="3">
        <v>73.9</v>
      </c>
      <c r="N56" s="3">
        <v>159.99</v>
      </c>
      <c r="O56" s="2" t="s">
        <v>97</v>
      </c>
      <c r="P56" s="2" t="s">
        <v>123</v>
      </c>
      <c r="Q56" s="2" t="s">
        <v>99</v>
      </c>
      <c r="R56" s="2" t="s">
        <v>100</v>
      </c>
      <c r="S56" s="2" t="s">
        <v>376</v>
      </c>
      <c r="T56" s="2" t="s">
        <v>100</v>
      </c>
      <c r="U56" s="2" t="s">
        <v>102</v>
      </c>
      <c r="V56" s="2" t="s">
        <v>367</v>
      </c>
      <c r="W56" s="2" t="s">
        <v>142</v>
      </c>
      <c r="X56" s="2" t="s">
        <v>377</v>
      </c>
      <c r="Y56" s="2" t="s">
        <v>381</v>
      </c>
      <c r="Z56" s="4">
        <v>253</v>
      </c>
      <c r="AA56" s="4">
        <f>=ROUNDDOWN(7.02777777777778,0)</f>
      </c>
      <c r="AB56" s="5">
        <v>36</v>
      </c>
      <c r="AC56" s="2" t="s">
        <v>107</v>
      </c>
      <c r="AD56" s="4">
        <v>80</v>
      </c>
      <c r="AE56" s="4">
        <v>1300</v>
      </c>
      <c r="AF56" s="6">
        <v>66</v>
      </c>
      <c r="AG56" s="6">
        <v>49</v>
      </c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/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166</v>
      </c>
      <c r="BK56" s="8">
        <v>15336.93</v>
      </c>
      <c r="BL56" s="2" t="s">
        <v>382</v>
      </c>
      <c r="BM56" s="7"/>
      <c r="BN56" s="7"/>
      <c r="BO56" s="4"/>
      <c r="BP56" s="8"/>
      <c r="BQ56" s="4"/>
      <c r="BR56" s="8"/>
      <c r="BS56" s="7"/>
      <c r="BT56" s="7"/>
      <c r="BU56" s="2" t="s">
        <v>171</v>
      </c>
      <c r="BV56" s="2" t="s">
        <v>97</v>
      </c>
      <c r="BW56" s="2" t="s">
        <v>100</v>
      </c>
      <c r="BX56" s="2" t="s">
        <v>100</v>
      </c>
      <c r="BY56" s="2" t="s">
        <v>112</v>
      </c>
      <c r="BZ56" s="2" t="s">
        <v>100</v>
      </c>
    </row>
    <row r="57">
      <c r="A57" s="2" t="s">
        <v>383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362</v>
      </c>
      <c r="G57" s="2" t="s">
        <v>363</v>
      </c>
      <c r="H57" s="2" t="s">
        <v>364</v>
      </c>
      <c r="I57" s="2" t="s">
        <v>94</v>
      </c>
      <c r="J57" s="2" t="s">
        <v>118</v>
      </c>
      <c r="K57" s="2" t="s">
        <v>223</v>
      </c>
      <c r="L57" s="3">
        <v>70.38</v>
      </c>
      <c r="M57" s="3">
        <v>73.9</v>
      </c>
      <c r="N57" s="3">
        <v>159.99</v>
      </c>
      <c r="O57" s="2" t="s">
        <v>97</v>
      </c>
      <c r="P57" s="2" t="s">
        <v>123</v>
      </c>
      <c r="Q57" s="2" t="s">
        <v>99</v>
      </c>
      <c r="R57" s="2" t="s">
        <v>100</v>
      </c>
      <c r="S57" s="2" t="s">
        <v>376</v>
      </c>
      <c r="T57" s="2" t="s">
        <v>100</v>
      </c>
      <c r="U57" s="2" t="s">
        <v>102</v>
      </c>
      <c r="V57" s="2" t="s">
        <v>367</v>
      </c>
      <c r="W57" s="2" t="s">
        <v>142</v>
      </c>
      <c r="X57" s="2" t="s">
        <v>377</v>
      </c>
      <c r="Y57" s="2" t="s">
        <v>381</v>
      </c>
      <c r="Z57" s="4">
        <v>69</v>
      </c>
      <c r="AA57" s="4">
        <f>=ROUNDDOWN(4.6,0)</f>
      </c>
      <c r="AB57" s="5">
        <v>15</v>
      </c>
      <c r="AC57" s="2" t="s">
        <v>107</v>
      </c>
      <c r="AD57" s="4">
        <v>30</v>
      </c>
      <c r="AE57" s="4">
        <v>480</v>
      </c>
      <c r="AF57" s="6">
        <v>66</v>
      </c>
      <c r="AG57" s="6">
        <v>49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/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 t="s">
        <v>100</v>
      </c>
      <c r="BJ57" s="4">
        <v>68</v>
      </c>
      <c r="BK57" s="8">
        <v>6326.41</v>
      </c>
      <c r="BL57" s="2" t="s">
        <v>384</v>
      </c>
      <c r="BM57" s="7"/>
      <c r="BN57" s="7"/>
      <c r="BO57" s="4"/>
      <c r="BP57" s="8"/>
      <c r="BQ57" s="4"/>
      <c r="BR57" s="8"/>
      <c r="BS57" s="7"/>
      <c r="BT57" s="7"/>
      <c r="BU57" s="2" t="s">
        <v>171</v>
      </c>
      <c r="BV57" s="2" t="s">
        <v>97</v>
      </c>
      <c r="BW57" s="2" t="s">
        <v>100</v>
      </c>
      <c r="BX57" s="2" t="s">
        <v>100</v>
      </c>
      <c r="BY57" s="2" t="s">
        <v>112</v>
      </c>
      <c r="BZ57" s="2" t="s">
        <v>100</v>
      </c>
    </row>
    <row r="58">
      <c r="A58" s="2" t="s">
        <v>385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362</v>
      </c>
      <c r="G58" s="2" t="s">
        <v>363</v>
      </c>
      <c r="H58" s="2" t="s">
        <v>364</v>
      </c>
      <c r="I58" s="2" t="s">
        <v>94</v>
      </c>
      <c r="J58" s="2" t="s">
        <v>95</v>
      </c>
      <c r="K58" s="2" t="s">
        <v>386</v>
      </c>
      <c r="L58" s="3">
        <v>62.1</v>
      </c>
      <c r="M58" s="3">
        <v>65.2</v>
      </c>
      <c r="N58" s="3">
        <v>139.99</v>
      </c>
      <c r="O58" s="2" t="s">
        <v>97</v>
      </c>
      <c r="P58" s="2" t="s">
        <v>98</v>
      </c>
      <c r="Q58" s="2" t="s">
        <v>99</v>
      </c>
      <c r="R58" s="2" t="s">
        <v>100</v>
      </c>
      <c r="S58" s="2" t="s">
        <v>387</v>
      </c>
      <c r="T58" s="2" t="s">
        <v>100</v>
      </c>
      <c r="U58" s="2" t="s">
        <v>102</v>
      </c>
      <c r="V58" s="2" t="s">
        <v>367</v>
      </c>
      <c r="W58" s="2" t="s">
        <v>142</v>
      </c>
      <c r="X58" s="2" t="s">
        <v>377</v>
      </c>
      <c r="Y58" s="2" t="s">
        <v>388</v>
      </c>
      <c r="Z58" s="4">
        <v>330</v>
      </c>
      <c r="AA58" s="4">
        <f>=ROUNDDOWN(20.625,0)</f>
      </c>
      <c r="AB58" s="5">
        <v>16</v>
      </c>
      <c r="AC58" s="2" t="s">
        <v>389</v>
      </c>
      <c r="AD58" s="4">
        <v>170</v>
      </c>
      <c r="AE58" s="4">
        <v>170</v>
      </c>
      <c r="AF58" s="6">
        <v>66</v>
      </c>
      <c r="AG58" s="6"/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/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64</v>
      </c>
      <c r="BK58" s="8">
        <v>5065.06</v>
      </c>
      <c r="BL58" s="2" t="s">
        <v>390</v>
      </c>
      <c r="BM58" s="7"/>
      <c r="BN58" s="7"/>
      <c r="BO58" s="4"/>
      <c r="BP58" s="8"/>
      <c r="BQ58" s="4"/>
      <c r="BR58" s="8"/>
      <c r="BS58" s="7"/>
      <c r="BT58" s="7"/>
      <c r="BU58" s="2" t="s">
        <v>171</v>
      </c>
      <c r="BV58" s="2" t="s">
        <v>97</v>
      </c>
      <c r="BW58" s="2" t="s">
        <v>100</v>
      </c>
      <c r="BX58" s="2" t="s">
        <v>100</v>
      </c>
      <c r="BY58" s="2" t="s">
        <v>112</v>
      </c>
      <c r="BZ58" s="2" t="s">
        <v>100</v>
      </c>
    </row>
    <row r="59">
      <c r="A59" s="2" t="s">
        <v>391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362</v>
      </c>
      <c r="G59" s="2" t="s">
        <v>363</v>
      </c>
      <c r="H59" s="2" t="s">
        <v>364</v>
      </c>
      <c r="I59" s="2" t="s">
        <v>94</v>
      </c>
      <c r="J59" s="2" t="s">
        <v>114</v>
      </c>
      <c r="K59" s="2" t="s">
        <v>386</v>
      </c>
      <c r="L59" s="3">
        <v>70.38</v>
      </c>
      <c r="M59" s="3">
        <v>73.9</v>
      </c>
      <c r="N59" s="3">
        <v>159.99</v>
      </c>
      <c r="O59" s="2" t="s">
        <v>97</v>
      </c>
      <c r="P59" s="2" t="s">
        <v>98</v>
      </c>
      <c r="Q59" s="2" t="s">
        <v>99</v>
      </c>
      <c r="R59" s="2" t="s">
        <v>100</v>
      </c>
      <c r="S59" s="2" t="s">
        <v>387</v>
      </c>
      <c r="T59" s="2" t="s">
        <v>100</v>
      </c>
      <c r="U59" s="2" t="s">
        <v>102</v>
      </c>
      <c r="V59" s="2" t="s">
        <v>367</v>
      </c>
      <c r="W59" s="2" t="s">
        <v>142</v>
      </c>
      <c r="X59" s="2" t="s">
        <v>377</v>
      </c>
      <c r="Y59" s="2" t="s">
        <v>388</v>
      </c>
      <c r="Z59" s="4">
        <v>365</v>
      </c>
      <c r="AA59" s="4">
        <f>=ROUNDDOWN(28.0769230769231,0)</f>
      </c>
      <c r="AB59" s="5">
        <v>13</v>
      </c>
      <c r="AC59" s="2" t="s">
        <v>389</v>
      </c>
      <c r="AD59" s="4">
        <v>30</v>
      </c>
      <c r="AE59" s="4">
        <v>30</v>
      </c>
      <c r="AF59" s="6">
        <v>66</v>
      </c>
      <c r="AG59" s="6"/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/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39</v>
      </c>
      <c r="BK59" s="8">
        <v>3408.47</v>
      </c>
      <c r="BL59" s="2" t="s">
        <v>392</v>
      </c>
      <c r="BM59" s="7"/>
      <c r="BN59" s="7"/>
      <c r="BO59" s="4"/>
      <c r="BP59" s="8"/>
      <c r="BQ59" s="4"/>
      <c r="BR59" s="8"/>
      <c r="BS59" s="7"/>
      <c r="BT59" s="7"/>
      <c r="BU59" s="2" t="s">
        <v>171</v>
      </c>
      <c r="BV59" s="2" t="s">
        <v>97</v>
      </c>
      <c r="BW59" s="2" t="s">
        <v>100</v>
      </c>
      <c r="BX59" s="2" t="s">
        <v>100</v>
      </c>
      <c r="BY59" s="2" t="s">
        <v>112</v>
      </c>
      <c r="BZ59" s="2" t="s">
        <v>100</v>
      </c>
    </row>
    <row r="60">
      <c r="A60" s="2" t="s">
        <v>393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362</v>
      </c>
      <c r="G60" s="2" t="s">
        <v>363</v>
      </c>
      <c r="H60" s="2" t="s">
        <v>364</v>
      </c>
      <c r="I60" s="2" t="s">
        <v>94</v>
      </c>
      <c r="J60" s="2" t="s">
        <v>118</v>
      </c>
      <c r="K60" s="2" t="s">
        <v>386</v>
      </c>
      <c r="L60" s="3">
        <v>70.38</v>
      </c>
      <c r="M60" s="3">
        <v>73.9</v>
      </c>
      <c r="N60" s="3">
        <v>159.99</v>
      </c>
      <c r="O60" s="2" t="s">
        <v>97</v>
      </c>
      <c r="P60" s="2" t="s">
        <v>98</v>
      </c>
      <c r="Q60" s="2" t="s">
        <v>99</v>
      </c>
      <c r="R60" s="2" t="s">
        <v>100</v>
      </c>
      <c r="S60" s="2" t="s">
        <v>387</v>
      </c>
      <c r="T60" s="2" t="s">
        <v>100</v>
      </c>
      <c r="U60" s="2" t="s">
        <v>102</v>
      </c>
      <c r="V60" s="2" t="s">
        <v>367</v>
      </c>
      <c r="W60" s="2" t="s">
        <v>142</v>
      </c>
      <c r="X60" s="2" t="s">
        <v>377</v>
      </c>
      <c r="Y60" s="2" t="s">
        <v>388</v>
      </c>
      <c r="Z60" s="4">
        <v>228</v>
      </c>
      <c r="AA60" s="4">
        <f>=ROUNDDOWN(38,0)</f>
      </c>
      <c r="AB60" s="5">
        <v>6</v>
      </c>
      <c r="AC60" s="2" t="s">
        <v>100</v>
      </c>
      <c r="AD60" s="4"/>
      <c r="AE60" s="4"/>
      <c r="AF60" s="6">
        <v>66</v>
      </c>
      <c r="AG60" s="6"/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/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 t="s">
        <v>100</v>
      </c>
      <c r="BJ60" s="4">
        <v>26</v>
      </c>
      <c r="BK60" s="8">
        <v>2372.21</v>
      </c>
      <c r="BL60" s="2" t="s">
        <v>394</v>
      </c>
      <c r="BM60" s="7"/>
      <c r="BN60" s="7"/>
      <c r="BO60" s="4"/>
      <c r="BP60" s="8"/>
      <c r="BQ60" s="4"/>
      <c r="BR60" s="8"/>
      <c r="BS60" s="7"/>
      <c r="BT60" s="7"/>
      <c r="BU60" s="2" t="s">
        <v>171</v>
      </c>
      <c r="BV60" s="2" t="s">
        <v>97</v>
      </c>
      <c r="BW60" s="2" t="s">
        <v>100</v>
      </c>
      <c r="BX60" s="2" t="s">
        <v>100</v>
      </c>
      <c r="BY60" s="2" t="s">
        <v>112</v>
      </c>
      <c r="BZ60" s="2" t="s">
        <v>100</v>
      </c>
    </row>
    <row r="61">
      <c r="A61" s="2" t="s">
        <v>395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396</v>
      </c>
      <c r="G61" s="2" t="s">
        <v>397</v>
      </c>
      <c r="H61" s="2" t="s">
        <v>398</v>
      </c>
      <c r="I61" s="2" t="s">
        <v>399</v>
      </c>
      <c r="J61" s="2" t="s">
        <v>95</v>
      </c>
      <c r="K61" s="2" t="s">
        <v>179</v>
      </c>
      <c r="L61" s="3">
        <v>56.7</v>
      </c>
      <c r="M61" s="3">
        <v>59.54</v>
      </c>
      <c r="N61" s="3">
        <v>129.99</v>
      </c>
      <c r="O61" s="2" t="s">
        <v>97</v>
      </c>
      <c r="P61" s="2" t="s">
        <v>98</v>
      </c>
      <c r="Q61" s="2" t="s">
        <v>99</v>
      </c>
      <c r="R61" s="2" t="s">
        <v>100</v>
      </c>
      <c r="S61" s="2" t="s">
        <v>400</v>
      </c>
      <c r="T61" s="2" t="s">
        <v>100</v>
      </c>
      <c r="U61" s="2" t="s">
        <v>102</v>
      </c>
      <c r="V61" s="2" t="s">
        <v>401</v>
      </c>
      <c r="W61" s="2" t="s">
        <v>104</v>
      </c>
      <c r="X61" s="2" t="s">
        <v>105</v>
      </c>
      <c r="Y61" s="2" t="s">
        <v>402</v>
      </c>
      <c r="Z61" s="4">
        <v>240</v>
      </c>
      <c r="AA61" s="4">
        <f>=ROUNDDOWN(13.3333333333333,0)</f>
      </c>
      <c r="AB61" s="5">
        <v>18</v>
      </c>
      <c r="AC61" s="2" t="s">
        <v>307</v>
      </c>
      <c r="AD61" s="4">
        <v>60</v>
      </c>
      <c r="AE61" s="4">
        <v>320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1</v>
      </c>
      <c r="AQ61" s="8">
        <v>65.32</v>
      </c>
      <c r="AR61" s="4"/>
      <c r="AS61" s="8"/>
      <c r="AT61" s="7"/>
      <c r="AU61" s="7"/>
      <c r="AV61" s="4">
        <v>2</v>
      </c>
      <c r="AW61" s="8">
        <v>141.53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0.4615</v>
      </c>
      <c r="BC61" s="4">
        <v>2</v>
      </c>
      <c r="BD61" s="8">
        <v>141.53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>
        <v>1</v>
      </c>
      <c r="BJ61" s="4">
        <v>40</v>
      </c>
      <c r="BK61" s="8">
        <v>2728.72</v>
      </c>
      <c r="BL61" s="2" t="s">
        <v>403</v>
      </c>
      <c r="BM61" s="7">
        <v>0.025</v>
      </c>
      <c r="BN61" s="7">
        <v>0.0239</v>
      </c>
      <c r="BO61" s="4">
        <v>1</v>
      </c>
      <c r="BP61" s="8">
        <v>65.32</v>
      </c>
      <c r="BQ61" s="4"/>
      <c r="BR61" s="8"/>
      <c r="BS61" s="7"/>
      <c r="BT61" s="7"/>
      <c r="BU61" s="2" t="s">
        <v>109</v>
      </c>
      <c r="BV61" s="2" t="s">
        <v>97</v>
      </c>
      <c r="BW61" s="2" t="s">
        <v>404</v>
      </c>
      <c r="BX61" s="2" t="s">
        <v>405</v>
      </c>
      <c r="BY61" s="2" t="s">
        <v>112</v>
      </c>
      <c r="BZ61" s="2" t="s">
        <v>100</v>
      </c>
    </row>
    <row r="62">
      <c r="A62" s="2" t="s">
        <v>406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396</v>
      </c>
      <c r="G62" s="2" t="s">
        <v>397</v>
      </c>
      <c r="H62" s="2" t="s">
        <v>398</v>
      </c>
      <c r="I62" s="2" t="s">
        <v>399</v>
      </c>
      <c r="J62" s="2" t="s">
        <v>118</v>
      </c>
      <c r="K62" s="2" t="s">
        <v>179</v>
      </c>
      <c r="L62" s="3">
        <v>66.24</v>
      </c>
      <c r="M62" s="3">
        <v>69.55</v>
      </c>
      <c r="N62" s="3">
        <v>149.99</v>
      </c>
      <c r="O62" s="2" t="s">
        <v>97</v>
      </c>
      <c r="P62" s="2" t="s">
        <v>98</v>
      </c>
      <c r="Q62" s="2" t="s">
        <v>99</v>
      </c>
      <c r="R62" s="2" t="s">
        <v>100</v>
      </c>
      <c r="S62" s="2" t="s">
        <v>400</v>
      </c>
      <c r="T62" s="2" t="s">
        <v>100</v>
      </c>
      <c r="U62" s="2" t="s">
        <v>102</v>
      </c>
      <c r="V62" s="2" t="s">
        <v>401</v>
      </c>
      <c r="W62" s="2" t="s">
        <v>104</v>
      </c>
      <c r="X62" s="2" t="s">
        <v>105</v>
      </c>
      <c r="Y62" s="2" t="s">
        <v>402</v>
      </c>
      <c r="Z62" s="4">
        <v>97</v>
      </c>
      <c r="AA62" s="4">
        <f>=ROUNDDOWN(13.8571428571429,0)</f>
      </c>
      <c r="AB62" s="5">
        <v>7</v>
      </c>
      <c r="AC62" s="2" t="s">
        <v>206</v>
      </c>
      <c r="AD62" s="4">
        <v>50</v>
      </c>
      <c r="AE62" s="4">
        <v>100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1</v>
      </c>
      <c r="AQ62" s="8">
        <v>76.21</v>
      </c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0.5385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20</v>
      </c>
      <c r="BK62" s="8">
        <v>1505.28</v>
      </c>
      <c r="BL62" s="2" t="s">
        <v>407</v>
      </c>
      <c r="BM62" s="7">
        <v>0.05</v>
      </c>
      <c r="BN62" s="7">
        <v>0.0506</v>
      </c>
      <c r="BO62" s="4">
        <v>1</v>
      </c>
      <c r="BP62" s="8">
        <v>76.21</v>
      </c>
      <c r="BQ62" s="4"/>
      <c r="BR62" s="8"/>
      <c r="BS62" s="7"/>
      <c r="BT62" s="7"/>
      <c r="BU62" s="2" t="s">
        <v>109</v>
      </c>
      <c r="BV62" s="2" t="s">
        <v>97</v>
      </c>
      <c r="BW62" s="2" t="s">
        <v>404</v>
      </c>
      <c r="BX62" s="2" t="s">
        <v>408</v>
      </c>
      <c r="BY62" s="2" t="s">
        <v>112</v>
      </c>
      <c r="BZ62" s="2" t="s">
        <v>100</v>
      </c>
    </row>
    <row r="63">
      <c r="A63" s="2" t="s">
        <v>409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410</v>
      </c>
      <c r="G63" s="2" t="s">
        <v>411</v>
      </c>
      <c r="H63" s="2" t="s">
        <v>412</v>
      </c>
      <c r="I63" s="2" t="s">
        <v>413</v>
      </c>
      <c r="J63" s="2" t="s">
        <v>118</v>
      </c>
      <c r="K63" s="2" t="s">
        <v>236</v>
      </c>
      <c r="L63" s="3">
        <v>71.53</v>
      </c>
      <c r="M63" s="3">
        <v>75.11</v>
      </c>
      <c r="N63" s="3">
        <v>149.99</v>
      </c>
      <c r="O63" s="2" t="s">
        <v>97</v>
      </c>
      <c r="P63" s="2" t="s">
        <v>139</v>
      </c>
      <c r="Q63" s="2" t="s">
        <v>99</v>
      </c>
      <c r="R63" s="2" t="s">
        <v>100</v>
      </c>
      <c r="S63" s="2" t="s">
        <v>414</v>
      </c>
      <c r="T63" s="2" t="s">
        <v>100</v>
      </c>
      <c r="U63" s="2" t="s">
        <v>102</v>
      </c>
      <c r="V63" s="2" t="s">
        <v>141</v>
      </c>
      <c r="W63" s="2" t="s">
        <v>142</v>
      </c>
      <c r="X63" s="2" t="s">
        <v>143</v>
      </c>
      <c r="Y63" s="2" t="s">
        <v>144</v>
      </c>
      <c r="Z63" s="4">
        <v>169</v>
      </c>
      <c r="AA63" s="4">
        <f>=ROUNDDOWN(13,0)</f>
      </c>
      <c r="AB63" s="5">
        <v>13</v>
      </c>
      <c r="AC63" s="2" t="s">
        <v>130</v>
      </c>
      <c r="AD63" s="4">
        <v>30</v>
      </c>
      <c r="AE63" s="4">
        <v>280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1</v>
      </c>
      <c r="AQ63" s="8">
        <v>76.21</v>
      </c>
      <c r="AR63" s="4"/>
      <c r="AS63" s="8"/>
      <c r="AT63" s="7"/>
      <c r="AU63" s="7"/>
      <c r="AV63" s="4">
        <v>1</v>
      </c>
      <c r="AW63" s="8">
        <v>76.21</v>
      </c>
      <c r="AX63" s="4"/>
      <c r="AY63" s="8"/>
      <c r="AZ63" s="7"/>
      <c r="BA63" s="7"/>
      <c r="BB63" s="7">
        <v>1</v>
      </c>
      <c r="BC63" s="4">
        <v>2</v>
      </c>
      <c r="BD63" s="8">
        <v>141.53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>
        <v>0.5385</v>
      </c>
      <c r="BJ63" s="4">
        <v>31</v>
      </c>
      <c r="BK63" s="8">
        <v>2641.05</v>
      </c>
      <c r="BL63" s="2" t="s">
        <v>415</v>
      </c>
      <c r="BM63" s="7">
        <v>0.0323</v>
      </c>
      <c r="BN63" s="7">
        <v>0.0289</v>
      </c>
      <c r="BO63" s="4">
        <v>1</v>
      </c>
      <c r="BP63" s="8">
        <v>76.21</v>
      </c>
      <c r="BQ63" s="4"/>
      <c r="BR63" s="8"/>
      <c r="BS63" s="7"/>
      <c r="BT63" s="7"/>
      <c r="BU63" s="2" t="s">
        <v>109</v>
      </c>
      <c r="BV63" s="2" t="s">
        <v>97</v>
      </c>
      <c r="BW63" s="2" t="s">
        <v>416</v>
      </c>
      <c r="BX63" s="2" t="s">
        <v>417</v>
      </c>
      <c r="BY63" s="2" t="s">
        <v>112</v>
      </c>
      <c r="BZ63" s="2" t="s">
        <v>100</v>
      </c>
    </row>
    <row r="64">
      <c r="A64" s="2" t="s">
        <v>418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410</v>
      </c>
      <c r="G64" s="2" t="s">
        <v>411</v>
      </c>
      <c r="H64" s="2" t="s">
        <v>412</v>
      </c>
      <c r="I64" s="2" t="s">
        <v>413</v>
      </c>
      <c r="J64" s="2" t="s">
        <v>95</v>
      </c>
      <c r="K64" s="2" t="s">
        <v>386</v>
      </c>
      <c r="L64" s="3">
        <v>62.6</v>
      </c>
      <c r="M64" s="3">
        <v>65.73</v>
      </c>
      <c r="N64" s="3">
        <v>129.99</v>
      </c>
      <c r="O64" s="2" t="s">
        <v>97</v>
      </c>
      <c r="P64" s="2" t="s">
        <v>139</v>
      </c>
      <c r="Q64" s="2" t="s">
        <v>99</v>
      </c>
      <c r="R64" s="2" t="s">
        <v>100</v>
      </c>
      <c r="S64" s="2" t="s">
        <v>419</v>
      </c>
      <c r="T64" s="2" t="s">
        <v>100</v>
      </c>
      <c r="U64" s="2" t="s">
        <v>102</v>
      </c>
      <c r="V64" s="2" t="s">
        <v>141</v>
      </c>
      <c r="W64" s="2" t="s">
        <v>142</v>
      </c>
      <c r="X64" s="2" t="s">
        <v>143</v>
      </c>
      <c r="Y64" s="2" t="s">
        <v>144</v>
      </c>
      <c r="Z64" s="4">
        <v>413</v>
      </c>
      <c r="AA64" s="4">
        <f>=ROUNDDOWN(14.75,0)</f>
      </c>
      <c r="AB64" s="5">
        <v>28</v>
      </c>
      <c r="AC64" s="2" t="s">
        <v>107</v>
      </c>
      <c r="AD64" s="4">
        <v>150</v>
      </c>
      <c r="AE64" s="4">
        <v>690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1</v>
      </c>
      <c r="AQ64" s="8">
        <v>65.32</v>
      </c>
      <c r="AR64" s="4"/>
      <c r="AS64" s="8"/>
      <c r="AT64" s="7"/>
      <c r="AU64" s="7"/>
      <c r="AV64" s="4">
        <v>1</v>
      </c>
      <c r="AW64" s="8">
        <v>65.32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1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>
        <v>0.4615</v>
      </c>
      <c r="BJ64" s="4">
        <v>65</v>
      </c>
      <c r="BK64" s="8">
        <v>4552.36</v>
      </c>
      <c r="BL64" s="2" t="s">
        <v>420</v>
      </c>
      <c r="BM64" s="7">
        <v>0.0154</v>
      </c>
      <c r="BN64" s="7">
        <v>0.0143</v>
      </c>
      <c r="BO64" s="4">
        <v>1</v>
      </c>
      <c r="BP64" s="8">
        <v>65.32</v>
      </c>
      <c r="BQ64" s="4"/>
      <c r="BR64" s="8"/>
      <c r="BS64" s="7"/>
      <c r="BT64" s="7"/>
      <c r="BU64" s="2" t="s">
        <v>109</v>
      </c>
      <c r="BV64" s="2" t="s">
        <v>97</v>
      </c>
      <c r="BW64" s="2" t="s">
        <v>159</v>
      </c>
      <c r="BX64" s="2" t="s">
        <v>358</v>
      </c>
      <c r="BY64" s="2" t="s">
        <v>112</v>
      </c>
      <c r="BZ64" s="2" t="s">
        <v>100</v>
      </c>
    </row>
    <row r="65">
      <c r="A65" s="2" t="s">
        <v>421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410</v>
      </c>
      <c r="G65" s="2" t="s">
        <v>411</v>
      </c>
      <c r="H65" s="2" t="s">
        <v>412</v>
      </c>
      <c r="I65" s="2" t="s">
        <v>413</v>
      </c>
      <c r="J65" s="2" t="s">
        <v>114</v>
      </c>
      <c r="K65" s="2" t="s">
        <v>386</v>
      </c>
      <c r="L65" s="3">
        <v>71.53</v>
      </c>
      <c r="M65" s="3">
        <v>75.11</v>
      </c>
      <c r="N65" s="3">
        <v>149.99</v>
      </c>
      <c r="O65" s="2" t="s">
        <v>97</v>
      </c>
      <c r="P65" s="2" t="s">
        <v>139</v>
      </c>
      <c r="Q65" s="2" t="s">
        <v>99</v>
      </c>
      <c r="R65" s="2" t="s">
        <v>100</v>
      </c>
      <c r="S65" s="2" t="s">
        <v>419</v>
      </c>
      <c r="T65" s="2" t="s">
        <v>100</v>
      </c>
      <c r="U65" s="2" t="s">
        <v>102</v>
      </c>
      <c r="V65" s="2" t="s">
        <v>141</v>
      </c>
      <c r="W65" s="2" t="s">
        <v>142</v>
      </c>
      <c r="X65" s="2" t="s">
        <v>143</v>
      </c>
      <c r="Y65" s="2" t="s">
        <v>144</v>
      </c>
      <c r="Z65" s="4">
        <v>203</v>
      </c>
      <c r="AA65" s="4">
        <f>=ROUNDDOWN(11.2777777777778,0)</f>
      </c>
      <c r="AB65" s="5">
        <v>18</v>
      </c>
      <c r="AC65" s="2" t="s">
        <v>107</v>
      </c>
      <c r="AD65" s="4">
        <v>160</v>
      </c>
      <c r="AE65" s="4">
        <v>510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/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 t="s">
        <v>100</v>
      </c>
      <c r="BJ65" s="4">
        <v>56</v>
      </c>
      <c r="BK65" s="8">
        <v>4520.51</v>
      </c>
      <c r="BL65" s="2" t="s">
        <v>422</v>
      </c>
      <c r="BM65" s="7"/>
      <c r="BN65" s="7"/>
      <c r="BO65" s="4"/>
      <c r="BP65" s="8"/>
      <c r="BQ65" s="4"/>
      <c r="BR65" s="8"/>
      <c r="BS65" s="7"/>
      <c r="BT65" s="7"/>
      <c r="BU65" s="2" t="s">
        <v>109</v>
      </c>
      <c r="BV65" s="2" t="s">
        <v>97</v>
      </c>
      <c r="BW65" s="2" t="s">
        <v>159</v>
      </c>
      <c r="BX65" s="2" t="s">
        <v>358</v>
      </c>
      <c r="BY65" s="2" t="s">
        <v>112</v>
      </c>
      <c r="BZ65" s="2" t="s">
        <v>100</v>
      </c>
    </row>
    <row r="66">
      <c r="A66" s="2" t="s">
        <v>423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410</v>
      </c>
      <c r="G66" s="2" t="s">
        <v>411</v>
      </c>
      <c r="H66" s="2" t="s">
        <v>412</v>
      </c>
      <c r="I66" s="2" t="s">
        <v>413</v>
      </c>
      <c r="J66" s="2" t="s">
        <v>114</v>
      </c>
      <c r="K66" s="2" t="s">
        <v>165</v>
      </c>
      <c r="L66" s="3">
        <v>71.53</v>
      </c>
      <c r="M66" s="3">
        <v>75.11</v>
      </c>
      <c r="N66" s="3">
        <v>149.99</v>
      </c>
      <c r="O66" s="2" t="s">
        <v>97</v>
      </c>
      <c r="P66" s="2" t="s">
        <v>139</v>
      </c>
      <c r="Q66" s="2" t="s">
        <v>99</v>
      </c>
      <c r="R66" s="2" t="s">
        <v>100</v>
      </c>
      <c r="S66" s="2" t="s">
        <v>424</v>
      </c>
      <c r="T66" s="2" t="s">
        <v>100</v>
      </c>
      <c r="U66" s="2" t="s">
        <v>102</v>
      </c>
      <c r="V66" s="2" t="s">
        <v>141</v>
      </c>
      <c r="W66" s="2" t="s">
        <v>142</v>
      </c>
      <c r="X66" s="2" t="s">
        <v>143</v>
      </c>
      <c r="Y66" s="2" t="s">
        <v>144</v>
      </c>
      <c r="Z66" s="4">
        <v>400</v>
      </c>
      <c r="AA66" s="4">
        <f>=ROUNDDOWN(14.8148148148148,0)</f>
      </c>
      <c r="AB66" s="5">
        <v>27</v>
      </c>
      <c r="AC66" s="2" t="s">
        <v>107</v>
      </c>
      <c r="AD66" s="4">
        <v>80</v>
      </c>
      <c r="AE66" s="4">
        <v>430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/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78</v>
      </c>
      <c r="BK66" s="8">
        <v>6131.73</v>
      </c>
      <c r="BL66" s="2" t="s">
        <v>425</v>
      </c>
      <c r="BM66" s="7"/>
      <c r="BN66" s="7"/>
      <c r="BO66" s="4"/>
      <c r="BP66" s="8"/>
      <c r="BQ66" s="4"/>
      <c r="BR66" s="8"/>
      <c r="BS66" s="7"/>
      <c r="BT66" s="7"/>
      <c r="BU66" s="2" t="s">
        <v>109</v>
      </c>
      <c r="BV66" s="2" t="s">
        <v>97</v>
      </c>
      <c r="BW66" s="2" t="s">
        <v>159</v>
      </c>
      <c r="BX66" s="2" t="s">
        <v>426</v>
      </c>
      <c r="BY66" s="2" t="s">
        <v>112</v>
      </c>
      <c r="BZ66" s="2" t="s">
        <v>100</v>
      </c>
    </row>
    <row r="67">
      <c r="A67" s="2" t="s">
        <v>427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410</v>
      </c>
      <c r="G67" s="2" t="s">
        <v>411</v>
      </c>
      <c r="H67" s="2" t="s">
        <v>412</v>
      </c>
      <c r="I67" s="2" t="s">
        <v>413</v>
      </c>
      <c r="J67" s="2" t="s">
        <v>118</v>
      </c>
      <c r="K67" s="2" t="s">
        <v>165</v>
      </c>
      <c r="L67" s="3">
        <v>71.53</v>
      </c>
      <c r="M67" s="3">
        <v>75.11</v>
      </c>
      <c r="N67" s="3">
        <v>149.99</v>
      </c>
      <c r="O67" s="2" t="s">
        <v>97</v>
      </c>
      <c r="P67" s="2" t="s">
        <v>139</v>
      </c>
      <c r="Q67" s="2" t="s">
        <v>99</v>
      </c>
      <c r="R67" s="2" t="s">
        <v>100</v>
      </c>
      <c r="S67" s="2" t="s">
        <v>424</v>
      </c>
      <c r="T67" s="2" t="s">
        <v>100</v>
      </c>
      <c r="U67" s="2" t="s">
        <v>102</v>
      </c>
      <c r="V67" s="2" t="s">
        <v>141</v>
      </c>
      <c r="W67" s="2" t="s">
        <v>142</v>
      </c>
      <c r="X67" s="2" t="s">
        <v>143</v>
      </c>
      <c r="Y67" s="2" t="s">
        <v>144</v>
      </c>
      <c r="Z67" s="4">
        <v>157</v>
      </c>
      <c r="AA67" s="4">
        <f>=ROUNDDOWN(8.26315789473684,0)</f>
      </c>
      <c r="AB67" s="5">
        <v>19</v>
      </c>
      <c r="AC67" s="2" t="s">
        <v>107</v>
      </c>
      <c r="AD67" s="4">
        <v>60</v>
      </c>
      <c r="AE67" s="4">
        <v>310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/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54</v>
      </c>
      <c r="BK67" s="8">
        <v>4547.38</v>
      </c>
      <c r="BL67" s="2" t="s">
        <v>428</v>
      </c>
      <c r="BM67" s="7"/>
      <c r="BN67" s="7"/>
      <c r="BO67" s="4"/>
      <c r="BP67" s="8"/>
      <c r="BQ67" s="4"/>
      <c r="BR67" s="8"/>
      <c r="BS67" s="7"/>
      <c r="BT67" s="7"/>
      <c r="BU67" s="2" t="s">
        <v>109</v>
      </c>
      <c r="BV67" s="2" t="s">
        <v>97</v>
      </c>
      <c r="BW67" s="2" t="s">
        <v>159</v>
      </c>
      <c r="BX67" s="2" t="s">
        <v>160</v>
      </c>
      <c r="BY67" s="2" t="s">
        <v>112</v>
      </c>
      <c r="BZ67" s="2" t="s">
        <v>100</v>
      </c>
    </row>
    <row r="68">
      <c r="A68" s="2" t="s">
        <v>429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410</v>
      </c>
      <c r="G68" s="2" t="s">
        <v>411</v>
      </c>
      <c r="H68" s="2" t="s">
        <v>412</v>
      </c>
      <c r="I68" s="2" t="s">
        <v>413</v>
      </c>
      <c r="J68" s="2" t="s">
        <v>95</v>
      </c>
      <c r="K68" s="2" t="s">
        <v>179</v>
      </c>
      <c r="L68" s="3">
        <v>62.6</v>
      </c>
      <c r="M68" s="3">
        <v>65.73</v>
      </c>
      <c r="N68" s="3">
        <v>129.99</v>
      </c>
      <c r="O68" s="2" t="s">
        <v>97</v>
      </c>
      <c r="P68" s="2" t="s">
        <v>139</v>
      </c>
      <c r="Q68" s="2" t="s">
        <v>99</v>
      </c>
      <c r="R68" s="2" t="s">
        <v>100</v>
      </c>
      <c r="S68" s="2" t="s">
        <v>430</v>
      </c>
      <c r="T68" s="2" t="s">
        <v>100</v>
      </c>
      <c r="U68" s="2" t="s">
        <v>102</v>
      </c>
      <c r="V68" s="2" t="s">
        <v>141</v>
      </c>
      <c r="W68" s="2" t="s">
        <v>142</v>
      </c>
      <c r="X68" s="2" t="s">
        <v>143</v>
      </c>
      <c r="Y68" s="2" t="s">
        <v>144</v>
      </c>
      <c r="Z68" s="4">
        <v>379</v>
      </c>
      <c r="AA68" s="4">
        <f>=ROUNDDOWN(10.5277777777778,0)</f>
      </c>
      <c r="AB68" s="5">
        <v>36</v>
      </c>
      <c r="AC68" s="2" t="s">
        <v>307</v>
      </c>
      <c r="AD68" s="4">
        <v>40</v>
      </c>
      <c r="AE68" s="4">
        <v>820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100</v>
      </c>
      <c r="AW68" s="8" t="s">
        <v>100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/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 t="s">
        <v>100</v>
      </c>
      <c r="BJ68" s="4">
        <v>92</v>
      </c>
      <c r="BK68" s="8">
        <v>6665.17</v>
      </c>
      <c r="BL68" s="2" t="s">
        <v>431</v>
      </c>
      <c r="BM68" s="7"/>
      <c r="BN68" s="7"/>
      <c r="BO68" s="4"/>
      <c r="BP68" s="8"/>
      <c r="BQ68" s="4"/>
      <c r="BR68" s="8"/>
      <c r="BS68" s="7"/>
      <c r="BT68" s="7"/>
      <c r="BU68" s="2" t="s">
        <v>109</v>
      </c>
      <c r="BV68" s="2" t="s">
        <v>97</v>
      </c>
      <c r="BW68" s="2" t="s">
        <v>416</v>
      </c>
      <c r="BX68" s="2" t="s">
        <v>432</v>
      </c>
      <c r="BY68" s="2" t="s">
        <v>112</v>
      </c>
      <c r="BZ68" s="2" t="s">
        <v>149</v>
      </c>
    </row>
    <row r="69">
      <c r="A69" s="2" t="s">
        <v>433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410</v>
      </c>
      <c r="G69" s="2" t="s">
        <v>411</v>
      </c>
      <c r="H69" s="2" t="s">
        <v>412</v>
      </c>
      <c r="I69" s="2" t="s">
        <v>413</v>
      </c>
      <c r="J69" s="2" t="s">
        <v>118</v>
      </c>
      <c r="K69" s="2" t="s">
        <v>179</v>
      </c>
      <c r="L69" s="3">
        <v>71.53</v>
      </c>
      <c r="M69" s="3">
        <v>75.11</v>
      </c>
      <c r="N69" s="3">
        <v>149.99</v>
      </c>
      <c r="O69" s="2" t="s">
        <v>97</v>
      </c>
      <c r="P69" s="2" t="s">
        <v>139</v>
      </c>
      <c r="Q69" s="2" t="s">
        <v>99</v>
      </c>
      <c r="R69" s="2" t="s">
        <v>100</v>
      </c>
      <c r="S69" s="2" t="s">
        <v>430</v>
      </c>
      <c r="T69" s="2" t="s">
        <v>100</v>
      </c>
      <c r="U69" s="2" t="s">
        <v>102</v>
      </c>
      <c r="V69" s="2" t="s">
        <v>141</v>
      </c>
      <c r="W69" s="2" t="s">
        <v>142</v>
      </c>
      <c r="X69" s="2" t="s">
        <v>143</v>
      </c>
      <c r="Y69" s="2" t="s">
        <v>144</v>
      </c>
      <c r="Z69" s="4">
        <v>80</v>
      </c>
      <c r="AA69" s="4">
        <f>=ROUNDDOWN(6.66666666666667,0)</f>
      </c>
      <c r="AB69" s="5">
        <v>12</v>
      </c>
      <c r="AC69" s="2" t="s">
        <v>307</v>
      </c>
      <c r="AD69" s="4">
        <v>40</v>
      </c>
      <c r="AE69" s="4">
        <v>270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/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39</v>
      </c>
      <c r="BK69" s="8">
        <v>3429.67</v>
      </c>
      <c r="BL69" s="2" t="s">
        <v>434</v>
      </c>
      <c r="BM69" s="7"/>
      <c r="BN69" s="7"/>
      <c r="BO69" s="4"/>
      <c r="BP69" s="8"/>
      <c r="BQ69" s="4"/>
      <c r="BR69" s="8"/>
      <c r="BS69" s="7"/>
      <c r="BT69" s="7"/>
      <c r="BU69" s="2" t="s">
        <v>109</v>
      </c>
      <c r="BV69" s="2" t="s">
        <v>97</v>
      </c>
      <c r="BW69" s="2" t="s">
        <v>416</v>
      </c>
      <c r="BX69" s="2" t="s">
        <v>435</v>
      </c>
      <c r="BY69" s="2" t="s">
        <v>112</v>
      </c>
      <c r="BZ69" s="2" t="s">
        <v>149</v>
      </c>
    </row>
    <row r="70">
      <c r="A70" s="2" t="s">
        <v>436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410</v>
      </c>
      <c r="G70" s="2" t="s">
        <v>411</v>
      </c>
      <c r="H70" s="2" t="s">
        <v>412</v>
      </c>
      <c r="I70" s="2" t="s">
        <v>413</v>
      </c>
      <c r="J70" s="2" t="s">
        <v>95</v>
      </c>
      <c r="K70" s="2" t="s">
        <v>256</v>
      </c>
      <c r="L70" s="3">
        <v>62.6</v>
      </c>
      <c r="M70" s="3">
        <v>65.73</v>
      </c>
      <c r="N70" s="3">
        <v>129.99</v>
      </c>
      <c r="O70" s="2" t="s">
        <v>97</v>
      </c>
      <c r="P70" s="2" t="s">
        <v>123</v>
      </c>
      <c r="Q70" s="2" t="s">
        <v>99</v>
      </c>
      <c r="R70" s="2" t="s">
        <v>100</v>
      </c>
      <c r="S70" s="2" t="s">
        <v>437</v>
      </c>
      <c r="T70" s="2" t="s">
        <v>438</v>
      </c>
      <c r="U70" s="2" t="s">
        <v>102</v>
      </c>
      <c r="V70" s="2" t="s">
        <v>141</v>
      </c>
      <c r="W70" s="2" t="s">
        <v>142</v>
      </c>
      <c r="X70" s="2" t="s">
        <v>271</v>
      </c>
      <c r="Y70" s="2" t="s">
        <v>439</v>
      </c>
      <c r="Z70" s="4">
        <v>538</v>
      </c>
      <c r="AA70" s="4">
        <f>=ROUNDDOWN(17.3548387096774,0)</f>
      </c>
      <c r="AB70" s="5">
        <v>31</v>
      </c>
      <c r="AC70" s="2" t="s">
        <v>107</v>
      </c>
      <c r="AD70" s="4">
        <v>80</v>
      </c>
      <c r="AE70" s="4">
        <v>700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/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76</v>
      </c>
      <c r="BK70" s="8">
        <v>5531.48</v>
      </c>
      <c r="BL70" s="2" t="s">
        <v>440</v>
      </c>
      <c r="BM70" s="7"/>
      <c r="BN70" s="7"/>
      <c r="BO70" s="4"/>
      <c r="BP70" s="8"/>
      <c r="BQ70" s="4"/>
      <c r="BR70" s="8"/>
      <c r="BS70" s="7"/>
      <c r="BT70" s="7"/>
      <c r="BU70" s="2" t="s">
        <v>171</v>
      </c>
      <c r="BV70" s="2" t="s">
        <v>97</v>
      </c>
      <c r="BW70" s="2" t="s">
        <v>100</v>
      </c>
      <c r="BX70" s="2" t="s">
        <v>100</v>
      </c>
      <c r="BY70" s="2" t="s">
        <v>112</v>
      </c>
      <c r="BZ70" s="2" t="s">
        <v>149</v>
      </c>
    </row>
    <row r="71">
      <c r="A71" s="2" t="s">
        <v>441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410</v>
      </c>
      <c r="G71" s="2" t="s">
        <v>411</v>
      </c>
      <c r="H71" s="2" t="s">
        <v>412</v>
      </c>
      <c r="I71" s="2" t="s">
        <v>413</v>
      </c>
      <c r="J71" s="2" t="s">
        <v>114</v>
      </c>
      <c r="K71" s="2" t="s">
        <v>256</v>
      </c>
      <c r="L71" s="3">
        <v>71.53</v>
      </c>
      <c r="M71" s="3">
        <v>75.11</v>
      </c>
      <c r="N71" s="3">
        <v>149.99</v>
      </c>
      <c r="O71" s="2" t="s">
        <v>97</v>
      </c>
      <c r="P71" s="2" t="s">
        <v>123</v>
      </c>
      <c r="Q71" s="2" t="s">
        <v>99</v>
      </c>
      <c r="R71" s="2" t="s">
        <v>100</v>
      </c>
      <c r="S71" s="2" t="s">
        <v>437</v>
      </c>
      <c r="T71" s="2" t="s">
        <v>438</v>
      </c>
      <c r="U71" s="2" t="s">
        <v>102</v>
      </c>
      <c r="V71" s="2" t="s">
        <v>141</v>
      </c>
      <c r="W71" s="2" t="s">
        <v>142</v>
      </c>
      <c r="X71" s="2" t="s">
        <v>271</v>
      </c>
      <c r="Y71" s="2" t="s">
        <v>439</v>
      </c>
      <c r="Z71" s="4">
        <v>477</v>
      </c>
      <c r="AA71" s="4">
        <f>=ROUNDDOWN(25.1052631578947,0)</f>
      </c>
      <c r="AB71" s="5">
        <v>19</v>
      </c>
      <c r="AC71" s="2" t="s">
        <v>107</v>
      </c>
      <c r="AD71" s="4">
        <v>50</v>
      </c>
      <c r="AE71" s="4">
        <v>450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/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50</v>
      </c>
      <c r="BK71" s="8">
        <v>4146.19</v>
      </c>
      <c r="BL71" s="2" t="s">
        <v>442</v>
      </c>
      <c r="BM71" s="7"/>
      <c r="BN71" s="7"/>
      <c r="BO71" s="4"/>
      <c r="BP71" s="8"/>
      <c r="BQ71" s="4"/>
      <c r="BR71" s="8"/>
      <c r="BS71" s="7"/>
      <c r="BT71" s="7"/>
      <c r="BU71" s="2" t="s">
        <v>171</v>
      </c>
      <c r="BV71" s="2" t="s">
        <v>97</v>
      </c>
      <c r="BW71" s="2" t="s">
        <v>100</v>
      </c>
      <c r="BX71" s="2" t="s">
        <v>100</v>
      </c>
      <c r="BY71" s="2" t="s">
        <v>112</v>
      </c>
      <c r="BZ71" s="2" t="s">
        <v>100</v>
      </c>
    </row>
    <row r="72">
      <c r="A72" s="2" t="s">
        <v>443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410</v>
      </c>
      <c r="G72" s="2" t="s">
        <v>411</v>
      </c>
      <c r="H72" s="2" t="s">
        <v>412</v>
      </c>
      <c r="I72" s="2" t="s">
        <v>413</v>
      </c>
      <c r="J72" s="2" t="s">
        <v>118</v>
      </c>
      <c r="K72" s="2" t="s">
        <v>256</v>
      </c>
      <c r="L72" s="3">
        <v>71.53</v>
      </c>
      <c r="M72" s="3">
        <v>75.11</v>
      </c>
      <c r="N72" s="3">
        <v>149.99</v>
      </c>
      <c r="O72" s="2" t="s">
        <v>97</v>
      </c>
      <c r="P72" s="2" t="s">
        <v>123</v>
      </c>
      <c r="Q72" s="2" t="s">
        <v>99</v>
      </c>
      <c r="R72" s="2" t="s">
        <v>100</v>
      </c>
      <c r="S72" s="2" t="s">
        <v>437</v>
      </c>
      <c r="T72" s="2" t="s">
        <v>438</v>
      </c>
      <c r="U72" s="2" t="s">
        <v>102</v>
      </c>
      <c r="V72" s="2" t="s">
        <v>141</v>
      </c>
      <c r="W72" s="2" t="s">
        <v>142</v>
      </c>
      <c r="X72" s="2" t="s">
        <v>271</v>
      </c>
      <c r="Y72" s="2" t="s">
        <v>439</v>
      </c>
      <c r="Z72" s="4">
        <v>272</v>
      </c>
      <c r="AA72" s="4">
        <f>=ROUNDDOWN(27.2,0)</f>
      </c>
      <c r="AB72" s="5">
        <v>10</v>
      </c>
      <c r="AC72" s="2" t="s">
        <v>107</v>
      </c>
      <c r="AD72" s="4">
        <v>50</v>
      </c>
      <c r="AE72" s="4">
        <v>230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/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25</v>
      </c>
      <c r="BK72" s="8">
        <v>2093.08</v>
      </c>
      <c r="BL72" s="2" t="s">
        <v>444</v>
      </c>
      <c r="BM72" s="7"/>
      <c r="BN72" s="7"/>
      <c r="BO72" s="4"/>
      <c r="BP72" s="8"/>
      <c r="BQ72" s="4"/>
      <c r="BR72" s="8"/>
      <c r="BS72" s="7"/>
      <c r="BT72" s="7"/>
      <c r="BU72" s="2" t="s">
        <v>171</v>
      </c>
      <c r="BV72" s="2" t="s">
        <v>97</v>
      </c>
      <c r="BW72" s="2" t="s">
        <v>100</v>
      </c>
      <c r="BX72" s="2" t="s">
        <v>100</v>
      </c>
      <c r="BY72" s="2" t="s">
        <v>112</v>
      </c>
      <c r="BZ72" s="2" t="s">
        <v>100</v>
      </c>
    </row>
    <row r="73">
      <c r="A73" s="2" t="s">
        <v>445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410</v>
      </c>
      <c r="G73" s="2" t="s">
        <v>411</v>
      </c>
      <c r="H73" s="2" t="s">
        <v>412</v>
      </c>
      <c r="I73" s="2" t="s">
        <v>413</v>
      </c>
      <c r="J73" s="2" t="s">
        <v>114</v>
      </c>
      <c r="K73" s="2" t="s">
        <v>446</v>
      </c>
      <c r="L73" s="3">
        <v>71.53</v>
      </c>
      <c r="M73" s="3">
        <v>75.11</v>
      </c>
      <c r="N73" s="3">
        <v>149.99</v>
      </c>
      <c r="O73" s="2" t="s">
        <v>97</v>
      </c>
      <c r="P73" s="2" t="s">
        <v>317</v>
      </c>
      <c r="Q73" s="2" t="s">
        <v>99</v>
      </c>
      <c r="R73" s="2" t="s">
        <v>100</v>
      </c>
      <c r="S73" s="2" t="s">
        <v>447</v>
      </c>
      <c r="T73" s="2" t="s">
        <v>100</v>
      </c>
      <c r="U73" s="2" t="s">
        <v>102</v>
      </c>
      <c r="V73" s="2" t="s">
        <v>141</v>
      </c>
      <c r="W73" s="2" t="s">
        <v>142</v>
      </c>
      <c r="X73" s="2" t="s">
        <v>143</v>
      </c>
      <c r="Y73" s="2" t="s">
        <v>144</v>
      </c>
      <c r="Z73" s="4">
        <v>579</v>
      </c>
      <c r="AA73" s="4">
        <f>=ROUNDDOWN(13.7857142857143,0)</f>
      </c>
      <c r="AB73" s="5">
        <v>42</v>
      </c>
      <c r="AC73" s="2" t="s">
        <v>307</v>
      </c>
      <c r="AD73" s="4">
        <v>50</v>
      </c>
      <c r="AE73" s="4">
        <v>680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/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100</v>
      </c>
      <c r="BK73" s="8">
        <v>7910.9</v>
      </c>
      <c r="BL73" s="2" t="s">
        <v>448</v>
      </c>
      <c r="BM73" s="7"/>
      <c r="BN73" s="7"/>
      <c r="BO73" s="4"/>
      <c r="BP73" s="8"/>
      <c r="BQ73" s="4"/>
      <c r="BR73" s="8"/>
      <c r="BS73" s="7"/>
      <c r="BT73" s="7"/>
      <c r="BU73" s="2" t="s">
        <v>109</v>
      </c>
      <c r="BV73" s="2" t="s">
        <v>97</v>
      </c>
      <c r="BW73" s="2" t="s">
        <v>159</v>
      </c>
      <c r="BX73" s="2" t="s">
        <v>449</v>
      </c>
      <c r="BY73" s="2" t="s">
        <v>112</v>
      </c>
      <c r="BZ73" s="2" t="s">
        <v>100</v>
      </c>
    </row>
    <row r="74">
      <c r="A74" s="2" t="s">
        <v>450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410</v>
      </c>
      <c r="G74" s="2" t="s">
        <v>411</v>
      </c>
      <c r="H74" s="2" t="s">
        <v>412</v>
      </c>
      <c r="I74" s="2" t="s">
        <v>413</v>
      </c>
      <c r="J74" s="2" t="s">
        <v>118</v>
      </c>
      <c r="K74" s="2" t="s">
        <v>446</v>
      </c>
      <c r="L74" s="3">
        <v>71.53</v>
      </c>
      <c r="M74" s="3">
        <v>75.11</v>
      </c>
      <c r="N74" s="3">
        <v>149.99</v>
      </c>
      <c r="O74" s="2" t="s">
        <v>97</v>
      </c>
      <c r="P74" s="2" t="s">
        <v>317</v>
      </c>
      <c r="Q74" s="2" t="s">
        <v>99</v>
      </c>
      <c r="R74" s="2" t="s">
        <v>100</v>
      </c>
      <c r="S74" s="2" t="s">
        <v>447</v>
      </c>
      <c r="T74" s="2" t="s">
        <v>100</v>
      </c>
      <c r="U74" s="2" t="s">
        <v>102</v>
      </c>
      <c r="V74" s="2" t="s">
        <v>141</v>
      </c>
      <c r="W74" s="2" t="s">
        <v>142</v>
      </c>
      <c r="X74" s="2" t="s">
        <v>143</v>
      </c>
      <c r="Y74" s="2" t="s">
        <v>144</v>
      </c>
      <c r="Z74" s="4">
        <v>423</v>
      </c>
      <c r="AA74" s="4">
        <f>=ROUNDDOWN(16.92,0)</f>
      </c>
      <c r="AB74" s="5">
        <v>25</v>
      </c>
      <c r="AC74" s="2" t="s">
        <v>307</v>
      </c>
      <c r="AD74" s="4">
        <v>50</v>
      </c>
      <c r="AE74" s="4">
        <v>380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/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87</v>
      </c>
      <c r="BK74" s="8">
        <v>6884.74</v>
      </c>
      <c r="BL74" s="2" t="s">
        <v>451</v>
      </c>
      <c r="BM74" s="7"/>
      <c r="BN74" s="7"/>
      <c r="BO74" s="4"/>
      <c r="BP74" s="8"/>
      <c r="BQ74" s="4"/>
      <c r="BR74" s="8"/>
      <c r="BS74" s="7"/>
      <c r="BT74" s="7"/>
      <c r="BU74" s="2" t="s">
        <v>109</v>
      </c>
      <c r="BV74" s="2" t="s">
        <v>97</v>
      </c>
      <c r="BW74" s="2" t="s">
        <v>159</v>
      </c>
      <c r="BX74" s="2" t="s">
        <v>452</v>
      </c>
      <c r="BY74" s="2" t="s">
        <v>112</v>
      </c>
      <c r="BZ74" s="2" t="s">
        <v>100</v>
      </c>
    </row>
    <row r="75">
      <c r="A75" s="2" t="s">
        <v>453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454</v>
      </c>
      <c r="G75" s="2" t="s">
        <v>455</v>
      </c>
      <c r="H75" s="2" t="s">
        <v>456</v>
      </c>
      <c r="I75" s="2" t="s">
        <v>457</v>
      </c>
      <c r="J75" s="2" t="s">
        <v>118</v>
      </c>
      <c r="K75" s="2" t="s">
        <v>458</v>
      </c>
      <c r="L75" s="3">
        <v>68.6</v>
      </c>
      <c r="M75" s="3">
        <v>72.02</v>
      </c>
      <c r="N75" s="3">
        <v>139.99</v>
      </c>
      <c r="O75" s="2" t="s">
        <v>97</v>
      </c>
      <c r="P75" s="2" t="s">
        <v>98</v>
      </c>
      <c r="Q75" s="2" t="s">
        <v>99</v>
      </c>
      <c r="R75" s="2" t="s">
        <v>100</v>
      </c>
      <c r="S75" s="2" t="s">
        <v>459</v>
      </c>
      <c r="T75" s="2" t="s">
        <v>100</v>
      </c>
      <c r="U75" s="2" t="s">
        <v>460</v>
      </c>
      <c r="V75" s="2" t="s">
        <v>461</v>
      </c>
      <c r="W75" s="2" t="s">
        <v>193</v>
      </c>
      <c r="X75" s="2" t="s">
        <v>462</v>
      </c>
      <c r="Y75" s="2" t="s">
        <v>144</v>
      </c>
      <c r="Z75" s="4">
        <v>210</v>
      </c>
      <c r="AA75" s="4">
        <f>=ROUNDDOWN(26.25,0)</f>
      </c>
      <c r="AB75" s="5">
        <v>8</v>
      </c>
      <c r="AC75" s="2" t="s">
        <v>307</v>
      </c>
      <c r="AD75" s="4">
        <v>50</v>
      </c>
      <c r="AE75" s="4">
        <v>100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2</v>
      </c>
      <c r="AQ75" s="8">
        <v>131.04</v>
      </c>
      <c r="AR75" s="4"/>
      <c r="AS75" s="8"/>
      <c r="AT75" s="7"/>
      <c r="AU75" s="7"/>
      <c r="AV75" s="4">
        <v>2</v>
      </c>
      <c r="AW75" s="8">
        <v>131.04</v>
      </c>
      <c r="AX75" s="4"/>
      <c r="AY75" s="8"/>
      <c r="AZ75" s="7"/>
      <c r="BA75" s="7"/>
      <c r="BB75" s="7">
        <v>1</v>
      </c>
      <c r="BC75" s="4">
        <v>2</v>
      </c>
      <c r="BD75" s="8">
        <v>131.04</v>
      </c>
      <c r="BE75" s="4"/>
      <c r="BF75" s="8"/>
      <c r="BG75" s="7"/>
      <c r="BH75" s="7"/>
      <c r="BI75" s="7">
        <v>1</v>
      </c>
      <c r="BJ75" s="4">
        <v>19</v>
      </c>
      <c r="BK75" s="8">
        <v>1302.85</v>
      </c>
      <c r="BL75" s="2" t="s">
        <v>463</v>
      </c>
      <c r="BM75" s="7">
        <v>0.1053</v>
      </c>
      <c r="BN75" s="7">
        <v>0.1006</v>
      </c>
      <c r="BO75" s="4">
        <v>2</v>
      </c>
      <c r="BP75" s="8">
        <v>131.04</v>
      </c>
      <c r="BQ75" s="4"/>
      <c r="BR75" s="8"/>
      <c r="BS75" s="7"/>
      <c r="BT75" s="7"/>
      <c r="BU75" s="2" t="s">
        <v>109</v>
      </c>
      <c r="BV75" s="2" t="s">
        <v>97</v>
      </c>
      <c r="BW75" s="2" t="s">
        <v>464</v>
      </c>
      <c r="BX75" s="2" t="s">
        <v>465</v>
      </c>
      <c r="BY75" s="2" t="s">
        <v>112</v>
      </c>
      <c r="BZ75" s="2" t="s">
        <v>149</v>
      </c>
    </row>
    <row r="76">
      <c r="A76" s="2" t="s">
        <v>466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467</v>
      </c>
      <c r="G76" s="2" t="s">
        <v>468</v>
      </c>
      <c r="H76" s="2" t="s">
        <v>469</v>
      </c>
      <c r="I76" s="2" t="s">
        <v>470</v>
      </c>
      <c r="J76" s="2" t="s">
        <v>118</v>
      </c>
      <c r="K76" s="2" t="s">
        <v>471</v>
      </c>
      <c r="L76" s="3">
        <v>80</v>
      </c>
      <c r="M76" s="3">
        <v>83.99</v>
      </c>
      <c r="N76" s="3">
        <v>169.99</v>
      </c>
      <c r="O76" s="2" t="s">
        <v>97</v>
      </c>
      <c r="P76" s="2" t="s">
        <v>98</v>
      </c>
      <c r="Q76" s="2" t="s">
        <v>99</v>
      </c>
      <c r="R76" s="2" t="s">
        <v>100</v>
      </c>
      <c r="S76" s="2" t="s">
        <v>472</v>
      </c>
      <c r="T76" s="2" t="s">
        <v>100</v>
      </c>
      <c r="U76" s="2" t="s">
        <v>102</v>
      </c>
      <c r="V76" s="2" t="s">
        <v>473</v>
      </c>
      <c r="W76" s="2" t="s">
        <v>104</v>
      </c>
      <c r="X76" s="2" t="s">
        <v>105</v>
      </c>
      <c r="Y76" s="2" t="s">
        <v>144</v>
      </c>
      <c r="Z76" s="4">
        <v>147</v>
      </c>
      <c r="AA76" s="4">
        <f>=ROUNDDOWN(29.4,0)</f>
      </c>
      <c r="AB76" s="5">
        <v>5</v>
      </c>
      <c r="AC76" s="2" t="s">
        <v>312</v>
      </c>
      <c r="AD76" s="4">
        <v>35</v>
      </c>
      <c r="AE76" s="4">
        <v>35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1</v>
      </c>
      <c r="AQ76" s="8">
        <v>75.6</v>
      </c>
      <c r="AR76" s="4"/>
      <c r="AS76" s="8"/>
      <c r="AT76" s="7"/>
      <c r="AU76" s="7"/>
      <c r="AV76" s="4">
        <v>1</v>
      </c>
      <c r="AW76" s="8">
        <v>75.6</v>
      </c>
      <c r="AX76" s="4"/>
      <c r="AY76" s="8"/>
      <c r="AZ76" s="7"/>
      <c r="BA76" s="7"/>
      <c r="BB76" s="7">
        <v>1</v>
      </c>
      <c r="BC76" s="4">
        <v>1</v>
      </c>
      <c r="BD76" s="8">
        <v>75.6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>
        <v>1</v>
      </c>
      <c r="BJ76" s="4">
        <v>14</v>
      </c>
      <c r="BK76" s="8">
        <v>1017.1</v>
      </c>
      <c r="BL76" s="2" t="s">
        <v>474</v>
      </c>
      <c r="BM76" s="7">
        <v>0.0714</v>
      </c>
      <c r="BN76" s="7">
        <v>0.0743</v>
      </c>
      <c r="BO76" s="4">
        <v>1</v>
      </c>
      <c r="BP76" s="8">
        <v>75.6</v>
      </c>
      <c r="BQ76" s="4"/>
      <c r="BR76" s="8"/>
      <c r="BS76" s="7"/>
      <c r="BT76" s="7"/>
      <c r="BU76" s="2" t="s">
        <v>109</v>
      </c>
      <c r="BV76" s="2" t="s">
        <v>97</v>
      </c>
      <c r="BW76" s="2" t="s">
        <v>475</v>
      </c>
      <c r="BX76" s="2" t="s">
        <v>476</v>
      </c>
      <c r="BY76" s="2" t="s">
        <v>112</v>
      </c>
      <c r="BZ76" s="2" t="s">
        <v>100</v>
      </c>
    </row>
    <row r="77">
      <c r="A77" s="2" t="s">
        <v>477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467</v>
      </c>
      <c r="G77" s="2" t="s">
        <v>468</v>
      </c>
      <c r="H77" s="2" t="s">
        <v>469</v>
      </c>
      <c r="I77" s="2" t="s">
        <v>94</v>
      </c>
      <c r="J77" s="2" t="s">
        <v>95</v>
      </c>
      <c r="K77" s="2" t="s">
        <v>223</v>
      </c>
      <c r="L77" s="3">
        <v>67.2</v>
      </c>
      <c r="M77" s="3">
        <v>70.55</v>
      </c>
      <c r="N77" s="3">
        <v>149.99</v>
      </c>
      <c r="O77" s="2" t="s">
        <v>97</v>
      </c>
      <c r="P77" s="2" t="s">
        <v>156</v>
      </c>
      <c r="Q77" s="2" t="s">
        <v>99</v>
      </c>
      <c r="R77" s="2" t="s">
        <v>100</v>
      </c>
      <c r="S77" s="2" t="s">
        <v>478</v>
      </c>
      <c r="T77" s="2" t="s">
        <v>100</v>
      </c>
      <c r="U77" s="2" t="s">
        <v>102</v>
      </c>
      <c r="V77" s="2" t="s">
        <v>473</v>
      </c>
      <c r="W77" s="2" t="s">
        <v>104</v>
      </c>
      <c r="X77" s="2" t="s">
        <v>305</v>
      </c>
      <c r="Y77" s="2" t="s">
        <v>479</v>
      </c>
      <c r="Z77" s="4">
        <v>232</v>
      </c>
      <c r="AA77" s="4">
        <f>=ROUNDDOWN(16.5714285714286,0)</f>
      </c>
      <c r="AB77" s="5">
        <v>14</v>
      </c>
      <c r="AC77" s="2" t="s">
        <v>145</v>
      </c>
      <c r="AD77" s="4">
        <v>200</v>
      </c>
      <c r="AE77" s="4">
        <v>500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/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56</v>
      </c>
      <c r="BK77" s="8">
        <v>4196.56</v>
      </c>
      <c r="BL77" s="2" t="s">
        <v>480</v>
      </c>
      <c r="BM77" s="7"/>
      <c r="BN77" s="7"/>
      <c r="BO77" s="4"/>
      <c r="BP77" s="8"/>
      <c r="BQ77" s="4"/>
      <c r="BR77" s="8"/>
      <c r="BS77" s="7"/>
      <c r="BT77" s="7"/>
      <c r="BU77" s="2" t="s">
        <v>171</v>
      </c>
      <c r="BV77" s="2" t="s">
        <v>97</v>
      </c>
      <c r="BW77" s="2" t="s">
        <v>100</v>
      </c>
      <c r="BX77" s="2" t="s">
        <v>100</v>
      </c>
      <c r="BY77" s="2" t="s">
        <v>112</v>
      </c>
      <c r="BZ77" s="2" t="s">
        <v>149</v>
      </c>
    </row>
    <row r="78">
      <c r="A78" s="2" t="s">
        <v>481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467</v>
      </c>
      <c r="G78" s="2" t="s">
        <v>468</v>
      </c>
      <c r="H78" s="2" t="s">
        <v>469</v>
      </c>
      <c r="I78" s="2" t="s">
        <v>94</v>
      </c>
      <c r="J78" s="2" t="s">
        <v>114</v>
      </c>
      <c r="K78" s="2" t="s">
        <v>223</v>
      </c>
      <c r="L78" s="3">
        <v>80</v>
      </c>
      <c r="M78" s="3">
        <v>83.99</v>
      </c>
      <c r="N78" s="3">
        <v>169.99</v>
      </c>
      <c r="O78" s="2" t="s">
        <v>97</v>
      </c>
      <c r="P78" s="2" t="s">
        <v>156</v>
      </c>
      <c r="Q78" s="2" t="s">
        <v>99</v>
      </c>
      <c r="R78" s="2" t="s">
        <v>100</v>
      </c>
      <c r="S78" s="2" t="s">
        <v>478</v>
      </c>
      <c r="T78" s="2" t="s">
        <v>100</v>
      </c>
      <c r="U78" s="2" t="s">
        <v>102</v>
      </c>
      <c r="V78" s="2" t="s">
        <v>473</v>
      </c>
      <c r="W78" s="2" t="s">
        <v>104</v>
      </c>
      <c r="X78" s="2" t="s">
        <v>305</v>
      </c>
      <c r="Y78" s="2" t="s">
        <v>479</v>
      </c>
      <c r="Z78" s="4">
        <v>176</v>
      </c>
      <c r="AA78" s="4">
        <f>=ROUNDDOWN(12.5714285714286,0)</f>
      </c>
      <c r="AB78" s="5">
        <v>14</v>
      </c>
      <c r="AC78" s="2" t="s">
        <v>145</v>
      </c>
      <c r="AD78" s="4">
        <v>220</v>
      </c>
      <c r="AE78" s="4">
        <v>520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/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60</v>
      </c>
      <c r="BK78" s="8">
        <v>5157.34</v>
      </c>
      <c r="BL78" s="2" t="s">
        <v>482</v>
      </c>
      <c r="BM78" s="7"/>
      <c r="BN78" s="7"/>
      <c r="BO78" s="4"/>
      <c r="BP78" s="8"/>
      <c r="BQ78" s="4"/>
      <c r="BR78" s="8"/>
      <c r="BS78" s="7"/>
      <c r="BT78" s="7"/>
      <c r="BU78" s="2" t="s">
        <v>171</v>
      </c>
      <c r="BV78" s="2" t="s">
        <v>97</v>
      </c>
      <c r="BW78" s="2" t="s">
        <v>100</v>
      </c>
      <c r="BX78" s="2" t="s">
        <v>100</v>
      </c>
      <c r="BY78" s="2" t="s">
        <v>112</v>
      </c>
      <c r="BZ78" s="2" t="s">
        <v>100</v>
      </c>
    </row>
    <row r="79">
      <c r="A79" s="2" t="s">
        <v>483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467</v>
      </c>
      <c r="G79" s="2" t="s">
        <v>468</v>
      </c>
      <c r="H79" s="2" t="s">
        <v>469</v>
      </c>
      <c r="I79" s="2" t="s">
        <v>94</v>
      </c>
      <c r="J79" s="2" t="s">
        <v>118</v>
      </c>
      <c r="K79" s="2" t="s">
        <v>223</v>
      </c>
      <c r="L79" s="3">
        <v>80</v>
      </c>
      <c r="M79" s="3">
        <v>83.99</v>
      </c>
      <c r="N79" s="3">
        <v>169.99</v>
      </c>
      <c r="O79" s="2" t="s">
        <v>97</v>
      </c>
      <c r="P79" s="2" t="s">
        <v>156</v>
      </c>
      <c r="Q79" s="2" t="s">
        <v>99</v>
      </c>
      <c r="R79" s="2" t="s">
        <v>100</v>
      </c>
      <c r="S79" s="2" t="s">
        <v>478</v>
      </c>
      <c r="T79" s="2" t="s">
        <v>100</v>
      </c>
      <c r="U79" s="2" t="s">
        <v>102</v>
      </c>
      <c r="V79" s="2" t="s">
        <v>473</v>
      </c>
      <c r="W79" s="2" t="s">
        <v>104</v>
      </c>
      <c r="X79" s="2" t="s">
        <v>305</v>
      </c>
      <c r="Y79" s="2" t="s">
        <v>479</v>
      </c>
      <c r="Z79" s="4">
        <v>163</v>
      </c>
      <c r="AA79" s="4">
        <f>=ROUNDDOWN(32.6,0)</f>
      </c>
      <c r="AB79" s="5">
        <v>5</v>
      </c>
      <c r="AC79" s="2" t="s">
        <v>145</v>
      </c>
      <c r="AD79" s="4">
        <v>90</v>
      </c>
      <c r="AE79" s="4">
        <v>90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/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18</v>
      </c>
      <c r="BK79" s="8">
        <v>1611.95</v>
      </c>
      <c r="BL79" s="2" t="s">
        <v>484</v>
      </c>
      <c r="BM79" s="7"/>
      <c r="BN79" s="7"/>
      <c r="BO79" s="4"/>
      <c r="BP79" s="8"/>
      <c r="BQ79" s="4"/>
      <c r="BR79" s="8"/>
      <c r="BS79" s="7"/>
      <c r="BT79" s="7"/>
      <c r="BU79" s="2" t="s">
        <v>171</v>
      </c>
      <c r="BV79" s="2" t="s">
        <v>97</v>
      </c>
      <c r="BW79" s="2" t="s">
        <v>100</v>
      </c>
      <c r="BX79" s="2" t="s">
        <v>100</v>
      </c>
      <c r="BY79" s="2" t="s">
        <v>112</v>
      </c>
      <c r="BZ79" s="2" t="s">
        <v>100</v>
      </c>
    </row>
    <row r="80">
      <c r="A80" s="2" t="s">
        <v>485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486</v>
      </c>
      <c r="G80" s="2" t="s">
        <v>487</v>
      </c>
      <c r="H80" s="2" t="s">
        <v>488</v>
      </c>
      <c r="I80" s="2" t="s">
        <v>489</v>
      </c>
      <c r="J80" s="2" t="s">
        <v>490</v>
      </c>
      <c r="K80" s="2" t="s">
        <v>188</v>
      </c>
      <c r="L80" s="3">
        <v>49.9</v>
      </c>
      <c r="M80" s="3">
        <v>52.4</v>
      </c>
      <c r="N80" s="3">
        <v>89.99</v>
      </c>
      <c r="O80" s="2" t="s">
        <v>97</v>
      </c>
      <c r="P80" s="2" t="s">
        <v>98</v>
      </c>
      <c r="Q80" s="2" t="s">
        <v>99</v>
      </c>
      <c r="R80" s="2" t="s">
        <v>100</v>
      </c>
      <c r="S80" s="2" t="s">
        <v>491</v>
      </c>
      <c r="T80" s="2" t="s">
        <v>100</v>
      </c>
      <c r="U80" s="2" t="s">
        <v>102</v>
      </c>
      <c r="V80" s="2" t="s">
        <v>492</v>
      </c>
      <c r="W80" s="2" t="s">
        <v>142</v>
      </c>
      <c r="X80" s="2" t="s">
        <v>493</v>
      </c>
      <c r="Y80" s="2" t="s">
        <v>494</v>
      </c>
      <c r="Z80" s="4">
        <v>38</v>
      </c>
      <c r="AA80" s="4">
        <f>=ROUNDDOWN(4.75,0)</f>
      </c>
      <c r="AB80" s="5">
        <v>8</v>
      </c>
      <c r="AC80" s="2" t="s">
        <v>107</v>
      </c>
      <c r="AD80" s="4">
        <v>60</v>
      </c>
      <c r="AE80" s="4">
        <v>300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>
        <v>1</v>
      </c>
      <c r="AW80" s="8">
        <v>65.32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/>
      <c r="BC80" s="4">
        <v>1</v>
      </c>
      <c r="BD80" s="8">
        <v>65.32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>
        <v>1</v>
      </c>
      <c r="BJ80" s="4">
        <v>32</v>
      </c>
      <c r="BK80" s="8">
        <v>1758.61</v>
      </c>
      <c r="BL80" s="2" t="s">
        <v>495</v>
      </c>
      <c r="BM80" s="7"/>
      <c r="BN80" s="7"/>
      <c r="BO80" s="4"/>
      <c r="BP80" s="8"/>
      <c r="BQ80" s="4"/>
      <c r="BR80" s="8"/>
      <c r="BS80" s="7"/>
      <c r="BT80" s="7"/>
      <c r="BU80" s="2" t="s">
        <v>109</v>
      </c>
      <c r="BV80" s="2" t="s">
        <v>97</v>
      </c>
      <c r="BW80" s="2" t="s">
        <v>496</v>
      </c>
      <c r="BX80" s="2" t="s">
        <v>497</v>
      </c>
      <c r="BY80" s="2" t="s">
        <v>112</v>
      </c>
      <c r="BZ80" s="2" t="s">
        <v>100</v>
      </c>
    </row>
    <row r="81">
      <c r="A81" s="2" t="s">
        <v>498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486</v>
      </c>
      <c r="G81" s="2" t="s">
        <v>487</v>
      </c>
      <c r="H81" s="2" t="s">
        <v>488</v>
      </c>
      <c r="I81" s="2" t="s">
        <v>489</v>
      </c>
      <c r="J81" s="2" t="s">
        <v>114</v>
      </c>
      <c r="K81" s="2" t="s">
        <v>188</v>
      </c>
      <c r="L81" s="3">
        <v>63.06</v>
      </c>
      <c r="M81" s="3">
        <v>66.21</v>
      </c>
      <c r="N81" s="3">
        <v>119.99</v>
      </c>
      <c r="O81" s="2" t="s">
        <v>97</v>
      </c>
      <c r="P81" s="2" t="s">
        <v>98</v>
      </c>
      <c r="Q81" s="2" t="s">
        <v>99</v>
      </c>
      <c r="R81" s="2" t="s">
        <v>100</v>
      </c>
      <c r="S81" s="2" t="s">
        <v>491</v>
      </c>
      <c r="T81" s="2" t="s">
        <v>100</v>
      </c>
      <c r="U81" s="2" t="s">
        <v>102</v>
      </c>
      <c r="V81" s="2" t="s">
        <v>492</v>
      </c>
      <c r="W81" s="2" t="s">
        <v>142</v>
      </c>
      <c r="X81" s="2" t="s">
        <v>493</v>
      </c>
      <c r="Y81" s="2" t="s">
        <v>499</v>
      </c>
      <c r="Z81" s="4">
        <v>144</v>
      </c>
      <c r="AA81" s="4">
        <f>=ROUNDDOWN(16,0)</f>
      </c>
      <c r="AB81" s="5">
        <v>9</v>
      </c>
      <c r="AC81" s="2" t="s">
        <v>107</v>
      </c>
      <c r="AD81" s="4">
        <v>60</v>
      </c>
      <c r="AE81" s="4">
        <v>170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/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23</v>
      </c>
      <c r="BK81" s="8">
        <v>1674.08</v>
      </c>
      <c r="BL81" s="2" t="s">
        <v>500</v>
      </c>
      <c r="BM81" s="7"/>
      <c r="BN81" s="7"/>
      <c r="BO81" s="4"/>
      <c r="BP81" s="8"/>
      <c r="BQ81" s="4"/>
      <c r="BR81" s="8"/>
      <c r="BS81" s="7"/>
      <c r="BT81" s="7"/>
      <c r="BU81" s="2" t="s">
        <v>109</v>
      </c>
      <c r="BV81" s="2" t="s">
        <v>97</v>
      </c>
      <c r="BW81" s="2" t="s">
        <v>274</v>
      </c>
      <c r="BX81" s="2" t="s">
        <v>501</v>
      </c>
      <c r="BY81" s="2" t="s">
        <v>112</v>
      </c>
      <c r="BZ81" s="2" t="s">
        <v>100</v>
      </c>
    </row>
    <row r="82">
      <c r="A82" s="2" t="s">
        <v>502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486</v>
      </c>
      <c r="G82" s="2" t="s">
        <v>487</v>
      </c>
      <c r="H82" s="2" t="s">
        <v>488</v>
      </c>
      <c r="I82" s="2" t="s">
        <v>489</v>
      </c>
      <c r="J82" s="2" t="s">
        <v>118</v>
      </c>
      <c r="K82" s="2" t="s">
        <v>188</v>
      </c>
      <c r="L82" s="3">
        <v>63.06</v>
      </c>
      <c r="M82" s="3">
        <v>66.21</v>
      </c>
      <c r="N82" s="3">
        <v>119.99</v>
      </c>
      <c r="O82" s="2" t="s">
        <v>97</v>
      </c>
      <c r="P82" s="2" t="s">
        <v>98</v>
      </c>
      <c r="Q82" s="2" t="s">
        <v>99</v>
      </c>
      <c r="R82" s="2" t="s">
        <v>100</v>
      </c>
      <c r="S82" s="2" t="s">
        <v>491</v>
      </c>
      <c r="T82" s="2" t="s">
        <v>100</v>
      </c>
      <c r="U82" s="2" t="s">
        <v>102</v>
      </c>
      <c r="V82" s="2" t="s">
        <v>492</v>
      </c>
      <c r="W82" s="2" t="s">
        <v>142</v>
      </c>
      <c r="X82" s="2" t="s">
        <v>493</v>
      </c>
      <c r="Y82" s="2" t="s">
        <v>503</v>
      </c>
      <c r="Z82" s="4">
        <v>89</v>
      </c>
      <c r="AA82" s="4">
        <f>=ROUNDDOWN(22.25,0)</f>
      </c>
      <c r="AB82" s="5">
        <v>4</v>
      </c>
      <c r="AC82" s="2" t="s">
        <v>107</v>
      </c>
      <c r="AD82" s="4">
        <v>30</v>
      </c>
      <c r="AE82" s="4">
        <v>60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1</v>
      </c>
      <c r="AQ82" s="8">
        <v>65.32</v>
      </c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1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8</v>
      </c>
      <c r="BK82" s="8">
        <v>595.26</v>
      </c>
      <c r="BL82" s="2" t="s">
        <v>504</v>
      </c>
      <c r="BM82" s="7">
        <v>0.125</v>
      </c>
      <c r="BN82" s="7">
        <v>0.1097</v>
      </c>
      <c r="BO82" s="4">
        <v>1</v>
      </c>
      <c r="BP82" s="8">
        <v>65.32</v>
      </c>
      <c r="BQ82" s="4"/>
      <c r="BR82" s="8"/>
      <c r="BS82" s="7"/>
      <c r="BT82" s="7"/>
      <c r="BU82" s="2" t="s">
        <v>109</v>
      </c>
      <c r="BV82" s="2" t="s">
        <v>97</v>
      </c>
      <c r="BW82" s="2" t="s">
        <v>274</v>
      </c>
      <c r="BX82" s="2" t="s">
        <v>505</v>
      </c>
      <c r="BY82" s="2" t="s">
        <v>112</v>
      </c>
      <c r="BZ82" s="2" t="s">
        <v>100</v>
      </c>
    </row>
    <row r="83">
      <c r="A83" s="2" t="s">
        <v>506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486</v>
      </c>
      <c r="G83" s="2" t="s">
        <v>487</v>
      </c>
      <c r="H83" s="2" t="s">
        <v>488</v>
      </c>
      <c r="I83" s="2" t="s">
        <v>489</v>
      </c>
      <c r="J83" s="2" t="s">
        <v>490</v>
      </c>
      <c r="K83" s="2" t="s">
        <v>507</v>
      </c>
      <c r="L83" s="3">
        <v>49.9</v>
      </c>
      <c r="M83" s="3">
        <v>52.4</v>
      </c>
      <c r="N83" s="3">
        <v>89.99</v>
      </c>
      <c r="O83" s="2" t="s">
        <v>97</v>
      </c>
      <c r="P83" s="2" t="s">
        <v>123</v>
      </c>
      <c r="Q83" s="2" t="s">
        <v>99</v>
      </c>
      <c r="R83" s="2" t="s">
        <v>100</v>
      </c>
      <c r="S83" s="2" t="s">
        <v>508</v>
      </c>
      <c r="T83" s="2" t="s">
        <v>100</v>
      </c>
      <c r="U83" s="2" t="s">
        <v>102</v>
      </c>
      <c r="V83" s="2" t="s">
        <v>492</v>
      </c>
      <c r="W83" s="2" t="s">
        <v>142</v>
      </c>
      <c r="X83" s="2" t="s">
        <v>493</v>
      </c>
      <c r="Y83" s="2" t="s">
        <v>144</v>
      </c>
      <c r="Z83" s="4">
        <v>51</v>
      </c>
      <c r="AA83" s="4">
        <f>=ROUNDDOWN(12.75,0)</f>
      </c>
      <c r="AB83" s="5">
        <v>4</v>
      </c>
      <c r="AC83" s="2" t="s">
        <v>107</v>
      </c>
      <c r="AD83" s="4">
        <v>30</v>
      </c>
      <c r="AE83" s="4">
        <v>150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/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12</v>
      </c>
      <c r="BK83" s="8">
        <v>681.11</v>
      </c>
      <c r="BL83" s="2" t="s">
        <v>509</v>
      </c>
      <c r="BM83" s="7"/>
      <c r="BN83" s="7"/>
      <c r="BO83" s="4"/>
      <c r="BP83" s="8"/>
      <c r="BQ83" s="4"/>
      <c r="BR83" s="8"/>
      <c r="BS83" s="7"/>
      <c r="BT83" s="7"/>
      <c r="BU83" s="2" t="s">
        <v>109</v>
      </c>
      <c r="BV83" s="2" t="s">
        <v>97</v>
      </c>
      <c r="BW83" s="2" t="s">
        <v>159</v>
      </c>
      <c r="BX83" s="2" t="s">
        <v>160</v>
      </c>
      <c r="BY83" s="2" t="s">
        <v>112</v>
      </c>
      <c r="BZ83" s="2" t="s">
        <v>100</v>
      </c>
    </row>
    <row r="84">
      <c r="A84" s="2" t="s">
        <v>510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486</v>
      </c>
      <c r="G84" s="2" t="s">
        <v>487</v>
      </c>
      <c r="H84" s="2" t="s">
        <v>488</v>
      </c>
      <c r="I84" s="2" t="s">
        <v>489</v>
      </c>
      <c r="J84" s="2" t="s">
        <v>118</v>
      </c>
      <c r="K84" s="2" t="s">
        <v>507</v>
      </c>
      <c r="L84" s="3">
        <v>63.06</v>
      </c>
      <c r="M84" s="3">
        <v>66.21</v>
      </c>
      <c r="N84" s="3">
        <v>119.99</v>
      </c>
      <c r="O84" s="2" t="s">
        <v>97</v>
      </c>
      <c r="P84" s="2" t="s">
        <v>123</v>
      </c>
      <c r="Q84" s="2" t="s">
        <v>99</v>
      </c>
      <c r="R84" s="2" t="s">
        <v>100</v>
      </c>
      <c r="S84" s="2" t="s">
        <v>508</v>
      </c>
      <c r="T84" s="2" t="s">
        <v>100</v>
      </c>
      <c r="U84" s="2" t="s">
        <v>102</v>
      </c>
      <c r="V84" s="2" t="s">
        <v>492</v>
      </c>
      <c r="W84" s="2" t="s">
        <v>142</v>
      </c>
      <c r="X84" s="2" t="s">
        <v>493</v>
      </c>
      <c r="Y84" s="2" t="s">
        <v>144</v>
      </c>
      <c r="Z84" s="4">
        <v>94</v>
      </c>
      <c r="AA84" s="4">
        <f>=ROUNDDOWN(15.6666666666667,0)</f>
      </c>
      <c r="AB84" s="5">
        <v>6</v>
      </c>
      <c r="AC84" s="2" t="s">
        <v>107</v>
      </c>
      <c r="AD84" s="4">
        <v>50</v>
      </c>
      <c r="AE84" s="4">
        <v>230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/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26</v>
      </c>
      <c r="BK84" s="8">
        <v>1888.66</v>
      </c>
      <c r="BL84" s="2" t="s">
        <v>511</v>
      </c>
      <c r="BM84" s="7"/>
      <c r="BN84" s="7"/>
      <c r="BO84" s="4"/>
      <c r="BP84" s="8"/>
      <c r="BQ84" s="4"/>
      <c r="BR84" s="8"/>
      <c r="BS84" s="7"/>
      <c r="BT84" s="7"/>
      <c r="BU84" s="2" t="s">
        <v>109</v>
      </c>
      <c r="BV84" s="2" t="s">
        <v>97</v>
      </c>
      <c r="BW84" s="2" t="s">
        <v>159</v>
      </c>
      <c r="BX84" s="2" t="s">
        <v>512</v>
      </c>
      <c r="BY84" s="2" t="s">
        <v>112</v>
      </c>
      <c r="BZ84" s="2" t="s">
        <v>100</v>
      </c>
    </row>
    <row r="85">
      <c r="A85" s="2" t="s">
        <v>513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486</v>
      </c>
      <c r="G85" s="2" t="s">
        <v>487</v>
      </c>
      <c r="H85" s="2" t="s">
        <v>488</v>
      </c>
      <c r="I85" s="2" t="s">
        <v>489</v>
      </c>
      <c r="J85" s="2" t="s">
        <v>490</v>
      </c>
      <c r="K85" s="2" t="s">
        <v>458</v>
      </c>
      <c r="L85" s="3">
        <v>49.9</v>
      </c>
      <c r="M85" s="3">
        <v>52.4</v>
      </c>
      <c r="N85" s="3">
        <v>89.99</v>
      </c>
      <c r="O85" s="2" t="s">
        <v>97</v>
      </c>
      <c r="P85" s="2" t="s">
        <v>98</v>
      </c>
      <c r="Q85" s="2" t="s">
        <v>99</v>
      </c>
      <c r="R85" s="2" t="s">
        <v>100</v>
      </c>
      <c r="S85" s="2" t="s">
        <v>514</v>
      </c>
      <c r="T85" s="2" t="s">
        <v>100</v>
      </c>
      <c r="U85" s="2" t="s">
        <v>102</v>
      </c>
      <c r="V85" s="2" t="s">
        <v>492</v>
      </c>
      <c r="W85" s="2" t="s">
        <v>142</v>
      </c>
      <c r="X85" s="2" t="s">
        <v>493</v>
      </c>
      <c r="Y85" s="2" t="s">
        <v>144</v>
      </c>
      <c r="Z85" s="4">
        <v>53</v>
      </c>
      <c r="AA85" s="4">
        <f>=ROUNDDOWN(13.25,0)</f>
      </c>
      <c r="AB85" s="5">
        <v>4</v>
      </c>
      <c r="AC85" s="2" t="s">
        <v>107</v>
      </c>
      <c r="AD85" s="4">
        <v>30</v>
      </c>
      <c r="AE85" s="4">
        <v>130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/>
      <c r="BJ85" s="4">
        <v>11</v>
      </c>
      <c r="BK85" s="8">
        <v>590.21</v>
      </c>
      <c r="BL85" s="2" t="s">
        <v>515</v>
      </c>
      <c r="BM85" s="7"/>
      <c r="BN85" s="7"/>
      <c r="BO85" s="4"/>
      <c r="BP85" s="8"/>
      <c r="BQ85" s="4"/>
      <c r="BR85" s="8"/>
      <c r="BS85" s="7"/>
      <c r="BT85" s="7"/>
      <c r="BU85" s="2" t="s">
        <v>109</v>
      </c>
      <c r="BV85" s="2" t="s">
        <v>97</v>
      </c>
      <c r="BW85" s="2" t="s">
        <v>475</v>
      </c>
      <c r="BX85" s="2" t="s">
        <v>516</v>
      </c>
      <c r="BY85" s="2" t="s">
        <v>112</v>
      </c>
      <c r="BZ85" s="2" t="s">
        <v>100</v>
      </c>
    </row>
    <row r="86">
      <c r="A86" s="2" t="s">
        <v>517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518</v>
      </c>
      <c r="G86" s="2" t="s">
        <v>519</v>
      </c>
      <c r="H86" s="2" t="s">
        <v>520</v>
      </c>
      <c r="I86" s="2" t="s">
        <v>521</v>
      </c>
      <c r="J86" s="2" t="s">
        <v>522</v>
      </c>
      <c r="K86" s="2" t="s">
        <v>523</v>
      </c>
      <c r="L86" s="3">
        <v>57.14</v>
      </c>
      <c r="M86" s="3">
        <v>60</v>
      </c>
      <c r="N86" s="3">
        <v>119.99</v>
      </c>
      <c r="O86" s="2" t="s">
        <v>97</v>
      </c>
      <c r="P86" s="2" t="s">
        <v>98</v>
      </c>
      <c r="Q86" s="2" t="s">
        <v>99</v>
      </c>
      <c r="R86" s="2" t="s">
        <v>100</v>
      </c>
      <c r="S86" s="2" t="s">
        <v>524</v>
      </c>
      <c r="T86" s="2" t="s">
        <v>100</v>
      </c>
      <c r="U86" s="2" t="s">
        <v>460</v>
      </c>
      <c r="V86" s="2" t="s">
        <v>461</v>
      </c>
      <c r="W86" s="2" t="s">
        <v>142</v>
      </c>
      <c r="X86" s="2" t="s">
        <v>525</v>
      </c>
      <c r="Y86" s="2" t="s">
        <v>526</v>
      </c>
      <c r="Z86" s="4">
        <v>319</v>
      </c>
      <c r="AA86" s="4">
        <f>=ROUNDDOWN(39.875,0)</f>
      </c>
      <c r="AB86" s="5">
        <v>8</v>
      </c>
      <c r="AC86" s="2" t="s">
        <v>130</v>
      </c>
      <c r="AD86" s="4">
        <v>140</v>
      </c>
      <c r="AE86" s="4">
        <v>140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/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/>
      <c r="BJ86" s="4">
        <v>25</v>
      </c>
      <c r="BK86" s="8">
        <v>1622.46</v>
      </c>
      <c r="BL86" s="2" t="s">
        <v>527</v>
      </c>
      <c r="BM86" s="7"/>
      <c r="BN86" s="7"/>
      <c r="BO86" s="4"/>
      <c r="BP86" s="8"/>
      <c r="BQ86" s="4"/>
      <c r="BR86" s="8"/>
      <c r="BS86" s="7"/>
      <c r="BT86" s="7"/>
      <c r="BU86" s="2" t="s">
        <v>171</v>
      </c>
      <c r="BV86" s="2" t="s">
        <v>97</v>
      </c>
      <c r="BW86" s="2" t="s">
        <v>100</v>
      </c>
      <c r="BX86" s="2" t="s">
        <v>100</v>
      </c>
      <c r="BY86" s="2" t="s">
        <v>112</v>
      </c>
      <c r="BZ86" s="2" t="s">
        <v>100</v>
      </c>
    </row>
    <row r="87">
      <c r="A87" s="2" t="s">
        <v>528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518</v>
      </c>
      <c r="G87" s="2" t="s">
        <v>519</v>
      </c>
      <c r="H87" s="2" t="s">
        <v>520</v>
      </c>
      <c r="I87" s="2" t="s">
        <v>521</v>
      </c>
      <c r="J87" s="2" t="s">
        <v>529</v>
      </c>
      <c r="K87" s="2" t="s">
        <v>523</v>
      </c>
      <c r="L87" s="3">
        <v>66.66</v>
      </c>
      <c r="M87" s="3">
        <v>69.99</v>
      </c>
      <c r="N87" s="3">
        <v>139.99</v>
      </c>
      <c r="O87" s="2" t="s">
        <v>97</v>
      </c>
      <c r="P87" s="2" t="s">
        <v>98</v>
      </c>
      <c r="Q87" s="2" t="s">
        <v>99</v>
      </c>
      <c r="R87" s="2" t="s">
        <v>100</v>
      </c>
      <c r="S87" s="2" t="s">
        <v>524</v>
      </c>
      <c r="T87" s="2" t="s">
        <v>100</v>
      </c>
      <c r="U87" s="2" t="s">
        <v>460</v>
      </c>
      <c r="V87" s="2" t="s">
        <v>461</v>
      </c>
      <c r="W87" s="2" t="s">
        <v>142</v>
      </c>
      <c r="X87" s="2" t="s">
        <v>525</v>
      </c>
      <c r="Y87" s="2" t="s">
        <v>526</v>
      </c>
      <c r="Z87" s="4">
        <v>317</v>
      </c>
      <c r="AA87" s="4">
        <f>=ROUNDDOWN(38.6585365853659,0)</f>
      </c>
      <c r="AB87" s="5">
        <v>8.2</v>
      </c>
      <c r="AC87" s="2" t="s">
        <v>130</v>
      </c>
      <c r="AD87" s="4">
        <v>250</v>
      </c>
      <c r="AE87" s="4">
        <v>250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/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/>
      <c r="BJ87" s="4">
        <v>33</v>
      </c>
      <c r="BK87" s="8">
        <v>2478.9</v>
      </c>
      <c r="BL87" s="2" t="s">
        <v>530</v>
      </c>
      <c r="BM87" s="7"/>
      <c r="BN87" s="7"/>
      <c r="BO87" s="4"/>
      <c r="BP87" s="8"/>
      <c r="BQ87" s="4"/>
      <c r="BR87" s="8"/>
      <c r="BS87" s="7"/>
      <c r="BT87" s="7"/>
      <c r="BU87" s="2" t="s">
        <v>171</v>
      </c>
      <c r="BV87" s="2" t="s">
        <v>97</v>
      </c>
      <c r="BW87" s="2" t="s">
        <v>100</v>
      </c>
      <c r="BX87" s="2" t="s">
        <v>100</v>
      </c>
      <c r="BY87" s="2" t="s">
        <v>112</v>
      </c>
      <c r="BZ87" s="2" t="s">
        <v>100</v>
      </c>
    </row>
    <row r="88">
      <c r="A88" s="2" t="s">
        <v>531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532</v>
      </c>
      <c r="G88" s="2" t="s">
        <v>533</v>
      </c>
      <c r="H88" s="2" t="s">
        <v>534</v>
      </c>
      <c r="I88" s="2" t="s">
        <v>535</v>
      </c>
      <c r="J88" s="2" t="s">
        <v>118</v>
      </c>
      <c r="K88" s="2" t="s">
        <v>536</v>
      </c>
      <c r="L88" s="3">
        <v>76.8</v>
      </c>
      <c r="M88" s="3">
        <v>80.63</v>
      </c>
      <c r="N88" s="3">
        <v>159.99</v>
      </c>
      <c r="O88" s="2" t="s">
        <v>97</v>
      </c>
      <c r="P88" s="2" t="s">
        <v>98</v>
      </c>
      <c r="Q88" s="2" t="s">
        <v>99</v>
      </c>
      <c r="R88" s="2" t="s">
        <v>100</v>
      </c>
      <c r="S88" s="2" t="s">
        <v>537</v>
      </c>
      <c r="T88" s="2" t="s">
        <v>100</v>
      </c>
      <c r="U88" s="2" t="s">
        <v>102</v>
      </c>
      <c r="V88" s="2" t="s">
        <v>473</v>
      </c>
      <c r="W88" s="2" t="s">
        <v>142</v>
      </c>
      <c r="X88" s="2" t="s">
        <v>538</v>
      </c>
      <c r="Y88" s="2" t="s">
        <v>144</v>
      </c>
      <c r="Z88" s="4">
        <v>194</v>
      </c>
      <c r="AA88" s="4">
        <f>=ROUNDDOWN(32.3333333333333,0)</f>
      </c>
      <c r="AB88" s="5">
        <v>6</v>
      </c>
      <c r="AC88" s="2" t="s">
        <v>206</v>
      </c>
      <c r="AD88" s="4">
        <v>60</v>
      </c>
      <c r="AE88" s="4">
        <v>160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/>
      <c r="BD88" s="8"/>
      <c r="BE88" s="4"/>
      <c r="BF88" s="8"/>
      <c r="BG88" s="7"/>
      <c r="BH88" s="7"/>
      <c r="BI88" s="7"/>
      <c r="BJ88" s="4">
        <v>18</v>
      </c>
      <c r="BK88" s="8">
        <v>1333.21</v>
      </c>
      <c r="BL88" s="2" t="s">
        <v>539</v>
      </c>
      <c r="BM88" s="7"/>
      <c r="BN88" s="7"/>
      <c r="BO88" s="4"/>
      <c r="BP88" s="8"/>
      <c r="BQ88" s="4"/>
      <c r="BR88" s="8"/>
      <c r="BS88" s="7"/>
      <c r="BT88" s="7"/>
      <c r="BU88" s="2" t="s">
        <v>109</v>
      </c>
      <c r="BV88" s="2" t="s">
        <v>97</v>
      </c>
      <c r="BW88" s="2" t="s">
        <v>159</v>
      </c>
      <c r="BX88" s="2" t="s">
        <v>426</v>
      </c>
      <c r="BY88" s="2" t="s">
        <v>112</v>
      </c>
      <c r="BZ88" s="2" t="s">
        <v>100</v>
      </c>
    </row>
    <row r="89">
      <c r="A89" s="2" t="s">
        <v>540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541</v>
      </c>
      <c r="G89" s="2" t="s">
        <v>542</v>
      </c>
      <c r="H89" s="2" t="s">
        <v>543</v>
      </c>
      <c r="I89" s="2" t="s">
        <v>544</v>
      </c>
      <c r="J89" s="2" t="s">
        <v>95</v>
      </c>
      <c r="K89" s="2" t="s">
        <v>545</v>
      </c>
      <c r="L89" s="3">
        <v>67.16</v>
      </c>
      <c r="M89" s="3">
        <v>70.52</v>
      </c>
      <c r="N89" s="3">
        <v>149.99</v>
      </c>
      <c r="O89" s="2" t="s">
        <v>97</v>
      </c>
      <c r="P89" s="2" t="s">
        <v>156</v>
      </c>
      <c r="Q89" s="2" t="s">
        <v>99</v>
      </c>
      <c r="R89" s="2" t="s">
        <v>100</v>
      </c>
      <c r="S89" s="2" t="s">
        <v>546</v>
      </c>
      <c r="T89" s="2" t="s">
        <v>100</v>
      </c>
      <c r="U89" s="2" t="s">
        <v>102</v>
      </c>
      <c r="V89" s="2" t="s">
        <v>547</v>
      </c>
      <c r="W89" s="2" t="s">
        <v>493</v>
      </c>
      <c r="X89" s="2" t="s">
        <v>548</v>
      </c>
      <c r="Y89" s="2" t="s">
        <v>549</v>
      </c>
      <c r="Z89" s="4">
        <v>286</v>
      </c>
      <c r="AA89" s="4">
        <f>=ROUNDDOWN(11,0)</f>
      </c>
      <c r="AB89" s="5">
        <v>26</v>
      </c>
      <c r="AC89" s="2" t="s">
        <v>550</v>
      </c>
      <c r="AD89" s="4">
        <v>80</v>
      </c>
      <c r="AE89" s="4">
        <v>608</v>
      </c>
      <c r="AF89" s="6">
        <v>65</v>
      </c>
      <c r="AG89" s="6">
        <v>73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/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/>
      <c r="BJ89" s="4">
        <v>92</v>
      </c>
      <c r="BK89" s="8">
        <v>6876.44</v>
      </c>
      <c r="BL89" s="2" t="s">
        <v>551</v>
      </c>
      <c r="BM89" s="7"/>
      <c r="BN89" s="7"/>
      <c r="BO89" s="4"/>
      <c r="BP89" s="8"/>
      <c r="BQ89" s="4"/>
      <c r="BR89" s="8"/>
      <c r="BS89" s="7"/>
      <c r="BT89" s="7"/>
      <c r="BU89" s="2" t="s">
        <v>171</v>
      </c>
      <c r="BV89" s="2" t="s">
        <v>97</v>
      </c>
      <c r="BW89" s="2" t="s">
        <v>100</v>
      </c>
      <c r="BX89" s="2" t="s">
        <v>100</v>
      </c>
      <c r="BY89" s="2" t="s">
        <v>112</v>
      </c>
      <c r="BZ89" s="2" t="s">
        <v>100</v>
      </c>
    </row>
    <row r="90">
      <c r="A90" s="2" t="s">
        <v>552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541</v>
      </c>
      <c r="G90" s="2" t="s">
        <v>542</v>
      </c>
      <c r="H90" s="2" t="s">
        <v>543</v>
      </c>
      <c r="I90" s="2" t="s">
        <v>544</v>
      </c>
      <c r="J90" s="2" t="s">
        <v>114</v>
      </c>
      <c r="K90" s="2" t="s">
        <v>545</v>
      </c>
      <c r="L90" s="3">
        <v>77.49</v>
      </c>
      <c r="M90" s="3">
        <v>81.37</v>
      </c>
      <c r="N90" s="3">
        <v>169.99</v>
      </c>
      <c r="O90" s="2" t="s">
        <v>97</v>
      </c>
      <c r="P90" s="2" t="s">
        <v>156</v>
      </c>
      <c r="Q90" s="2" t="s">
        <v>99</v>
      </c>
      <c r="R90" s="2" t="s">
        <v>100</v>
      </c>
      <c r="S90" s="2" t="s">
        <v>546</v>
      </c>
      <c r="T90" s="2" t="s">
        <v>100</v>
      </c>
      <c r="U90" s="2" t="s">
        <v>102</v>
      </c>
      <c r="V90" s="2" t="s">
        <v>547</v>
      </c>
      <c r="W90" s="2" t="s">
        <v>493</v>
      </c>
      <c r="X90" s="2" t="s">
        <v>548</v>
      </c>
      <c r="Y90" s="2" t="s">
        <v>549</v>
      </c>
      <c r="Z90" s="4">
        <v>327</v>
      </c>
      <c r="AA90" s="4">
        <f>=ROUNDDOWN(15.5714285714286,0)</f>
      </c>
      <c r="AB90" s="5">
        <v>21</v>
      </c>
      <c r="AC90" s="2" t="s">
        <v>550</v>
      </c>
      <c r="AD90" s="4">
        <v>60</v>
      </c>
      <c r="AE90" s="4">
        <v>429</v>
      </c>
      <c r="AF90" s="6">
        <v>65</v>
      </c>
      <c r="AG90" s="6">
        <v>73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/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/>
      <c r="BJ90" s="4">
        <v>88</v>
      </c>
      <c r="BK90" s="8">
        <v>7488.12</v>
      </c>
      <c r="BL90" s="2" t="s">
        <v>553</v>
      </c>
      <c r="BM90" s="7"/>
      <c r="BN90" s="7"/>
      <c r="BO90" s="4"/>
      <c r="BP90" s="8"/>
      <c r="BQ90" s="4"/>
      <c r="BR90" s="8"/>
      <c r="BS90" s="7"/>
      <c r="BT90" s="7"/>
      <c r="BU90" s="2" t="s">
        <v>171</v>
      </c>
      <c r="BV90" s="2" t="s">
        <v>97</v>
      </c>
      <c r="BW90" s="2" t="s">
        <v>100</v>
      </c>
      <c r="BX90" s="2" t="s">
        <v>100</v>
      </c>
      <c r="BY90" s="2" t="s">
        <v>112</v>
      </c>
      <c r="BZ90" s="2" t="s">
        <v>100</v>
      </c>
    </row>
    <row r="91">
      <c r="A91" s="2" t="s">
        <v>554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541</v>
      </c>
      <c r="G91" s="2" t="s">
        <v>542</v>
      </c>
      <c r="H91" s="2" t="s">
        <v>543</v>
      </c>
      <c r="I91" s="2" t="s">
        <v>544</v>
      </c>
      <c r="J91" s="2" t="s">
        <v>118</v>
      </c>
      <c r="K91" s="2" t="s">
        <v>545</v>
      </c>
      <c r="L91" s="3">
        <v>77.49</v>
      </c>
      <c r="M91" s="3">
        <v>81.37</v>
      </c>
      <c r="N91" s="3">
        <v>169.99</v>
      </c>
      <c r="O91" s="2" t="s">
        <v>97</v>
      </c>
      <c r="P91" s="2" t="s">
        <v>156</v>
      </c>
      <c r="Q91" s="2" t="s">
        <v>99</v>
      </c>
      <c r="R91" s="2" t="s">
        <v>100</v>
      </c>
      <c r="S91" s="2" t="s">
        <v>546</v>
      </c>
      <c r="T91" s="2" t="s">
        <v>100</v>
      </c>
      <c r="U91" s="2" t="s">
        <v>102</v>
      </c>
      <c r="V91" s="2" t="s">
        <v>547</v>
      </c>
      <c r="W91" s="2" t="s">
        <v>493</v>
      </c>
      <c r="X91" s="2" t="s">
        <v>548</v>
      </c>
      <c r="Y91" s="2" t="s">
        <v>549</v>
      </c>
      <c r="Z91" s="4">
        <v>144</v>
      </c>
      <c r="AA91" s="4">
        <f>=ROUNDDOWN(16,0)</f>
      </c>
      <c r="AB91" s="5">
        <v>9</v>
      </c>
      <c r="AC91" s="2" t="s">
        <v>550</v>
      </c>
      <c r="AD91" s="4">
        <v>70</v>
      </c>
      <c r="AE91" s="4">
        <v>250</v>
      </c>
      <c r="AF91" s="6">
        <v>65</v>
      </c>
      <c r="AG91" s="6">
        <v>73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/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/>
      <c r="BJ91" s="4">
        <v>20</v>
      </c>
      <c r="BK91" s="8">
        <v>1796.09</v>
      </c>
      <c r="BL91" s="2" t="s">
        <v>555</v>
      </c>
      <c r="BM91" s="7"/>
      <c r="BN91" s="7"/>
      <c r="BO91" s="4"/>
      <c r="BP91" s="8"/>
      <c r="BQ91" s="4"/>
      <c r="BR91" s="8"/>
      <c r="BS91" s="7"/>
      <c r="BT91" s="7"/>
      <c r="BU91" s="2" t="s">
        <v>171</v>
      </c>
      <c r="BV91" s="2" t="s">
        <v>97</v>
      </c>
      <c r="BW91" s="2" t="s">
        <v>100</v>
      </c>
      <c r="BX91" s="2" t="s">
        <v>100</v>
      </c>
      <c r="BY91" s="2" t="s">
        <v>112</v>
      </c>
      <c r="BZ91" s="2" t="s">
        <v>100</v>
      </c>
    </row>
    <row r="92">
      <c r="A92" s="2" t="s">
        <v>556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557</v>
      </c>
      <c r="G92" s="2" t="s">
        <v>558</v>
      </c>
      <c r="H92" s="2" t="s">
        <v>559</v>
      </c>
      <c r="I92" s="2" t="s">
        <v>470</v>
      </c>
      <c r="J92" s="2" t="s">
        <v>114</v>
      </c>
      <c r="K92" s="2" t="s">
        <v>96</v>
      </c>
      <c r="L92" s="3">
        <v>72.53</v>
      </c>
      <c r="M92" s="3">
        <v>76.16</v>
      </c>
      <c r="N92" s="3">
        <v>144.99</v>
      </c>
      <c r="O92" s="2" t="s">
        <v>97</v>
      </c>
      <c r="P92" s="2" t="s">
        <v>98</v>
      </c>
      <c r="Q92" s="2" t="s">
        <v>99</v>
      </c>
      <c r="R92" s="2" t="s">
        <v>100</v>
      </c>
      <c r="S92" s="2" t="s">
        <v>560</v>
      </c>
      <c r="T92" s="2" t="s">
        <v>100</v>
      </c>
      <c r="U92" s="2" t="s">
        <v>102</v>
      </c>
      <c r="V92" s="2" t="s">
        <v>141</v>
      </c>
      <c r="W92" s="2" t="s">
        <v>142</v>
      </c>
      <c r="X92" s="2" t="s">
        <v>168</v>
      </c>
      <c r="Y92" s="2" t="s">
        <v>144</v>
      </c>
      <c r="Z92" s="4">
        <v>510</v>
      </c>
      <c r="AA92" s="4">
        <f>=ROUNDDOWN(56.6666666666667,0)</f>
      </c>
      <c r="AB92" s="5">
        <v>9</v>
      </c>
      <c r="AC92" s="2" t="s">
        <v>100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/>
      <c r="BD92" s="8"/>
      <c r="BE92" s="4"/>
      <c r="BF92" s="8"/>
      <c r="BG92" s="7"/>
      <c r="BH92" s="7"/>
      <c r="BI92" s="7"/>
      <c r="BJ92" s="4">
        <v>27</v>
      </c>
      <c r="BK92" s="8">
        <v>2220.6</v>
      </c>
      <c r="BL92" s="2" t="s">
        <v>561</v>
      </c>
      <c r="BM92" s="7"/>
      <c r="BN92" s="7"/>
      <c r="BO92" s="4"/>
      <c r="BP92" s="8"/>
      <c r="BQ92" s="4"/>
      <c r="BR92" s="8"/>
      <c r="BS92" s="7"/>
      <c r="BT92" s="7"/>
      <c r="BU92" s="2" t="s">
        <v>109</v>
      </c>
      <c r="BV92" s="2" t="s">
        <v>97</v>
      </c>
      <c r="BW92" s="2" t="s">
        <v>159</v>
      </c>
      <c r="BX92" s="2" t="s">
        <v>239</v>
      </c>
      <c r="BY92" s="2" t="s">
        <v>112</v>
      </c>
      <c r="BZ92" s="2" t="s">
        <v>149</v>
      </c>
    </row>
    <row r="93">
      <c r="A93" s="2" t="s">
        <v>562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563</v>
      </c>
      <c r="G93" s="2" t="s">
        <v>564</v>
      </c>
      <c r="H93" s="2" t="s">
        <v>565</v>
      </c>
      <c r="I93" s="2" t="s">
        <v>137</v>
      </c>
      <c r="J93" s="2" t="s">
        <v>95</v>
      </c>
      <c r="K93" s="2" t="s">
        <v>523</v>
      </c>
      <c r="L93" s="3">
        <v>60.74</v>
      </c>
      <c r="M93" s="3">
        <v>63.78</v>
      </c>
      <c r="N93" s="3">
        <v>124.99</v>
      </c>
      <c r="O93" s="2" t="s">
        <v>97</v>
      </c>
      <c r="P93" s="2" t="s">
        <v>156</v>
      </c>
      <c r="Q93" s="2" t="s">
        <v>99</v>
      </c>
      <c r="R93" s="2" t="s">
        <v>100</v>
      </c>
      <c r="S93" s="2" t="s">
        <v>566</v>
      </c>
      <c r="T93" s="2" t="s">
        <v>100</v>
      </c>
      <c r="U93" s="2" t="s">
        <v>102</v>
      </c>
      <c r="V93" s="2" t="s">
        <v>141</v>
      </c>
      <c r="W93" s="2" t="s">
        <v>270</v>
      </c>
      <c r="X93" s="2" t="s">
        <v>271</v>
      </c>
      <c r="Y93" s="2" t="s">
        <v>567</v>
      </c>
      <c r="Z93" s="4">
        <v>323</v>
      </c>
      <c r="AA93" s="4">
        <f>=ROUNDDOWN(23.0714285714286,0)</f>
      </c>
      <c r="AB93" s="5">
        <v>14</v>
      </c>
      <c r="AC93" s="2" t="s">
        <v>312</v>
      </c>
      <c r="AD93" s="4">
        <v>250</v>
      </c>
      <c r="AE93" s="4">
        <v>420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/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/>
      <c r="BJ93" s="4">
        <v>43</v>
      </c>
      <c r="BK93" s="8">
        <v>3066</v>
      </c>
      <c r="BL93" s="2" t="s">
        <v>568</v>
      </c>
      <c r="BM93" s="7"/>
      <c r="BN93" s="7"/>
      <c r="BO93" s="4"/>
      <c r="BP93" s="8"/>
      <c r="BQ93" s="4"/>
      <c r="BR93" s="8"/>
      <c r="BS93" s="7"/>
      <c r="BT93" s="7"/>
      <c r="BU93" s="2" t="s">
        <v>569</v>
      </c>
      <c r="BV93" s="2" t="s">
        <v>97</v>
      </c>
      <c r="BW93" s="2" t="s">
        <v>100</v>
      </c>
      <c r="BX93" s="2" t="s">
        <v>100</v>
      </c>
      <c r="BY93" s="2" t="s">
        <v>112</v>
      </c>
      <c r="BZ93" s="2" t="s">
        <v>100</v>
      </c>
    </row>
    <row r="94">
      <c r="A94" s="2" t="s">
        <v>570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563</v>
      </c>
      <c r="G94" s="2" t="s">
        <v>564</v>
      </c>
      <c r="H94" s="2" t="s">
        <v>565</v>
      </c>
      <c r="I94" s="2" t="s">
        <v>137</v>
      </c>
      <c r="J94" s="2" t="s">
        <v>114</v>
      </c>
      <c r="K94" s="2" t="s">
        <v>523</v>
      </c>
      <c r="L94" s="3">
        <v>69.74</v>
      </c>
      <c r="M94" s="3">
        <v>73.23</v>
      </c>
      <c r="N94" s="3">
        <v>144.99</v>
      </c>
      <c r="O94" s="2" t="s">
        <v>97</v>
      </c>
      <c r="P94" s="2" t="s">
        <v>156</v>
      </c>
      <c r="Q94" s="2" t="s">
        <v>99</v>
      </c>
      <c r="R94" s="2" t="s">
        <v>100</v>
      </c>
      <c r="S94" s="2" t="s">
        <v>566</v>
      </c>
      <c r="T94" s="2" t="s">
        <v>100</v>
      </c>
      <c r="U94" s="2" t="s">
        <v>102</v>
      </c>
      <c r="V94" s="2" t="s">
        <v>141</v>
      </c>
      <c r="W94" s="2" t="s">
        <v>270</v>
      </c>
      <c r="X94" s="2" t="s">
        <v>271</v>
      </c>
      <c r="Y94" s="2" t="s">
        <v>567</v>
      </c>
      <c r="Z94" s="4">
        <v>266</v>
      </c>
      <c r="AA94" s="4">
        <f>=ROUNDDOWN(34.1025641025641,0)</f>
      </c>
      <c r="AB94" s="5">
        <v>7.8</v>
      </c>
      <c r="AC94" s="2" t="s">
        <v>130</v>
      </c>
      <c r="AD94" s="4">
        <v>120</v>
      </c>
      <c r="AE94" s="4">
        <v>250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/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/>
      <c r="BJ94" s="4">
        <v>57</v>
      </c>
      <c r="BK94" s="8">
        <v>4591.29</v>
      </c>
      <c r="BL94" s="2" t="s">
        <v>571</v>
      </c>
      <c r="BM94" s="7"/>
      <c r="BN94" s="7"/>
      <c r="BO94" s="4"/>
      <c r="BP94" s="8"/>
      <c r="BQ94" s="4"/>
      <c r="BR94" s="8"/>
      <c r="BS94" s="7"/>
      <c r="BT94" s="7"/>
      <c r="BU94" s="2" t="s">
        <v>569</v>
      </c>
      <c r="BV94" s="2" t="s">
        <v>97</v>
      </c>
      <c r="BW94" s="2" t="s">
        <v>100</v>
      </c>
      <c r="BX94" s="2" t="s">
        <v>100</v>
      </c>
      <c r="BY94" s="2" t="s">
        <v>112</v>
      </c>
      <c r="BZ94" s="2" t="s">
        <v>100</v>
      </c>
    </row>
    <row r="95">
      <c r="A95" s="2" t="s">
        <v>572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563</v>
      </c>
      <c r="G95" s="2" t="s">
        <v>564</v>
      </c>
      <c r="H95" s="2" t="s">
        <v>565</v>
      </c>
      <c r="I95" s="2" t="s">
        <v>137</v>
      </c>
      <c r="J95" s="2" t="s">
        <v>118</v>
      </c>
      <c r="K95" s="2" t="s">
        <v>523</v>
      </c>
      <c r="L95" s="3">
        <v>69.74</v>
      </c>
      <c r="M95" s="3">
        <v>73.23</v>
      </c>
      <c r="N95" s="3">
        <v>144.99</v>
      </c>
      <c r="O95" s="2" t="s">
        <v>97</v>
      </c>
      <c r="P95" s="2" t="s">
        <v>156</v>
      </c>
      <c r="Q95" s="2" t="s">
        <v>99</v>
      </c>
      <c r="R95" s="2" t="s">
        <v>100</v>
      </c>
      <c r="S95" s="2" t="s">
        <v>566</v>
      </c>
      <c r="T95" s="2" t="s">
        <v>100</v>
      </c>
      <c r="U95" s="2" t="s">
        <v>102</v>
      </c>
      <c r="V95" s="2" t="s">
        <v>141</v>
      </c>
      <c r="W95" s="2" t="s">
        <v>270</v>
      </c>
      <c r="X95" s="2" t="s">
        <v>271</v>
      </c>
      <c r="Y95" s="2" t="s">
        <v>567</v>
      </c>
      <c r="Z95" s="4">
        <v>197</v>
      </c>
      <c r="AA95" s="4">
        <f>=ROUNDDOWN(36.4814814814815,0)</f>
      </c>
      <c r="AB95" s="5">
        <v>5.4</v>
      </c>
      <c r="AC95" s="2" t="s">
        <v>312</v>
      </c>
      <c r="AD95" s="4">
        <v>60</v>
      </c>
      <c r="AE95" s="4">
        <v>130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/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/>
      <c r="BJ95" s="4">
        <v>21</v>
      </c>
      <c r="BK95" s="8">
        <v>1700.33</v>
      </c>
      <c r="BL95" s="2" t="s">
        <v>573</v>
      </c>
      <c r="BM95" s="7"/>
      <c r="BN95" s="7"/>
      <c r="BO95" s="4"/>
      <c r="BP95" s="8"/>
      <c r="BQ95" s="4"/>
      <c r="BR95" s="8"/>
      <c r="BS95" s="7"/>
      <c r="BT95" s="7"/>
      <c r="BU95" s="2" t="s">
        <v>569</v>
      </c>
      <c r="BV95" s="2" t="s">
        <v>97</v>
      </c>
      <c r="BW95" s="2" t="s">
        <v>100</v>
      </c>
      <c r="BX95" s="2" t="s">
        <v>100</v>
      </c>
      <c r="BY95" s="2" t="s">
        <v>112</v>
      </c>
      <c r="BZ95" s="2" t="s">
        <v>100</v>
      </c>
    </row>
    <row r="96">
      <c r="A96" s="2" t="s">
        <v>574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575</v>
      </c>
      <c r="G96" s="2" t="s">
        <v>576</v>
      </c>
      <c r="H96" s="2" t="s">
        <v>577</v>
      </c>
      <c r="I96" s="2" t="s">
        <v>578</v>
      </c>
      <c r="J96" s="2" t="s">
        <v>95</v>
      </c>
      <c r="K96" s="2" t="s">
        <v>223</v>
      </c>
      <c r="L96" s="3">
        <v>75.2</v>
      </c>
      <c r="M96" s="3">
        <v>78.96</v>
      </c>
      <c r="N96" s="3">
        <v>159.99</v>
      </c>
      <c r="O96" s="2" t="s">
        <v>97</v>
      </c>
      <c r="P96" s="2" t="s">
        <v>156</v>
      </c>
      <c r="Q96" s="2" t="s">
        <v>99</v>
      </c>
      <c r="R96" s="2" t="s">
        <v>100</v>
      </c>
      <c r="S96" s="2" t="s">
        <v>579</v>
      </c>
      <c r="T96" s="2" t="s">
        <v>190</v>
      </c>
      <c r="U96" s="2" t="s">
        <v>191</v>
      </c>
      <c r="V96" s="2" t="s">
        <v>192</v>
      </c>
      <c r="W96" s="2" t="s">
        <v>193</v>
      </c>
      <c r="X96" s="2" t="s">
        <v>580</v>
      </c>
      <c r="Y96" s="2" t="s">
        <v>581</v>
      </c>
      <c r="Z96" s="4">
        <v>292</v>
      </c>
      <c r="AA96" s="4">
        <f>=ROUNDDOWN(11.68,0)</f>
      </c>
      <c r="AB96" s="5">
        <v>25</v>
      </c>
      <c r="AC96" s="2" t="s">
        <v>582</v>
      </c>
      <c r="AD96" s="4">
        <v>30</v>
      </c>
      <c r="AE96" s="4">
        <v>550</v>
      </c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/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/>
      <c r="BJ96" s="4">
        <v>81</v>
      </c>
      <c r="BK96" s="8">
        <v>6611.01</v>
      </c>
      <c r="BL96" s="2" t="s">
        <v>583</v>
      </c>
      <c r="BM96" s="7"/>
      <c r="BN96" s="7"/>
      <c r="BO96" s="4"/>
      <c r="BP96" s="8"/>
      <c r="BQ96" s="4"/>
      <c r="BR96" s="8"/>
      <c r="BS96" s="7"/>
      <c r="BT96" s="7"/>
      <c r="BU96" s="2" t="s">
        <v>171</v>
      </c>
      <c r="BV96" s="2" t="s">
        <v>97</v>
      </c>
      <c r="BW96" s="2" t="s">
        <v>100</v>
      </c>
      <c r="BX96" s="2" t="s">
        <v>100</v>
      </c>
      <c r="BY96" s="2" t="s">
        <v>112</v>
      </c>
      <c r="BZ96" s="2" t="s">
        <v>100</v>
      </c>
    </row>
    <row r="97">
      <c r="A97" s="2" t="s">
        <v>584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575</v>
      </c>
      <c r="G97" s="2" t="s">
        <v>576</v>
      </c>
      <c r="H97" s="2" t="s">
        <v>577</v>
      </c>
      <c r="I97" s="2" t="s">
        <v>578</v>
      </c>
      <c r="J97" s="2" t="s">
        <v>114</v>
      </c>
      <c r="K97" s="2" t="s">
        <v>223</v>
      </c>
      <c r="L97" s="3">
        <v>84.6</v>
      </c>
      <c r="M97" s="3">
        <v>88.83</v>
      </c>
      <c r="N97" s="3">
        <v>179.99</v>
      </c>
      <c r="O97" s="2" t="s">
        <v>97</v>
      </c>
      <c r="P97" s="2" t="s">
        <v>156</v>
      </c>
      <c r="Q97" s="2" t="s">
        <v>99</v>
      </c>
      <c r="R97" s="2" t="s">
        <v>100</v>
      </c>
      <c r="S97" s="2" t="s">
        <v>579</v>
      </c>
      <c r="T97" s="2" t="s">
        <v>190</v>
      </c>
      <c r="U97" s="2" t="s">
        <v>191</v>
      </c>
      <c r="V97" s="2" t="s">
        <v>192</v>
      </c>
      <c r="W97" s="2" t="s">
        <v>193</v>
      </c>
      <c r="X97" s="2" t="s">
        <v>580</v>
      </c>
      <c r="Y97" s="2" t="s">
        <v>581</v>
      </c>
      <c r="Z97" s="4">
        <v>311</v>
      </c>
      <c r="AA97" s="4">
        <f>=ROUNDDOWN(19.4375,0)</f>
      </c>
      <c r="AB97" s="5">
        <v>16</v>
      </c>
      <c r="AC97" s="2" t="s">
        <v>582</v>
      </c>
      <c r="AD97" s="4">
        <v>30</v>
      </c>
      <c r="AE97" s="4">
        <v>310</v>
      </c>
      <c r="AF97" s="6">
        <v>65</v>
      </c>
      <c r="AG97" s="6">
        <v>73</v>
      </c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/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/>
      <c r="BJ97" s="4">
        <v>61</v>
      </c>
      <c r="BK97" s="8">
        <v>5687.36</v>
      </c>
      <c r="BL97" s="2" t="s">
        <v>585</v>
      </c>
      <c r="BM97" s="7"/>
      <c r="BN97" s="7"/>
      <c r="BO97" s="4"/>
      <c r="BP97" s="8"/>
      <c r="BQ97" s="4"/>
      <c r="BR97" s="8"/>
      <c r="BS97" s="7"/>
      <c r="BT97" s="7"/>
      <c r="BU97" s="2" t="s">
        <v>171</v>
      </c>
      <c r="BV97" s="2" t="s">
        <v>97</v>
      </c>
      <c r="BW97" s="2" t="s">
        <v>100</v>
      </c>
      <c r="BX97" s="2" t="s">
        <v>100</v>
      </c>
      <c r="BY97" s="2" t="s">
        <v>112</v>
      </c>
      <c r="BZ97" s="2" t="s">
        <v>100</v>
      </c>
    </row>
    <row r="98">
      <c r="A98" s="2" t="s">
        <v>586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575</v>
      </c>
      <c r="G98" s="2" t="s">
        <v>576</v>
      </c>
      <c r="H98" s="2" t="s">
        <v>577</v>
      </c>
      <c r="I98" s="2" t="s">
        <v>578</v>
      </c>
      <c r="J98" s="2" t="s">
        <v>118</v>
      </c>
      <c r="K98" s="2" t="s">
        <v>223</v>
      </c>
      <c r="L98" s="3">
        <v>84.6</v>
      </c>
      <c r="M98" s="3">
        <v>88.83</v>
      </c>
      <c r="N98" s="3">
        <v>179.99</v>
      </c>
      <c r="O98" s="2" t="s">
        <v>97</v>
      </c>
      <c r="P98" s="2" t="s">
        <v>156</v>
      </c>
      <c r="Q98" s="2" t="s">
        <v>99</v>
      </c>
      <c r="R98" s="2" t="s">
        <v>100</v>
      </c>
      <c r="S98" s="2" t="s">
        <v>579</v>
      </c>
      <c r="T98" s="2" t="s">
        <v>190</v>
      </c>
      <c r="U98" s="2" t="s">
        <v>191</v>
      </c>
      <c r="V98" s="2" t="s">
        <v>192</v>
      </c>
      <c r="W98" s="2" t="s">
        <v>193</v>
      </c>
      <c r="X98" s="2" t="s">
        <v>580</v>
      </c>
      <c r="Y98" s="2" t="s">
        <v>581</v>
      </c>
      <c r="Z98" s="4">
        <v>122</v>
      </c>
      <c r="AA98" s="4">
        <f>=ROUNDDOWN(7.17647058823529,0)</f>
      </c>
      <c r="AB98" s="5">
        <v>17</v>
      </c>
      <c r="AC98" s="2" t="s">
        <v>582</v>
      </c>
      <c r="AD98" s="4">
        <v>30</v>
      </c>
      <c r="AE98" s="4">
        <v>190</v>
      </c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100</v>
      </c>
      <c r="AW98" s="8" t="s">
        <v>100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/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/>
      <c r="BJ98" s="4">
        <v>31</v>
      </c>
      <c r="BK98" s="8">
        <v>2973.57</v>
      </c>
      <c r="BL98" s="2" t="s">
        <v>587</v>
      </c>
      <c r="BM98" s="7"/>
      <c r="BN98" s="7"/>
      <c r="BO98" s="4"/>
      <c r="BP98" s="8"/>
      <c r="BQ98" s="4"/>
      <c r="BR98" s="8"/>
      <c r="BS98" s="7"/>
      <c r="BT98" s="7"/>
      <c r="BU98" s="2" t="s">
        <v>171</v>
      </c>
      <c r="BV98" s="2" t="s">
        <v>97</v>
      </c>
      <c r="BW98" s="2" t="s">
        <v>100</v>
      </c>
      <c r="BX98" s="2" t="s">
        <v>100</v>
      </c>
      <c r="BY98" s="2" t="s">
        <v>112</v>
      </c>
      <c r="BZ98" s="2" t="s">
        <v>100</v>
      </c>
    </row>
    <row r="99">
      <c r="A99" s="2" t="s">
        <v>588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589</v>
      </c>
      <c r="G99" s="2" t="s">
        <v>590</v>
      </c>
      <c r="H99" s="2" t="s">
        <v>591</v>
      </c>
      <c r="I99" s="2" t="s">
        <v>592</v>
      </c>
      <c r="J99" s="2" t="s">
        <v>522</v>
      </c>
      <c r="K99" s="2" t="s">
        <v>471</v>
      </c>
      <c r="L99" s="3">
        <v>38.09</v>
      </c>
      <c r="M99" s="3">
        <v>39.99</v>
      </c>
      <c r="N99" s="3">
        <v>79.99</v>
      </c>
      <c r="O99" s="2" t="s">
        <v>97</v>
      </c>
      <c r="P99" s="2" t="s">
        <v>98</v>
      </c>
      <c r="Q99" s="2" t="s">
        <v>99</v>
      </c>
      <c r="R99" s="2" t="s">
        <v>100</v>
      </c>
      <c r="S99" s="2" t="s">
        <v>593</v>
      </c>
      <c r="T99" s="2" t="s">
        <v>438</v>
      </c>
      <c r="U99" s="2" t="s">
        <v>460</v>
      </c>
      <c r="V99" s="2" t="s">
        <v>192</v>
      </c>
      <c r="W99" s="2" t="s">
        <v>193</v>
      </c>
      <c r="X99" s="2" t="s">
        <v>594</v>
      </c>
      <c r="Y99" s="2" t="s">
        <v>245</v>
      </c>
      <c r="Z99" s="4">
        <v>325</v>
      </c>
      <c r="AA99" s="4">
        <f>=ROUNDDOWN(25,0)</f>
      </c>
      <c r="AB99" s="5">
        <v>13</v>
      </c>
      <c r="AC99" s="2" t="s">
        <v>145</v>
      </c>
      <c r="AD99" s="4">
        <v>170</v>
      </c>
      <c r="AE99" s="4">
        <v>170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/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/>
      <c r="BJ99" s="4">
        <v>39</v>
      </c>
      <c r="BK99" s="8">
        <v>1669.71</v>
      </c>
      <c r="BL99" s="2" t="s">
        <v>595</v>
      </c>
      <c r="BM99" s="7"/>
      <c r="BN99" s="7"/>
      <c r="BO99" s="4"/>
      <c r="BP99" s="8"/>
      <c r="BQ99" s="4"/>
      <c r="BR99" s="8"/>
      <c r="BS99" s="7"/>
      <c r="BT99" s="7"/>
      <c r="BU99" s="2" t="s">
        <v>171</v>
      </c>
      <c r="BV99" s="2" t="s">
        <v>97</v>
      </c>
      <c r="BW99" s="2" t="s">
        <v>100</v>
      </c>
      <c r="BX99" s="2" t="s">
        <v>100</v>
      </c>
      <c r="BY99" s="2" t="s">
        <v>112</v>
      </c>
      <c r="BZ99" s="2" t="s">
        <v>100</v>
      </c>
    </row>
    <row r="100">
      <c r="A100" s="2" t="s">
        <v>596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589</v>
      </c>
      <c r="G100" s="2" t="s">
        <v>590</v>
      </c>
      <c r="H100" s="2" t="s">
        <v>591</v>
      </c>
      <c r="I100" s="2" t="s">
        <v>592</v>
      </c>
      <c r="J100" s="2" t="s">
        <v>529</v>
      </c>
      <c r="K100" s="2" t="s">
        <v>471</v>
      </c>
      <c r="L100" s="3">
        <v>42.85</v>
      </c>
      <c r="M100" s="3">
        <v>44.99</v>
      </c>
      <c r="N100" s="3">
        <v>89.99</v>
      </c>
      <c r="O100" s="2" t="s">
        <v>97</v>
      </c>
      <c r="P100" s="2" t="s">
        <v>98</v>
      </c>
      <c r="Q100" s="2" t="s">
        <v>99</v>
      </c>
      <c r="R100" s="2" t="s">
        <v>100</v>
      </c>
      <c r="S100" s="2" t="s">
        <v>593</v>
      </c>
      <c r="T100" s="2" t="s">
        <v>438</v>
      </c>
      <c r="U100" s="2" t="s">
        <v>460</v>
      </c>
      <c r="V100" s="2" t="s">
        <v>192</v>
      </c>
      <c r="W100" s="2" t="s">
        <v>193</v>
      </c>
      <c r="X100" s="2" t="s">
        <v>594</v>
      </c>
      <c r="Y100" s="2" t="s">
        <v>245</v>
      </c>
      <c r="Z100" s="4">
        <v>216</v>
      </c>
      <c r="AA100" s="4">
        <f>=ROUNDDOWN(24,0)</f>
      </c>
      <c r="AB100" s="5">
        <v>9</v>
      </c>
      <c r="AC100" s="2" t="s">
        <v>145</v>
      </c>
      <c r="AD100" s="4">
        <v>70</v>
      </c>
      <c r="AE100" s="4">
        <v>70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/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/>
      <c r="BJ100" s="4">
        <v>28</v>
      </c>
      <c r="BK100" s="8">
        <v>1343.78</v>
      </c>
      <c r="BL100" s="2" t="s">
        <v>597</v>
      </c>
      <c r="BM100" s="7"/>
      <c r="BN100" s="7"/>
      <c r="BO100" s="4"/>
      <c r="BP100" s="8"/>
      <c r="BQ100" s="4"/>
      <c r="BR100" s="8"/>
      <c r="BS100" s="7"/>
      <c r="BT100" s="7"/>
      <c r="BU100" s="2" t="s">
        <v>171</v>
      </c>
      <c r="BV100" s="2" t="s">
        <v>97</v>
      </c>
      <c r="BW100" s="2" t="s">
        <v>100</v>
      </c>
      <c r="BX100" s="2" t="s">
        <v>100</v>
      </c>
      <c r="BY100" s="2" t="s">
        <v>112</v>
      </c>
      <c r="BZ100" s="2" t="s">
        <v>100</v>
      </c>
    </row>
    <row r="101">
      <c r="A101" s="2" t="s">
        <v>598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589</v>
      </c>
      <c r="G101" s="2" t="s">
        <v>590</v>
      </c>
      <c r="H101" s="2" t="s">
        <v>591</v>
      </c>
      <c r="I101" s="2" t="s">
        <v>592</v>
      </c>
      <c r="J101" s="2" t="s">
        <v>522</v>
      </c>
      <c r="K101" s="2" t="s">
        <v>256</v>
      </c>
      <c r="L101" s="3">
        <v>38.09</v>
      </c>
      <c r="M101" s="3">
        <v>39.99</v>
      </c>
      <c r="N101" s="3">
        <v>79.99</v>
      </c>
      <c r="O101" s="2" t="s">
        <v>97</v>
      </c>
      <c r="P101" s="2" t="s">
        <v>98</v>
      </c>
      <c r="Q101" s="2" t="s">
        <v>99</v>
      </c>
      <c r="R101" s="2" t="s">
        <v>100</v>
      </c>
      <c r="S101" s="2" t="s">
        <v>599</v>
      </c>
      <c r="T101" s="2" t="s">
        <v>438</v>
      </c>
      <c r="U101" s="2" t="s">
        <v>460</v>
      </c>
      <c r="V101" s="2" t="s">
        <v>192</v>
      </c>
      <c r="W101" s="2" t="s">
        <v>193</v>
      </c>
      <c r="X101" s="2" t="s">
        <v>594</v>
      </c>
      <c r="Y101" s="2" t="s">
        <v>600</v>
      </c>
      <c r="Z101" s="4">
        <v>536</v>
      </c>
      <c r="AA101" s="4">
        <f>=ROUNDDOWN(38.2857142857143,0)</f>
      </c>
      <c r="AB101" s="5">
        <v>14</v>
      </c>
      <c r="AC101" s="2" t="s">
        <v>145</v>
      </c>
      <c r="AD101" s="4">
        <v>70</v>
      </c>
      <c r="AE101" s="4">
        <v>70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/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/>
      <c r="BJ101" s="4">
        <v>43</v>
      </c>
      <c r="BK101" s="8">
        <v>1779.8</v>
      </c>
      <c r="BL101" s="2" t="s">
        <v>601</v>
      </c>
      <c r="BM101" s="7"/>
      <c r="BN101" s="7"/>
      <c r="BO101" s="4"/>
      <c r="BP101" s="8"/>
      <c r="BQ101" s="4"/>
      <c r="BR101" s="8"/>
      <c r="BS101" s="7"/>
      <c r="BT101" s="7"/>
      <c r="BU101" s="2" t="s">
        <v>171</v>
      </c>
      <c r="BV101" s="2" t="s">
        <v>97</v>
      </c>
      <c r="BW101" s="2" t="s">
        <v>100</v>
      </c>
      <c r="BX101" s="2" t="s">
        <v>100</v>
      </c>
      <c r="BY101" s="2" t="s">
        <v>112</v>
      </c>
      <c r="BZ101" s="2" t="s">
        <v>100</v>
      </c>
    </row>
    <row r="102">
      <c r="A102" s="2" t="s">
        <v>602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589</v>
      </c>
      <c r="G102" s="2" t="s">
        <v>590</v>
      </c>
      <c r="H102" s="2" t="s">
        <v>591</v>
      </c>
      <c r="I102" s="2" t="s">
        <v>592</v>
      </c>
      <c r="J102" s="2" t="s">
        <v>529</v>
      </c>
      <c r="K102" s="2" t="s">
        <v>256</v>
      </c>
      <c r="L102" s="3">
        <v>42.85</v>
      </c>
      <c r="M102" s="3">
        <v>44.99</v>
      </c>
      <c r="N102" s="3">
        <v>89.99</v>
      </c>
      <c r="O102" s="2" t="s">
        <v>97</v>
      </c>
      <c r="P102" s="2" t="s">
        <v>98</v>
      </c>
      <c r="Q102" s="2" t="s">
        <v>99</v>
      </c>
      <c r="R102" s="2" t="s">
        <v>100</v>
      </c>
      <c r="S102" s="2" t="s">
        <v>599</v>
      </c>
      <c r="T102" s="2" t="s">
        <v>438</v>
      </c>
      <c r="U102" s="2" t="s">
        <v>460</v>
      </c>
      <c r="V102" s="2" t="s">
        <v>192</v>
      </c>
      <c r="W102" s="2" t="s">
        <v>193</v>
      </c>
      <c r="X102" s="2" t="s">
        <v>594</v>
      </c>
      <c r="Y102" s="2" t="s">
        <v>600</v>
      </c>
      <c r="Z102" s="4">
        <v>470</v>
      </c>
      <c r="AA102" s="4">
        <f>=ROUNDDOWN(42.7272727272727,0)</f>
      </c>
      <c r="AB102" s="5">
        <v>11</v>
      </c>
      <c r="AC102" s="2" t="s">
        <v>100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/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/>
      <c r="BJ102" s="4">
        <v>38</v>
      </c>
      <c r="BK102" s="8">
        <v>1771.54</v>
      </c>
      <c r="BL102" s="2" t="s">
        <v>603</v>
      </c>
      <c r="BM102" s="7"/>
      <c r="BN102" s="7"/>
      <c r="BO102" s="4"/>
      <c r="BP102" s="8"/>
      <c r="BQ102" s="4"/>
      <c r="BR102" s="8"/>
      <c r="BS102" s="7"/>
      <c r="BT102" s="7"/>
      <c r="BU102" s="2" t="s">
        <v>171</v>
      </c>
      <c r="BV102" s="2" t="s">
        <v>97</v>
      </c>
      <c r="BW102" s="2" t="s">
        <v>100</v>
      </c>
      <c r="BX102" s="2" t="s">
        <v>100</v>
      </c>
      <c r="BY102" s="2" t="s">
        <v>112</v>
      </c>
      <c r="BZ102" s="2" t="s">
        <v>100</v>
      </c>
    </row>
    <row r="103">
      <c r="A103" s="2" t="s">
        <v>604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605</v>
      </c>
      <c r="G103" s="2" t="s">
        <v>606</v>
      </c>
      <c r="H103" s="2" t="s">
        <v>607</v>
      </c>
      <c r="I103" s="2" t="s">
        <v>343</v>
      </c>
      <c r="J103" s="2" t="s">
        <v>114</v>
      </c>
      <c r="K103" s="2" t="s">
        <v>223</v>
      </c>
      <c r="L103" s="3">
        <v>75.2</v>
      </c>
      <c r="M103" s="3">
        <v>78.96</v>
      </c>
      <c r="N103" s="3">
        <v>159.99</v>
      </c>
      <c r="O103" s="2" t="s">
        <v>97</v>
      </c>
      <c r="P103" s="2" t="s">
        <v>156</v>
      </c>
      <c r="Q103" s="2" t="s">
        <v>99</v>
      </c>
      <c r="R103" s="2" t="s">
        <v>100</v>
      </c>
      <c r="S103" s="2" t="s">
        <v>608</v>
      </c>
      <c r="T103" s="2" t="s">
        <v>100</v>
      </c>
      <c r="U103" s="2" t="s">
        <v>102</v>
      </c>
      <c r="V103" s="2" t="s">
        <v>141</v>
      </c>
      <c r="W103" s="2" t="s">
        <v>609</v>
      </c>
      <c r="X103" s="2" t="s">
        <v>142</v>
      </c>
      <c r="Y103" s="2" t="s">
        <v>144</v>
      </c>
      <c r="Z103" s="4">
        <v>384</v>
      </c>
      <c r="AA103" s="4">
        <f>=ROUNDDOWN(25.6,0)</f>
      </c>
      <c r="AB103" s="5">
        <v>15</v>
      </c>
      <c r="AC103" s="2" t="s">
        <v>107</v>
      </c>
      <c r="AD103" s="4">
        <v>120</v>
      </c>
      <c r="AE103" s="4">
        <v>360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>
        <v>44</v>
      </c>
      <c r="BK103" s="8">
        <v>3455.46</v>
      </c>
      <c r="BL103" s="2" t="s">
        <v>610</v>
      </c>
      <c r="BM103" s="7"/>
      <c r="BN103" s="7"/>
      <c r="BO103" s="4"/>
      <c r="BP103" s="8"/>
      <c r="BQ103" s="4"/>
      <c r="BR103" s="8"/>
      <c r="BS103" s="7"/>
      <c r="BT103" s="7"/>
      <c r="BU103" s="2" t="s">
        <v>109</v>
      </c>
      <c r="BV103" s="2" t="s">
        <v>97</v>
      </c>
      <c r="BW103" s="2" t="s">
        <v>464</v>
      </c>
      <c r="BX103" s="2" t="s">
        <v>611</v>
      </c>
      <c r="BY103" s="2" t="s">
        <v>112</v>
      </c>
      <c r="BZ103" s="2" t="s">
        <v>100</v>
      </c>
    </row>
    <row r="104">
      <c r="A104" s="2" t="s">
        <v>612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613</v>
      </c>
      <c r="G104" s="2" t="s">
        <v>614</v>
      </c>
      <c r="H104" s="2" t="s">
        <v>615</v>
      </c>
      <c r="I104" s="2" t="s">
        <v>616</v>
      </c>
      <c r="J104" s="2" t="s">
        <v>95</v>
      </c>
      <c r="K104" s="2" t="s">
        <v>188</v>
      </c>
      <c r="L104" s="3">
        <v>85.47</v>
      </c>
      <c r="M104" s="3">
        <v>89.74</v>
      </c>
      <c r="N104" s="3">
        <v>149.99</v>
      </c>
      <c r="O104" s="2" t="s">
        <v>97</v>
      </c>
      <c r="P104" s="2" t="s">
        <v>123</v>
      </c>
      <c r="Q104" s="2" t="s">
        <v>99</v>
      </c>
      <c r="R104" s="2" t="s">
        <v>100</v>
      </c>
      <c r="S104" s="2" t="s">
        <v>617</v>
      </c>
      <c r="T104" s="2" t="s">
        <v>100</v>
      </c>
      <c r="U104" s="2" t="s">
        <v>618</v>
      </c>
      <c r="V104" s="2" t="s">
        <v>141</v>
      </c>
      <c r="W104" s="2" t="s">
        <v>525</v>
      </c>
      <c r="X104" s="2" t="s">
        <v>619</v>
      </c>
      <c r="Y104" s="2" t="s">
        <v>620</v>
      </c>
      <c r="Z104" s="4">
        <v>217</v>
      </c>
      <c r="AA104" s="4">
        <f>=ROUNDDOWN(7.48275862068966,0)</f>
      </c>
      <c r="AB104" s="5">
        <v>29</v>
      </c>
      <c r="AC104" s="2" t="s">
        <v>582</v>
      </c>
      <c r="AD104" s="4">
        <v>60</v>
      </c>
      <c r="AE104" s="4">
        <v>810</v>
      </c>
      <c r="AF104" s="6">
        <v>65</v>
      </c>
      <c r="AG104" s="6">
        <v>73</v>
      </c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/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/>
      <c r="BJ104" s="4">
        <v>93</v>
      </c>
      <c r="BK104" s="8">
        <v>8803.38</v>
      </c>
      <c r="BL104" s="2" t="s">
        <v>621</v>
      </c>
      <c r="BM104" s="7"/>
      <c r="BN104" s="7"/>
      <c r="BO104" s="4"/>
      <c r="BP104" s="8"/>
      <c r="BQ104" s="4"/>
      <c r="BR104" s="8"/>
      <c r="BS104" s="7"/>
      <c r="BT104" s="7"/>
      <c r="BU104" s="2" t="s">
        <v>171</v>
      </c>
      <c r="BV104" s="2" t="s">
        <v>97</v>
      </c>
      <c r="BW104" s="2" t="s">
        <v>100</v>
      </c>
      <c r="BX104" s="2" t="s">
        <v>100</v>
      </c>
      <c r="BY104" s="2" t="s">
        <v>112</v>
      </c>
      <c r="BZ104" s="2" t="s">
        <v>100</v>
      </c>
    </row>
    <row r="105">
      <c r="A105" s="2" t="s">
        <v>622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613</v>
      </c>
      <c r="G105" s="2" t="s">
        <v>614</v>
      </c>
      <c r="H105" s="2" t="s">
        <v>615</v>
      </c>
      <c r="I105" s="2" t="s">
        <v>616</v>
      </c>
      <c r="J105" s="2" t="s">
        <v>114</v>
      </c>
      <c r="K105" s="2" t="s">
        <v>188</v>
      </c>
      <c r="L105" s="3">
        <v>95.51</v>
      </c>
      <c r="M105" s="3">
        <v>100.29</v>
      </c>
      <c r="N105" s="3">
        <v>169.99</v>
      </c>
      <c r="O105" s="2" t="s">
        <v>97</v>
      </c>
      <c r="P105" s="2" t="s">
        <v>123</v>
      </c>
      <c r="Q105" s="2" t="s">
        <v>99</v>
      </c>
      <c r="R105" s="2" t="s">
        <v>100</v>
      </c>
      <c r="S105" s="2" t="s">
        <v>617</v>
      </c>
      <c r="T105" s="2" t="s">
        <v>100</v>
      </c>
      <c r="U105" s="2" t="s">
        <v>618</v>
      </c>
      <c r="V105" s="2" t="s">
        <v>141</v>
      </c>
      <c r="W105" s="2" t="s">
        <v>525</v>
      </c>
      <c r="X105" s="2" t="s">
        <v>619</v>
      </c>
      <c r="Y105" s="2" t="s">
        <v>620</v>
      </c>
      <c r="Z105" s="4">
        <v>145</v>
      </c>
      <c r="AA105" s="4">
        <f>=ROUNDDOWN(8.52941176470588,0)</f>
      </c>
      <c r="AB105" s="5">
        <v>17</v>
      </c>
      <c r="AC105" s="2" t="s">
        <v>206</v>
      </c>
      <c r="AD105" s="4">
        <v>70</v>
      </c>
      <c r="AE105" s="4">
        <v>480</v>
      </c>
      <c r="AF105" s="6">
        <v>65</v>
      </c>
      <c r="AG105" s="6">
        <v>73</v>
      </c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/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/>
      <c r="BJ105" s="4">
        <v>35</v>
      </c>
      <c r="BK105" s="8">
        <v>3856.36</v>
      </c>
      <c r="BL105" s="2" t="s">
        <v>480</v>
      </c>
      <c r="BM105" s="7"/>
      <c r="BN105" s="7"/>
      <c r="BO105" s="4"/>
      <c r="BP105" s="8"/>
      <c r="BQ105" s="4"/>
      <c r="BR105" s="8"/>
      <c r="BS105" s="7"/>
      <c r="BT105" s="7"/>
      <c r="BU105" s="2" t="s">
        <v>171</v>
      </c>
      <c r="BV105" s="2" t="s">
        <v>97</v>
      </c>
      <c r="BW105" s="2" t="s">
        <v>100</v>
      </c>
      <c r="BX105" s="2" t="s">
        <v>100</v>
      </c>
      <c r="BY105" s="2" t="s">
        <v>112</v>
      </c>
      <c r="BZ105" s="2" t="s">
        <v>100</v>
      </c>
    </row>
    <row r="106">
      <c r="A106" s="2" t="s">
        <v>623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613</v>
      </c>
      <c r="G106" s="2" t="s">
        <v>614</v>
      </c>
      <c r="H106" s="2" t="s">
        <v>615</v>
      </c>
      <c r="I106" s="2" t="s">
        <v>616</v>
      </c>
      <c r="J106" s="2" t="s">
        <v>118</v>
      </c>
      <c r="K106" s="2" t="s">
        <v>188</v>
      </c>
      <c r="L106" s="3">
        <v>95.51</v>
      </c>
      <c r="M106" s="3">
        <v>100.29</v>
      </c>
      <c r="N106" s="3">
        <v>169.99</v>
      </c>
      <c r="O106" s="2" t="s">
        <v>97</v>
      </c>
      <c r="P106" s="2" t="s">
        <v>123</v>
      </c>
      <c r="Q106" s="2" t="s">
        <v>99</v>
      </c>
      <c r="R106" s="2" t="s">
        <v>100</v>
      </c>
      <c r="S106" s="2" t="s">
        <v>617</v>
      </c>
      <c r="T106" s="2" t="s">
        <v>100</v>
      </c>
      <c r="U106" s="2" t="s">
        <v>618</v>
      </c>
      <c r="V106" s="2" t="s">
        <v>141</v>
      </c>
      <c r="W106" s="2" t="s">
        <v>525</v>
      </c>
      <c r="X106" s="2" t="s">
        <v>619</v>
      </c>
      <c r="Y106" s="2" t="s">
        <v>620</v>
      </c>
      <c r="Z106" s="4">
        <v>25</v>
      </c>
      <c r="AA106" s="4">
        <f>=ROUNDDOWN(5,0)</f>
      </c>
      <c r="AB106" s="5">
        <v>5</v>
      </c>
      <c r="AC106" s="2" t="s">
        <v>206</v>
      </c>
      <c r="AD106" s="4">
        <v>60</v>
      </c>
      <c r="AE106" s="4">
        <v>170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/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/>
      <c r="BJ106" s="4">
        <v>18</v>
      </c>
      <c r="BK106" s="8">
        <v>1827.19</v>
      </c>
      <c r="BL106" s="2" t="s">
        <v>624</v>
      </c>
      <c r="BM106" s="7"/>
      <c r="BN106" s="7"/>
      <c r="BO106" s="4"/>
      <c r="BP106" s="8"/>
      <c r="BQ106" s="4"/>
      <c r="BR106" s="8"/>
      <c r="BS106" s="7"/>
      <c r="BT106" s="7"/>
      <c r="BU106" s="2" t="s">
        <v>171</v>
      </c>
      <c r="BV106" s="2" t="s">
        <v>97</v>
      </c>
      <c r="BW106" s="2" t="s">
        <v>100</v>
      </c>
      <c r="BX106" s="2" t="s">
        <v>100</v>
      </c>
      <c r="BY106" s="2" t="s">
        <v>112</v>
      </c>
      <c r="BZ106" s="2" t="s">
        <v>100</v>
      </c>
    </row>
    <row r="107">
      <c r="A107" s="2" t="s">
        <v>625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613</v>
      </c>
      <c r="G107" s="2" t="s">
        <v>614</v>
      </c>
      <c r="H107" s="2" t="s">
        <v>615</v>
      </c>
      <c r="I107" s="2" t="s">
        <v>616</v>
      </c>
      <c r="J107" s="2" t="s">
        <v>95</v>
      </c>
      <c r="K107" s="2" t="s">
        <v>626</v>
      </c>
      <c r="L107" s="3">
        <v>85.47</v>
      </c>
      <c r="M107" s="3">
        <v>89.74</v>
      </c>
      <c r="N107" s="3">
        <v>149.99</v>
      </c>
      <c r="O107" s="2" t="s">
        <v>97</v>
      </c>
      <c r="P107" s="2" t="s">
        <v>98</v>
      </c>
      <c r="Q107" s="2" t="s">
        <v>99</v>
      </c>
      <c r="R107" s="2" t="s">
        <v>100</v>
      </c>
      <c r="S107" s="2" t="s">
        <v>627</v>
      </c>
      <c r="T107" s="2" t="s">
        <v>190</v>
      </c>
      <c r="U107" s="2" t="s">
        <v>618</v>
      </c>
      <c r="V107" s="2" t="s">
        <v>141</v>
      </c>
      <c r="W107" s="2" t="s">
        <v>525</v>
      </c>
      <c r="X107" s="2" t="s">
        <v>619</v>
      </c>
      <c r="Y107" s="2" t="s">
        <v>628</v>
      </c>
      <c r="Z107" s="4">
        <v>190</v>
      </c>
      <c r="AA107" s="4">
        <f>=ROUNDDOWN(8.26086956521739,0)</f>
      </c>
      <c r="AB107" s="5">
        <v>23</v>
      </c>
      <c r="AC107" s="2" t="s">
        <v>629</v>
      </c>
      <c r="AD107" s="4">
        <v>60</v>
      </c>
      <c r="AE107" s="4">
        <v>570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/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/>
      <c r="BJ107" s="4">
        <v>95</v>
      </c>
      <c r="BK107" s="8">
        <v>8973.03</v>
      </c>
      <c r="BL107" s="2" t="s">
        <v>630</v>
      </c>
      <c r="BM107" s="7"/>
      <c r="BN107" s="7"/>
      <c r="BO107" s="4"/>
      <c r="BP107" s="8"/>
      <c r="BQ107" s="4"/>
      <c r="BR107" s="8"/>
      <c r="BS107" s="7"/>
      <c r="BT107" s="7"/>
      <c r="BU107" s="2" t="s">
        <v>171</v>
      </c>
      <c r="BV107" s="2" t="s">
        <v>97</v>
      </c>
      <c r="BW107" s="2" t="s">
        <v>100</v>
      </c>
      <c r="BX107" s="2" t="s">
        <v>100</v>
      </c>
      <c r="BY107" s="2" t="s">
        <v>112</v>
      </c>
      <c r="BZ107" s="2" t="s">
        <v>149</v>
      </c>
    </row>
    <row r="108">
      <c r="A108" s="2" t="s">
        <v>631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613</v>
      </c>
      <c r="G108" s="2" t="s">
        <v>614</v>
      </c>
      <c r="H108" s="2" t="s">
        <v>615</v>
      </c>
      <c r="I108" s="2" t="s">
        <v>616</v>
      </c>
      <c r="J108" s="2" t="s">
        <v>114</v>
      </c>
      <c r="K108" s="2" t="s">
        <v>626</v>
      </c>
      <c r="L108" s="3">
        <v>95.51</v>
      </c>
      <c r="M108" s="3">
        <v>100.29</v>
      </c>
      <c r="N108" s="3">
        <v>169.99</v>
      </c>
      <c r="O108" s="2" t="s">
        <v>97</v>
      </c>
      <c r="P108" s="2" t="s">
        <v>98</v>
      </c>
      <c r="Q108" s="2" t="s">
        <v>99</v>
      </c>
      <c r="R108" s="2" t="s">
        <v>100</v>
      </c>
      <c r="S108" s="2" t="s">
        <v>627</v>
      </c>
      <c r="T108" s="2" t="s">
        <v>190</v>
      </c>
      <c r="U108" s="2" t="s">
        <v>618</v>
      </c>
      <c r="V108" s="2" t="s">
        <v>141</v>
      </c>
      <c r="W108" s="2" t="s">
        <v>525</v>
      </c>
      <c r="X108" s="2" t="s">
        <v>619</v>
      </c>
      <c r="Y108" s="2" t="s">
        <v>628</v>
      </c>
      <c r="Z108" s="4">
        <v>141</v>
      </c>
      <c r="AA108" s="4">
        <f>=ROUNDDOWN(8.29411764705882,0)</f>
      </c>
      <c r="AB108" s="5">
        <v>17</v>
      </c>
      <c r="AC108" s="2" t="s">
        <v>262</v>
      </c>
      <c r="AD108" s="4">
        <v>80</v>
      </c>
      <c r="AE108" s="4">
        <v>450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/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/>
      <c r="BJ108" s="4">
        <v>48</v>
      </c>
      <c r="BK108" s="8">
        <v>5069.35</v>
      </c>
      <c r="BL108" s="2" t="s">
        <v>632</v>
      </c>
      <c r="BM108" s="7"/>
      <c r="BN108" s="7"/>
      <c r="BO108" s="4"/>
      <c r="BP108" s="8"/>
      <c r="BQ108" s="4"/>
      <c r="BR108" s="8"/>
      <c r="BS108" s="7"/>
      <c r="BT108" s="7"/>
      <c r="BU108" s="2" t="s">
        <v>171</v>
      </c>
      <c r="BV108" s="2" t="s">
        <v>97</v>
      </c>
      <c r="BW108" s="2" t="s">
        <v>100</v>
      </c>
      <c r="BX108" s="2" t="s">
        <v>100</v>
      </c>
      <c r="BY108" s="2" t="s">
        <v>112</v>
      </c>
      <c r="BZ108" s="2" t="s">
        <v>149</v>
      </c>
    </row>
    <row r="109">
      <c r="A109" s="2" t="s">
        <v>633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613</v>
      </c>
      <c r="G109" s="2" t="s">
        <v>614</v>
      </c>
      <c r="H109" s="2" t="s">
        <v>615</v>
      </c>
      <c r="I109" s="2" t="s">
        <v>616</v>
      </c>
      <c r="J109" s="2" t="s">
        <v>118</v>
      </c>
      <c r="K109" s="2" t="s">
        <v>626</v>
      </c>
      <c r="L109" s="3">
        <v>95.51</v>
      </c>
      <c r="M109" s="3">
        <v>100.29</v>
      </c>
      <c r="N109" s="3">
        <v>169.99</v>
      </c>
      <c r="O109" s="2" t="s">
        <v>97</v>
      </c>
      <c r="P109" s="2" t="s">
        <v>98</v>
      </c>
      <c r="Q109" s="2" t="s">
        <v>99</v>
      </c>
      <c r="R109" s="2" t="s">
        <v>100</v>
      </c>
      <c r="S109" s="2" t="s">
        <v>627</v>
      </c>
      <c r="T109" s="2" t="s">
        <v>190</v>
      </c>
      <c r="U109" s="2" t="s">
        <v>618</v>
      </c>
      <c r="V109" s="2" t="s">
        <v>141</v>
      </c>
      <c r="W109" s="2" t="s">
        <v>525</v>
      </c>
      <c r="X109" s="2" t="s">
        <v>619</v>
      </c>
      <c r="Y109" s="2" t="s">
        <v>628</v>
      </c>
      <c r="Z109" s="4">
        <v>29</v>
      </c>
      <c r="AA109" s="4">
        <f>=ROUNDDOWN(3.625,0)</f>
      </c>
      <c r="AB109" s="5">
        <v>8</v>
      </c>
      <c r="AC109" s="2" t="s">
        <v>262</v>
      </c>
      <c r="AD109" s="4">
        <v>30</v>
      </c>
      <c r="AE109" s="4">
        <v>280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/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/>
      <c r="BJ109" s="4">
        <v>35</v>
      </c>
      <c r="BK109" s="8">
        <v>3946.91</v>
      </c>
      <c r="BL109" s="2" t="s">
        <v>634</v>
      </c>
      <c r="BM109" s="7"/>
      <c r="BN109" s="7"/>
      <c r="BO109" s="4"/>
      <c r="BP109" s="8"/>
      <c r="BQ109" s="4"/>
      <c r="BR109" s="8"/>
      <c r="BS109" s="7"/>
      <c r="BT109" s="7"/>
      <c r="BU109" s="2" t="s">
        <v>171</v>
      </c>
      <c r="BV109" s="2" t="s">
        <v>97</v>
      </c>
      <c r="BW109" s="2" t="s">
        <v>100</v>
      </c>
      <c r="BX109" s="2" t="s">
        <v>100</v>
      </c>
      <c r="BY109" s="2" t="s">
        <v>112</v>
      </c>
      <c r="BZ109" s="2" t="s">
        <v>149</v>
      </c>
    </row>
    <row r="110">
      <c r="A110" s="2" t="s">
        <v>635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636</v>
      </c>
      <c r="G110" s="2" t="s">
        <v>637</v>
      </c>
      <c r="H110" s="2" t="s">
        <v>638</v>
      </c>
      <c r="I110" s="2" t="s">
        <v>639</v>
      </c>
      <c r="J110" s="2" t="s">
        <v>522</v>
      </c>
      <c r="K110" s="2" t="s">
        <v>640</v>
      </c>
      <c r="L110" s="3">
        <v>38.09</v>
      </c>
      <c r="M110" s="3">
        <v>39.99</v>
      </c>
      <c r="N110" s="3">
        <v>79.99</v>
      </c>
      <c r="O110" s="2" t="s">
        <v>97</v>
      </c>
      <c r="P110" s="2" t="s">
        <v>98</v>
      </c>
      <c r="Q110" s="2" t="s">
        <v>99</v>
      </c>
      <c r="R110" s="2" t="s">
        <v>100</v>
      </c>
      <c r="S110" s="2" t="s">
        <v>641</v>
      </c>
      <c r="T110" s="2" t="s">
        <v>438</v>
      </c>
      <c r="U110" s="2" t="s">
        <v>460</v>
      </c>
      <c r="V110" s="2" t="s">
        <v>473</v>
      </c>
      <c r="W110" s="2" t="s">
        <v>642</v>
      </c>
      <c r="X110" s="2" t="s">
        <v>609</v>
      </c>
      <c r="Y110" s="2" t="s">
        <v>643</v>
      </c>
      <c r="Z110" s="4">
        <v>864</v>
      </c>
      <c r="AA110" s="4">
        <f>=ROUNDDOWN(29.7931034482759,0)</f>
      </c>
      <c r="AB110" s="5">
        <v>29</v>
      </c>
      <c r="AC110" s="2" t="s">
        <v>145</v>
      </c>
      <c r="AD110" s="4">
        <v>110</v>
      </c>
      <c r="AE110" s="4">
        <v>110</v>
      </c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/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/>
      <c r="BJ110" s="4">
        <v>69</v>
      </c>
      <c r="BK110" s="8">
        <v>2638.51</v>
      </c>
      <c r="BL110" s="2" t="s">
        <v>644</v>
      </c>
      <c r="BM110" s="7"/>
      <c r="BN110" s="7"/>
      <c r="BO110" s="4"/>
      <c r="BP110" s="8"/>
      <c r="BQ110" s="4"/>
      <c r="BR110" s="8"/>
      <c r="BS110" s="7"/>
      <c r="BT110" s="7"/>
      <c r="BU110" s="2" t="s">
        <v>171</v>
      </c>
      <c r="BV110" s="2" t="s">
        <v>97</v>
      </c>
      <c r="BW110" s="2" t="s">
        <v>100</v>
      </c>
      <c r="BX110" s="2" t="s">
        <v>100</v>
      </c>
      <c r="BY110" s="2" t="s">
        <v>112</v>
      </c>
      <c r="BZ110" s="2" t="s">
        <v>149</v>
      </c>
    </row>
    <row r="111">
      <c r="A111" s="2" t="s">
        <v>645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636</v>
      </c>
      <c r="G111" s="2" t="s">
        <v>637</v>
      </c>
      <c r="H111" s="2" t="s">
        <v>638</v>
      </c>
      <c r="I111" s="2" t="s">
        <v>639</v>
      </c>
      <c r="J111" s="2" t="s">
        <v>529</v>
      </c>
      <c r="K111" s="2" t="s">
        <v>640</v>
      </c>
      <c r="L111" s="3">
        <v>41.14</v>
      </c>
      <c r="M111" s="3">
        <v>43.2</v>
      </c>
      <c r="N111" s="3">
        <v>89.99</v>
      </c>
      <c r="O111" s="2" t="s">
        <v>97</v>
      </c>
      <c r="P111" s="2" t="s">
        <v>98</v>
      </c>
      <c r="Q111" s="2" t="s">
        <v>99</v>
      </c>
      <c r="R111" s="2" t="s">
        <v>100</v>
      </c>
      <c r="S111" s="2" t="s">
        <v>641</v>
      </c>
      <c r="T111" s="2" t="s">
        <v>438</v>
      </c>
      <c r="U111" s="2" t="s">
        <v>460</v>
      </c>
      <c r="V111" s="2" t="s">
        <v>473</v>
      </c>
      <c r="W111" s="2" t="s">
        <v>642</v>
      </c>
      <c r="X111" s="2" t="s">
        <v>609</v>
      </c>
      <c r="Y111" s="2" t="s">
        <v>643</v>
      </c>
      <c r="Z111" s="4">
        <v>635</v>
      </c>
      <c r="AA111" s="4">
        <f>=ROUNDDOWN(24.4230769230769,0)</f>
      </c>
      <c r="AB111" s="5">
        <v>26</v>
      </c>
      <c r="AC111" s="2" t="s">
        <v>646</v>
      </c>
      <c r="AD111" s="4">
        <v>360</v>
      </c>
      <c r="AE111" s="4">
        <v>360</v>
      </c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/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/>
      <c r="BJ111" s="4">
        <v>73</v>
      </c>
      <c r="BK111" s="8">
        <v>3077.43</v>
      </c>
      <c r="BL111" s="2" t="s">
        <v>647</v>
      </c>
      <c r="BM111" s="7"/>
      <c r="BN111" s="7"/>
      <c r="BO111" s="4"/>
      <c r="BP111" s="8"/>
      <c r="BQ111" s="4"/>
      <c r="BR111" s="8"/>
      <c r="BS111" s="7"/>
      <c r="BT111" s="7"/>
      <c r="BU111" s="2" t="s">
        <v>171</v>
      </c>
      <c r="BV111" s="2" t="s">
        <v>97</v>
      </c>
      <c r="BW111" s="2" t="s">
        <v>100</v>
      </c>
      <c r="BX111" s="2" t="s">
        <v>100</v>
      </c>
      <c r="BY111" s="2" t="s">
        <v>112</v>
      </c>
      <c r="BZ111" s="2" t="s">
        <v>149</v>
      </c>
    </row>
    <row r="112">
      <c r="A112" s="2" t="s">
        <v>648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649</v>
      </c>
      <c r="G112" s="2" t="s">
        <v>650</v>
      </c>
      <c r="H112" s="2" t="s">
        <v>651</v>
      </c>
      <c r="I112" s="2" t="s">
        <v>470</v>
      </c>
      <c r="J112" s="2" t="s">
        <v>95</v>
      </c>
      <c r="K112" s="2" t="s">
        <v>652</v>
      </c>
      <c r="L112" s="3">
        <v>55.2</v>
      </c>
      <c r="M112" s="3">
        <v>57.95</v>
      </c>
      <c r="N112" s="3">
        <v>114.99</v>
      </c>
      <c r="O112" s="2" t="s">
        <v>97</v>
      </c>
      <c r="P112" s="2" t="s">
        <v>98</v>
      </c>
      <c r="Q112" s="2" t="s">
        <v>99</v>
      </c>
      <c r="R112" s="2" t="s">
        <v>100</v>
      </c>
      <c r="S112" s="2" t="s">
        <v>653</v>
      </c>
      <c r="T112" s="2" t="s">
        <v>100</v>
      </c>
      <c r="U112" s="2" t="s">
        <v>102</v>
      </c>
      <c r="V112" s="2" t="s">
        <v>492</v>
      </c>
      <c r="W112" s="2" t="s">
        <v>142</v>
      </c>
      <c r="X112" s="2" t="s">
        <v>104</v>
      </c>
      <c r="Y112" s="2" t="s">
        <v>654</v>
      </c>
      <c r="Z112" s="4">
        <v>276</v>
      </c>
      <c r="AA112" s="4">
        <f>=ROUNDDOWN(18.4,0)</f>
      </c>
      <c r="AB112" s="5">
        <v>15</v>
      </c>
      <c r="AC112" s="2" t="s">
        <v>655</v>
      </c>
      <c r="AD112" s="4">
        <v>150</v>
      </c>
      <c r="AE112" s="4">
        <v>400</v>
      </c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/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/>
      <c r="BJ112" s="4">
        <v>28</v>
      </c>
      <c r="BK112" s="8">
        <v>1574.28</v>
      </c>
      <c r="BL112" s="2" t="s">
        <v>656</v>
      </c>
      <c r="BM112" s="7"/>
      <c r="BN112" s="7"/>
      <c r="BO112" s="4"/>
      <c r="BP112" s="8"/>
      <c r="BQ112" s="4"/>
      <c r="BR112" s="8"/>
      <c r="BS112" s="7"/>
      <c r="BT112" s="7"/>
      <c r="BU112" s="2" t="s">
        <v>569</v>
      </c>
      <c r="BV112" s="2" t="s">
        <v>97</v>
      </c>
      <c r="BW112" s="2" t="s">
        <v>100</v>
      </c>
      <c r="BX112" s="2" t="s">
        <v>100</v>
      </c>
      <c r="BY112" s="2" t="s">
        <v>112</v>
      </c>
      <c r="BZ112" s="2" t="s">
        <v>100</v>
      </c>
    </row>
    <row r="113">
      <c r="A113" s="2" t="s">
        <v>657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649</v>
      </c>
      <c r="G113" s="2" t="s">
        <v>650</v>
      </c>
      <c r="H113" s="2" t="s">
        <v>651</v>
      </c>
      <c r="I113" s="2" t="s">
        <v>470</v>
      </c>
      <c r="J113" s="2" t="s">
        <v>114</v>
      </c>
      <c r="K113" s="2" t="s">
        <v>652</v>
      </c>
      <c r="L113" s="3">
        <v>66.15</v>
      </c>
      <c r="M113" s="3">
        <v>69.45</v>
      </c>
      <c r="N113" s="3">
        <v>134.99</v>
      </c>
      <c r="O113" s="2" t="s">
        <v>97</v>
      </c>
      <c r="P113" s="2" t="s">
        <v>98</v>
      </c>
      <c r="Q113" s="2" t="s">
        <v>99</v>
      </c>
      <c r="R113" s="2" t="s">
        <v>100</v>
      </c>
      <c r="S113" s="2" t="s">
        <v>653</v>
      </c>
      <c r="T113" s="2" t="s">
        <v>100</v>
      </c>
      <c r="U113" s="2" t="s">
        <v>102</v>
      </c>
      <c r="V113" s="2" t="s">
        <v>492</v>
      </c>
      <c r="W113" s="2" t="s">
        <v>142</v>
      </c>
      <c r="X113" s="2" t="s">
        <v>104</v>
      </c>
      <c r="Y113" s="2" t="s">
        <v>654</v>
      </c>
      <c r="Z113" s="4">
        <v>437</v>
      </c>
      <c r="AA113" s="4">
        <f>=ROUNDDOWN(43.7,0)</f>
      </c>
      <c r="AB113" s="5">
        <v>10</v>
      </c>
      <c r="AC113" s="2" t="s">
        <v>655</v>
      </c>
      <c r="AD113" s="4">
        <v>50</v>
      </c>
      <c r="AE113" s="4">
        <v>300</v>
      </c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/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/>
      <c r="BJ113" s="4">
        <v>26</v>
      </c>
      <c r="BK113" s="8">
        <v>1811.68</v>
      </c>
      <c r="BL113" s="2" t="s">
        <v>658</v>
      </c>
      <c r="BM113" s="7"/>
      <c r="BN113" s="7"/>
      <c r="BO113" s="4"/>
      <c r="BP113" s="8"/>
      <c r="BQ113" s="4"/>
      <c r="BR113" s="8"/>
      <c r="BS113" s="7"/>
      <c r="BT113" s="7"/>
      <c r="BU113" s="2" t="s">
        <v>569</v>
      </c>
      <c r="BV113" s="2" t="s">
        <v>97</v>
      </c>
      <c r="BW113" s="2" t="s">
        <v>100</v>
      </c>
      <c r="BX113" s="2" t="s">
        <v>100</v>
      </c>
      <c r="BY113" s="2" t="s">
        <v>112</v>
      </c>
      <c r="BZ113" s="2" t="s">
        <v>100</v>
      </c>
    </row>
    <row r="114">
      <c r="A114" s="2" t="s">
        <v>659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649</v>
      </c>
      <c r="G114" s="2" t="s">
        <v>650</v>
      </c>
      <c r="H114" s="2" t="s">
        <v>651</v>
      </c>
      <c r="I114" s="2" t="s">
        <v>470</v>
      </c>
      <c r="J114" s="2" t="s">
        <v>118</v>
      </c>
      <c r="K114" s="2" t="s">
        <v>652</v>
      </c>
      <c r="L114" s="3">
        <v>66.15</v>
      </c>
      <c r="M114" s="3">
        <v>69.45</v>
      </c>
      <c r="N114" s="3">
        <v>134.99</v>
      </c>
      <c r="O114" s="2" t="s">
        <v>97</v>
      </c>
      <c r="P114" s="2" t="s">
        <v>98</v>
      </c>
      <c r="Q114" s="2" t="s">
        <v>99</v>
      </c>
      <c r="R114" s="2" t="s">
        <v>100</v>
      </c>
      <c r="S114" s="2" t="s">
        <v>653</v>
      </c>
      <c r="T114" s="2" t="s">
        <v>100</v>
      </c>
      <c r="U114" s="2" t="s">
        <v>102</v>
      </c>
      <c r="V114" s="2" t="s">
        <v>492</v>
      </c>
      <c r="W114" s="2" t="s">
        <v>142</v>
      </c>
      <c r="X114" s="2" t="s">
        <v>104</v>
      </c>
      <c r="Y114" s="2" t="s">
        <v>654</v>
      </c>
      <c r="Z114" s="4">
        <v>335</v>
      </c>
      <c r="AA114" s="4">
        <f>=ROUNDDOWN(67,0)</f>
      </c>
      <c r="AB114" s="5">
        <v>5</v>
      </c>
      <c r="AC114" s="2" t="s">
        <v>100</v>
      </c>
      <c r="AD114" s="4"/>
      <c r="AE114" s="4"/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/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/>
      <c r="BJ114" s="4">
        <v>13</v>
      </c>
      <c r="BK114" s="8">
        <v>819.83</v>
      </c>
      <c r="BL114" s="2" t="s">
        <v>660</v>
      </c>
      <c r="BM114" s="7"/>
      <c r="BN114" s="7"/>
      <c r="BO114" s="4"/>
      <c r="BP114" s="8"/>
      <c r="BQ114" s="4"/>
      <c r="BR114" s="8"/>
      <c r="BS114" s="7"/>
      <c r="BT114" s="7"/>
      <c r="BU114" s="2" t="s">
        <v>569</v>
      </c>
      <c r="BV114" s="2" t="s">
        <v>97</v>
      </c>
      <c r="BW114" s="2" t="s">
        <v>100</v>
      </c>
      <c r="BX114" s="2" t="s">
        <v>100</v>
      </c>
      <c r="BY114" s="2" t="s">
        <v>112</v>
      </c>
      <c r="BZ114" s="2" t="s">
        <v>100</v>
      </c>
    </row>
    <row r="115">
      <c r="A115" s="2" t="s">
        <v>661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662</v>
      </c>
      <c r="G115" s="2" t="s">
        <v>663</v>
      </c>
      <c r="H115" s="2" t="s">
        <v>664</v>
      </c>
      <c r="I115" s="2" t="s">
        <v>535</v>
      </c>
      <c r="J115" s="2" t="s">
        <v>114</v>
      </c>
      <c r="K115" s="2" t="s">
        <v>507</v>
      </c>
      <c r="L115" s="3">
        <v>76.8</v>
      </c>
      <c r="M115" s="3">
        <v>80.63</v>
      </c>
      <c r="N115" s="3">
        <v>159.99</v>
      </c>
      <c r="O115" s="2" t="s">
        <v>97</v>
      </c>
      <c r="P115" s="2" t="s">
        <v>98</v>
      </c>
      <c r="Q115" s="2" t="s">
        <v>99</v>
      </c>
      <c r="R115" s="2" t="s">
        <v>100</v>
      </c>
      <c r="S115" s="2" t="s">
        <v>665</v>
      </c>
      <c r="T115" s="2" t="s">
        <v>100</v>
      </c>
      <c r="U115" s="2" t="s">
        <v>102</v>
      </c>
      <c r="V115" s="2" t="s">
        <v>461</v>
      </c>
      <c r="W115" s="2" t="s">
        <v>142</v>
      </c>
      <c r="X115" s="2" t="s">
        <v>211</v>
      </c>
      <c r="Y115" s="2" t="s">
        <v>144</v>
      </c>
      <c r="Z115" s="4">
        <v>281</v>
      </c>
      <c r="AA115" s="4">
        <f>=ROUNDDOWN(35.125,0)</f>
      </c>
      <c r="AB115" s="5">
        <v>8</v>
      </c>
      <c r="AC115" s="2" t="s">
        <v>145</v>
      </c>
      <c r="AD115" s="4">
        <v>90</v>
      </c>
      <c r="AE115" s="4">
        <v>220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>
        <v>11</v>
      </c>
      <c r="BK115" s="8">
        <v>875.74</v>
      </c>
      <c r="BL115" s="2" t="s">
        <v>666</v>
      </c>
      <c r="BM115" s="7"/>
      <c r="BN115" s="7"/>
      <c r="BO115" s="4"/>
      <c r="BP115" s="8"/>
      <c r="BQ115" s="4"/>
      <c r="BR115" s="8"/>
      <c r="BS115" s="7"/>
      <c r="BT115" s="7"/>
      <c r="BU115" s="2" t="s">
        <v>109</v>
      </c>
      <c r="BV115" s="2" t="s">
        <v>97</v>
      </c>
      <c r="BW115" s="2" t="s">
        <v>159</v>
      </c>
      <c r="BX115" s="2" t="s">
        <v>667</v>
      </c>
      <c r="BY115" s="2" t="s">
        <v>112</v>
      </c>
      <c r="BZ115" s="2" t="s">
        <v>149</v>
      </c>
    </row>
    <row r="116">
      <c r="A116" s="2" t="s">
        <v>668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669</v>
      </c>
      <c r="G116" s="2" t="s">
        <v>670</v>
      </c>
      <c r="H116" s="2" t="s">
        <v>671</v>
      </c>
      <c r="I116" s="2" t="s">
        <v>672</v>
      </c>
      <c r="J116" s="2" t="s">
        <v>522</v>
      </c>
      <c r="K116" s="2" t="s">
        <v>673</v>
      </c>
      <c r="L116" s="3">
        <v>57.6</v>
      </c>
      <c r="M116" s="3">
        <v>60.47</v>
      </c>
      <c r="N116" s="3">
        <v>119.99</v>
      </c>
      <c r="O116" s="2" t="s">
        <v>97</v>
      </c>
      <c r="P116" s="2" t="s">
        <v>98</v>
      </c>
      <c r="Q116" s="2" t="s">
        <v>99</v>
      </c>
      <c r="R116" s="2" t="s">
        <v>100</v>
      </c>
      <c r="S116" s="2" t="s">
        <v>674</v>
      </c>
      <c r="T116" s="2" t="s">
        <v>438</v>
      </c>
      <c r="U116" s="2" t="s">
        <v>191</v>
      </c>
      <c r="V116" s="2" t="s">
        <v>492</v>
      </c>
      <c r="W116" s="2" t="s">
        <v>142</v>
      </c>
      <c r="X116" s="2" t="s">
        <v>493</v>
      </c>
      <c r="Y116" s="2" t="s">
        <v>675</v>
      </c>
      <c r="Z116" s="4">
        <v>359</v>
      </c>
      <c r="AA116" s="4">
        <f>=ROUNDDOWN(25.6428571428571,0)</f>
      </c>
      <c r="AB116" s="5">
        <v>14</v>
      </c>
      <c r="AC116" s="2" t="s">
        <v>676</v>
      </c>
      <c r="AD116" s="4">
        <v>240</v>
      </c>
      <c r="AE116" s="4">
        <v>410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/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/>
      <c r="BJ116" s="4">
        <v>28</v>
      </c>
      <c r="BK116" s="8">
        <v>1710.93</v>
      </c>
      <c r="BL116" s="2" t="s">
        <v>677</v>
      </c>
      <c r="BM116" s="7"/>
      <c r="BN116" s="7"/>
      <c r="BO116" s="4"/>
      <c r="BP116" s="8"/>
      <c r="BQ116" s="4"/>
      <c r="BR116" s="8"/>
      <c r="BS116" s="7"/>
      <c r="BT116" s="7"/>
      <c r="BU116" s="2" t="s">
        <v>171</v>
      </c>
      <c r="BV116" s="2" t="s">
        <v>97</v>
      </c>
      <c r="BW116" s="2" t="s">
        <v>100</v>
      </c>
      <c r="BX116" s="2" t="s">
        <v>100</v>
      </c>
      <c r="BY116" s="2" t="s">
        <v>112</v>
      </c>
      <c r="BZ116" s="2" t="s">
        <v>100</v>
      </c>
    </row>
    <row r="117">
      <c r="A117" s="2" t="s">
        <v>678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669</v>
      </c>
      <c r="G117" s="2" t="s">
        <v>670</v>
      </c>
      <c r="H117" s="2" t="s">
        <v>671</v>
      </c>
      <c r="I117" s="2" t="s">
        <v>672</v>
      </c>
      <c r="J117" s="2" t="s">
        <v>529</v>
      </c>
      <c r="K117" s="2" t="s">
        <v>673</v>
      </c>
      <c r="L117" s="3">
        <v>67.2</v>
      </c>
      <c r="M117" s="3">
        <v>70.55</v>
      </c>
      <c r="N117" s="3">
        <v>139.99</v>
      </c>
      <c r="O117" s="2" t="s">
        <v>97</v>
      </c>
      <c r="P117" s="2" t="s">
        <v>98</v>
      </c>
      <c r="Q117" s="2" t="s">
        <v>99</v>
      </c>
      <c r="R117" s="2" t="s">
        <v>100</v>
      </c>
      <c r="S117" s="2" t="s">
        <v>674</v>
      </c>
      <c r="T117" s="2" t="s">
        <v>438</v>
      </c>
      <c r="U117" s="2" t="s">
        <v>191</v>
      </c>
      <c r="V117" s="2" t="s">
        <v>492</v>
      </c>
      <c r="W117" s="2" t="s">
        <v>142</v>
      </c>
      <c r="X117" s="2" t="s">
        <v>493</v>
      </c>
      <c r="Y117" s="2" t="s">
        <v>675</v>
      </c>
      <c r="Z117" s="4">
        <v>293</v>
      </c>
      <c r="AA117" s="4">
        <f>=ROUNDDOWN(26.6363636363636,0)</f>
      </c>
      <c r="AB117" s="5">
        <v>11</v>
      </c>
      <c r="AC117" s="2" t="s">
        <v>676</v>
      </c>
      <c r="AD117" s="4">
        <v>230</v>
      </c>
      <c r="AE117" s="4">
        <v>390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/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/>
      <c r="BJ117" s="4">
        <v>51</v>
      </c>
      <c r="BK117" s="8">
        <v>3790.72</v>
      </c>
      <c r="BL117" s="2" t="s">
        <v>679</v>
      </c>
      <c r="BM117" s="7"/>
      <c r="BN117" s="7"/>
      <c r="BO117" s="4"/>
      <c r="BP117" s="8"/>
      <c r="BQ117" s="4"/>
      <c r="BR117" s="8"/>
      <c r="BS117" s="7"/>
      <c r="BT117" s="7"/>
      <c r="BU117" s="2" t="s">
        <v>171</v>
      </c>
      <c r="BV117" s="2" t="s">
        <v>97</v>
      </c>
      <c r="BW117" s="2" t="s">
        <v>100</v>
      </c>
      <c r="BX117" s="2" t="s">
        <v>100</v>
      </c>
      <c r="BY117" s="2" t="s">
        <v>112</v>
      </c>
      <c r="BZ117" s="2" t="s">
        <v>149</v>
      </c>
    </row>
    <row r="118">
      <c r="A118" s="2" t="s">
        <v>680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681</v>
      </c>
      <c r="G118" s="2" t="s">
        <v>682</v>
      </c>
      <c r="H118" s="2" t="s">
        <v>683</v>
      </c>
      <c r="I118" s="2" t="s">
        <v>684</v>
      </c>
      <c r="J118" s="2" t="s">
        <v>95</v>
      </c>
      <c r="K118" s="2" t="s">
        <v>626</v>
      </c>
      <c r="L118" s="3">
        <v>74.45</v>
      </c>
      <c r="M118" s="3">
        <v>78.17</v>
      </c>
      <c r="N118" s="3">
        <v>154.99</v>
      </c>
      <c r="O118" s="2" t="s">
        <v>97</v>
      </c>
      <c r="P118" s="2" t="s">
        <v>98</v>
      </c>
      <c r="Q118" s="2" t="s">
        <v>99</v>
      </c>
      <c r="R118" s="2" t="s">
        <v>100</v>
      </c>
      <c r="S118" s="2" t="s">
        <v>685</v>
      </c>
      <c r="T118" s="2" t="s">
        <v>100</v>
      </c>
      <c r="U118" s="2" t="s">
        <v>191</v>
      </c>
      <c r="V118" s="2" t="s">
        <v>192</v>
      </c>
      <c r="W118" s="2" t="s">
        <v>686</v>
      </c>
      <c r="X118" s="2" t="s">
        <v>193</v>
      </c>
      <c r="Y118" s="2" t="s">
        <v>687</v>
      </c>
      <c r="Z118" s="4">
        <v>724</v>
      </c>
      <c r="AA118" s="4">
        <f>=ROUNDDOWN(60.3333333333333,0)</f>
      </c>
      <c r="AB118" s="5">
        <v>12</v>
      </c>
      <c r="AC118" s="2" t="s">
        <v>100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/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/>
      <c r="BJ118" s="4">
        <v>16</v>
      </c>
      <c r="BK118" s="8">
        <v>1307.1</v>
      </c>
      <c r="BL118" s="2" t="s">
        <v>688</v>
      </c>
      <c r="BM118" s="7"/>
      <c r="BN118" s="7"/>
      <c r="BO118" s="4"/>
      <c r="BP118" s="8"/>
      <c r="BQ118" s="4"/>
      <c r="BR118" s="8"/>
      <c r="BS118" s="7"/>
      <c r="BT118" s="7"/>
      <c r="BU118" s="2" t="s">
        <v>171</v>
      </c>
      <c r="BV118" s="2" t="s">
        <v>97</v>
      </c>
      <c r="BW118" s="2" t="s">
        <v>100</v>
      </c>
      <c r="BX118" s="2" t="s">
        <v>100</v>
      </c>
      <c r="BY118" s="2" t="s">
        <v>112</v>
      </c>
      <c r="BZ118" s="2" t="s">
        <v>149</v>
      </c>
    </row>
    <row r="119">
      <c r="A119" s="2" t="s">
        <v>689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681</v>
      </c>
      <c r="G119" s="2" t="s">
        <v>682</v>
      </c>
      <c r="H119" s="2" t="s">
        <v>683</v>
      </c>
      <c r="I119" s="2" t="s">
        <v>684</v>
      </c>
      <c r="J119" s="2" t="s">
        <v>114</v>
      </c>
      <c r="K119" s="2" t="s">
        <v>626</v>
      </c>
      <c r="L119" s="3">
        <v>83.74</v>
      </c>
      <c r="M119" s="3">
        <v>87.93</v>
      </c>
      <c r="N119" s="3">
        <v>174.99</v>
      </c>
      <c r="O119" s="2" t="s">
        <v>97</v>
      </c>
      <c r="P119" s="2" t="s">
        <v>98</v>
      </c>
      <c r="Q119" s="2" t="s">
        <v>99</v>
      </c>
      <c r="R119" s="2" t="s">
        <v>100</v>
      </c>
      <c r="S119" s="2" t="s">
        <v>685</v>
      </c>
      <c r="T119" s="2" t="s">
        <v>100</v>
      </c>
      <c r="U119" s="2" t="s">
        <v>191</v>
      </c>
      <c r="V119" s="2" t="s">
        <v>192</v>
      </c>
      <c r="W119" s="2" t="s">
        <v>686</v>
      </c>
      <c r="X119" s="2" t="s">
        <v>193</v>
      </c>
      <c r="Y119" s="2" t="s">
        <v>687</v>
      </c>
      <c r="Z119" s="4">
        <v>452</v>
      </c>
      <c r="AA119" s="4">
        <f>=ROUNDDOWN(56.5,0)</f>
      </c>
      <c r="AB119" s="5">
        <v>8</v>
      </c>
      <c r="AC119" s="2" t="s">
        <v>100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/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/>
      <c r="BJ119" s="4">
        <v>16</v>
      </c>
      <c r="BK119" s="8">
        <v>1605.05</v>
      </c>
      <c r="BL119" s="2" t="s">
        <v>690</v>
      </c>
      <c r="BM119" s="7"/>
      <c r="BN119" s="7"/>
      <c r="BO119" s="4"/>
      <c r="BP119" s="8"/>
      <c r="BQ119" s="4"/>
      <c r="BR119" s="8"/>
      <c r="BS119" s="7"/>
      <c r="BT119" s="7"/>
      <c r="BU119" s="2" t="s">
        <v>171</v>
      </c>
      <c r="BV119" s="2" t="s">
        <v>97</v>
      </c>
      <c r="BW119" s="2" t="s">
        <v>100</v>
      </c>
      <c r="BX119" s="2" t="s">
        <v>100</v>
      </c>
      <c r="BY119" s="2" t="s">
        <v>112</v>
      </c>
      <c r="BZ119" s="2" t="s">
        <v>100</v>
      </c>
    </row>
    <row r="120">
      <c r="A120" s="2" t="s">
        <v>691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681</v>
      </c>
      <c r="G120" s="2" t="s">
        <v>682</v>
      </c>
      <c r="H120" s="2" t="s">
        <v>683</v>
      </c>
      <c r="I120" s="2" t="s">
        <v>684</v>
      </c>
      <c r="J120" s="2" t="s">
        <v>118</v>
      </c>
      <c r="K120" s="2" t="s">
        <v>626</v>
      </c>
      <c r="L120" s="3">
        <v>83.74</v>
      </c>
      <c r="M120" s="3">
        <v>87.93</v>
      </c>
      <c r="N120" s="3">
        <v>174.99</v>
      </c>
      <c r="O120" s="2" t="s">
        <v>97</v>
      </c>
      <c r="P120" s="2" t="s">
        <v>98</v>
      </c>
      <c r="Q120" s="2" t="s">
        <v>99</v>
      </c>
      <c r="R120" s="2" t="s">
        <v>100</v>
      </c>
      <c r="S120" s="2" t="s">
        <v>685</v>
      </c>
      <c r="T120" s="2" t="s">
        <v>100</v>
      </c>
      <c r="U120" s="2" t="s">
        <v>191</v>
      </c>
      <c r="V120" s="2" t="s">
        <v>192</v>
      </c>
      <c r="W120" s="2" t="s">
        <v>686</v>
      </c>
      <c r="X120" s="2" t="s">
        <v>193</v>
      </c>
      <c r="Y120" s="2" t="s">
        <v>687</v>
      </c>
      <c r="Z120" s="4">
        <v>278</v>
      </c>
      <c r="AA120" s="4">
        <f>=ROUNDDOWN(69.5,0)</f>
      </c>
      <c r="AB120" s="5">
        <v>4</v>
      </c>
      <c r="AC120" s="2" t="s">
        <v>100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/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/>
      <c r="BJ120" s="4">
        <v>8</v>
      </c>
      <c r="BK120" s="8">
        <v>724.09</v>
      </c>
      <c r="BL120" s="2" t="s">
        <v>692</v>
      </c>
      <c r="BM120" s="7"/>
      <c r="BN120" s="7"/>
      <c r="BO120" s="4"/>
      <c r="BP120" s="8"/>
      <c r="BQ120" s="4"/>
      <c r="BR120" s="8"/>
      <c r="BS120" s="7"/>
      <c r="BT120" s="7"/>
      <c r="BU120" s="2" t="s">
        <v>171</v>
      </c>
      <c r="BV120" s="2" t="s">
        <v>97</v>
      </c>
      <c r="BW120" s="2" t="s">
        <v>100</v>
      </c>
      <c r="BX120" s="2" t="s">
        <v>100</v>
      </c>
      <c r="BY120" s="2" t="s">
        <v>112</v>
      </c>
      <c r="BZ120" s="2" t="s">
        <v>149</v>
      </c>
    </row>
    <row r="121">
      <c r="A121" s="2" t="s">
        <v>693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694</v>
      </c>
      <c r="G121" s="2" t="s">
        <v>695</v>
      </c>
      <c r="H121" s="2" t="s">
        <v>696</v>
      </c>
      <c r="I121" s="2" t="s">
        <v>697</v>
      </c>
      <c r="J121" s="2" t="s">
        <v>118</v>
      </c>
      <c r="K121" s="2" t="s">
        <v>138</v>
      </c>
      <c r="L121" s="3">
        <v>78.4</v>
      </c>
      <c r="M121" s="3">
        <v>82.31</v>
      </c>
      <c r="N121" s="3">
        <v>159.99</v>
      </c>
      <c r="O121" s="2" t="s">
        <v>97</v>
      </c>
      <c r="P121" s="2" t="s">
        <v>98</v>
      </c>
      <c r="Q121" s="2" t="s">
        <v>99</v>
      </c>
      <c r="R121" s="2" t="s">
        <v>100</v>
      </c>
      <c r="S121" s="2" t="s">
        <v>698</v>
      </c>
      <c r="T121" s="2" t="s">
        <v>100</v>
      </c>
      <c r="U121" s="2" t="s">
        <v>191</v>
      </c>
      <c r="V121" s="2" t="s">
        <v>269</v>
      </c>
      <c r="W121" s="2" t="s">
        <v>142</v>
      </c>
      <c r="X121" s="2" t="s">
        <v>699</v>
      </c>
      <c r="Y121" s="2" t="s">
        <v>144</v>
      </c>
      <c r="Z121" s="4">
        <v>169</v>
      </c>
      <c r="AA121" s="4">
        <f>=ROUNDDOWN(28.1666666666667,0)</f>
      </c>
      <c r="AB121" s="5">
        <v>6</v>
      </c>
      <c r="AC121" s="2" t="s">
        <v>145</v>
      </c>
      <c r="AD121" s="4">
        <v>30</v>
      </c>
      <c r="AE121" s="4">
        <v>60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/>
      <c r="BD121" s="8"/>
      <c r="BE121" s="4"/>
      <c r="BF121" s="8"/>
      <c r="BG121" s="7"/>
      <c r="BH121" s="7"/>
      <c r="BI121" s="7"/>
      <c r="BJ121" s="4">
        <v>8</v>
      </c>
      <c r="BK121" s="8">
        <v>631.44</v>
      </c>
      <c r="BL121" s="2" t="s">
        <v>700</v>
      </c>
      <c r="BM121" s="7"/>
      <c r="BN121" s="7"/>
      <c r="BO121" s="4"/>
      <c r="BP121" s="8"/>
      <c r="BQ121" s="4"/>
      <c r="BR121" s="8"/>
      <c r="BS121" s="7"/>
      <c r="BT121" s="7"/>
      <c r="BU121" s="2" t="s">
        <v>109</v>
      </c>
      <c r="BV121" s="2" t="s">
        <v>97</v>
      </c>
      <c r="BW121" s="2" t="s">
        <v>159</v>
      </c>
      <c r="BX121" s="2" t="s">
        <v>160</v>
      </c>
      <c r="BY121" s="2" t="s">
        <v>112</v>
      </c>
      <c r="BZ121" s="2" t="s">
        <v>149</v>
      </c>
    </row>
    <row r="122">
      <c r="A122" s="2" t="s">
        <v>701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702</v>
      </c>
      <c r="G122" s="2" t="s">
        <v>703</v>
      </c>
      <c r="H122" s="2" t="s">
        <v>704</v>
      </c>
      <c r="I122" s="2" t="s">
        <v>705</v>
      </c>
      <c r="J122" s="2" t="s">
        <v>118</v>
      </c>
      <c r="K122" s="2" t="s">
        <v>706</v>
      </c>
      <c r="L122" s="3">
        <v>85</v>
      </c>
      <c r="M122" s="3">
        <v>89.24</v>
      </c>
      <c r="N122" s="3">
        <v>169.99</v>
      </c>
      <c r="O122" s="2" t="s">
        <v>97</v>
      </c>
      <c r="P122" s="2" t="s">
        <v>707</v>
      </c>
      <c r="Q122" s="2" t="s">
        <v>99</v>
      </c>
      <c r="R122" s="2" t="s">
        <v>100</v>
      </c>
      <c r="S122" s="2" t="s">
        <v>708</v>
      </c>
      <c r="T122" s="2" t="s">
        <v>100</v>
      </c>
      <c r="U122" s="2" t="s">
        <v>102</v>
      </c>
      <c r="V122" s="2" t="s">
        <v>192</v>
      </c>
      <c r="W122" s="2" t="s">
        <v>142</v>
      </c>
      <c r="X122" s="2" t="s">
        <v>194</v>
      </c>
      <c r="Y122" s="2" t="s">
        <v>709</v>
      </c>
      <c r="Z122" s="4">
        <v>122</v>
      </c>
      <c r="AA122" s="4">
        <f>=ROUNDDOWN(30.5,0)</f>
      </c>
      <c r="AB122" s="5">
        <v>4</v>
      </c>
      <c r="AC122" s="2" t="s">
        <v>262</v>
      </c>
      <c r="AD122" s="4">
        <v>30</v>
      </c>
      <c r="AE122" s="4">
        <v>90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/>
      <c r="BD122" s="8"/>
      <c r="BE122" s="4"/>
      <c r="BF122" s="8"/>
      <c r="BG122" s="7"/>
      <c r="BH122" s="7"/>
      <c r="BI122" s="7"/>
      <c r="BJ122" s="4">
        <v>6</v>
      </c>
      <c r="BK122" s="8">
        <v>563.39</v>
      </c>
      <c r="BL122" s="2" t="s">
        <v>710</v>
      </c>
      <c r="BM122" s="7"/>
      <c r="BN122" s="7"/>
      <c r="BO122" s="4"/>
      <c r="BP122" s="8"/>
      <c r="BQ122" s="4"/>
      <c r="BR122" s="8"/>
      <c r="BS122" s="7"/>
      <c r="BT122" s="7"/>
      <c r="BU122" s="2" t="s">
        <v>569</v>
      </c>
      <c r="BV122" s="2" t="s">
        <v>97</v>
      </c>
      <c r="BW122" s="2" t="s">
        <v>100</v>
      </c>
      <c r="BX122" s="2" t="s">
        <v>100</v>
      </c>
      <c r="BY122" s="2" t="s">
        <v>112</v>
      </c>
      <c r="BZ122" s="2" t="s">
        <v>100</v>
      </c>
    </row>
    <row r="123">
      <c r="A123" s="2" t="s">
        <v>711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712</v>
      </c>
      <c r="G123" s="2" t="s">
        <v>713</v>
      </c>
      <c r="H123" s="2" t="s">
        <v>714</v>
      </c>
      <c r="I123" s="2" t="s">
        <v>715</v>
      </c>
      <c r="J123" s="2" t="s">
        <v>522</v>
      </c>
      <c r="K123" s="2" t="s">
        <v>471</v>
      </c>
      <c r="L123" s="3">
        <v>63.35</v>
      </c>
      <c r="M123" s="3">
        <v>66.52</v>
      </c>
      <c r="N123" s="3">
        <v>129.99</v>
      </c>
      <c r="O123" s="2" t="s">
        <v>97</v>
      </c>
      <c r="P123" s="2" t="s">
        <v>98</v>
      </c>
      <c r="Q123" s="2" t="s">
        <v>99</v>
      </c>
      <c r="R123" s="2" t="s">
        <v>100</v>
      </c>
      <c r="S123" s="2" t="s">
        <v>716</v>
      </c>
      <c r="T123" s="2" t="s">
        <v>438</v>
      </c>
      <c r="U123" s="2" t="s">
        <v>191</v>
      </c>
      <c r="V123" s="2" t="s">
        <v>367</v>
      </c>
      <c r="W123" s="2" t="s">
        <v>717</v>
      </c>
      <c r="X123" s="2" t="s">
        <v>194</v>
      </c>
      <c r="Y123" s="2" t="s">
        <v>718</v>
      </c>
      <c r="Z123" s="4">
        <v>474</v>
      </c>
      <c r="AA123" s="4">
        <f>=ROUNDDOWN(33.8571428571429,0)</f>
      </c>
      <c r="AB123" s="5">
        <v>14</v>
      </c>
      <c r="AC123" s="2" t="s">
        <v>312</v>
      </c>
      <c r="AD123" s="4">
        <v>180</v>
      </c>
      <c r="AE123" s="4">
        <v>316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/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/>
      <c r="BJ123" s="4">
        <v>26</v>
      </c>
      <c r="BK123" s="8">
        <v>1813.77</v>
      </c>
      <c r="BL123" s="2" t="s">
        <v>719</v>
      </c>
      <c r="BM123" s="7"/>
      <c r="BN123" s="7"/>
      <c r="BO123" s="4"/>
      <c r="BP123" s="8"/>
      <c r="BQ123" s="4"/>
      <c r="BR123" s="8"/>
      <c r="BS123" s="7"/>
      <c r="BT123" s="7"/>
      <c r="BU123" s="2" t="s">
        <v>171</v>
      </c>
      <c r="BV123" s="2" t="s">
        <v>97</v>
      </c>
      <c r="BW123" s="2" t="s">
        <v>100</v>
      </c>
      <c r="BX123" s="2" t="s">
        <v>100</v>
      </c>
      <c r="BY123" s="2" t="s">
        <v>112</v>
      </c>
      <c r="BZ123" s="2" t="s">
        <v>100</v>
      </c>
    </row>
    <row r="124">
      <c r="A124" s="2" t="s">
        <v>720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712</v>
      </c>
      <c r="G124" s="2" t="s">
        <v>713</v>
      </c>
      <c r="H124" s="2" t="s">
        <v>714</v>
      </c>
      <c r="I124" s="2" t="s">
        <v>715</v>
      </c>
      <c r="J124" s="2" t="s">
        <v>529</v>
      </c>
      <c r="K124" s="2" t="s">
        <v>471</v>
      </c>
      <c r="L124" s="3">
        <v>73.91</v>
      </c>
      <c r="M124" s="3">
        <v>77.61</v>
      </c>
      <c r="N124" s="3">
        <v>149.99</v>
      </c>
      <c r="O124" s="2" t="s">
        <v>97</v>
      </c>
      <c r="P124" s="2" t="s">
        <v>98</v>
      </c>
      <c r="Q124" s="2" t="s">
        <v>99</v>
      </c>
      <c r="R124" s="2" t="s">
        <v>100</v>
      </c>
      <c r="S124" s="2" t="s">
        <v>716</v>
      </c>
      <c r="T124" s="2" t="s">
        <v>438</v>
      </c>
      <c r="U124" s="2" t="s">
        <v>191</v>
      </c>
      <c r="V124" s="2" t="s">
        <v>367</v>
      </c>
      <c r="W124" s="2" t="s">
        <v>717</v>
      </c>
      <c r="X124" s="2" t="s">
        <v>194</v>
      </c>
      <c r="Y124" s="2" t="s">
        <v>721</v>
      </c>
      <c r="Z124" s="4">
        <v>498</v>
      </c>
      <c r="AA124" s="4">
        <f>=ROUNDDOWN(35.5714285714286,0)</f>
      </c>
      <c r="AB124" s="5">
        <v>14</v>
      </c>
      <c r="AC124" s="2" t="s">
        <v>312</v>
      </c>
      <c r="AD124" s="4">
        <v>100</v>
      </c>
      <c r="AE124" s="4">
        <v>232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/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/>
      <c r="BJ124" s="4">
        <v>22</v>
      </c>
      <c r="BK124" s="8">
        <v>1821.34</v>
      </c>
      <c r="BL124" s="2" t="s">
        <v>722</v>
      </c>
      <c r="BM124" s="7"/>
      <c r="BN124" s="7"/>
      <c r="BO124" s="4"/>
      <c r="BP124" s="8"/>
      <c r="BQ124" s="4"/>
      <c r="BR124" s="8"/>
      <c r="BS124" s="7"/>
      <c r="BT124" s="7"/>
      <c r="BU124" s="2" t="s">
        <v>171</v>
      </c>
      <c r="BV124" s="2" t="s">
        <v>97</v>
      </c>
      <c r="BW124" s="2" t="s">
        <v>100</v>
      </c>
      <c r="BX124" s="2" t="s">
        <v>100</v>
      </c>
      <c r="BY124" s="2" t="s">
        <v>112</v>
      </c>
      <c r="BZ124" s="2" t="s">
        <v>100</v>
      </c>
    </row>
    <row r="125">
      <c r="A125" s="2" t="s">
        <v>723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712</v>
      </c>
      <c r="G125" s="2" t="s">
        <v>713</v>
      </c>
      <c r="H125" s="2" t="s">
        <v>714</v>
      </c>
      <c r="I125" s="2" t="s">
        <v>715</v>
      </c>
      <c r="J125" s="2" t="s">
        <v>522</v>
      </c>
      <c r="K125" s="2" t="s">
        <v>626</v>
      </c>
      <c r="L125" s="3">
        <v>63.35</v>
      </c>
      <c r="M125" s="3">
        <v>66.52</v>
      </c>
      <c r="N125" s="3">
        <v>129.99</v>
      </c>
      <c r="O125" s="2" t="s">
        <v>97</v>
      </c>
      <c r="P125" s="2" t="s">
        <v>98</v>
      </c>
      <c r="Q125" s="2" t="s">
        <v>99</v>
      </c>
      <c r="R125" s="2" t="s">
        <v>100</v>
      </c>
      <c r="S125" s="2" t="s">
        <v>724</v>
      </c>
      <c r="T125" s="2" t="s">
        <v>438</v>
      </c>
      <c r="U125" s="2" t="s">
        <v>191</v>
      </c>
      <c r="V125" s="2" t="s">
        <v>367</v>
      </c>
      <c r="W125" s="2" t="s">
        <v>717</v>
      </c>
      <c r="X125" s="2" t="s">
        <v>194</v>
      </c>
      <c r="Y125" s="2" t="s">
        <v>718</v>
      </c>
      <c r="Z125" s="4">
        <v>328</v>
      </c>
      <c r="AA125" s="4">
        <f>=ROUNDDOWN(25.2307692307692,0)</f>
      </c>
      <c r="AB125" s="5">
        <v>13</v>
      </c>
      <c r="AC125" s="2" t="s">
        <v>725</v>
      </c>
      <c r="AD125" s="4">
        <v>190</v>
      </c>
      <c r="AE125" s="4">
        <v>190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/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/>
      <c r="BJ125" s="4">
        <v>16</v>
      </c>
      <c r="BK125" s="8">
        <v>1079.73</v>
      </c>
      <c r="BL125" s="2" t="s">
        <v>726</v>
      </c>
      <c r="BM125" s="7"/>
      <c r="BN125" s="7"/>
      <c r="BO125" s="4"/>
      <c r="BP125" s="8"/>
      <c r="BQ125" s="4"/>
      <c r="BR125" s="8"/>
      <c r="BS125" s="7"/>
      <c r="BT125" s="7"/>
      <c r="BU125" s="2" t="s">
        <v>171</v>
      </c>
      <c r="BV125" s="2" t="s">
        <v>97</v>
      </c>
      <c r="BW125" s="2" t="s">
        <v>100</v>
      </c>
      <c r="BX125" s="2" t="s">
        <v>100</v>
      </c>
      <c r="BY125" s="2" t="s">
        <v>112</v>
      </c>
      <c r="BZ125" s="2" t="s">
        <v>100</v>
      </c>
    </row>
    <row r="126">
      <c r="A126" s="2" t="s">
        <v>727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712</v>
      </c>
      <c r="G126" s="2" t="s">
        <v>713</v>
      </c>
      <c r="H126" s="2" t="s">
        <v>714</v>
      </c>
      <c r="I126" s="2" t="s">
        <v>715</v>
      </c>
      <c r="J126" s="2" t="s">
        <v>529</v>
      </c>
      <c r="K126" s="2" t="s">
        <v>626</v>
      </c>
      <c r="L126" s="3">
        <v>73.91</v>
      </c>
      <c r="M126" s="3">
        <v>77.61</v>
      </c>
      <c r="N126" s="3">
        <v>149.99</v>
      </c>
      <c r="O126" s="2" t="s">
        <v>97</v>
      </c>
      <c r="P126" s="2" t="s">
        <v>98</v>
      </c>
      <c r="Q126" s="2" t="s">
        <v>99</v>
      </c>
      <c r="R126" s="2" t="s">
        <v>100</v>
      </c>
      <c r="S126" s="2" t="s">
        <v>724</v>
      </c>
      <c r="T126" s="2" t="s">
        <v>438</v>
      </c>
      <c r="U126" s="2" t="s">
        <v>191</v>
      </c>
      <c r="V126" s="2" t="s">
        <v>367</v>
      </c>
      <c r="W126" s="2" t="s">
        <v>717</v>
      </c>
      <c r="X126" s="2" t="s">
        <v>194</v>
      </c>
      <c r="Y126" s="2" t="s">
        <v>718</v>
      </c>
      <c r="Z126" s="4">
        <v>364</v>
      </c>
      <c r="AA126" s="4">
        <f>=ROUNDDOWN(30.3333333333333,0)</f>
      </c>
      <c r="AB126" s="5">
        <v>12</v>
      </c>
      <c r="AC126" s="2" t="s">
        <v>725</v>
      </c>
      <c r="AD126" s="4">
        <v>100</v>
      </c>
      <c r="AE126" s="4">
        <v>100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/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/>
      <c r="BJ126" s="4">
        <v>11</v>
      </c>
      <c r="BK126" s="8">
        <v>862.15</v>
      </c>
      <c r="BL126" s="2" t="s">
        <v>726</v>
      </c>
      <c r="BM126" s="7"/>
      <c r="BN126" s="7"/>
      <c r="BO126" s="4"/>
      <c r="BP126" s="8"/>
      <c r="BQ126" s="4"/>
      <c r="BR126" s="8"/>
      <c r="BS126" s="7"/>
      <c r="BT126" s="7"/>
      <c r="BU126" s="2" t="s">
        <v>171</v>
      </c>
      <c r="BV126" s="2" t="s">
        <v>97</v>
      </c>
      <c r="BW126" s="2" t="s">
        <v>100</v>
      </c>
      <c r="BX126" s="2" t="s">
        <v>100</v>
      </c>
      <c r="BY126" s="2" t="s">
        <v>112</v>
      </c>
      <c r="BZ126" s="2" t="s">
        <v>100</v>
      </c>
    </row>
    <row r="127">
      <c r="A127" s="2" t="s">
        <v>728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729</v>
      </c>
      <c r="G127" s="2" t="s">
        <v>730</v>
      </c>
      <c r="H127" s="2" t="s">
        <v>731</v>
      </c>
      <c r="I127" s="2" t="s">
        <v>470</v>
      </c>
      <c r="J127" s="2" t="s">
        <v>118</v>
      </c>
      <c r="K127" s="2" t="s">
        <v>179</v>
      </c>
      <c r="L127" s="3">
        <v>76.8</v>
      </c>
      <c r="M127" s="3">
        <v>80.63</v>
      </c>
      <c r="N127" s="3">
        <v>159.99</v>
      </c>
      <c r="O127" s="2" t="s">
        <v>97</v>
      </c>
      <c r="P127" s="2" t="s">
        <v>707</v>
      </c>
      <c r="Q127" s="2" t="s">
        <v>99</v>
      </c>
      <c r="R127" s="2" t="s">
        <v>100</v>
      </c>
      <c r="S127" s="2" t="s">
        <v>732</v>
      </c>
      <c r="T127" s="2" t="s">
        <v>100</v>
      </c>
      <c r="U127" s="2" t="s">
        <v>102</v>
      </c>
      <c r="V127" s="2" t="s">
        <v>733</v>
      </c>
      <c r="W127" s="2" t="s">
        <v>142</v>
      </c>
      <c r="X127" s="2" t="s">
        <v>211</v>
      </c>
      <c r="Y127" s="2" t="s">
        <v>144</v>
      </c>
      <c r="Z127" s="4">
        <v>62</v>
      </c>
      <c r="AA127" s="4">
        <f>=ROUNDDOWN(12.4,0)</f>
      </c>
      <c r="AB127" s="5">
        <v>5</v>
      </c>
      <c r="AC127" s="2" t="s">
        <v>130</v>
      </c>
      <c r="AD127" s="4">
        <v>80</v>
      </c>
      <c r="AE127" s="4">
        <v>150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/>
      <c r="BD127" s="8"/>
      <c r="BE127" s="4"/>
      <c r="BF127" s="8"/>
      <c r="BG127" s="7"/>
      <c r="BH127" s="7"/>
      <c r="BI127" s="7"/>
      <c r="BJ127" s="4">
        <v>5</v>
      </c>
      <c r="BK127" s="8">
        <v>391.08</v>
      </c>
      <c r="BL127" s="2" t="s">
        <v>734</v>
      </c>
      <c r="BM127" s="7"/>
      <c r="BN127" s="7"/>
      <c r="BO127" s="4"/>
      <c r="BP127" s="8"/>
      <c r="BQ127" s="4"/>
      <c r="BR127" s="8"/>
      <c r="BS127" s="7"/>
      <c r="BT127" s="7"/>
      <c r="BU127" s="2" t="s">
        <v>109</v>
      </c>
      <c r="BV127" s="2" t="s">
        <v>97</v>
      </c>
      <c r="BW127" s="2" t="s">
        <v>159</v>
      </c>
      <c r="BX127" s="2" t="s">
        <v>160</v>
      </c>
      <c r="BY127" s="2" t="s">
        <v>112</v>
      </c>
      <c r="BZ127" s="2" t="s">
        <v>100</v>
      </c>
    </row>
    <row r="128">
      <c r="A128" s="2" t="s">
        <v>735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736</v>
      </c>
      <c r="G128" s="2" t="s">
        <v>737</v>
      </c>
      <c r="H128" s="2" t="s">
        <v>738</v>
      </c>
      <c r="I128" s="2" t="s">
        <v>739</v>
      </c>
      <c r="J128" s="2" t="s">
        <v>95</v>
      </c>
      <c r="K128" s="2" t="s">
        <v>471</v>
      </c>
      <c r="L128" s="3">
        <v>75</v>
      </c>
      <c r="M128" s="3">
        <v>78.75</v>
      </c>
      <c r="N128" s="3">
        <v>149.99</v>
      </c>
      <c r="O128" s="2" t="s">
        <v>97</v>
      </c>
      <c r="P128" s="2" t="s">
        <v>98</v>
      </c>
      <c r="Q128" s="2" t="s">
        <v>99</v>
      </c>
      <c r="R128" s="2" t="s">
        <v>100</v>
      </c>
      <c r="S128" s="2" t="s">
        <v>740</v>
      </c>
      <c r="T128" s="2" t="s">
        <v>190</v>
      </c>
      <c r="U128" s="2" t="s">
        <v>102</v>
      </c>
      <c r="V128" s="2" t="s">
        <v>717</v>
      </c>
      <c r="W128" s="2" t="s">
        <v>717</v>
      </c>
      <c r="X128" s="2" t="s">
        <v>271</v>
      </c>
      <c r="Y128" s="2" t="s">
        <v>741</v>
      </c>
      <c r="Z128" s="4">
        <v>678</v>
      </c>
      <c r="AA128" s="4">
        <f>=ROUNDDOWN(38.7428571428571,0)</f>
      </c>
      <c r="AB128" s="5">
        <v>17.5</v>
      </c>
      <c r="AC128" s="2" t="s">
        <v>389</v>
      </c>
      <c r="AD128" s="4">
        <v>50</v>
      </c>
      <c r="AE128" s="4">
        <v>50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/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/>
      <c r="BJ128" s="4">
        <v>71</v>
      </c>
      <c r="BK128" s="8">
        <v>5183.2</v>
      </c>
      <c r="BL128" s="2" t="s">
        <v>742</v>
      </c>
      <c r="BM128" s="7"/>
      <c r="BN128" s="7"/>
      <c r="BO128" s="4"/>
      <c r="BP128" s="8"/>
      <c r="BQ128" s="4"/>
      <c r="BR128" s="8"/>
      <c r="BS128" s="7"/>
      <c r="BT128" s="7"/>
      <c r="BU128" s="2" t="s">
        <v>171</v>
      </c>
      <c r="BV128" s="2" t="s">
        <v>97</v>
      </c>
      <c r="BW128" s="2" t="s">
        <v>100</v>
      </c>
      <c r="BX128" s="2" t="s">
        <v>100</v>
      </c>
      <c r="BY128" s="2" t="s">
        <v>112</v>
      </c>
      <c r="BZ128" s="2" t="s">
        <v>100</v>
      </c>
    </row>
    <row r="129">
      <c r="A129" s="2" t="s">
        <v>743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736</v>
      </c>
      <c r="G129" s="2" t="s">
        <v>737</v>
      </c>
      <c r="H129" s="2" t="s">
        <v>738</v>
      </c>
      <c r="I129" s="2" t="s">
        <v>739</v>
      </c>
      <c r="J129" s="2" t="s">
        <v>114</v>
      </c>
      <c r="K129" s="2" t="s">
        <v>471</v>
      </c>
      <c r="L129" s="3">
        <v>85</v>
      </c>
      <c r="M129" s="3">
        <v>89.25</v>
      </c>
      <c r="N129" s="3">
        <v>169.99</v>
      </c>
      <c r="O129" s="2" t="s">
        <v>97</v>
      </c>
      <c r="P129" s="2" t="s">
        <v>98</v>
      </c>
      <c r="Q129" s="2" t="s">
        <v>99</v>
      </c>
      <c r="R129" s="2" t="s">
        <v>100</v>
      </c>
      <c r="S129" s="2" t="s">
        <v>740</v>
      </c>
      <c r="T129" s="2" t="s">
        <v>190</v>
      </c>
      <c r="U129" s="2" t="s">
        <v>102</v>
      </c>
      <c r="V129" s="2" t="s">
        <v>717</v>
      </c>
      <c r="W129" s="2" t="s">
        <v>717</v>
      </c>
      <c r="X129" s="2" t="s">
        <v>271</v>
      </c>
      <c r="Y129" s="2" t="s">
        <v>741</v>
      </c>
      <c r="Z129" s="4">
        <v>596</v>
      </c>
      <c r="AA129" s="4">
        <f>=ROUNDDOWN(39.7333333333333,0)</f>
      </c>
      <c r="AB129" s="5">
        <v>15</v>
      </c>
      <c r="AC129" s="2" t="s">
        <v>100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/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/>
      <c r="BJ129" s="4">
        <v>51</v>
      </c>
      <c r="BK129" s="8">
        <v>4427.36</v>
      </c>
      <c r="BL129" s="2" t="s">
        <v>744</v>
      </c>
      <c r="BM129" s="7"/>
      <c r="BN129" s="7"/>
      <c r="BO129" s="4"/>
      <c r="BP129" s="8"/>
      <c r="BQ129" s="4"/>
      <c r="BR129" s="8"/>
      <c r="BS129" s="7"/>
      <c r="BT129" s="7"/>
      <c r="BU129" s="2" t="s">
        <v>171</v>
      </c>
      <c r="BV129" s="2" t="s">
        <v>97</v>
      </c>
      <c r="BW129" s="2" t="s">
        <v>100</v>
      </c>
      <c r="BX129" s="2" t="s">
        <v>100</v>
      </c>
      <c r="BY129" s="2" t="s">
        <v>112</v>
      </c>
      <c r="BZ129" s="2" t="s">
        <v>100</v>
      </c>
    </row>
    <row r="130">
      <c r="A130" s="2" t="s">
        <v>745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736</v>
      </c>
      <c r="G130" s="2" t="s">
        <v>737</v>
      </c>
      <c r="H130" s="2" t="s">
        <v>738</v>
      </c>
      <c r="I130" s="2" t="s">
        <v>739</v>
      </c>
      <c r="J130" s="2" t="s">
        <v>118</v>
      </c>
      <c r="K130" s="2" t="s">
        <v>471</v>
      </c>
      <c r="L130" s="3">
        <v>85</v>
      </c>
      <c r="M130" s="3">
        <v>89.25</v>
      </c>
      <c r="N130" s="3">
        <v>169.99</v>
      </c>
      <c r="O130" s="2" t="s">
        <v>97</v>
      </c>
      <c r="P130" s="2" t="s">
        <v>98</v>
      </c>
      <c r="Q130" s="2" t="s">
        <v>99</v>
      </c>
      <c r="R130" s="2" t="s">
        <v>100</v>
      </c>
      <c r="S130" s="2" t="s">
        <v>740</v>
      </c>
      <c r="T130" s="2" t="s">
        <v>190</v>
      </c>
      <c r="U130" s="2" t="s">
        <v>102</v>
      </c>
      <c r="V130" s="2" t="s">
        <v>717</v>
      </c>
      <c r="W130" s="2" t="s">
        <v>717</v>
      </c>
      <c r="X130" s="2" t="s">
        <v>271</v>
      </c>
      <c r="Y130" s="2" t="s">
        <v>741</v>
      </c>
      <c r="Z130" s="4">
        <v>309</v>
      </c>
      <c r="AA130" s="4">
        <f>=ROUNDDOWN(51.5,0)</f>
      </c>
      <c r="AB130" s="5">
        <v>6</v>
      </c>
      <c r="AC130" s="2" t="s">
        <v>100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/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/>
      <c r="BJ130" s="4">
        <v>22</v>
      </c>
      <c r="BK130" s="8">
        <v>1830.33</v>
      </c>
      <c r="BL130" s="2" t="s">
        <v>746</v>
      </c>
      <c r="BM130" s="7"/>
      <c r="BN130" s="7"/>
      <c r="BO130" s="4"/>
      <c r="BP130" s="8"/>
      <c r="BQ130" s="4"/>
      <c r="BR130" s="8"/>
      <c r="BS130" s="7"/>
      <c r="BT130" s="7"/>
      <c r="BU130" s="2" t="s">
        <v>171</v>
      </c>
      <c r="BV130" s="2" t="s">
        <v>97</v>
      </c>
      <c r="BW130" s="2" t="s">
        <v>100</v>
      </c>
      <c r="BX130" s="2" t="s">
        <v>100</v>
      </c>
      <c r="BY130" s="2" t="s">
        <v>112</v>
      </c>
      <c r="BZ130" s="2" t="s">
        <v>100</v>
      </c>
    </row>
    <row r="131">
      <c r="A131" s="2" t="s">
        <v>747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748</v>
      </c>
      <c r="G131" s="2" t="s">
        <v>749</v>
      </c>
      <c r="H131" s="2" t="s">
        <v>750</v>
      </c>
      <c r="I131" s="2" t="s">
        <v>751</v>
      </c>
      <c r="J131" s="2" t="s">
        <v>522</v>
      </c>
      <c r="K131" s="2" t="s">
        <v>165</v>
      </c>
      <c r="L131" s="3">
        <v>52.38</v>
      </c>
      <c r="M131" s="3">
        <v>55</v>
      </c>
      <c r="N131" s="3">
        <v>109.99</v>
      </c>
      <c r="O131" s="2" t="s">
        <v>97</v>
      </c>
      <c r="P131" s="2" t="s">
        <v>98</v>
      </c>
      <c r="Q131" s="2" t="s">
        <v>99</v>
      </c>
      <c r="R131" s="2" t="s">
        <v>100</v>
      </c>
      <c r="S131" s="2" t="s">
        <v>752</v>
      </c>
      <c r="T131" s="2" t="s">
        <v>753</v>
      </c>
      <c r="U131" s="2" t="s">
        <v>460</v>
      </c>
      <c r="V131" s="2" t="s">
        <v>733</v>
      </c>
      <c r="W131" s="2" t="s">
        <v>594</v>
      </c>
      <c r="X131" s="2" t="s">
        <v>754</v>
      </c>
      <c r="Y131" s="2" t="s">
        <v>755</v>
      </c>
      <c r="Z131" s="4">
        <v>477</v>
      </c>
      <c r="AA131" s="4">
        <f>=ROUNDDOWN(19.08,0)</f>
      </c>
      <c r="AB131" s="5">
        <v>25</v>
      </c>
      <c r="AC131" s="2" t="s">
        <v>330</v>
      </c>
      <c r="AD131" s="4">
        <v>170</v>
      </c>
      <c r="AE131" s="4">
        <v>170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/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/>
      <c r="BJ131" s="4">
        <v>96</v>
      </c>
      <c r="BK131" s="8">
        <v>5452.3</v>
      </c>
      <c r="BL131" s="2" t="s">
        <v>756</v>
      </c>
      <c r="BM131" s="7"/>
      <c r="BN131" s="7"/>
      <c r="BO131" s="4"/>
      <c r="BP131" s="8"/>
      <c r="BQ131" s="4"/>
      <c r="BR131" s="8"/>
      <c r="BS131" s="7"/>
      <c r="BT131" s="7"/>
      <c r="BU131" s="2" t="s">
        <v>171</v>
      </c>
      <c r="BV131" s="2" t="s">
        <v>97</v>
      </c>
      <c r="BW131" s="2" t="s">
        <v>100</v>
      </c>
      <c r="BX131" s="2" t="s">
        <v>100</v>
      </c>
      <c r="BY131" s="2" t="s">
        <v>112</v>
      </c>
      <c r="BZ131" s="2" t="s">
        <v>149</v>
      </c>
    </row>
    <row r="132">
      <c r="A132" s="2" t="s">
        <v>757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748</v>
      </c>
      <c r="G132" s="2" t="s">
        <v>749</v>
      </c>
      <c r="H132" s="2" t="s">
        <v>750</v>
      </c>
      <c r="I132" s="2" t="s">
        <v>751</v>
      </c>
      <c r="J132" s="2" t="s">
        <v>529</v>
      </c>
      <c r="K132" s="2" t="s">
        <v>165</v>
      </c>
      <c r="L132" s="3">
        <v>61.9</v>
      </c>
      <c r="M132" s="3">
        <v>65</v>
      </c>
      <c r="N132" s="3">
        <v>129.99</v>
      </c>
      <c r="O132" s="2" t="s">
        <v>97</v>
      </c>
      <c r="P132" s="2" t="s">
        <v>98</v>
      </c>
      <c r="Q132" s="2" t="s">
        <v>99</v>
      </c>
      <c r="R132" s="2" t="s">
        <v>100</v>
      </c>
      <c r="S132" s="2" t="s">
        <v>752</v>
      </c>
      <c r="T132" s="2" t="s">
        <v>753</v>
      </c>
      <c r="U132" s="2" t="s">
        <v>460</v>
      </c>
      <c r="V132" s="2" t="s">
        <v>733</v>
      </c>
      <c r="W132" s="2" t="s">
        <v>594</v>
      </c>
      <c r="X132" s="2" t="s">
        <v>754</v>
      </c>
      <c r="Y132" s="2" t="s">
        <v>755</v>
      </c>
      <c r="Z132" s="4">
        <v>316</v>
      </c>
      <c r="AA132" s="4">
        <f>=ROUNDDOWN(17.5555555555556,0)</f>
      </c>
      <c r="AB132" s="5">
        <v>18</v>
      </c>
      <c r="AC132" s="2" t="s">
        <v>330</v>
      </c>
      <c r="AD132" s="4">
        <v>160</v>
      </c>
      <c r="AE132" s="4">
        <v>160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/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/>
      <c r="BJ132" s="4">
        <v>72</v>
      </c>
      <c r="BK132" s="8">
        <v>4792.79</v>
      </c>
      <c r="BL132" s="2" t="s">
        <v>758</v>
      </c>
      <c r="BM132" s="7"/>
      <c r="BN132" s="7"/>
      <c r="BO132" s="4"/>
      <c r="BP132" s="8"/>
      <c r="BQ132" s="4"/>
      <c r="BR132" s="8"/>
      <c r="BS132" s="7"/>
      <c r="BT132" s="7"/>
      <c r="BU132" s="2" t="s">
        <v>171</v>
      </c>
      <c r="BV132" s="2" t="s">
        <v>97</v>
      </c>
      <c r="BW132" s="2" t="s">
        <v>100</v>
      </c>
      <c r="BX132" s="2" t="s">
        <v>100</v>
      </c>
      <c r="BY132" s="2" t="s">
        <v>112</v>
      </c>
      <c r="BZ132" s="2" t="s">
        <v>149</v>
      </c>
    </row>
    <row r="133">
      <c r="A133" s="2" t="s">
        <v>759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760</v>
      </c>
      <c r="G133" s="2" t="s">
        <v>761</v>
      </c>
      <c r="H133" s="2" t="s">
        <v>762</v>
      </c>
      <c r="I133" s="2" t="s">
        <v>763</v>
      </c>
      <c r="J133" s="2" t="s">
        <v>522</v>
      </c>
      <c r="K133" s="2" t="s">
        <v>446</v>
      </c>
      <c r="L133" s="3">
        <v>42.85</v>
      </c>
      <c r="M133" s="3">
        <v>44.99</v>
      </c>
      <c r="N133" s="3">
        <v>89.99</v>
      </c>
      <c r="O133" s="2" t="s">
        <v>97</v>
      </c>
      <c r="P133" s="2" t="s">
        <v>98</v>
      </c>
      <c r="Q133" s="2" t="s">
        <v>99</v>
      </c>
      <c r="R133" s="2" t="s">
        <v>100</v>
      </c>
      <c r="S133" s="2" t="s">
        <v>764</v>
      </c>
      <c r="T133" s="2" t="s">
        <v>100</v>
      </c>
      <c r="U133" s="2" t="s">
        <v>460</v>
      </c>
      <c r="V133" s="2" t="s">
        <v>367</v>
      </c>
      <c r="W133" s="2" t="s">
        <v>594</v>
      </c>
      <c r="X133" s="2" t="s">
        <v>609</v>
      </c>
      <c r="Y133" s="2" t="s">
        <v>765</v>
      </c>
      <c r="Z133" s="4">
        <v>417</v>
      </c>
      <c r="AA133" s="4">
        <f>=ROUNDDOWN(23.1666666666667,0)</f>
      </c>
      <c r="AB133" s="5">
        <v>18</v>
      </c>
      <c r="AC133" s="2" t="s">
        <v>145</v>
      </c>
      <c r="AD133" s="4">
        <v>230</v>
      </c>
      <c r="AE133" s="4">
        <v>230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/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/>
      <c r="BJ133" s="4">
        <v>55</v>
      </c>
      <c r="BK133" s="8">
        <v>2589.2</v>
      </c>
      <c r="BL133" s="2" t="s">
        <v>766</v>
      </c>
      <c r="BM133" s="7"/>
      <c r="BN133" s="7"/>
      <c r="BO133" s="4"/>
      <c r="BP133" s="8"/>
      <c r="BQ133" s="4"/>
      <c r="BR133" s="8"/>
      <c r="BS133" s="7"/>
      <c r="BT133" s="7"/>
      <c r="BU133" s="2" t="s">
        <v>171</v>
      </c>
      <c r="BV133" s="2" t="s">
        <v>97</v>
      </c>
      <c r="BW133" s="2" t="s">
        <v>100</v>
      </c>
      <c r="BX133" s="2" t="s">
        <v>100</v>
      </c>
      <c r="BY133" s="2" t="s">
        <v>112</v>
      </c>
      <c r="BZ133" s="2" t="s">
        <v>149</v>
      </c>
    </row>
    <row r="134">
      <c r="A134" s="2" t="s">
        <v>767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760</v>
      </c>
      <c r="G134" s="2" t="s">
        <v>761</v>
      </c>
      <c r="H134" s="2" t="s">
        <v>762</v>
      </c>
      <c r="I134" s="2" t="s">
        <v>763</v>
      </c>
      <c r="J134" s="2" t="s">
        <v>529</v>
      </c>
      <c r="K134" s="2" t="s">
        <v>446</v>
      </c>
      <c r="L134" s="3">
        <v>47.61</v>
      </c>
      <c r="M134" s="3">
        <v>49.99</v>
      </c>
      <c r="N134" s="3">
        <v>99.99</v>
      </c>
      <c r="O134" s="2" t="s">
        <v>97</v>
      </c>
      <c r="P134" s="2" t="s">
        <v>98</v>
      </c>
      <c r="Q134" s="2" t="s">
        <v>99</v>
      </c>
      <c r="R134" s="2" t="s">
        <v>100</v>
      </c>
      <c r="S134" s="2" t="s">
        <v>764</v>
      </c>
      <c r="T134" s="2" t="s">
        <v>100</v>
      </c>
      <c r="U134" s="2" t="s">
        <v>460</v>
      </c>
      <c r="V134" s="2" t="s">
        <v>367</v>
      </c>
      <c r="W134" s="2" t="s">
        <v>594</v>
      </c>
      <c r="X134" s="2" t="s">
        <v>609</v>
      </c>
      <c r="Y134" s="2" t="s">
        <v>765</v>
      </c>
      <c r="Z134" s="4">
        <v>660</v>
      </c>
      <c r="AA134" s="4">
        <f>=ROUNDDOWN(41.25,0)</f>
      </c>
      <c r="AB134" s="5">
        <v>16</v>
      </c>
      <c r="AC134" s="2" t="s">
        <v>145</v>
      </c>
      <c r="AD134" s="4">
        <v>300</v>
      </c>
      <c r="AE134" s="4">
        <v>300</v>
      </c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/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/>
      <c r="BJ134" s="4">
        <v>49</v>
      </c>
      <c r="BK134" s="8">
        <v>2582.01</v>
      </c>
      <c r="BL134" s="2" t="s">
        <v>768</v>
      </c>
      <c r="BM134" s="7"/>
      <c r="BN134" s="7"/>
      <c r="BO134" s="4"/>
      <c r="BP134" s="8"/>
      <c r="BQ134" s="4"/>
      <c r="BR134" s="8"/>
      <c r="BS134" s="7"/>
      <c r="BT134" s="7"/>
      <c r="BU134" s="2" t="s">
        <v>171</v>
      </c>
      <c r="BV134" s="2" t="s">
        <v>97</v>
      </c>
      <c r="BW134" s="2" t="s">
        <v>100</v>
      </c>
      <c r="BX134" s="2" t="s">
        <v>100</v>
      </c>
      <c r="BY134" s="2" t="s">
        <v>112</v>
      </c>
      <c r="BZ134" s="2" t="s">
        <v>149</v>
      </c>
    </row>
    <row r="135">
      <c r="A135" s="2" t="s">
        <v>769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770</v>
      </c>
      <c r="G135" s="2" t="s">
        <v>771</v>
      </c>
      <c r="H135" s="2" t="s">
        <v>772</v>
      </c>
      <c r="I135" s="2" t="s">
        <v>773</v>
      </c>
      <c r="J135" s="2" t="s">
        <v>114</v>
      </c>
      <c r="K135" s="2" t="s">
        <v>673</v>
      </c>
      <c r="L135" s="3">
        <v>76.49</v>
      </c>
      <c r="M135" s="3">
        <v>80.32</v>
      </c>
      <c r="N135" s="3">
        <v>149.99</v>
      </c>
      <c r="O135" s="2" t="s">
        <v>97</v>
      </c>
      <c r="P135" s="2" t="s">
        <v>98</v>
      </c>
      <c r="Q135" s="2" t="s">
        <v>99</v>
      </c>
      <c r="R135" s="2" t="s">
        <v>100</v>
      </c>
      <c r="S135" s="2" t="s">
        <v>774</v>
      </c>
      <c r="T135" s="2" t="s">
        <v>100</v>
      </c>
      <c r="U135" s="2" t="s">
        <v>102</v>
      </c>
      <c r="V135" s="2" t="s">
        <v>141</v>
      </c>
      <c r="W135" s="2" t="s">
        <v>493</v>
      </c>
      <c r="X135" s="2" t="s">
        <v>305</v>
      </c>
      <c r="Y135" s="2" t="s">
        <v>144</v>
      </c>
      <c r="Z135" s="4">
        <v>419</v>
      </c>
      <c r="AA135" s="4">
        <f>=ROUNDDOWN(27.9333333333333,0)</f>
      </c>
      <c r="AB135" s="5">
        <v>15</v>
      </c>
      <c r="AC135" s="2" t="s">
        <v>130</v>
      </c>
      <c r="AD135" s="4">
        <v>70</v>
      </c>
      <c r="AE135" s="4">
        <v>70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/>
      <c r="BD135" s="8"/>
      <c r="BE135" s="4"/>
      <c r="BF135" s="8"/>
      <c r="BG135" s="7"/>
      <c r="BH135" s="7"/>
      <c r="BI135" s="7"/>
      <c r="BJ135" s="4">
        <v>44</v>
      </c>
      <c r="BK135" s="8">
        <v>3462.52</v>
      </c>
      <c r="BL135" s="2" t="s">
        <v>775</v>
      </c>
      <c r="BM135" s="7"/>
      <c r="BN135" s="7"/>
      <c r="BO135" s="4"/>
      <c r="BP135" s="8"/>
      <c r="BQ135" s="4"/>
      <c r="BR135" s="8"/>
      <c r="BS135" s="7"/>
      <c r="BT135" s="7"/>
      <c r="BU135" s="2" t="s">
        <v>109</v>
      </c>
      <c r="BV135" s="2" t="s">
        <v>97</v>
      </c>
      <c r="BW135" s="2" t="s">
        <v>159</v>
      </c>
      <c r="BX135" s="2" t="s">
        <v>776</v>
      </c>
      <c r="BY135" s="2" t="s">
        <v>112</v>
      </c>
      <c r="BZ135" s="2" t="s">
        <v>149</v>
      </c>
    </row>
    <row r="136">
      <c r="A136" s="2" t="s">
        <v>777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778</v>
      </c>
      <c r="G136" s="2" t="s">
        <v>779</v>
      </c>
      <c r="H136" s="2" t="s">
        <v>780</v>
      </c>
      <c r="I136" s="2" t="s">
        <v>705</v>
      </c>
      <c r="J136" s="2" t="s">
        <v>95</v>
      </c>
      <c r="K136" s="2" t="s">
        <v>165</v>
      </c>
      <c r="L136" s="3">
        <v>61.73</v>
      </c>
      <c r="M136" s="3">
        <v>64.82</v>
      </c>
      <c r="N136" s="3">
        <v>129.99</v>
      </c>
      <c r="O136" s="2" t="s">
        <v>97</v>
      </c>
      <c r="P136" s="2" t="s">
        <v>98</v>
      </c>
      <c r="Q136" s="2" t="s">
        <v>99</v>
      </c>
      <c r="R136" s="2" t="s">
        <v>100</v>
      </c>
      <c r="S136" s="2" t="s">
        <v>781</v>
      </c>
      <c r="T136" s="2" t="s">
        <v>190</v>
      </c>
      <c r="U136" s="2" t="s">
        <v>102</v>
      </c>
      <c r="V136" s="2" t="s">
        <v>304</v>
      </c>
      <c r="W136" s="2" t="s">
        <v>142</v>
      </c>
      <c r="X136" s="2" t="s">
        <v>168</v>
      </c>
      <c r="Y136" s="2" t="s">
        <v>782</v>
      </c>
      <c r="Z136" s="4">
        <v>88</v>
      </c>
      <c r="AA136" s="4">
        <f>=ROUNDDOWN(5.86666666666667,0)</f>
      </c>
      <c r="AB136" s="5">
        <v>15</v>
      </c>
      <c r="AC136" s="2" t="s">
        <v>783</v>
      </c>
      <c r="AD136" s="4">
        <v>100</v>
      </c>
      <c r="AE136" s="4">
        <v>350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/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/>
      <c r="BJ136" s="4">
        <v>34</v>
      </c>
      <c r="BK136" s="8">
        <v>2501.18</v>
      </c>
      <c r="BL136" s="2" t="s">
        <v>784</v>
      </c>
      <c r="BM136" s="7"/>
      <c r="BN136" s="7"/>
      <c r="BO136" s="4"/>
      <c r="BP136" s="8"/>
      <c r="BQ136" s="4"/>
      <c r="BR136" s="8"/>
      <c r="BS136" s="7"/>
      <c r="BT136" s="7"/>
      <c r="BU136" s="2" t="s">
        <v>171</v>
      </c>
      <c r="BV136" s="2" t="s">
        <v>97</v>
      </c>
      <c r="BW136" s="2" t="s">
        <v>100</v>
      </c>
      <c r="BX136" s="2" t="s">
        <v>100</v>
      </c>
      <c r="BY136" s="2" t="s">
        <v>112</v>
      </c>
      <c r="BZ136" s="2" t="s">
        <v>100</v>
      </c>
    </row>
    <row r="137">
      <c r="A137" s="2" t="s">
        <v>785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778</v>
      </c>
      <c r="G137" s="2" t="s">
        <v>779</v>
      </c>
      <c r="H137" s="2" t="s">
        <v>780</v>
      </c>
      <c r="I137" s="2" t="s">
        <v>705</v>
      </c>
      <c r="J137" s="2" t="s">
        <v>114</v>
      </c>
      <c r="K137" s="2" t="s">
        <v>165</v>
      </c>
      <c r="L137" s="3">
        <v>70.55</v>
      </c>
      <c r="M137" s="3">
        <v>74.08</v>
      </c>
      <c r="N137" s="3">
        <v>149.99</v>
      </c>
      <c r="O137" s="2" t="s">
        <v>97</v>
      </c>
      <c r="P137" s="2" t="s">
        <v>98</v>
      </c>
      <c r="Q137" s="2" t="s">
        <v>99</v>
      </c>
      <c r="R137" s="2" t="s">
        <v>100</v>
      </c>
      <c r="S137" s="2" t="s">
        <v>781</v>
      </c>
      <c r="T137" s="2" t="s">
        <v>190</v>
      </c>
      <c r="U137" s="2" t="s">
        <v>102</v>
      </c>
      <c r="V137" s="2" t="s">
        <v>304</v>
      </c>
      <c r="W137" s="2" t="s">
        <v>142</v>
      </c>
      <c r="X137" s="2" t="s">
        <v>168</v>
      </c>
      <c r="Y137" s="2" t="s">
        <v>782</v>
      </c>
      <c r="Z137" s="4">
        <v>63</v>
      </c>
      <c r="AA137" s="4">
        <f>=ROUNDDOWN(4.84615384615385,0)</f>
      </c>
      <c r="AB137" s="5">
        <v>13</v>
      </c>
      <c r="AC137" s="2" t="s">
        <v>783</v>
      </c>
      <c r="AD137" s="4">
        <v>80</v>
      </c>
      <c r="AE137" s="4">
        <v>360</v>
      </c>
      <c r="AF137" s="6">
        <v>65</v>
      </c>
      <c r="AG137" s="6"/>
      <c r="AH137" s="7">
        <v>0.5806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/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/>
      <c r="BJ137" s="4">
        <v>25</v>
      </c>
      <c r="BK137" s="8">
        <v>2113.85</v>
      </c>
      <c r="BL137" s="2" t="s">
        <v>786</v>
      </c>
      <c r="BM137" s="7"/>
      <c r="BN137" s="7"/>
      <c r="BO137" s="4"/>
      <c r="BP137" s="8"/>
      <c r="BQ137" s="4"/>
      <c r="BR137" s="8"/>
      <c r="BS137" s="7"/>
      <c r="BT137" s="7"/>
      <c r="BU137" s="2" t="s">
        <v>171</v>
      </c>
      <c r="BV137" s="2" t="s">
        <v>97</v>
      </c>
      <c r="BW137" s="2" t="s">
        <v>100</v>
      </c>
      <c r="BX137" s="2" t="s">
        <v>100</v>
      </c>
      <c r="BY137" s="2" t="s">
        <v>112</v>
      </c>
      <c r="BZ137" s="2" t="s">
        <v>100</v>
      </c>
    </row>
    <row r="138">
      <c r="A138" s="2" t="s">
        <v>787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778</v>
      </c>
      <c r="G138" s="2" t="s">
        <v>779</v>
      </c>
      <c r="H138" s="2" t="s">
        <v>780</v>
      </c>
      <c r="I138" s="2" t="s">
        <v>705</v>
      </c>
      <c r="J138" s="2" t="s">
        <v>118</v>
      </c>
      <c r="K138" s="2" t="s">
        <v>165</v>
      </c>
      <c r="L138" s="3">
        <v>70.55</v>
      </c>
      <c r="M138" s="3">
        <v>74.08</v>
      </c>
      <c r="N138" s="3">
        <v>149.99</v>
      </c>
      <c r="O138" s="2" t="s">
        <v>97</v>
      </c>
      <c r="P138" s="2" t="s">
        <v>98</v>
      </c>
      <c r="Q138" s="2" t="s">
        <v>99</v>
      </c>
      <c r="R138" s="2" t="s">
        <v>100</v>
      </c>
      <c r="S138" s="2" t="s">
        <v>781</v>
      </c>
      <c r="T138" s="2" t="s">
        <v>190</v>
      </c>
      <c r="U138" s="2" t="s">
        <v>102</v>
      </c>
      <c r="V138" s="2" t="s">
        <v>304</v>
      </c>
      <c r="W138" s="2" t="s">
        <v>142</v>
      </c>
      <c r="X138" s="2" t="s">
        <v>168</v>
      </c>
      <c r="Y138" s="2" t="s">
        <v>782</v>
      </c>
      <c r="Z138" s="4">
        <v>67</v>
      </c>
      <c r="AA138" s="4">
        <f>=ROUNDDOWN(6.7,0)</f>
      </c>
      <c r="AB138" s="5">
        <v>10</v>
      </c>
      <c r="AC138" s="2" t="s">
        <v>783</v>
      </c>
      <c r="AD138" s="4">
        <v>60</v>
      </c>
      <c r="AE138" s="4">
        <v>280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/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/>
      <c r="BJ138" s="4">
        <v>37</v>
      </c>
      <c r="BK138" s="8">
        <v>2989.54</v>
      </c>
      <c r="BL138" s="2" t="s">
        <v>788</v>
      </c>
      <c r="BM138" s="7"/>
      <c r="BN138" s="7"/>
      <c r="BO138" s="4"/>
      <c r="BP138" s="8"/>
      <c r="BQ138" s="4"/>
      <c r="BR138" s="8"/>
      <c r="BS138" s="7"/>
      <c r="BT138" s="7"/>
      <c r="BU138" s="2" t="s">
        <v>171</v>
      </c>
      <c r="BV138" s="2" t="s">
        <v>97</v>
      </c>
      <c r="BW138" s="2" t="s">
        <v>100</v>
      </c>
      <c r="BX138" s="2" t="s">
        <v>100</v>
      </c>
      <c r="BY138" s="2" t="s">
        <v>112</v>
      </c>
      <c r="BZ138" s="2" t="s">
        <v>100</v>
      </c>
    </row>
    <row r="139">
      <c r="A139" s="2" t="s">
        <v>789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790</v>
      </c>
      <c r="G139" s="2" t="s">
        <v>791</v>
      </c>
      <c r="H139" s="2" t="s">
        <v>792</v>
      </c>
      <c r="I139" s="2" t="s">
        <v>793</v>
      </c>
      <c r="J139" s="2" t="s">
        <v>95</v>
      </c>
      <c r="K139" s="2" t="s">
        <v>223</v>
      </c>
      <c r="L139" s="3">
        <v>52.8</v>
      </c>
      <c r="M139" s="3">
        <v>55.43</v>
      </c>
      <c r="N139" s="3">
        <v>109.99</v>
      </c>
      <c r="O139" s="2" t="s">
        <v>97</v>
      </c>
      <c r="P139" s="2" t="s">
        <v>98</v>
      </c>
      <c r="Q139" s="2" t="s">
        <v>99</v>
      </c>
      <c r="R139" s="2" t="s">
        <v>100</v>
      </c>
      <c r="S139" s="2" t="s">
        <v>794</v>
      </c>
      <c r="T139" s="2" t="s">
        <v>100</v>
      </c>
      <c r="U139" s="2" t="s">
        <v>102</v>
      </c>
      <c r="V139" s="2" t="s">
        <v>461</v>
      </c>
      <c r="W139" s="2" t="s">
        <v>493</v>
      </c>
      <c r="X139" s="2" t="s">
        <v>795</v>
      </c>
      <c r="Y139" s="2" t="s">
        <v>796</v>
      </c>
      <c r="Z139" s="4">
        <v>254</v>
      </c>
      <c r="AA139" s="4">
        <f>=ROUNDDOWN(21.1666666666667,0)</f>
      </c>
      <c r="AB139" s="5">
        <v>12</v>
      </c>
      <c r="AC139" s="2" t="s">
        <v>330</v>
      </c>
      <c r="AD139" s="4">
        <v>250</v>
      </c>
      <c r="AE139" s="4">
        <v>250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/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/>
      <c r="BJ139" s="4">
        <v>50</v>
      </c>
      <c r="BK139" s="8">
        <v>2865.06</v>
      </c>
      <c r="BL139" s="2" t="s">
        <v>797</v>
      </c>
      <c r="BM139" s="7"/>
      <c r="BN139" s="7"/>
      <c r="BO139" s="4"/>
      <c r="BP139" s="8"/>
      <c r="BQ139" s="4"/>
      <c r="BR139" s="8"/>
      <c r="BS139" s="7"/>
      <c r="BT139" s="7"/>
      <c r="BU139" s="2" t="s">
        <v>171</v>
      </c>
      <c r="BV139" s="2" t="s">
        <v>97</v>
      </c>
      <c r="BW139" s="2" t="s">
        <v>100</v>
      </c>
      <c r="BX139" s="2" t="s">
        <v>100</v>
      </c>
      <c r="BY139" s="2" t="s">
        <v>112</v>
      </c>
      <c r="BZ139" s="2" t="s">
        <v>149</v>
      </c>
    </row>
    <row r="140">
      <c r="A140" s="2" t="s">
        <v>798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790</v>
      </c>
      <c r="G140" s="2" t="s">
        <v>791</v>
      </c>
      <c r="H140" s="2" t="s">
        <v>792</v>
      </c>
      <c r="I140" s="2" t="s">
        <v>793</v>
      </c>
      <c r="J140" s="2" t="s">
        <v>114</v>
      </c>
      <c r="K140" s="2" t="s">
        <v>223</v>
      </c>
      <c r="L140" s="3">
        <v>63.7</v>
      </c>
      <c r="M140" s="3">
        <v>66.88</v>
      </c>
      <c r="N140" s="3">
        <v>129.99</v>
      </c>
      <c r="O140" s="2" t="s">
        <v>97</v>
      </c>
      <c r="P140" s="2" t="s">
        <v>98</v>
      </c>
      <c r="Q140" s="2" t="s">
        <v>99</v>
      </c>
      <c r="R140" s="2" t="s">
        <v>100</v>
      </c>
      <c r="S140" s="2" t="s">
        <v>794</v>
      </c>
      <c r="T140" s="2" t="s">
        <v>100</v>
      </c>
      <c r="U140" s="2" t="s">
        <v>102</v>
      </c>
      <c r="V140" s="2" t="s">
        <v>461</v>
      </c>
      <c r="W140" s="2" t="s">
        <v>493</v>
      </c>
      <c r="X140" s="2" t="s">
        <v>795</v>
      </c>
      <c r="Y140" s="2" t="s">
        <v>796</v>
      </c>
      <c r="Z140" s="4">
        <v>306</v>
      </c>
      <c r="AA140" s="4">
        <f>=ROUNDDOWN(34,0)</f>
      </c>
      <c r="AB140" s="5">
        <v>9</v>
      </c>
      <c r="AC140" s="2" t="s">
        <v>330</v>
      </c>
      <c r="AD140" s="4">
        <v>230</v>
      </c>
      <c r="AE140" s="4">
        <v>230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/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/>
      <c r="BJ140" s="4">
        <v>33</v>
      </c>
      <c r="BK140" s="8">
        <v>2237.21</v>
      </c>
      <c r="BL140" s="2" t="s">
        <v>799</v>
      </c>
      <c r="BM140" s="7"/>
      <c r="BN140" s="7"/>
      <c r="BO140" s="4"/>
      <c r="BP140" s="8"/>
      <c r="BQ140" s="4"/>
      <c r="BR140" s="8"/>
      <c r="BS140" s="7"/>
      <c r="BT140" s="7"/>
      <c r="BU140" s="2" t="s">
        <v>171</v>
      </c>
      <c r="BV140" s="2" t="s">
        <v>97</v>
      </c>
      <c r="BW140" s="2" t="s">
        <v>100</v>
      </c>
      <c r="BX140" s="2" t="s">
        <v>100</v>
      </c>
      <c r="BY140" s="2" t="s">
        <v>112</v>
      </c>
      <c r="BZ140" s="2" t="s">
        <v>100</v>
      </c>
    </row>
    <row r="141">
      <c r="A141" s="2" t="s">
        <v>800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790</v>
      </c>
      <c r="G141" s="2" t="s">
        <v>791</v>
      </c>
      <c r="H141" s="2" t="s">
        <v>792</v>
      </c>
      <c r="I141" s="2" t="s">
        <v>793</v>
      </c>
      <c r="J141" s="2" t="s">
        <v>118</v>
      </c>
      <c r="K141" s="2" t="s">
        <v>223</v>
      </c>
      <c r="L141" s="3">
        <v>63.7</v>
      </c>
      <c r="M141" s="3">
        <v>66.88</v>
      </c>
      <c r="N141" s="3">
        <v>129.99</v>
      </c>
      <c r="O141" s="2" t="s">
        <v>97</v>
      </c>
      <c r="P141" s="2" t="s">
        <v>98</v>
      </c>
      <c r="Q141" s="2" t="s">
        <v>99</v>
      </c>
      <c r="R141" s="2" t="s">
        <v>100</v>
      </c>
      <c r="S141" s="2" t="s">
        <v>794</v>
      </c>
      <c r="T141" s="2" t="s">
        <v>100</v>
      </c>
      <c r="U141" s="2" t="s">
        <v>102</v>
      </c>
      <c r="V141" s="2" t="s">
        <v>461</v>
      </c>
      <c r="W141" s="2" t="s">
        <v>493</v>
      </c>
      <c r="X141" s="2" t="s">
        <v>795</v>
      </c>
      <c r="Y141" s="2" t="s">
        <v>796</v>
      </c>
      <c r="Z141" s="4">
        <v>217</v>
      </c>
      <c r="AA141" s="4">
        <f>=ROUNDDOWN(43.4,0)</f>
      </c>
      <c r="AB141" s="5">
        <v>5</v>
      </c>
      <c r="AC141" s="2" t="s">
        <v>330</v>
      </c>
      <c r="AD141" s="4">
        <v>85</v>
      </c>
      <c r="AE141" s="4">
        <v>85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/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/>
      <c r="BJ141" s="4">
        <v>13</v>
      </c>
      <c r="BK141" s="8">
        <v>820.17</v>
      </c>
      <c r="BL141" s="2" t="s">
        <v>801</v>
      </c>
      <c r="BM141" s="7"/>
      <c r="BN141" s="7"/>
      <c r="BO141" s="4"/>
      <c r="BP141" s="8"/>
      <c r="BQ141" s="4"/>
      <c r="BR141" s="8"/>
      <c r="BS141" s="7"/>
      <c r="BT141" s="7"/>
      <c r="BU141" s="2" t="s">
        <v>171</v>
      </c>
      <c r="BV141" s="2" t="s">
        <v>97</v>
      </c>
      <c r="BW141" s="2" t="s">
        <v>100</v>
      </c>
      <c r="BX141" s="2" t="s">
        <v>100</v>
      </c>
      <c r="BY141" s="2" t="s">
        <v>112</v>
      </c>
      <c r="BZ141" s="2" t="s">
        <v>149</v>
      </c>
    </row>
    <row r="142">
      <c r="A142" s="2" t="s">
        <v>802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790</v>
      </c>
      <c r="G142" s="2" t="s">
        <v>791</v>
      </c>
      <c r="H142" s="2" t="s">
        <v>792</v>
      </c>
      <c r="I142" s="2" t="s">
        <v>793</v>
      </c>
      <c r="J142" s="2" t="s">
        <v>95</v>
      </c>
      <c r="K142" s="2" t="s">
        <v>673</v>
      </c>
      <c r="L142" s="3">
        <v>52.8</v>
      </c>
      <c r="M142" s="3">
        <v>55.43</v>
      </c>
      <c r="N142" s="3">
        <v>109.99</v>
      </c>
      <c r="O142" s="2" t="s">
        <v>97</v>
      </c>
      <c r="P142" s="2" t="s">
        <v>98</v>
      </c>
      <c r="Q142" s="2" t="s">
        <v>99</v>
      </c>
      <c r="R142" s="2" t="s">
        <v>100</v>
      </c>
      <c r="S142" s="2" t="s">
        <v>803</v>
      </c>
      <c r="T142" s="2" t="s">
        <v>100</v>
      </c>
      <c r="U142" s="2" t="s">
        <v>102</v>
      </c>
      <c r="V142" s="2" t="s">
        <v>461</v>
      </c>
      <c r="W142" s="2" t="s">
        <v>493</v>
      </c>
      <c r="X142" s="2" t="s">
        <v>795</v>
      </c>
      <c r="Y142" s="2" t="s">
        <v>804</v>
      </c>
      <c r="Z142" s="4">
        <v>408</v>
      </c>
      <c r="AA142" s="4">
        <f>=ROUNDDOWN(34,0)</f>
      </c>
      <c r="AB142" s="5">
        <v>12</v>
      </c>
      <c r="AC142" s="2" t="s">
        <v>330</v>
      </c>
      <c r="AD142" s="4">
        <v>220</v>
      </c>
      <c r="AE142" s="4">
        <v>220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/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/>
      <c r="BJ142" s="4">
        <v>51</v>
      </c>
      <c r="BK142" s="8">
        <v>2910.09</v>
      </c>
      <c r="BL142" s="2" t="s">
        <v>805</v>
      </c>
      <c r="BM142" s="7"/>
      <c r="BN142" s="7"/>
      <c r="BO142" s="4"/>
      <c r="BP142" s="8"/>
      <c r="BQ142" s="4"/>
      <c r="BR142" s="8"/>
      <c r="BS142" s="7"/>
      <c r="BT142" s="7"/>
      <c r="BU142" s="2" t="s">
        <v>171</v>
      </c>
      <c r="BV142" s="2" t="s">
        <v>97</v>
      </c>
      <c r="BW142" s="2" t="s">
        <v>100</v>
      </c>
      <c r="BX142" s="2" t="s">
        <v>100</v>
      </c>
      <c r="BY142" s="2" t="s">
        <v>112</v>
      </c>
      <c r="BZ142" s="2" t="s">
        <v>100</v>
      </c>
    </row>
    <row r="143">
      <c r="A143" s="2" t="s">
        <v>806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790</v>
      </c>
      <c r="G143" s="2" t="s">
        <v>791</v>
      </c>
      <c r="H143" s="2" t="s">
        <v>792</v>
      </c>
      <c r="I143" s="2" t="s">
        <v>793</v>
      </c>
      <c r="J143" s="2" t="s">
        <v>114</v>
      </c>
      <c r="K143" s="2" t="s">
        <v>673</v>
      </c>
      <c r="L143" s="3">
        <v>63.7</v>
      </c>
      <c r="M143" s="3">
        <v>66.88</v>
      </c>
      <c r="N143" s="3">
        <v>129.99</v>
      </c>
      <c r="O143" s="2" t="s">
        <v>97</v>
      </c>
      <c r="P143" s="2" t="s">
        <v>98</v>
      </c>
      <c r="Q143" s="2" t="s">
        <v>99</v>
      </c>
      <c r="R143" s="2" t="s">
        <v>100</v>
      </c>
      <c r="S143" s="2" t="s">
        <v>803</v>
      </c>
      <c r="T143" s="2" t="s">
        <v>100</v>
      </c>
      <c r="U143" s="2" t="s">
        <v>102</v>
      </c>
      <c r="V143" s="2" t="s">
        <v>461</v>
      </c>
      <c r="W143" s="2" t="s">
        <v>493</v>
      </c>
      <c r="X143" s="2" t="s">
        <v>795</v>
      </c>
      <c r="Y143" s="2" t="s">
        <v>804</v>
      </c>
      <c r="Z143" s="4">
        <v>306</v>
      </c>
      <c r="AA143" s="4">
        <f>=ROUNDDOWN(23.5384615384615,0)</f>
      </c>
      <c r="AB143" s="5">
        <v>13</v>
      </c>
      <c r="AC143" s="2" t="s">
        <v>330</v>
      </c>
      <c r="AD143" s="4">
        <v>210</v>
      </c>
      <c r="AE143" s="4">
        <v>210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/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/>
      <c r="BJ143" s="4">
        <v>47</v>
      </c>
      <c r="BK143" s="8">
        <v>3191</v>
      </c>
      <c r="BL143" s="2" t="s">
        <v>807</v>
      </c>
      <c r="BM143" s="7"/>
      <c r="BN143" s="7"/>
      <c r="BO143" s="4"/>
      <c r="BP143" s="8"/>
      <c r="BQ143" s="4"/>
      <c r="BR143" s="8"/>
      <c r="BS143" s="7"/>
      <c r="BT143" s="7"/>
      <c r="BU143" s="2" t="s">
        <v>171</v>
      </c>
      <c r="BV143" s="2" t="s">
        <v>97</v>
      </c>
      <c r="BW143" s="2" t="s">
        <v>100</v>
      </c>
      <c r="BX143" s="2" t="s">
        <v>100</v>
      </c>
      <c r="BY143" s="2" t="s">
        <v>112</v>
      </c>
      <c r="BZ143" s="2" t="s">
        <v>100</v>
      </c>
    </row>
    <row r="144">
      <c r="A144" s="2" t="s">
        <v>808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790</v>
      </c>
      <c r="G144" s="2" t="s">
        <v>791</v>
      </c>
      <c r="H144" s="2" t="s">
        <v>792</v>
      </c>
      <c r="I144" s="2" t="s">
        <v>793</v>
      </c>
      <c r="J144" s="2" t="s">
        <v>118</v>
      </c>
      <c r="K144" s="2" t="s">
        <v>673</v>
      </c>
      <c r="L144" s="3">
        <v>63.7</v>
      </c>
      <c r="M144" s="3">
        <v>66.88</v>
      </c>
      <c r="N144" s="3">
        <v>129.99</v>
      </c>
      <c r="O144" s="2" t="s">
        <v>97</v>
      </c>
      <c r="P144" s="2" t="s">
        <v>98</v>
      </c>
      <c r="Q144" s="2" t="s">
        <v>99</v>
      </c>
      <c r="R144" s="2" t="s">
        <v>100</v>
      </c>
      <c r="S144" s="2" t="s">
        <v>803</v>
      </c>
      <c r="T144" s="2" t="s">
        <v>100</v>
      </c>
      <c r="U144" s="2" t="s">
        <v>102</v>
      </c>
      <c r="V144" s="2" t="s">
        <v>461</v>
      </c>
      <c r="W144" s="2" t="s">
        <v>493</v>
      </c>
      <c r="X144" s="2" t="s">
        <v>795</v>
      </c>
      <c r="Y144" s="2" t="s">
        <v>804</v>
      </c>
      <c r="Z144" s="4">
        <v>247</v>
      </c>
      <c r="AA144" s="4">
        <f>=ROUNDDOWN(35.2857142857143,0)</f>
      </c>
      <c r="AB144" s="5">
        <v>7</v>
      </c>
      <c r="AC144" s="2" t="s">
        <v>330</v>
      </c>
      <c r="AD144" s="4">
        <v>110</v>
      </c>
      <c r="AE144" s="4">
        <v>110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/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/>
      <c r="BJ144" s="4">
        <v>14</v>
      </c>
      <c r="BK144" s="8">
        <v>949.06</v>
      </c>
      <c r="BL144" s="2" t="s">
        <v>809</v>
      </c>
      <c r="BM144" s="7"/>
      <c r="BN144" s="7"/>
      <c r="BO144" s="4"/>
      <c r="BP144" s="8"/>
      <c r="BQ144" s="4"/>
      <c r="BR144" s="8"/>
      <c r="BS144" s="7"/>
      <c r="BT144" s="7"/>
      <c r="BU144" s="2" t="s">
        <v>171</v>
      </c>
      <c r="BV144" s="2" t="s">
        <v>97</v>
      </c>
      <c r="BW144" s="2" t="s">
        <v>100</v>
      </c>
      <c r="BX144" s="2" t="s">
        <v>100</v>
      </c>
      <c r="BY144" s="2" t="s">
        <v>112</v>
      </c>
      <c r="BZ144" s="2" t="s">
        <v>100</v>
      </c>
    </row>
    <row r="145">
      <c r="A145" s="2" t="s">
        <v>810</v>
      </c>
      <c r="B145" s="2" t="s">
        <v>87</v>
      </c>
      <c r="C145" s="2" t="s">
        <v>88</v>
      </c>
      <c r="D145" s="2" t="s">
        <v>89</v>
      </c>
      <c r="E145" s="2" t="s">
        <v>811</v>
      </c>
      <c r="F145" s="2" t="s">
        <v>812</v>
      </c>
      <c r="G145" s="2" t="s">
        <v>813</v>
      </c>
      <c r="H145" s="2" t="s">
        <v>814</v>
      </c>
      <c r="I145" s="2" t="s">
        <v>815</v>
      </c>
      <c r="J145" s="2" t="s">
        <v>490</v>
      </c>
      <c r="K145" s="2" t="s">
        <v>165</v>
      </c>
      <c r="L145" s="3">
        <v>80.99</v>
      </c>
      <c r="M145" s="3">
        <v>85.04</v>
      </c>
      <c r="N145" s="3">
        <v>169.99</v>
      </c>
      <c r="O145" s="2" t="s">
        <v>97</v>
      </c>
      <c r="P145" s="2" t="s">
        <v>317</v>
      </c>
      <c r="Q145" s="2" t="s">
        <v>99</v>
      </c>
      <c r="R145" s="2" t="s">
        <v>100</v>
      </c>
      <c r="S145" s="2" t="s">
        <v>816</v>
      </c>
      <c r="T145" s="2" t="s">
        <v>100</v>
      </c>
      <c r="U145" s="2" t="s">
        <v>817</v>
      </c>
      <c r="V145" s="2" t="s">
        <v>401</v>
      </c>
      <c r="W145" s="2" t="s">
        <v>104</v>
      </c>
      <c r="X145" s="2" t="s">
        <v>305</v>
      </c>
      <c r="Y145" s="2" t="s">
        <v>144</v>
      </c>
      <c r="Z145" s="4">
        <v>183</v>
      </c>
      <c r="AA145" s="4">
        <f>=ROUNDDOWN(30.5,0)</f>
      </c>
      <c r="AB145" s="5">
        <v>6</v>
      </c>
      <c r="AC145" s="2" t="s">
        <v>312</v>
      </c>
      <c r="AD145" s="4">
        <v>80</v>
      </c>
      <c r="AE145" s="4">
        <v>180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1</v>
      </c>
      <c r="AQ145" s="8">
        <v>91.21</v>
      </c>
      <c r="AR145" s="4"/>
      <c r="AS145" s="8"/>
      <c r="AT145" s="7"/>
      <c r="AU145" s="7"/>
      <c r="AV145" s="4">
        <v>7</v>
      </c>
      <c r="AW145" s="8">
        <v>714.85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0.1276</v>
      </c>
      <c r="BC145" s="4">
        <v>10</v>
      </c>
      <c r="BD145" s="8">
        <v>1003.99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>
        <v>0.712</v>
      </c>
      <c r="BJ145" s="4">
        <v>12</v>
      </c>
      <c r="BK145" s="8">
        <v>1070.41</v>
      </c>
      <c r="BL145" s="2" t="s">
        <v>818</v>
      </c>
      <c r="BM145" s="7">
        <v>0.0833</v>
      </c>
      <c r="BN145" s="7">
        <v>0.0852</v>
      </c>
      <c r="BO145" s="4">
        <v>1</v>
      </c>
      <c r="BP145" s="8">
        <v>91.21</v>
      </c>
      <c r="BQ145" s="4"/>
      <c r="BR145" s="8"/>
      <c r="BS145" s="7"/>
      <c r="BT145" s="7"/>
      <c r="BU145" s="2" t="s">
        <v>109</v>
      </c>
      <c r="BV145" s="2" t="s">
        <v>97</v>
      </c>
      <c r="BW145" s="2" t="s">
        <v>475</v>
      </c>
      <c r="BX145" s="2" t="s">
        <v>819</v>
      </c>
      <c r="BY145" s="2" t="s">
        <v>112</v>
      </c>
      <c r="BZ145" s="2" t="s">
        <v>100</v>
      </c>
    </row>
    <row r="146">
      <c r="A146" s="2" t="s">
        <v>820</v>
      </c>
      <c r="B146" s="2" t="s">
        <v>87</v>
      </c>
      <c r="C146" s="2" t="s">
        <v>88</v>
      </c>
      <c r="D146" s="2" t="s">
        <v>89</v>
      </c>
      <c r="E146" s="2" t="s">
        <v>811</v>
      </c>
      <c r="F146" s="2" t="s">
        <v>812</v>
      </c>
      <c r="G146" s="2" t="s">
        <v>813</v>
      </c>
      <c r="H146" s="2" t="s">
        <v>814</v>
      </c>
      <c r="I146" s="2" t="s">
        <v>815</v>
      </c>
      <c r="J146" s="2" t="s">
        <v>95</v>
      </c>
      <c r="K146" s="2" t="s">
        <v>165</v>
      </c>
      <c r="L146" s="3">
        <v>83.79</v>
      </c>
      <c r="M146" s="3">
        <v>87.98</v>
      </c>
      <c r="N146" s="3">
        <v>179.99</v>
      </c>
      <c r="O146" s="2" t="s">
        <v>97</v>
      </c>
      <c r="P146" s="2" t="s">
        <v>317</v>
      </c>
      <c r="Q146" s="2" t="s">
        <v>99</v>
      </c>
      <c r="R146" s="2" t="s">
        <v>100</v>
      </c>
      <c r="S146" s="2" t="s">
        <v>816</v>
      </c>
      <c r="T146" s="2" t="s">
        <v>100</v>
      </c>
      <c r="U146" s="2" t="s">
        <v>817</v>
      </c>
      <c r="V146" s="2" t="s">
        <v>401</v>
      </c>
      <c r="W146" s="2" t="s">
        <v>104</v>
      </c>
      <c r="X146" s="2" t="s">
        <v>305</v>
      </c>
      <c r="Y146" s="2" t="s">
        <v>144</v>
      </c>
      <c r="Z146" s="4">
        <v>949</v>
      </c>
      <c r="AA146" s="4">
        <f>=ROUNDDOWN(35.1481481481481,0)</f>
      </c>
      <c r="AB146" s="5">
        <v>27</v>
      </c>
      <c r="AC146" s="2" t="s">
        <v>312</v>
      </c>
      <c r="AD146" s="4">
        <v>120</v>
      </c>
      <c r="AE146" s="4">
        <v>710</v>
      </c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2</v>
      </c>
      <c r="AQ146" s="8">
        <v>192.76</v>
      </c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0.2697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 t="s">
        <v>100</v>
      </c>
      <c r="BJ146" s="4">
        <v>72</v>
      </c>
      <c r="BK146" s="8">
        <v>6959.6</v>
      </c>
      <c r="BL146" s="2" t="s">
        <v>821</v>
      </c>
      <c r="BM146" s="7">
        <v>0.0278</v>
      </c>
      <c r="BN146" s="7">
        <v>0.0277</v>
      </c>
      <c r="BO146" s="4">
        <v>2</v>
      </c>
      <c r="BP146" s="8">
        <v>192.76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159</v>
      </c>
      <c r="BX146" s="2" t="s">
        <v>822</v>
      </c>
      <c r="BY146" s="2" t="s">
        <v>112</v>
      </c>
      <c r="BZ146" s="2" t="s">
        <v>100</v>
      </c>
    </row>
    <row r="147">
      <c r="A147" s="2" t="s">
        <v>823</v>
      </c>
      <c r="B147" s="2" t="s">
        <v>87</v>
      </c>
      <c r="C147" s="2" t="s">
        <v>88</v>
      </c>
      <c r="D147" s="2" t="s">
        <v>89</v>
      </c>
      <c r="E147" s="2" t="s">
        <v>811</v>
      </c>
      <c r="F147" s="2" t="s">
        <v>812</v>
      </c>
      <c r="G147" s="2" t="s">
        <v>813</v>
      </c>
      <c r="H147" s="2" t="s">
        <v>814</v>
      </c>
      <c r="I147" s="2" t="s">
        <v>815</v>
      </c>
      <c r="J147" s="2" t="s">
        <v>114</v>
      </c>
      <c r="K147" s="2" t="s">
        <v>165</v>
      </c>
      <c r="L147" s="3">
        <v>94.5</v>
      </c>
      <c r="M147" s="3">
        <v>99.22</v>
      </c>
      <c r="N147" s="3">
        <v>199.99</v>
      </c>
      <c r="O147" s="2" t="s">
        <v>97</v>
      </c>
      <c r="P147" s="2" t="s">
        <v>317</v>
      </c>
      <c r="Q147" s="2" t="s">
        <v>99</v>
      </c>
      <c r="R147" s="2" t="s">
        <v>100</v>
      </c>
      <c r="S147" s="2" t="s">
        <v>816</v>
      </c>
      <c r="T147" s="2" t="s">
        <v>100</v>
      </c>
      <c r="U147" s="2" t="s">
        <v>817</v>
      </c>
      <c r="V147" s="2" t="s">
        <v>401</v>
      </c>
      <c r="W147" s="2" t="s">
        <v>104</v>
      </c>
      <c r="X147" s="2" t="s">
        <v>305</v>
      </c>
      <c r="Y147" s="2" t="s">
        <v>144</v>
      </c>
      <c r="Z147" s="4">
        <v>1543</v>
      </c>
      <c r="AA147" s="4">
        <f>=ROUNDDOWN(45.3823529411765,0)</f>
      </c>
      <c r="AB147" s="5">
        <v>34</v>
      </c>
      <c r="AC147" s="2" t="s">
        <v>824</v>
      </c>
      <c r="AD147" s="4">
        <v>210</v>
      </c>
      <c r="AE147" s="4">
        <v>740</v>
      </c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4</v>
      </c>
      <c r="AQ147" s="8">
        <v>430.88</v>
      </c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0.6028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95</v>
      </c>
      <c r="BK147" s="8">
        <v>10280.92</v>
      </c>
      <c r="BL147" s="2" t="s">
        <v>825</v>
      </c>
      <c r="BM147" s="7">
        <v>0.0421</v>
      </c>
      <c r="BN147" s="7">
        <v>0.0419</v>
      </c>
      <c r="BO147" s="4">
        <v>4</v>
      </c>
      <c r="BP147" s="8">
        <v>430.88</v>
      </c>
      <c r="BQ147" s="4"/>
      <c r="BR147" s="8"/>
      <c r="BS147" s="7"/>
      <c r="BT147" s="7"/>
      <c r="BU147" s="2" t="s">
        <v>109</v>
      </c>
      <c r="BV147" s="2" t="s">
        <v>97</v>
      </c>
      <c r="BW147" s="2" t="s">
        <v>159</v>
      </c>
      <c r="BX147" s="2" t="s">
        <v>826</v>
      </c>
      <c r="BY147" s="2" t="s">
        <v>112</v>
      </c>
      <c r="BZ147" s="2" t="s">
        <v>100</v>
      </c>
    </row>
    <row r="148">
      <c r="A148" s="2" t="s">
        <v>827</v>
      </c>
      <c r="B148" s="2" t="s">
        <v>87</v>
      </c>
      <c r="C148" s="2" t="s">
        <v>88</v>
      </c>
      <c r="D148" s="2" t="s">
        <v>89</v>
      </c>
      <c r="E148" s="2" t="s">
        <v>811</v>
      </c>
      <c r="F148" s="2" t="s">
        <v>812</v>
      </c>
      <c r="G148" s="2" t="s">
        <v>813</v>
      </c>
      <c r="H148" s="2" t="s">
        <v>814</v>
      </c>
      <c r="I148" s="2" t="s">
        <v>815</v>
      </c>
      <c r="J148" s="2" t="s">
        <v>118</v>
      </c>
      <c r="K148" s="2" t="s">
        <v>165</v>
      </c>
      <c r="L148" s="3">
        <v>94.5</v>
      </c>
      <c r="M148" s="3">
        <v>99.22</v>
      </c>
      <c r="N148" s="3">
        <v>199.99</v>
      </c>
      <c r="O148" s="2" t="s">
        <v>97</v>
      </c>
      <c r="P148" s="2" t="s">
        <v>317</v>
      </c>
      <c r="Q148" s="2" t="s">
        <v>99</v>
      </c>
      <c r="R148" s="2" t="s">
        <v>100</v>
      </c>
      <c r="S148" s="2" t="s">
        <v>816</v>
      </c>
      <c r="T148" s="2" t="s">
        <v>100</v>
      </c>
      <c r="U148" s="2" t="s">
        <v>817</v>
      </c>
      <c r="V148" s="2" t="s">
        <v>401</v>
      </c>
      <c r="W148" s="2" t="s">
        <v>104</v>
      </c>
      <c r="X148" s="2" t="s">
        <v>305</v>
      </c>
      <c r="Y148" s="2" t="s">
        <v>144</v>
      </c>
      <c r="Z148" s="4">
        <v>453</v>
      </c>
      <c r="AA148" s="4">
        <f>=ROUNDDOWN(25.1666666666667,0)</f>
      </c>
      <c r="AB148" s="5">
        <v>18</v>
      </c>
      <c r="AC148" s="2" t="s">
        <v>312</v>
      </c>
      <c r="AD148" s="4">
        <v>80</v>
      </c>
      <c r="AE148" s="4">
        <v>360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/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 t="s">
        <v>100</v>
      </c>
      <c r="BJ148" s="4">
        <v>31</v>
      </c>
      <c r="BK148" s="8">
        <v>3405.61</v>
      </c>
      <c r="BL148" s="2" t="s">
        <v>828</v>
      </c>
      <c r="BM148" s="7"/>
      <c r="BN148" s="7"/>
      <c r="BO148" s="4"/>
      <c r="BP148" s="8"/>
      <c r="BQ148" s="4"/>
      <c r="BR148" s="8"/>
      <c r="BS148" s="7"/>
      <c r="BT148" s="7"/>
      <c r="BU148" s="2" t="s">
        <v>109</v>
      </c>
      <c r="BV148" s="2" t="s">
        <v>97</v>
      </c>
      <c r="BW148" s="2" t="s">
        <v>159</v>
      </c>
      <c r="BX148" s="2" t="s">
        <v>829</v>
      </c>
      <c r="BY148" s="2" t="s">
        <v>112</v>
      </c>
      <c r="BZ148" s="2" t="s">
        <v>100</v>
      </c>
    </row>
    <row r="149">
      <c r="A149" s="2" t="s">
        <v>830</v>
      </c>
      <c r="B149" s="2" t="s">
        <v>87</v>
      </c>
      <c r="C149" s="2" t="s">
        <v>88</v>
      </c>
      <c r="D149" s="2" t="s">
        <v>89</v>
      </c>
      <c r="E149" s="2" t="s">
        <v>811</v>
      </c>
      <c r="F149" s="2" t="s">
        <v>812</v>
      </c>
      <c r="G149" s="2" t="s">
        <v>813</v>
      </c>
      <c r="H149" s="2" t="s">
        <v>814</v>
      </c>
      <c r="I149" s="2" t="s">
        <v>815</v>
      </c>
      <c r="J149" s="2" t="s">
        <v>95</v>
      </c>
      <c r="K149" s="2" t="s">
        <v>223</v>
      </c>
      <c r="L149" s="3">
        <v>83.79</v>
      </c>
      <c r="M149" s="3">
        <v>87.98</v>
      </c>
      <c r="N149" s="3">
        <v>179.99</v>
      </c>
      <c r="O149" s="2" t="s">
        <v>97</v>
      </c>
      <c r="P149" s="2" t="s">
        <v>139</v>
      </c>
      <c r="Q149" s="2" t="s">
        <v>99</v>
      </c>
      <c r="R149" s="2" t="s">
        <v>100</v>
      </c>
      <c r="S149" s="2" t="s">
        <v>831</v>
      </c>
      <c r="T149" s="2" t="s">
        <v>100</v>
      </c>
      <c r="U149" s="2" t="s">
        <v>817</v>
      </c>
      <c r="V149" s="2" t="s">
        <v>401</v>
      </c>
      <c r="W149" s="2" t="s">
        <v>104</v>
      </c>
      <c r="X149" s="2" t="s">
        <v>305</v>
      </c>
      <c r="Y149" s="2" t="s">
        <v>106</v>
      </c>
      <c r="Z149" s="4">
        <v>1189</v>
      </c>
      <c r="AA149" s="4">
        <f>=ROUNDDOWN(37.15625,0)</f>
      </c>
      <c r="AB149" s="5">
        <v>32</v>
      </c>
      <c r="AC149" s="2" t="s">
        <v>832</v>
      </c>
      <c r="AD149" s="4">
        <v>40</v>
      </c>
      <c r="AE149" s="4">
        <v>360</v>
      </c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3</v>
      </c>
      <c r="AQ149" s="8">
        <v>289.14</v>
      </c>
      <c r="AR149" s="4"/>
      <c r="AS149" s="8"/>
      <c r="AT149" s="7"/>
      <c r="AU149" s="7"/>
      <c r="AV149" s="4">
        <v>3</v>
      </c>
      <c r="AW149" s="8">
        <v>289.14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1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>
        <v>0.288</v>
      </c>
      <c r="BJ149" s="4">
        <v>63</v>
      </c>
      <c r="BK149" s="8">
        <v>5807.57</v>
      </c>
      <c r="BL149" s="2" t="s">
        <v>833</v>
      </c>
      <c r="BM149" s="7">
        <v>0.0476</v>
      </c>
      <c r="BN149" s="7">
        <v>0.0498</v>
      </c>
      <c r="BO149" s="4">
        <v>3</v>
      </c>
      <c r="BP149" s="8">
        <v>289.14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274</v>
      </c>
      <c r="BX149" s="2" t="s">
        <v>834</v>
      </c>
      <c r="BY149" s="2" t="s">
        <v>112</v>
      </c>
      <c r="BZ149" s="2" t="s">
        <v>100</v>
      </c>
    </row>
    <row r="150">
      <c r="A150" s="2" t="s">
        <v>835</v>
      </c>
      <c r="B150" s="2" t="s">
        <v>87</v>
      </c>
      <c r="C150" s="2" t="s">
        <v>88</v>
      </c>
      <c r="D150" s="2" t="s">
        <v>89</v>
      </c>
      <c r="E150" s="2" t="s">
        <v>811</v>
      </c>
      <c r="F150" s="2" t="s">
        <v>812</v>
      </c>
      <c r="G150" s="2" t="s">
        <v>813</v>
      </c>
      <c r="H150" s="2" t="s">
        <v>814</v>
      </c>
      <c r="I150" s="2" t="s">
        <v>815</v>
      </c>
      <c r="J150" s="2" t="s">
        <v>114</v>
      </c>
      <c r="K150" s="2" t="s">
        <v>223</v>
      </c>
      <c r="L150" s="3">
        <v>94.5</v>
      </c>
      <c r="M150" s="3">
        <v>99.22</v>
      </c>
      <c r="N150" s="3">
        <v>199.99</v>
      </c>
      <c r="O150" s="2" t="s">
        <v>97</v>
      </c>
      <c r="P150" s="2" t="s">
        <v>139</v>
      </c>
      <c r="Q150" s="2" t="s">
        <v>99</v>
      </c>
      <c r="R150" s="2" t="s">
        <v>100</v>
      </c>
      <c r="S150" s="2" t="s">
        <v>831</v>
      </c>
      <c r="T150" s="2" t="s">
        <v>100</v>
      </c>
      <c r="U150" s="2" t="s">
        <v>817</v>
      </c>
      <c r="V150" s="2" t="s">
        <v>401</v>
      </c>
      <c r="W150" s="2" t="s">
        <v>104</v>
      </c>
      <c r="X150" s="2" t="s">
        <v>305</v>
      </c>
      <c r="Y150" s="2" t="s">
        <v>106</v>
      </c>
      <c r="Z150" s="4">
        <v>947</v>
      </c>
      <c r="AA150" s="4">
        <f>=ROUNDDOWN(30.5483870967742,0)</f>
      </c>
      <c r="AB150" s="5">
        <v>31</v>
      </c>
      <c r="AC150" s="2" t="s">
        <v>307</v>
      </c>
      <c r="AD150" s="4">
        <v>30</v>
      </c>
      <c r="AE150" s="4">
        <v>780</v>
      </c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/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91</v>
      </c>
      <c r="BK150" s="8">
        <v>10024.05</v>
      </c>
      <c r="BL150" s="2" t="s">
        <v>836</v>
      </c>
      <c r="BM150" s="7"/>
      <c r="BN150" s="7"/>
      <c r="BO150" s="4"/>
      <c r="BP150" s="8"/>
      <c r="BQ150" s="4"/>
      <c r="BR150" s="8"/>
      <c r="BS150" s="7"/>
      <c r="BT150" s="7"/>
      <c r="BU150" s="2" t="s">
        <v>109</v>
      </c>
      <c r="BV150" s="2" t="s">
        <v>97</v>
      </c>
      <c r="BW150" s="2" t="s">
        <v>274</v>
      </c>
      <c r="BX150" s="2" t="s">
        <v>837</v>
      </c>
      <c r="BY150" s="2" t="s">
        <v>112</v>
      </c>
      <c r="BZ150" s="2" t="s">
        <v>100</v>
      </c>
    </row>
    <row r="151">
      <c r="A151" s="2" t="s">
        <v>838</v>
      </c>
      <c r="B151" s="2" t="s">
        <v>87</v>
      </c>
      <c r="C151" s="2" t="s">
        <v>88</v>
      </c>
      <c r="D151" s="2" t="s">
        <v>89</v>
      </c>
      <c r="E151" s="2" t="s">
        <v>811</v>
      </c>
      <c r="F151" s="2" t="s">
        <v>812</v>
      </c>
      <c r="G151" s="2" t="s">
        <v>813</v>
      </c>
      <c r="H151" s="2" t="s">
        <v>814</v>
      </c>
      <c r="I151" s="2" t="s">
        <v>815</v>
      </c>
      <c r="J151" s="2" t="s">
        <v>118</v>
      </c>
      <c r="K151" s="2" t="s">
        <v>223</v>
      </c>
      <c r="L151" s="3">
        <v>94.5</v>
      </c>
      <c r="M151" s="3">
        <v>99.22</v>
      </c>
      <c r="N151" s="3">
        <v>199.99</v>
      </c>
      <c r="O151" s="2" t="s">
        <v>97</v>
      </c>
      <c r="P151" s="2" t="s">
        <v>139</v>
      </c>
      <c r="Q151" s="2" t="s">
        <v>99</v>
      </c>
      <c r="R151" s="2" t="s">
        <v>100</v>
      </c>
      <c r="S151" s="2" t="s">
        <v>831</v>
      </c>
      <c r="T151" s="2" t="s">
        <v>100</v>
      </c>
      <c r="U151" s="2" t="s">
        <v>817</v>
      </c>
      <c r="V151" s="2" t="s">
        <v>401</v>
      </c>
      <c r="W151" s="2" t="s">
        <v>104</v>
      </c>
      <c r="X151" s="2" t="s">
        <v>305</v>
      </c>
      <c r="Y151" s="2" t="s">
        <v>106</v>
      </c>
      <c r="Z151" s="4">
        <v>605</v>
      </c>
      <c r="AA151" s="4">
        <f>=ROUNDDOWN(37.8125,0)</f>
      </c>
      <c r="AB151" s="5">
        <v>16</v>
      </c>
      <c r="AC151" s="2" t="s">
        <v>307</v>
      </c>
      <c r="AD151" s="4">
        <v>30</v>
      </c>
      <c r="AE151" s="4">
        <v>150</v>
      </c>
      <c r="AF151" s="6">
        <v>65</v>
      </c>
      <c r="AG151" s="6">
        <v>48</v>
      </c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/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 t="s">
        <v>100</v>
      </c>
      <c r="BJ151" s="4">
        <v>27</v>
      </c>
      <c r="BK151" s="8">
        <v>2970.19</v>
      </c>
      <c r="BL151" s="2" t="s">
        <v>839</v>
      </c>
      <c r="BM151" s="7"/>
      <c r="BN151" s="7"/>
      <c r="BO151" s="4"/>
      <c r="BP151" s="8"/>
      <c r="BQ151" s="4"/>
      <c r="BR151" s="8"/>
      <c r="BS151" s="7"/>
      <c r="BT151" s="7"/>
      <c r="BU151" s="2" t="s">
        <v>109</v>
      </c>
      <c r="BV151" s="2" t="s">
        <v>97</v>
      </c>
      <c r="BW151" s="2" t="s">
        <v>274</v>
      </c>
      <c r="BX151" s="2" t="s">
        <v>840</v>
      </c>
      <c r="BY151" s="2" t="s">
        <v>112</v>
      </c>
      <c r="BZ151" s="2" t="s">
        <v>100</v>
      </c>
    </row>
    <row r="152">
      <c r="A152" s="2" t="s">
        <v>841</v>
      </c>
      <c r="B152" s="2" t="s">
        <v>87</v>
      </c>
      <c r="C152" s="2" t="s">
        <v>88</v>
      </c>
      <c r="D152" s="2" t="s">
        <v>89</v>
      </c>
      <c r="E152" s="2" t="s">
        <v>811</v>
      </c>
      <c r="F152" s="2" t="s">
        <v>812</v>
      </c>
      <c r="G152" s="2" t="s">
        <v>813</v>
      </c>
      <c r="H152" s="2" t="s">
        <v>814</v>
      </c>
      <c r="I152" s="2" t="s">
        <v>815</v>
      </c>
      <c r="J152" s="2" t="s">
        <v>95</v>
      </c>
      <c r="K152" s="2" t="s">
        <v>842</v>
      </c>
      <c r="L152" s="3">
        <v>83.79</v>
      </c>
      <c r="M152" s="3">
        <v>87.98</v>
      </c>
      <c r="N152" s="3">
        <v>179.99</v>
      </c>
      <c r="O152" s="2" t="s">
        <v>97</v>
      </c>
      <c r="P152" s="2" t="s">
        <v>98</v>
      </c>
      <c r="Q152" s="2" t="s">
        <v>99</v>
      </c>
      <c r="R152" s="2" t="s">
        <v>100</v>
      </c>
      <c r="S152" s="2" t="s">
        <v>843</v>
      </c>
      <c r="T152" s="2" t="s">
        <v>844</v>
      </c>
      <c r="U152" s="2" t="s">
        <v>817</v>
      </c>
      <c r="V152" s="2" t="s">
        <v>401</v>
      </c>
      <c r="W152" s="2" t="s">
        <v>104</v>
      </c>
      <c r="X152" s="2" t="s">
        <v>100</v>
      </c>
      <c r="Y152" s="2" t="s">
        <v>845</v>
      </c>
      <c r="Z152" s="4">
        <v>267</v>
      </c>
      <c r="AA152" s="4">
        <f>=ROUNDDOWN(33.375,0)</f>
      </c>
      <c r="AB152" s="5">
        <v>8</v>
      </c>
      <c r="AC152" s="2" t="s">
        <v>676</v>
      </c>
      <c r="AD152" s="4">
        <v>130</v>
      </c>
      <c r="AE152" s="4">
        <v>210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/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9</v>
      </c>
      <c r="BK152" s="8">
        <v>803.82</v>
      </c>
      <c r="BL152" s="2" t="s">
        <v>846</v>
      </c>
      <c r="BM152" s="7"/>
      <c r="BN152" s="7"/>
      <c r="BO152" s="4"/>
      <c r="BP152" s="8"/>
      <c r="BQ152" s="4"/>
      <c r="BR152" s="8"/>
      <c r="BS152" s="7"/>
      <c r="BT152" s="7"/>
      <c r="BU152" s="2" t="s">
        <v>171</v>
      </c>
      <c r="BV152" s="2" t="s">
        <v>97</v>
      </c>
      <c r="BW152" s="2" t="s">
        <v>100</v>
      </c>
      <c r="BX152" s="2" t="s">
        <v>100</v>
      </c>
      <c r="BY152" s="2" t="s">
        <v>112</v>
      </c>
      <c r="BZ152" s="2" t="s">
        <v>100</v>
      </c>
    </row>
    <row r="153">
      <c r="A153" s="2" t="s">
        <v>847</v>
      </c>
      <c r="B153" s="2" t="s">
        <v>87</v>
      </c>
      <c r="C153" s="2" t="s">
        <v>88</v>
      </c>
      <c r="D153" s="2" t="s">
        <v>89</v>
      </c>
      <c r="E153" s="2" t="s">
        <v>811</v>
      </c>
      <c r="F153" s="2" t="s">
        <v>812</v>
      </c>
      <c r="G153" s="2" t="s">
        <v>813</v>
      </c>
      <c r="H153" s="2" t="s">
        <v>814</v>
      </c>
      <c r="I153" s="2" t="s">
        <v>815</v>
      </c>
      <c r="J153" s="2" t="s">
        <v>114</v>
      </c>
      <c r="K153" s="2" t="s">
        <v>842</v>
      </c>
      <c r="L153" s="3">
        <v>94.5</v>
      </c>
      <c r="M153" s="3">
        <v>99.22</v>
      </c>
      <c r="N153" s="3">
        <v>199.99</v>
      </c>
      <c r="O153" s="2" t="s">
        <v>97</v>
      </c>
      <c r="P153" s="2" t="s">
        <v>98</v>
      </c>
      <c r="Q153" s="2" t="s">
        <v>99</v>
      </c>
      <c r="R153" s="2" t="s">
        <v>100</v>
      </c>
      <c r="S153" s="2" t="s">
        <v>843</v>
      </c>
      <c r="T153" s="2" t="s">
        <v>844</v>
      </c>
      <c r="U153" s="2" t="s">
        <v>817</v>
      </c>
      <c r="V153" s="2" t="s">
        <v>401</v>
      </c>
      <c r="W153" s="2" t="s">
        <v>104</v>
      </c>
      <c r="X153" s="2" t="s">
        <v>100</v>
      </c>
      <c r="Y153" s="2" t="s">
        <v>845</v>
      </c>
      <c r="Z153" s="4">
        <v>181</v>
      </c>
      <c r="AA153" s="4">
        <f>=ROUNDDOWN(20.1111111111111,0)</f>
      </c>
      <c r="AB153" s="5">
        <v>9</v>
      </c>
      <c r="AC153" s="2" t="s">
        <v>676</v>
      </c>
      <c r="AD153" s="4">
        <v>200</v>
      </c>
      <c r="AE153" s="4">
        <v>440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/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11</v>
      </c>
      <c r="BK153" s="8">
        <v>1121.7</v>
      </c>
      <c r="BL153" s="2" t="s">
        <v>848</v>
      </c>
      <c r="BM153" s="7"/>
      <c r="BN153" s="7"/>
      <c r="BO153" s="4"/>
      <c r="BP153" s="8"/>
      <c r="BQ153" s="4"/>
      <c r="BR153" s="8"/>
      <c r="BS153" s="7"/>
      <c r="BT153" s="7"/>
      <c r="BU153" s="2" t="s">
        <v>171</v>
      </c>
      <c r="BV153" s="2" t="s">
        <v>97</v>
      </c>
      <c r="BW153" s="2" t="s">
        <v>100</v>
      </c>
      <c r="BX153" s="2" t="s">
        <v>100</v>
      </c>
      <c r="BY153" s="2" t="s">
        <v>112</v>
      </c>
      <c r="BZ153" s="2" t="s">
        <v>100</v>
      </c>
    </row>
    <row r="154">
      <c r="A154" s="2" t="s">
        <v>849</v>
      </c>
      <c r="B154" s="2" t="s">
        <v>87</v>
      </c>
      <c r="C154" s="2" t="s">
        <v>88</v>
      </c>
      <c r="D154" s="2" t="s">
        <v>89</v>
      </c>
      <c r="E154" s="2" t="s">
        <v>811</v>
      </c>
      <c r="F154" s="2" t="s">
        <v>812</v>
      </c>
      <c r="G154" s="2" t="s">
        <v>813</v>
      </c>
      <c r="H154" s="2" t="s">
        <v>814</v>
      </c>
      <c r="I154" s="2" t="s">
        <v>815</v>
      </c>
      <c r="J154" s="2" t="s">
        <v>118</v>
      </c>
      <c r="K154" s="2" t="s">
        <v>842</v>
      </c>
      <c r="L154" s="3">
        <v>94.5</v>
      </c>
      <c r="M154" s="3">
        <v>99.22</v>
      </c>
      <c r="N154" s="3">
        <v>199.99</v>
      </c>
      <c r="O154" s="2" t="s">
        <v>97</v>
      </c>
      <c r="P154" s="2" t="s">
        <v>98</v>
      </c>
      <c r="Q154" s="2" t="s">
        <v>99</v>
      </c>
      <c r="R154" s="2" t="s">
        <v>100</v>
      </c>
      <c r="S154" s="2" t="s">
        <v>843</v>
      </c>
      <c r="T154" s="2" t="s">
        <v>844</v>
      </c>
      <c r="U154" s="2" t="s">
        <v>817</v>
      </c>
      <c r="V154" s="2" t="s">
        <v>401</v>
      </c>
      <c r="W154" s="2" t="s">
        <v>104</v>
      </c>
      <c r="X154" s="2" t="s">
        <v>100</v>
      </c>
      <c r="Y154" s="2" t="s">
        <v>845</v>
      </c>
      <c r="Z154" s="4">
        <v>91</v>
      </c>
      <c r="AA154" s="4">
        <f>=ROUNDDOWN(15.1666666666667,0)</f>
      </c>
      <c r="AB154" s="5">
        <v>6</v>
      </c>
      <c r="AC154" s="2" t="s">
        <v>676</v>
      </c>
      <c r="AD154" s="4">
        <v>50</v>
      </c>
      <c r="AE154" s="4">
        <v>160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/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6</v>
      </c>
      <c r="BK154" s="8">
        <v>608.57</v>
      </c>
      <c r="BL154" s="2" t="s">
        <v>850</v>
      </c>
      <c r="BM154" s="7"/>
      <c r="BN154" s="7"/>
      <c r="BO154" s="4"/>
      <c r="BP154" s="8"/>
      <c r="BQ154" s="4"/>
      <c r="BR154" s="8"/>
      <c r="BS154" s="7"/>
      <c r="BT154" s="7"/>
      <c r="BU154" s="2" t="s">
        <v>171</v>
      </c>
      <c r="BV154" s="2" t="s">
        <v>97</v>
      </c>
      <c r="BW154" s="2" t="s">
        <v>100</v>
      </c>
      <c r="BX154" s="2" t="s">
        <v>100</v>
      </c>
      <c r="BY154" s="2" t="s">
        <v>112</v>
      </c>
      <c r="BZ154" s="2" t="s">
        <v>100</v>
      </c>
    </row>
    <row r="155">
      <c r="A155" s="2" t="s">
        <v>851</v>
      </c>
      <c r="B155" s="2" t="s">
        <v>87</v>
      </c>
      <c r="C155" s="2" t="s">
        <v>88</v>
      </c>
      <c r="D155" s="2" t="s">
        <v>89</v>
      </c>
      <c r="E155" s="2" t="s">
        <v>811</v>
      </c>
      <c r="F155" s="2" t="s">
        <v>852</v>
      </c>
      <c r="G155" s="2" t="s">
        <v>853</v>
      </c>
      <c r="H155" s="2" t="s">
        <v>854</v>
      </c>
      <c r="I155" s="2" t="s">
        <v>855</v>
      </c>
      <c r="J155" s="2" t="s">
        <v>95</v>
      </c>
      <c r="K155" s="2" t="s">
        <v>856</v>
      </c>
      <c r="L155" s="3">
        <v>70.5</v>
      </c>
      <c r="M155" s="3">
        <v>74.02</v>
      </c>
      <c r="N155" s="3">
        <v>149.99</v>
      </c>
      <c r="O155" s="2" t="s">
        <v>97</v>
      </c>
      <c r="P155" s="2" t="s">
        <v>123</v>
      </c>
      <c r="Q155" s="2" t="s">
        <v>99</v>
      </c>
      <c r="R155" s="2" t="s">
        <v>100</v>
      </c>
      <c r="S155" s="2" t="s">
        <v>857</v>
      </c>
      <c r="T155" s="2" t="s">
        <v>100</v>
      </c>
      <c r="U155" s="2" t="s">
        <v>817</v>
      </c>
      <c r="V155" s="2" t="s">
        <v>304</v>
      </c>
      <c r="W155" s="2" t="s">
        <v>104</v>
      </c>
      <c r="X155" s="2" t="s">
        <v>305</v>
      </c>
      <c r="Y155" s="2" t="s">
        <v>858</v>
      </c>
      <c r="Z155" s="4">
        <v>311</v>
      </c>
      <c r="AA155" s="4">
        <f>=ROUNDDOWN(12.9583333333333,0)</f>
      </c>
      <c r="AB155" s="5">
        <v>24</v>
      </c>
      <c r="AC155" s="2" t="s">
        <v>130</v>
      </c>
      <c r="AD155" s="4">
        <v>140</v>
      </c>
      <c r="AE155" s="4">
        <v>550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/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/>
      <c r="BJ155" s="4">
        <v>75</v>
      </c>
      <c r="BK155" s="8">
        <v>5805.48</v>
      </c>
      <c r="BL155" s="2" t="s">
        <v>859</v>
      </c>
      <c r="BM155" s="7"/>
      <c r="BN155" s="7"/>
      <c r="BO155" s="4"/>
      <c r="BP155" s="8"/>
      <c r="BQ155" s="4"/>
      <c r="BR155" s="8"/>
      <c r="BS155" s="7"/>
      <c r="BT155" s="7"/>
      <c r="BU155" s="2" t="s">
        <v>171</v>
      </c>
      <c r="BV155" s="2" t="s">
        <v>97</v>
      </c>
      <c r="BW155" s="2" t="s">
        <v>100</v>
      </c>
      <c r="BX155" s="2" t="s">
        <v>100</v>
      </c>
      <c r="BY155" s="2" t="s">
        <v>112</v>
      </c>
      <c r="BZ155" s="2" t="s">
        <v>100</v>
      </c>
    </row>
    <row r="156">
      <c r="A156" s="2" t="s">
        <v>860</v>
      </c>
      <c r="B156" s="2" t="s">
        <v>87</v>
      </c>
      <c r="C156" s="2" t="s">
        <v>88</v>
      </c>
      <c r="D156" s="2" t="s">
        <v>89</v>
      </c>
      <c r="E156" s="2" t="s">
        <v>811</v>
      </c>
      <c r="F156" s="2" t="s">
        <v>852</v>
      </c>
      <c r="G156" s="2" t="s">
        <v>853</v>
      </c>
      <c r="H156" s="2" t="s">
        <v>854</v>
      </c>
      <c r="I156" s="2" t="s">
        <v>855</v>
      </c>
      <c r="J156" s="2" t="s">
        <v>114</v>
      </c>
      <c r="K156" s="2" t="s">
        <v>856</v>
      </c>
      <c r="L156" s="3">
        <v>79.85</v>
      </c>
      <c r="M156" s="3">
        <v>83.85</v>
      </c>
      <c r="N156" s="3">
        <v>169.9</v>
      </c>
      <c r="O156" s="2" t="s">
        <v>97</v>
      </c>
      <c r="P156" s="2" t="s">
        <v>123</v>
      </c>
      <c r="Q156" s="2" t="s">
        <v>99</v>
      </c>
      <c r="R156" s="2" t="s">
        <v>100</v>
      </c>
      <c r="S156" s="2" t="s">
        <v>857</v>
      </c>
      <c r="T156" s="2" t="s">
        <v>100</v>
      </c>
      <c r="U156" s="2" t="s">
        <v>817</v>
      </c>
      <c r="V156" s="2" t="s">
        <v>304</v>
      </c>
      <c r="W156" s="2" t="s">
        <v>104</v>
      </c>
      <c r="X156" s="2" t="s">
        <v>305</v>
      </c>
      <c r="Y156" s="2" t="s">
        <v>858</v>
      </c>
      <c r="Z156" s="4">
        <v>406</v>
      </c>
      <c r="AA156" s="4">
        <f>=ROUNDDOWN(15.037037037037,0)</f>
      </c>
      <c r="AB156" s="5">
        <v>27</v>
      </c>
      <c r="AC156" s="2" t="s">
        <v>130</v>
      </c>
      <c r="AD156" s="4">
        <v>130</v>
      </c>
      <c r="AE156" s="4">
        <v>540</v>
      </c>
      <c r="AF156" s="6">
        <v>65</v>
      </c>
      <c r="AG156" s="6">
        <v>48</v>
      </c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/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/>
      <c r="BJ156" s="4">
        <v>73</v>
      </c>
      <c r="BK156" s="8">
        <v>6488.31</v>
      </c>
      <c r="BL156" s="2" t="s">
        <v>861</v>
      </c>
      <c r="BM156" s="7"/>
      <c r="BN156" s="7"/>
      <c r="BO156" s="4"/>
      <c r="BP156" s="8"/>
      <c r="BQ156" s="4"/>
      <c r="BR156" s="8"/>
      <c r="BS156" s="7"/>
      <c r="BT156" s="7"/>
      <c r="BU156" s="2" t="s">
        <v>171</v>
      </c>
      <c r="BV156" s="2" t="s">
        <v>97</v>
      </c>
      <c r="BW156" s="2" t="s">
        <v>100</v>
      </c>
      <c r="BX156" s="2" t="s">
        <v>100</v>
      </c>
      <c r="BY156" s="2" t="s">
        <v>112</v>
      </c>
      <c r="BZ156" s="2" t="s">
        <v>100</v>
      </c>
    </row>
    <row r="157">
      <c r="A157" s="2" t="s">
        <v>862</v>
      </c>
      <c r="B157" s="2" t="s">
        <v>87</v>
      </c>
      <c r="C157" s="2" t="s">
        <v>88</v>
      </c>
      <c r="D157" s="2" t="s">
        <v>89</v>
      </c>
      <c r="E157" s="2" t="s">
        <v>811</v>
      </c>
      <c r="F157" s="2" t="s">
        <v>852</v>
      </c>
      <c r="G157" s="2" t="s">
        <v>853</v>
      </c>
      <c r="H157" s="2" t="s">
        <v>854</v>
      </c>
      <c r="I157" s="2" t="s">
        <v>855</v>
      </c>
      <c r="J157" s="2" t="s">
        <v>118</v>
      </c>
      <c r="K157" s="2" t="s">
        <v>856</v>
      </c>
      <c r="L157" s="3">
        <v>79.9</v>
      </c>
      <c r="M157" s="3">
        <v>83.89</v>
      </c>
      <c r="N157" s="3">
        <v>169.99</v>
      </c>
      <c r="O157" s="2" t="s">
        <v>97</v>
      </c>
      <c r="P157" s="2" t="s">
        <v>123</v>
      </c>
      <c r="Q157" s="2" t="s">
        <v>99</v>
      </c>
      <c r="R157" s="2" t="s">
        <v>100</v>
      </c>
      <c r="S157" s="2" t="s">
        <v>857</v>
      </c>
      <c r="T157" s="2" t="s">
        <v>100</v>
      </c>
      <c r="U157" s="2" t="s">
        <v>817</v>
      </c>
      <c r="V157" s="2" t="s">
        <v>304</v>
      </c>
      <c r="W157" s="2" t="s">
        <v>104</v>
      </c>
      <c r="X157" s="2" t="s">
        <v>305</v>
      </c>
      <c r="Y157" s="2" t="s">
        <v>863</v>
      </c>
      <c r="Z157" s="4">
        <v>244</v>
      </c>
      <c r="AA157" s="4">
        <f>=ROUNDDOWN(17.4285714285714,0)</f>
      </c>
      <c r="AB157" s="5">
        <v>14</v>
      </c>
      <c r="AC157" s="2" t="s">
        <v>130</v>
      </c>
      <c r="AD157" s="4">
        <v>40</v>
      </c>
      <c r="AE157" s="4">
        <v>310</v>
      </c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/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/>
      <c r="BJ157" s="4">
        <v>46</v>
      </c>
      <c r="BK157" s="8">
        <v>4059.91</v>
      </c>
      <c r="BL157" s="2" t="s">
        <v>864</v>
      </c>
      <c r="BM157" s="7"/>
      <c r="BN157" s="7"/>
      <c r="BO157" s="4"/>
      <c r="BP157" s="8"/>
      <c r="BQ157" s="4"/>
      <c r="BR157" s="8"/>
      <c r="BS157" s="7"/>
      <c r="BT157" s="7"/>
      <c r="BU157" s="2" t="s">
        <v>171</v>
      </c>
      <c r="BV157" s="2" t="s">
        <v>97</v>
      </c>
      <c r="BW157" s="2" t="s">
        <v>100</v>
      </c>
      <c r="BX157" s="2" t="s">
        <v>100</v>
      </c>
      <c r="BY157" s="2" t="s">
        <v>112</v>
      </c>
      <c r="BZ157" s="2" t="s">
        <v>100</v>
      </c>
    </row>
    <row r="158">
      <c r="A158" s="2" t="s">
        <v>865</v>
      </c>
      <c r="B158" s="2" t="s">
        <v>87</v>
      </c>
      <c r="C158" s="2" t="s">
        <v>88</v>
      </c>
      <c r="D158" s="2" t="s">
        <v>89</v>
      </c>
      <c r="E158" s="2" t="s">
        <v>811</v>
      </c>
      <c r="F158" s="2" t="s">
        <v>866</v>
      </c>
      <c r="G158" s="2" t="s">
        <v>867</v>
      </c>
      <c r="H158" s="2" t="s">
        <v>868</v>
      </c>
      <c r="I158" s="2" t="s">
        <v>815</v>
      </c>
      <c r="J158" s="2" t="s">
        <v>95</v>
      </c>
      <c r="K158" s="2" t="s">
        <v>179</v>
      </c>
      <c r="L158" s="3">
        <v>98</v>
      </c>
      <c r="M158" s="3">
        <v>102.89</v>
      </c>
      <c r="N158" s="3">
        <v>199.99</v>
      </c>
      <c r="O158" s="2" t="s">
        <v>97</v>
      </c>
      <c r="P158" s="2" t="s">
        <v>98</v>
      </c>
      <c r="Q158" s="2" t="s">
        <v>99</v>
      </c>
      <c r="R158" s="2" t="s">
        <v>100</v>
      </c>
      <c r="S158" s="2" t="s">
        <v>869</v>
      </c>
      <c r="T158" s="2" t="s">
        <v>100</v>
      </c>
      <c r="U158" s="2" t="s">
        <v>817</v>
      </c>
      <c r="V158" s="2" t="s">
        <v>103</v>
      </c>
      <c r="W158" s="2" t="s">
        <v>104</v>
      </c>
      <c r="X158" s="2" t="s">
        <v>305</v>
      </c>
      <c r="Y158" s="2" t="s">
        <v>144</v>
      </c>
      <c r="Z158" s="4">
        <v>153</v>
      </c>
      <c r="AA158" s="4">
        <f>=ROUNDDOWN(9,0)</f>
      </c>
      <c r="AB158" s="5">
        <v>17</v>
      </c>
      <c r="AC158" s="2" t="s">
        <v>262</v>
      </c>
      <c r="AD158" s="4">
        <v>1</v>
      </c>
      <c r="AE158" s="4">
        <v>286</v>
      </c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/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/>
      <c r="BJ158" s="4">
        <v>40</v>
      </c>
      <c r="BK158" s="8">
        <v>3960.71</v>
      </c>
      <c r="BL158" s="2" t="s">
        <v>384</v>
      </c>
      <c r="BM158" s="7"/>
      <c r="BN158" s="7"/>
      <c r="BO158" s="4"/>
      <c r="BP158" s="8"/>
      <c r="BQ158" s="4"/>
      <c r="BR158" s="8"/>
      <c r="BS158" s="7"/>
      <c r="BT158" s="7"/>
      <c r="BU158" s="2" t="s">
        <v>109</v>
      </c>
      <c r="BV158" s="2" t="s">
        <v>97</v>
      </c>
      <c r="BW158" s="2" t="s">
        <v>464</v>
      </c>
      <c r="BX158" s="2" t="s">
        <v>870</v>
      </c>
      <c r="BY158" s="2" t="s">
        <v>112</v>
      </c>
      <c r="BZ158" s="2" t="s">
        <v>100</v>
      </c>
    </row>
    <row r="159">
      <c r="A159" s="2" t="s">
        <v>871</v>
      </c>
      <c r="B159" s="2" t="s">
        <v>87</v>
      </c>
      <c r="C159" s="2" t="s">
        <v>88</v>
      </c>
      <c r="D159" s="2" t="s">
        <v>89</v>
      </c>
      <c r="E159" s="2" t="s">
        <v>811</v>
      </c>
      <c r="F159" s="2" t="s">
        <v>866</v>
      </c>
      <c r="G159" s="2" t="s">
        <v>867</v>
      </c>
      <c r="H159" s="2" t="s">
        <v>868</v>
      </c>
      <c r="I159" s="2" t="s">
        <v>815</v>
      </c>
      <c r="J159" s="2" t="s">
        <v>114</v>
      </c>
      <c r="K159" s="2" t="s">
        <v>179</v>
      </c>
      <c r="L159" s="3">
        <v>107.8</v>
      </c>
      <c r="M159" s="3">
        <v>113.18</v>
      </c>
      <c r="N159" s="3">
        <v>219.99</v>
      </c>
      <c r="O159" s="2" t="s">
        <v>97</v>
      </c>
      <c r="P159" s="2" t="s">
        <v>98</v>
      </c>
      <c r="Q159" s="2" t="s">
        <v>99</v>
      </c>
      <c r="R159" s="2" t="s">
        <v>100</v>
      </c>
      <c r="S159" s="2" t="s">
        <v>869</v>
      </c>
      <c r="T159" s="2" t="s">
        <v>100</v>
      </c>
      <c r="U159" s="2" t="s">
        <v>817</v>
      </c>
      <c r="V159" s="2" t="s">
        <v>103</v>
      </c>
      <c r="W159" s="2" t="s">
        <v>104</v>
      </c>
      <c r="X159" s="2" t="s">
        <v>305</v>
      </c>
      <c r="Y159" s="2" t="s">
        <v>144</v>
      </c>
      <c r="Z159" s="4">
        <v>264</v>
      </c>
      <c r="AA159" s="4">
        <f>=ROUNDDOWN(13.8947368421053,0)</f>
      </c>
      <c r="AB159" s="5">
        <v>19</v>
      </c>
      <c r="AC159" s="2" t="s">
        <v>262</v>
      </c>
      <c r="AD159" s="4">
        <v>5</v>
      </c>
      <c r="AE159" s="4">
        <v>410</v>
      </c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/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/>
      <c r="BJ159" s="4">
        <v>56</v>
      </c>
      <c r="BK159" s="8">
        <v>6070.14</v>
      </c>
      <c r="BL159" s="2" t="s">
        <v>872</v>
      </c>
      <c r="BM159" s="7"/>
      <c r="BN159" s="7"/>
      <c r="BO159" s="4"/>
      <c r="BP159" s="8"/>
      <c r="BQ159" s="4"/>
      <c r="BR159" s="8"/>
      <c r="BS159" s="7"/>
      <c r="BT159" s="7"/>
      <c r="BU159" s="2" t="s">
        <v>109</v>
      </c>
      <c r="BV159" s="2" t="s">
        <v>97</v>
      </c>
      <c r="BW159" s="2" t="s">
        <v>464</v>
      </c>
      <c r="BX159" s="2" t="s">
        <v>873</v>
      </c>
      <c r="BY159" s="2" t="s">
        <v>112</v>
      </c>
      <c r="BZ159" s="2" t="s">
        <v>100</v>
      </c>
    </row>
    <row r="160">
      <c r="A160" s="2" t="s">
        <v>874</v>
      </c>
      <c r="B160" s="2" t="s">
        <v>87</v>
      </c>
      <c r="C160" s="2" t="s">
        <v>88</v>
      </c>
      <c r="D160" s="2" t="s">
        <v>89</v>
      </c>
      <c r="E160" s="2" t="s">
        <v>811</v>
      </c>
      <c r="F160" s="2" t="s">
        <v>866</v>
      </c>
      <c r="G160" s="2" t="s">
        <v>867</v>
      </c>
      <c r="H160" s="2" t="s">
        <v>868</v>
      </c>
      <c r="I160" s="2" t="s">
        <v>815</v>
      </c>
      <c r="J160" s="2" t="s">
        <v>118</v>
      </c>
      <c r="K160" s="2" t="s">
        <v>179</v>
      </c>
      <c r="L160" s="3">
        <v>107.8</v>
      </c>
      <c r="M160" s="3">
        <v>113.18</v>
      </c>
      <c r="N160" s="3">
        <v>219.99</v>
      </c>
      <c r="O160" s="2" t="s">
        <v>97</v>
      </c>
      <c r="P160" s="2" t="s">
        <v>98</v>
      </c>
      <c r="Q160" s="2" t="s">
        <v>99</v>
      </c>
      <c r="R160" s="2" t="s">
        <v>100</v>
      </c>
      <c r="S160" s="2" t="s">
        <v>869</v>
      </c>
      <c r="T160" s="2" t="s">
        <v>100</v>
      </c>
      <c r="U160" s="2" t="s">
        <v>817</v>
      </c>
      <c r="V160" s="2" t="s">
        <v>103</v>
      </c>
      <c r="W160" s="2" t="s">
        <v>104</v>
      </c>
      <c r="X160" s="2" t="s">
        <v>305</v>
      </c>
      <c r="Y160" s="2" t="s">
        <v>144</v>
      </c>
      <c r="Z160" s="4">
        <v>146</v>
      </c>
      <c r="AA160" s="4">
        <f>=ROUNDDOWN(18.25,0)</f>
      </c>
      <c r="AB160" s="5">
        <v>8</v>
      </c>
      <c r="AC160" s="2" t="s">
        <v>875</v>
      </c>
      <c r="AD160" s="4">
        <v>80</v>
      </c>
      <c r="AE160" s="4">
        <v>240</v>
      </c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/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/>
      <c r="BJ160" s="4">
        <v>17</v>
      </c>
      <c r="BK160" s="8">
        <v>1848.56</v>
      </c>
      <c r="BL160" s="2" t="s">
        <v>876</v>
      </c>
      <c r="BM160" s="7"/>
      <c r="BN160" s="7"/>
      <c r="BO160" s="4"/>
      <c r="BP160" s="8"/>
      <c r="BQ160" s="4"/>
      <c r="BR160" s="8"/>
      <c r="BS160" s="7"/>
      <c r="BT160" s="7"/>
      <c r="BU160" s="2" t="s">
        <v>109</v>
      </c>
      <c r="BV160" s="2" t="s">
        <v>97</v>
      </c>
      <c r="BW160" s="2" t="s">
        <v>464</v>
      </c>
      <c r="BX160" s="2" t="s">
        <v>148</v>
      </c>
      <c r="BY160" s="2" t="s">
        <v>112</v>
      </c>
      <c r="BZ160" s="2" t="s">
        <v>100</v>
      </c>
    </row>
    <row r="161">
      <c r="A161" s="2" t="s">
        <v>877</v>
      </c>
      <c r="B161" s="2" t="s">
        <v>87</v>
      </c>
      <c r="C161" s="2" t="s">
        <v>88</v>
      </c>
      <c r="D161" s="2" t="s">
        <v>89</v>
      </c>
      <c r="E161" s="2" t="s">
        <v>811</v>
      </c>
      <c r="F161" s="2" t="s">
        <v>866</v>
      </c>
      <c r="G161" s="2" t="s">
        <v>867</v>
      </c>
      <c r="H161" s="2" t="s">
        <v>868</v>
      </c>
      <c r="I161" s="2" t="s">
        <v>815</v>
      </c>
      <c r="J161" s="2" t="s">
        <v>95</v>
      </c>
      <c r="K161" s="2" t="s">
        <v>878</v>
      </c>
      <c r="L161" s="3">
        <v>98</v>
      </c>
      <c r="M161" s="3">
        <v>102.89</v>
      </c>
      <c r="N161" s="3">
        <v>199.99</v>
      </c>
      <c r="O161" s="2" t="s">
        <v>97</v>
      </c>
      <c r="P161" s="2" t="s">
        <v>98</v>
      </c>
      <c r="Q161" s="2" t="s">
        <v>99</v>
      </c>
      <c r="R161" s="2" t="s">
        <v>100</v>
      </c>
      <c r="S161" s="2" t="s">
        <v>879</v>
      </c>
      <c r="T161" s="2" t="s">
        <v>100</v>
      </c>
      <c r="U161" s="2" t="s">
        <v>817</v>
      </c>
      <c r="V161" s="2" t="s">
        <v>103</v>
      </c>
      <c r="W161" s="2" t="s">
        <v>104</v>
      </c>
      <c r="X161" s="2" t="s">
        <v>305</v>
      </c>
      <c r="Y161" s="2" t="s">
        <v>144</v>
      </c>
      <c r="Z161" s="4">
        <v>153</v>
      </c>
      <c r="AA161" s="4">
        <f>=ROUNDDOWN(19.125,0)</f>
      </c>
      <c r="AB161" s="5">
        <v>8</v>
      </c>
      <c r="AC161" s="2" t="s">
        <v>312</v>
      </c>
      <c r="AD161" s="4">
        <v>90</v>
      </c>
      <c r="AE161" s="4">
        <v>210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/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/>
      <c r="BJ161" s="4">
        <v>15</v>
      </c>
      <c r="BK161" s="8">
        <v>1471.13</v>
      </c>
      <c r="BL161" s="2" t="s">
        <v>880</v>
      </c>
      <c r="BM161" s="7"/>
      <c r="BN161" s="7"/>
      <c r="BO161" s="4"/>
      <c r="BP161" s="8"/>
      <c r="BQ161" s="4"/>
      <c r="BR161" s="8"/>
      <c r="BS161" s="7"/>
      <c r="BT161" s="7"/>
      <c r="BU161" s="2" t="s">
        <v>109</v>
      </c>
      <c r="BV161" s="2" t="s">
        <v>97</v>
      </c>
      <c r="BW161" s="2" t="s">
        <v>147</v>
      </c>
      <c r="BX161" s="2" t="s">
        <v>111</v>
      </c>
      <c r="BY161" s="2" t="s">
        <v>112</v>
      </c>
      <c r="BZ161" s="2" t="s">
        <v>100</v>
      </c>
    </row>
    <row r="162">
      <c r="A162" s="2" t="s">
        <v>881</v>
      </c>
      <c r="B162" s="2" t="s">
        <v>87</v>
      </c>
      <c r="C162" s="2" t="s">
        <v>88</v>
      </c>
      <c r="D162" s="2" t="s">
        <v>89</v>
      </c>
      <c r="E162" s="2" t="s">
        <v>811</v>
      </c>
      <c r="F162" s="2" t="s">
        <v>866</v>
      </c>
      <c r="G162" s="2" t="s">
        <v>867</v>
      </c>
      <c r="H162" s="2" t="s">
        <v>868</v>
      </c>
      <c r="I162" s="2" t="s">
        <v>815</v>
      </c>
      <c r="J162" s="2" t="s">
        <v>114</v>
      </c>
      <c r="K162" s="2" t="s">
        <v>878</v>
      </c>
      <c r="L162" s="3">
        <v>107.8</v>
      </c>
      <c r="M162" s="3">
        <v>113.18</v>
      </c>
      <c r="N162" s="3">
        <v>219.99</v>
      </c>
      <c r="O162" s="2" t="s">
        <v>97</v>
      </c>
      <c r="P162" s="2" t="s">
        <v>98</v>
      </c>
      <c r="Q162" s="2" t="s">
        <v>99</v>
      </c>
      <c r="R162" s="2" t="s">
        <v>100</v>
      </c>
      <c r="S162" s="2" t="s">
        <v>879</v>
      </c>
      <c r="T162" s="2" t="s">
        <v>100</v>
      </c>
      <c r="U162" s="2" t="s">
        <v>817</v>
      </c>
      <c r="V162" s="2" t="s">
        <v>103</v>
      </c>
      <c r="W162" s="2" t="s">
        <v>104</v>
      </c>
      <c r="X162" s="2" t="s">
        <v>305</v>
      </c>
      <c r="Y162" s="2" t="s">
        <v>144</v>
      </c>
      <c r="Z162" s="4">
        <v>176</v>
      </c>
      <c r="AA162" s="4">
        <f>=ROUNDDOWN(16,0)</f>
      </c>
      <c r="AB162" s="5">
        <v>11</v>
      </c>
      <c r="AC162" s="2" t="s">
        <v>312</v>
      </c>
      <c r="AD162" s="4">
        <v>100</v>
      </c>
      <c r="AE162" s="4">
        <v>220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/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/>
      <c r="BJ162" s="4">
        <v>16</v>
      </c>
      <c r="BK162" s="8">
        <v>1720.88</v>
      </c>
      <c r="BL162" s="2" t="s">
        <v>480</v>
      </c>
      <c r="BM162" s="7"/>
      <c r="BN162" s="7"/>
      <c r="BO162" s="4"/>
      <c r="BP162" s="8"/>
      <c r="BQ162" s="4"/>
      <c r="BR162" s="8"/>
      <c r="BS162" s="7"/>
      <c r="BT162" s="7"/>
      <c r="BU162" s="2" t="s">
        <v>109</v>
      </c>
      <c r="BV162" s="2" t="s">
        <v>97</v>
      </c>
      <c r="BW162" s="2" t="s">
        <v>147</v>
      </c>
      <c r="BX162" s="2" t="s">
        <v>882</v>
      </c>
      <c r="BY162" s="2" t="s">
        <v>112</v>
      </c>
      <c r="BZ162" s="2" t="s">
        <v>100</v>
      </c>
    </row>
    <row r="163">
      <c r="A163" s="2" t="s">
        <v>883</v>
      </c>
      <c r="B163" s="2" t="s">
        <v>87</v>
      </c>
      <c r="C163" s="2" t="s">
        <v>88</v>
      </c>
      <c r="D163" s="2" t="s">
        <v>89</v>
      </c>
      <c r="E163" s="2" t="s">
        <v>811</v>
      </c>
      <c r="F163" s="2" t="s">
        <v>866</v>
      </c>
      <c r="G163" s="2" t="s">
        <v>867</v>
      </c>
      <c r="H163" s="2" t="s">
        <v>868</v>
      </c>
      <c r="I163" s="2" t="s">
        <v>815</v>
      </c>
      <c r="J163" s="2" t="s">
        <v>118</v>
      </c>
      <c r="K163" s="2" t="s">
        <v>878</v>
      </c>
      <c r="L163" s="3">
        <v>107.8</v>
      </c>
      <c r="M163" s="3">
        <v>113.18</v>
      </c>
      <c r="N163" s="3">
        <v>219.99</v>
      </c>
      <c r="O163" s="2" t="s">
        <v>97</v>
      </c>
      <c r="P163" s="2" t="s">
        <v>98</v>
      </c>
      <c r="Q163" s="2" t="s">
        <v>99</v>
      </c>
      <c r="R163" s="2" t="s">
        <v>100</v>
      </c>
      <c r="S163" s="2" t="s">
        <v>879</v>
      </c>
      <c r="T163" s="2" t="s">
        <v>100</v>
      </c>
      <c r="U163" s="2" t="s">
        <v>817</v>
      </c>
      <c r="V163" s="2" t="s">
        <v>103</v>
      </c>
      <c r="W163" s="2" t="s">
        <v>104</v>
      </c>
      <c r="X163" s="2" t="s">
        <v>305</v>
      </c>
      <c r="Y163" s="2" t="s">
        <v>144</v>
      </c>
      <c r="Z163" s="4">
        <v>63</v>
      </c>
      <c r="AA163" s="4">
        <f>=ROUNDDOWN(10.5,0)</f>
      </c>
      <c r="AB163" s="5">
        <v>6</v>
      </c>
      <c r="AC163" s="2" t="s">
        <v>312</v>
      </c>
      <c r="AD163" s="4">
        <v>100</v>
      </c>
      <c r="AE163" s="4">
        <v>170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/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/>
      <c r="BJ163" s="4">
        <v>15</v>
      </c>
      <c r="BK163" s="8">
        <v>1661.03</v>
      </c>
      <c r="BL163" s="2" t="s">
        <v>884</v>
      </c>
      <c r="BM163" s="7"/>
      <c r="BN163" s="7"/>
      <c r="BO163" s="4"/>
      <c r="BP163" s="8"/>
      <c r="BQ163" s="4"/>
      <c r="BR163" s="8"/>
      <c r="BS163" s="7"/>
      <c r="BT163" s="7"/>
      <c r="BU163" s="2" t="s">
        <v>109</v>
      </c>
      <c r="BV163" s="2" t="s">
        <v>97</v>
      </c>
      <c r="BW163" s="2" t="s">
        <v>147</v>
      </c>
      <c r="BX163" s="2" t="s">
        <v>885</v>
      </c>
      <c r="BY163" s="2" t="s">
        <v>112</v>
      </c>
      <c r="BZ163" s="2" t="s">
        <v>100</v>
      </c>
    </row>
    <row r="164">
      <c r="A164" s="2" t="s">
        <v>886</v>
      </c>
      <c r="B164" s="2" t="s">
        <v>87</v>
      </c>
      <c r="C164" s="2" t="s">
        <v>88</v>
      </c>
      <c r="D164" s="2" t="s">
        <v>89</v>
      </c>
      <c r="E164" s="2" t="s">
        <v>887</v>
      </c>
      <c r="F164" s="2" t="s">
        <v>888</v>
      </c>
      <c r="G164" s="2" t="s">
        <v>889</v>
      </c>
      <c r="H164" s="2" t="s">
        <v>890</v>
      </c>
      <c r="I164" s="2" t="s">
        <v>891</v>
      </c>
      <c r="J164" s="2" t="s">
        <v>352</v>
      </c>
      <c r="K164" s="2" t="s">
        <v>892</v>
      </c>
      <c r="L164" s="3">
        <v>58.5</v>
      </c>
      <c r="M164" s="3">
        <v>61.42</v>
      </c>
      <c r="N164" s="3">
        <v>129.99</v>
      </c>
      <c r="O164" s="2" t="s">
        <v>97</v>
      </c>
      <c r="P164" s="2" t="s">
        <v>139</v>
      </c>
      <c r="Q164" s="2" t="s">
        <v>99</v>
      </c>
      <c r="R164" s="2" t="s">
        <v>100</v>
      </c>
      <c r="S164" s="2" t="s">
        <v>893</v>
      </c>
      <c r="T164" s="2" t="s">
        <v>100</v>
      </c>
      <c r="U164" s="2" t="s">
        <v>894</v>
      </c>
      <c r="V164" s="2" t="s">
        <v>103</v>
      </c>
      <c r="W164" s="2" t="s">
        <v>193</v>
      </c>
      <c r="X164" s="2" t="s">
        <v>895</v>
      </c>
      <c r="Y164" s="2" t="s">
        <v>896</v>
      </c>
      <c r="Z164" s="4">
        <v>1012</v>
      </c>
      <c r="AA164" s="4">
        <f>=ROUNDDOWN(126.5,0)</f>
      </c>
      <c r="AB164" s="5">
        <v>8</v>
      </c>
      <c r="AC164" s="2" t="s">
        <v>897</v>
      </c>
      <c r="AD164" s="4">
        <v>20</v>
      </c>
      <c r="AE164" s="4">
        <v>20</v>
      </c>
      <c r="AF164" s="6">
        <v>69</v>
      </c>
      <c r="AG164" s="6">
        <v>77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>
        <v>5</v>
      </c>
      <c r="AW164" s="8">
        <v>435.45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/>
      <c r="BC164" s="4">
        <v>5</v>
      </c>
      <c r="BD164" s="8">
        <v>435.45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>
        <v>1</v>
      </c>
      <c r="BJ164" s="4">
        <v>21</v>
      </c>
      <c r="BK164" s="8">
        <v>1350.19</v>
      </c>
      <c r="BL164" s="2" t="s">
        <v>898</v>
      </c>
      <c r="BM164" s="7"/>
      <c r="BN164" s="7"/>
      <c r="BO164" s="4"/>
      <c r="BP164" s="8"/>
      <c r="BQ164" s="4"/>
      <c r="BR164" s="8"/>
      <c r="BS164" s="7"/>
      <c r="BT164" s="7"/>
      <c r="BU164" s="2" t="s">
        <v>569</v>
      </c>
      <c r="BV164" s="2" t="s">
        <v>97</v>
      </c>
      <c r="BW164" s="2" t="s">
        <v>100</v>
      </c>
      <c r="BX164" s="2" t="s">
        <v>100</v>
      </c>
      <c r="BY164" s="2" t="s">
        <v>112</v>
      </c>
      <c r="BZ164" s="2" t="s">
        <v>149</v>
      </c>
    </row>
    <row r="165">
      <c r="A165" s="2" t="s">
        <v>899</v>
      </c>
      <c r="B165" s="2" t="s">
        <v>87</v>
      </c>
      <c r="C165" s="2" t="s">
        <v>88</v>
      </c>
      <c r="D165" s="2" t="s">
        <v>89</v>
      </c>
      <c r="E165" s="2" t="s">
        <v>887</v>
      </c>
      <c r="F165" s="2" t="s">
        <v>888</v>
      </c>
      <c r="G165" s="2" t="s">
        <v>889</v>
      </c>
      <c r="H165" s="2" t="s">
        <v>890</v>
      </c>
      <c r="I165" s="2" t="s">
        <v>900</v>
      </c>
      <c r="J165" s="2" t="s">
        <v>529</v>
      </c>
      <c r="K165" s="2" t="s">
        <v>892</v>
      </c>
      <c r="L165" s="3">
        <v>84.6</v>
      </c>
      <c r="M165" s="3">
        <v>88.83</v>
      </c>
      <c r="N165" s="3">
        <v>179.99</v>
      </c>
      <c r="O165" s="2" t="s">
        <v>97</v>
      </c>
      <c r="P165" s="2" t="s">
        <v>139</v>
      </c>
      <c r="Q165" s="2" t="s">
        <v>99</v>
      </c>
      <c r="R165" s="2" t="s">
        <v>100</v>
      </c>
      <c r="S165" s="2" t="s">
        <v>893</v>
      </c>
      <c r="T165" s="2" t="s">
        <v>190</v>
      </c>
      <c r="U165" s="2" t="s">
        <v>901</v>
      </c>
      <c r="V165" s="2" t="s">
        <v>103</v>
      </c>
      <c r="W165" s="2" t="s">
        <v>193</v>
      </c>
      <c r="X165" s="2" t="s">
        <v>895</v>
      </c>
      <c r="Y165" s="2" t="s">
        <v>902</v>
      </c>
      <c r="Z165" s="4">
        <v>1958</v>
      </c>
      <c r="AA165" s="4">
        <f>=ROUNDDOWN(43.5111111111111,0)</f>
      </c>
      <c r="AB165" s="5">
        <v>45</v>
      </c>
      <c r="AC165" s="2" t="s">
        <v>903</v>
      </c>
      <c r="AD165" s="4">
        <v>110</v>
      </c>
      <c r="AE165" s="4">
        <v>220</v>
      </c>
      <c r="AF165" s="6">
        <v>69</v>
      </c>
      <c r="AG165" s="6">
        <v>77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5</v>
      </c>
      <c r="AQ165" s="8">
        <v>435.45</v>
      </c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1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133</v>
      </c>
      <c r="BK165" s="8">
        <v>11961.46</v>
      </c>
      <c r="BL165" s="2" t="s">
        <v>904</v>
      </c>
      <c r="BM165" s="7">
        <v>0.0376</v>
      </c>
      <c r="BN165" s="7">
        <v>0.0364</v>
      </c>
      <c r="BO165" s="4">
        <v>5</v>
      </c>
      <c r="BP165" s="8">
        <v>435.45</v>
      </c>
      <c r="BQ165" s="4"/>
      <c r="BR165" s="8"/>
      <c r="BS165" s="7"/>
      <c r="BT165" s="7"/>
      <c r="BU165" s="2" t="s">
        <v>109</v>
      </c>
      <c r="BV165" s="2" t="s">
        <v>97</v>
      </c>
      <c r="BW165" s="2" t="s">
        <v>905</v>
      </c>
      <c r="BX165" s="2" t="s">
        <v>906</v>
      </c>
      <c r="BY165" s="2" t="s">
        <v>112</v>
      </c>
      <c r="BZ165" s="2" t="s">
        <v>100</v>
      </c>
    </row>
    <row r="166">
      <c r="A166" s="2" t="s">
        <v>907</v>
      </c>
      <c r="B166" s="2" t="s">
        <v>87</v>
      </c>
      <c r="C166" s="2" t="s">
        <v>88</v>
      </c>
      <c r="D166" s="2" t="s">
        <v>89</v>
      </c>
      <c r="E166" s="2" t="s">
        <v>887</v>
      </c>
      <c r="F166" s="2" t="s">
        <v>888</v>
      </c>
      <c r="G166" s="2" t="s">
        <v>889</v>
      </c>
      <c r="H166" s="2" t="s">
        <v>890</v>
      </c>
      <c r="I166" s="2" t="s">
        <v>908</v>
      </c>
      <c r="J166" s="2" t="s">
        <v>522</v>
      </c>
      <c r="K166" s="2" t="s">
        <v>673</v>
      </c>
      <c r="L166" s="3">
        <v>73.6</v>
      </c>
      <c r="M166" s="3">
        <v>77.28</v>
      </c>
      <c r="N166" s="3">
        <v>159.99</v>
      </c>
      <c r="O166" s="2" t="s">
        <v>97</v>
      </c>
      <c r="P166" s="2" t="s">
        <v>123</v>
      </c>
      <c r="Q166" s="2" t="s">
        <v>99</v>
      </c>
      <c r="R166" s="2" t="s">
        <v>100</v>
      </c>
      <c r="S166" s="2" t="s">
        <v>909</v>
      </c>
      <c r="T166" s="2" t="s">
        <v>190</v>
      </c>
      <c r="U166" s="2" t="s">
        <v>901</v>
      </c>
      <c r="V166" s="2" t="s">
        <v>103</v>
      </c>
      <c r="W166" s="2" t="s">
        <v>193</v>
      </c>
      <c r="X166" s="2" t="s">
        <v>895</v>
      </c>
      <c r="Y166" s="2" t="s">
        <v>910</v>
      </c>
      <c r="Z166" s="4">
        <v>279</v>
      </c>
      <c r="AA166" s="4">
        <f>=ROUNDDOWN(16.4117647058824,0)</f>
      </c>
      <c r="AB166" s="5">
        <v>17</v>
      </c>
      <c r="AC166" s="2" t="s">
        <v>911</v>
      </c>
      <c r="AD166" s="4">
        <v>30</v>
      </c>
      <c r="AE166" s="4">
        <v>370</v>
      </c>
      <c r="AF166" s="6">
        <v>69</v>
      </c>
      <c r="AG166" s="6">
        <v>77</v>
      </c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/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 t="s">
        <v>100</v>
      </c>
      <c r="BJ166" s="4">
        <v>46</v>
      </c>
      <c r="BK166" s="8">
        <v>3680.81</v>
      </c>
      <c r="BL166" s="2" t="s">
        <v>912</v>
      </c>
      <c r="BM166" s="7"/>
      <c r="BN166" s="7"/>
      <c r="BO166" s="4"/>
      <c r="BP166" s="8"/>
      <c r="BQ166" s="4"/>
      <c r="BR166" s="8"/>
      <c r="BS166" s="7"/>
      <c r="BT166" s="7"/>
      <c r="BU166" s="2" t="s">
        <v>569</v>
      </c>
      <c r="BV166" s="2" t="s">
        <v>97</v>
      </c>
      <c r="BW166" s="2" t="s">
        <v>100</v>
      </c>
      <c r="BX166" s="2" t="s">
        <v>100</v>
      </c>
      <c r="BY166" s="2" t="s">
        <v>112</v>
      </c>
      <c r="BZ166" s="2" t="s">
        <v>100</v>
      </c>
    </row>
    <row r="167">
      <c r="A167" s="2" t="s">
        <v>913</v>
      </c>
      <c r="B167" s="2" t="s">
        <v>87</v>
      </c>
      <c r="C167" s="2" t="s">
        <v>88</v>
      </c>
      <c r="D167" s="2" t="s">
        <v>89</v>
      </c>
      <c r="E167" s="2" t="s">
        <v>887</v>
      </c>
      <c r="F167" s="2" t="s">
        <v>888</v>
      </c>
      <c r="G167" s="2" t="s">
        <v>889</v>
      </c>
      <c r="H167" s="2" t="s">
        <v>890</v>
      </c>
      <c r="I167" s="2" t="s">
        <v>908</v>
      </c>
      <c r="J167" s="2" t="s">
        <v>529</v>
      </c>
      <c r="K167" s="2" t="s">
        <v>673</v>
      </c>
      <c r="L167" s="3">
        <v>84.6</v>
      </c>
      <c r="M167" s="3">
        <v>88.83</v>
      </c>
      <c r="N167" s="3">
        <v>179.99</v>
      </c>
      <c r="O167" s="2" t="s">
        <v>97</v>
      </c>
      <c r="P167" s="2" t="s">
        <v>123</v>
      </c>
      <c r="Q167" s="2" t="s">
        <v>99</v>
      </c>
      <c r="R167" s="2" t="s">
        <v>100</v>
      </c>
      <c r="S167" s="2" t="s">
        <v>909</v>
      </c>
      <c r="T167" s="2" t="s">
        <v>190</v>
      </c>
      <c r="U167" s="2" t="s">
        <v>901</v>
      </c>
      <c r="V167" s="2" t="s">
        <v>103</v>
      </c>
      <c r="W167" s="2" t="s">
        <v>193</v>
      </c>
      <c r="X167" s="2" t="s">
        <v>895</v>
      </c>
      <c r="Y167" s="2" t="s">
        <v>910</v>
      </c>
      <c r="Z167" s="4">
        <v>761</v>
      </c>
      <c r="AA167" s="4">
        <f>=ROUNDDOWN(26.2413793103448,0)</f>
      </c>
      <c r="AB167" s="5">
        <v>29</v>
      </c>
      <c r="AC167" s="2" t="s">
        <v>911</v>
      </c>
      <c r="AD167" s="4">
        <v>220</v>
      </c>
      <c r="AE167" s="4">
        <v>720</v>
      </c>
      <c r="AF167" s="6">
        <v>69</v>
      </c>
      <c r="AG167" s="6">
        <v>77</v>
      </c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/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 t="s">
        <v>100</v>
      </c>
      <c r="BJ167" s="4">
        <v>89</v>
      </c>
      <c r="BK167" s="8">
        <v>8124.43</v>
      </c>
      <c r="BL167" s="2" t="s">
        <v>914</v>
      </c>
      <c r="BM167" s="7"/>
      <c r="BN167" s="7"/>
      <c r="BO167" s="4"/>
      <c r="BP167" s="8"/>
      <c r="BQ167" s="4"/>
      <c r="BR167" s="8"/>
      <c r="BS167" s="7"/>
      <c r="BT167" s="7"/>
      <c r="BU167" s="2" t="s">
        <v>569</v>
      </c>
      <c r="BV167" s="2" t="s">
        <v>97</v>
      </c>
      <c r="BW167" s="2" t="s">
        <v>100</v>
      </c>
      <c r="BX167" s="2" t="s">
        <v>100</v>
      </c>
      <c r="BY167" s="2" t="s">
        <v>112</v>
      </c>
      <c r="BZ167" s="2" t="s">
        <v>100</v>
      </c>
    </row>
    <row r="168">
      <c r="A168" s="2" t="s">
        <v>915</v>
      </c>
      <c r="B168" s="2" t="s">
        <v>87</v>
      </c>
      <c r="C168" s="2" t="s">
        <v>88</v>
      </c>
      <c r="D168" s="2" t="s">
        <v>89</v>
      </c>
      <c r="E168" s="2" t="s">
        <v>887</v>
      </c>
      <c r="F168" s="2" t="s">
        <v>916</v>
      </c>
      <c r="G168" s="2" t="s">
        <v>917</v>
      </c>
      <c r="H168" s="2" t="s">
        <v>348</v>
      </c>
      <c r="I168" s="2" t="s">
        <v>918</v>
      </c>
      <c r="J168" s="2" t="s">
        <v>522</v>
      </c>
      <c r="K168" s="2" t="s">
        <v>892</v>
      </c>
      <c r="L168" s="3">
        <v>72.33</v>
      </c>
      <c r="M168" s="3">
        <v>75.94</v>
      </c>
      <c r="N168" s="3">
        <v>159.99</v>
      </c>
      <c r="O168" s="2" t="s">
        <v>97</v>
      </c>
      <c r="P168" s="2" t="s">
        <v>707</v>
      </c>
      <c r="Q168" s="2" t="s">
        <v>99</v>
      </c>
      <c r="R168" s="2" t="s">
        <v>100</v>
      </c>
      <c r="S168" s="2" t="s">
        <v>919</v>
      </c>
      <c r="T168" s="2" t="s">
        <v>190</v>
      </c>
      <c r="U168" s="2" t="s">
        <v>901</v>
      </c>
      <c r="V168" s="2" t="s">
        <v>461</v>
      </c>
      <c r="W168" s="2" t="s">
        <v>193</v>
      </c>
      <c r="X168" s="2" t="s">
        <v>580</v>
      </c>
      <c r="Y168" s="2" t="s">
        <v>920</v>
      </c>
      <c r="Z168" s="4">
        <v>731</v>
      </c>
      <c r="AA168" s="4">
        <f>=ROUNDDOWN(182.75,0)</f>
      </c>
      <c r="AB168" s="5">
        <v>4</v>
      </c>
      <c r="AC168" s="2" t="s">
        <v>100</v>
      </c>
      <c r="AD168" s="4"/>
      <c r="AE168" s="4"/>
      <c r="AF168" s="6">
        <v>69</v>
      </c>
      <c r="AG168" s="6"/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/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/>
      <c r="BJ168" s="4">
        <v>14</v>
      </c>
      <c r="BK168" s="8">
        <v>1045.02</v>
      </c>
      <c r="BL168" s="2" t="s">
        <v>921</v>
      </c>
      <c r="BM168" s="7"/>
      <c r="BN168" s="7"/>
      <c r="BO168" s="4"/>
      <c r="BP168" s="8"/>
      <c r="BQ168" s="4"/>
      <c r="BR168" s="8"/>
      <c r="BS168" s="7"/>
      <c r="BT168" s="7"/>
      <c r="BU168" s="2" t="s">
        <v>171</v>
      </c>
      <c r="BV168" s="2" t="s">
        <v>97</v>
      </c>
      <c r="BW168" s="2" t="s">
        <v>100</v>
      </c>
      <c r="BX168" s="2" t="s">
        <v>100</v>
      </c>
      <c r="BY168" s="2" t="s">
        <v>112</v>
      </c>
      <c r="BZ168" s="2" t="s">
        <v>100</v>
      </c>
    </row>
    <row r="169">
      <c r="A169" s="2" t="s">
        <v>922</v>
      </c>
      <c r="B169" s="2" t="s">
        <v>87</v>
      </c>
      <c r="C169" s="2" t="s">
        <v>88</v>
      </c>
      <c r="D169" s="2" t="s">
        <v>89</v>
      </c>
      <c r="E169" s="2" t="s">
        <v>887</v>
      </c>
      <c r="F169" s="2" t="s">
        <v>916</v>
      </c>
      <c r="G169" s="2" t="s">
        <v>917</v>
      </c>
      <c r="H169" s="2" t="s">
        <v>348</v>
      </c>
      <c r="I169" s="2" t="s">
        <v>918</v>
      </c>
      <c r="J169" s="2" t="s">
        <v>529</v>
      </c>
      <c r="K169" s="2" t="s">
        <v>892</v>
      </c>
      <c r="L169" s="3">
        <v>82.67</v>
      </c>
      <c r="M169" s="3">
        <v>86.8</v>
      </c>
      <c r="N169" s="3">
        <v>179.99</v>
      </c>
      <c r="O169" s="2" t="s">
        <v>97</v>
      </c>
      <c r="P169" s="2" t="s">
        <v>707</v>
      </c>
      <c r="Q169" s="2" t="s">
        <v>99</v>
      </c>
      <c r="R169" s="2" t="s">
        <v>100</v>
      </c>
      <c r="S169" s="2" t="s">
        <v>919</v>
      </c>
      <c r="T169" s="2" t="s">
        <v>190</v>
      </c>
      <c r="U169" s="2" t="s">
        <v>901</v>
      </c>
      <c r="V169" s="2" t="s">
        <v>461</v>
      </c>
      <c r="W169" s="2" t="s">
        <v>193</v>
      </c>
      <c r="X169" s="2" t="s">
        <v>580</v>
      </c>
      <c r="Y169" s="2" t="s">
        <v>920</v>
      </c>
      <c r="Z169" s="4">
        <v>287</v>
      </c>
      <c r="AA169" s="4">
        <f>=ROUNDDOWN(57.4,0)</f>
      </c>
      <c r="AB169" s="5">
        <v>5</v>
      </c>
      <c r="AC169" s="2" t="s">
        <v>100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/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/>
      <c r="BJ169" s="4">
        <v>13</v>
      </c>
      <c r="BK169" s="8">
        <v>1148.01</v>
      </c>
      <c r="BL169" s="2" t="s">
        <v>923</v>
      </c>
      <c r="BM169" s="7"/>
      <c r="BN169" s="7"/>
      <c r="BO169" s="4"/>
      <c r="BP169" s="8"/>
      <c r="BQ169" s="4"/>
      <c r="BR169" s="8"/>
      <c r="BS169" s="7"/>
      <c r="BT169" s="7"/>
      <c r="BU169" s="2" t="s">
        <v>171</v>
      </c>
      <c r="BV169" s="2" t="s">
        <v>97</v>
      </c>
      <c r="BW169" s="2" t="s">
        <v>100</v>
      </c>
      <c r="BX169" s="2" t="s">
        <v>100</v>
      </c>
      <c r="BY169" s="2" t="s">
        <v>112</v>
      </c>
      <c r="BZ169" s="2" t="s">
        <v>100</v>
      </c>
    </row>
    <row r="170">
      <c r="A170" s="2" t="s">
        <v>924</v>
      </c>
      <c r="B170" s="2" t="s">
        <v>87</v>
      </c>
      <c r="C170" s="2" t="s">
        <v>88</v>
      </c>
      <c r="D170" s="2" t="s">
        <v>89</v>
      </c>
      <c r="E170" s="2" t="s">
        <v>887</v>
      </c>
      <c r="F170" s="2" t="s">
        <v>925</v>
      </c>
      <c r="G170" s="2" t="s">
        <v>926</v>
      </c>
      <c r="H170" s="2" t="s">
        <v>927</v>
      </c>
      <c r="I170" s="2" t="s">
        <v>928</v>
      </c>
      <c r="J170" s="2" t="s">
        <v>522</v>
      </c>
      <c r="K170" s="2" t="s">
        <v>892</v>
      </c>
      <c r="L170" s="3">
        <v>73.5</v>
      </c>
      <c r="M170" s="3">
        <v>77.17</v>
      </c>
      <c r="N170" s="3">
        <v>149.99</v>
      </c>
      <c r="O170" s="2" t="s">
        <v>97</v>
      </c>
      <c r="P170" s="2" t="s">
        <v>98</v>
      </c>
      <c r="Q170" s="2" t="s">
        <v>99</v>
      </c>
      <c r="R170" s="2" t="s">
        <v>100</v>
      </c>
      <c r="S170" s="2" t="s">
        <v>929</v>
      </c>
      <c r="T170" s="2" t="s">
        <v>190</v>
      </c>
      <c r="U170" s="2" t="s">
        <v>901</v>
      </c>
      <c r="V170" s="2" t="s">
        <v>192</v>
      </c>
      <c r="W170" s="2" t="s">
        <v>193</v>
      </c>
      <c r="X170" s="2" t="s">
        <v>930</v>
      </c>
      <c r="Y170" s="2" t="s">
        <v>931</v>
      </c>
      <c r="Z170" s="4">
        <v>210</v>
      </c>
      <c r="AA170" s="4">
        <f>=ROUNDDOWN(30,0)</f>
      </c>
      <c r="AB170" s="5">
        <v>7</v>
      </c>
      <c r="AC170" s="2" t="s">
        <v>932</v>
      </c>
      <c r="AD170" s="4">
        <v>90</v>
      </c>
      <c r="AE170" s="4">
        <v>90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/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/>
      <c r="BJ170" s="4">
        <v>32</v>
      </c>
      <c r="BK170" s="8">
        <v>2473.09</v>
      </c>
      <c r="BL170" s="2" t="s">
        <v>933</v>
      </c>
      <c r="BM170" s="7"/>
      <c r="BN170" s="7"/>
      <c r="BO170" s="4"/>
      <c r="BP170" s="8"/>
      <c r="BQ170" s="4"/>
      <c r="BR170" s="8"/>
      <c r="BS170" s="7"/>
      <c r="BT170" s="7"/>
      <c r="BU170" s="2" t="s">
        <v>171</v>
      </c>
      <c r="BV170" s="2" t="s">
        <v>97</v>
      </c>
      <c r="BW170" s="2" t="s">
        <v>100</v>
      </c>
      <c r="BX170" s="2" t="s">
        <v>100</v>
      </c>
      <c r="BY170" s="2" t="s">
        <v>112</v>
      </c>
      <c r="BZ170" s="2" t="s">
        <v>149</v>
      </c>
    </row>
    <row r="171">
      <c r="A171" s="2" t="s">
        <v>934</v>
      </c>
      <c r="B171" s="2" t="s">
        <v>87</v>
      </c>
      <c r="C171" s="2" t="s">
        <v>88</v>
      </c>
      <c r="D171" s="2" t="s">
        <v>89</v>
      </c>
      <c r="E171" s="2" t="s">
        <v>887</v>
      </c>
      <c r="F171" s="2" t="s">
        <v>925</v>
      </c>
      <c r="G171" s="2" t="s">
        <v>926</v>
      </c>
      <c r="H171" s="2" t="s">
        <v>927</v>
      </c>
      <c r="I171" s="2" t="s">
        <v>928</v>
      </c>
      <c r="J171" s="2" t="s">
        <v>529</v>
      </c>
      <c r="K171" s="2" t="s">
        <v>892</v>
      </c>
      <c r="L171" s="3">
        <v>83.3</v>
      </c>
      <c r="M171" s="3">
        <v>87.46</v>
      </c>
      <c r="N171" s="3">
        <v>169.99</v>
      </c>
      <c r="O171" s="2" t="s">
        <v>97</v>
      </c>
      <c r="P171" s="2" t="s">
        <v>98</v>
      </c>
      <c r="Q171" s="2" t="s">
        <v>99</v>
      </c>
      <c r="R171" s="2" t="s">
        <v>100</v>
      </c>
      <c r="S171" s="2" t="s">
        <v>929</v>
      </c>
      <c r="T171" s="2" t="s">
        <v>190</v>
      </c>
      <c r="U171" s="2" t="s">
        <v>901</v>
      </c>
      <c r="V171" s="2" t="s">
        <v>192</v>
      </c>
      <c r="W171" s="2" t="s">
        <v>193</v>
      </c>
      <c r="X171" s="2" t="s">
        <v>930</v>
      </c>
      <c r="Y171" s="2" t="s">
        <v>931</v>
      </c>
      <c r="Z171" s="4">
        <v>271</v>
      </c>
      <c r="AA171" s="4">
        <f>=ROUNDDOWN(38.7142857142857,0)</f>
      </c>
      <c r="AB171" s="5">
        <v>7</v>
      </c>
      <c r="AC171" s="2" t="s">
        <v>932</v>
      </c>
      <c r="AD171" s="4">
        <v>135</v>
      </c>
      <c r="AE171" s="4">
        <v>135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/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/>
      <c r="BJ171" s="4">
        <v>25</v>
      </c>
      <c r="BK171" s="8">
        <v>2203.75</v>
      </c>
      <c r="BL171" s="2" t="s">
        <v>935</v>
      </c>
      <c r="BM171" s="7"/>
      <c r="BN171" s="7"/>
      <c r="BO171" s="4"/>
      <c r="BP171" s="8"/>
      <c r="BQ171" s="4"/>
      <c r="BR171" s="8"/>
      <c r="BS171" s="7"/>
      <c r="BT171" s="7"/>
      <c r="BU171" s="2" t="s">
        <v>171</v>
      </c>
      <c r="BV171" s="2" t="s">
        <v>97</v>
      </c>
      <c r="BW171" s="2" t="s">
        <v>100</v>
      </c>
      <c r="BX171" s="2" t="s">
        <v>100</v>
      </c>
      <c r="BY171" s="2" t="s">
        <v>112</v>
      </c>
      <c r="BZ171" s="2" t="s">
        <v>149</v>
      </c>
    </row>
    <row r="172">
      <c r="A172" s="2" t="s">
        <v>936</v>
      </c>
      <c r="B172" s="2" t="s">
        <v>87</v>
      </c>
      <c r="C172" s="2" t="s">
        <v>88</v>
      </c>
      <c r="D172" s="2" t="s">
        <v>89</v>
      </c>
      <c r="E172" s="2" t="s">
        <v>887</v>
      </c>
      <c r="F172" s="2" t="s">
        <v>937</v>
      </c>
      <c r="G172" s="2" t="s">
        <v>938</v>
      </c>
      <c r="H172" s="2" t="s">
        <v>939</v>
      </c>
      <c r="I172" s="2" t="s">
        <v>940</v>
      </c>
      <c r="J172" s="2" t="s">
        <v>529</v>
      </c>
      <c r="K172" s="2" t="s">
        <v>892</v>
      </c>
      <c r="L172" s="3">
        <v>82.07</v>
      </c>
      <c r="M172" s="3">
        <v>86.17</v>
      </c>
      <c r="N172" s="3">
        <v>159.99</v>
      </c>
      <c r="O172" s="2" t="s">
        <v>97</v>
      </c>
      <c r="P172" s="2" t="s">
        <v>123</v>
      </c>
      <c r="Q172" s="2" t="s">
        <v>99</v>
      </c>
      <c r="R172" s="2" t="s">
        <v>100</v>
      </c>
      <c r="S172" s="2" t="s">
        <v>941</v>
      </c>
      <c r="T172" s="2" t="s">
        <v>190</v>
      </c>
      <c r="U172" s="2" t="s">
        <v>901</v>
      </c>
      <c r="V172" s="2" t="s">
        <v>304</v>
      </c>
      <c r="W172" s="2" t="s">
        <v>193</v>
      </c>
      <c r="X172" s="2" t="s">
        <v>462</v>
      </c>
      <c r="Y172" s="2" t="s">
        <v>942</v>
      </c>
      <c r="Z172" s="4">
        <v>1289</v>
      </c>
      <c r="AA172" s="4">
        <f>=ROUNDDOWN(47.7407407407407,0)</f>
      </c>
      <c r="AB172" s="5">
        <v>27</v>
      </c>
      <c r="AC172" s="2" t="s">
        <v>897</v>
      </c>
      <c r="AD172" s="4">
        <v>40</v>
      </c>
      <c r="AE172" s="4">
        <v>670</v>
      </c>
      <c r="AF172" s="6">
        <v>69</v>
      </c>
      <c r="AG172" s="6">
        <v>77</v>
      </c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/>
      <c r="BJ172" s="4">
        <v>88</v>
      </c>
      <c r="BK172" s="8">
        <v>7978.7</v>
      </c>
      <c r="BL172" s="2" t="s">
        <v>943</v>
      </c>
      <c r="BM172" s="7"/>
      <c r="BN172" s="7"/>
      <c r="BO172" s="4"/>
      <c r="BP172" s="8"/>
      <c r="BQ172" s="4"/>
      <c r="BR172" s="8"/>
      <c r="BS172" s="7"/>
      <c r="BT172" s="7"/>
      <c r="BU172" s="2" t="s">
        <v>109</v>
      </c>
      <c r="BV172" s="2" t="s">
        <v>97</v>
      </c>
      <c r="BW172" s="2" t="s">
        <v>944</v>
      </c>
      <c r="BX172" s="2" t="s">
        <v>945</v>
      </c>
      <c r="BY172" s="2" t="s">
        <v>112</v>
      </c>
      <c r="BZ172" s="2" t="s">
        <v>149</v>
      </c>
    </row>
    <row r="173">
      <c r="A173" s="2" t="s">
        <v>946</v>
      </c>
      <c r="B173" s="2" t="s">
        <v>87</v>
      </c>
      <c r="C173" s="2" t="s">
        <v>88</v>
      </c>
      <c r="D173" s="2" t="s">
        <v>89</v>
      </c>
      <c r="E173" s="2" t="s">
        <v>887</v>
      </c>
      <c r="F173" s="2" t="s">
        <v>937</v>
      </c>
      <c r="G173" s="2" t="s">
        <v>938</v>
      </c>
      <c r="H173" s="2" t="s">
        <v>939</v>
      </c>
      <c r="I173" s="2" t="s">
        <v>947</v>
      </c>
      <c r="J173" s="2" t="s">
        <v>529</v>
      </c>
      <c r="K173" s="2" t="s">
        <v>673</v>
      </c>
      <c r="L173" s="3">
        <v>82.07</v>
      </c>
      <c r="M173" s="3">
        <v>86.17</v>
      </c>
      <c r="N173" s="3">
        <v>159.99</v>
      </c>
      <c r="O173" s="2" t="s">
        <v>97</v>
      </c>
      <c r="P173" s="2" t="s">
        <v>98</v>
      </c>
      <c r="Q173" s="2" t="s">
        <v>99</v>
      </c>
      <c r="R173" s="2" t="s">
        <v>100</v>
      </c>
      <c r="S173" s="2" t="s">
        <v>948</v>
      </c>
      <c r="T173" s="2" t="s">
        <v>100</v>
      </c>
      <c r="U173" s="2" t="s">
        <v>901</v>
      </c>
      <c r="V173" s="2" t="s">
        <v>304</v>
      </c>
      <c r="W173" s="2" t="s">
        <v>193</v>
      </c>
      <c r="X173" s="2" t="s">
        <v>462</v>
      </c>
      <c r="Y173" s="2" t="s">
        <v>910</v>
      </c>
      <c r="Z173" s="4">
        <v>710</v>
      </c>
      <c r="AA173" s="4">
        <f>=ROUNDDOWN(30.8695652173913,0)</f>
      </c>
      <c r="AB173" s="5">
        <v>23</v>
      </c>
      <c r="AC173" s="2" t="s">
        <v>897</v>
      </c>
      <c r="AD173" s="4">
        <v>40</v>
      </c>
      <c r="AE173" s="4">
        <v>830</v>
      </c>
      <c r="AF173" s="6">
        <v>69</v>
      </c>
      <c r="AG173" s="6">
        <v>77</v>
      </c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/>
      <c r="BJ173" s="4">
        <v>83</v>
      </c>
      <c r="BK173" s="8">
        <v>7957.14</v>
      </c>
      <c r="BL173" s="2" t="s">
        <v>949</v>
      </c>
      <c r="BM173" s="7"/>
      <c r="BN173" s="7"/>
      <c r="BO173" s="4"/>
      <c r="BP173" s="8"/>
      <c r="BQ173" s="4"/>
      <c r="BR173" s="8"/>
      <c r="BS173" s="7"/>
      <c r="BT173" s="7"/>
      <c r="BU173" s="2" t="s">
        <v>569</v>
      </c>
      <c r="BV173" s="2" t="s">
        <v>97</v>
      </c>
      <c r="BW173" s="2" t="s">
        <v>100</v>
      </c>
      <c r="BX173" s="2" t="s">
        <v>100</v>
      </c>
      <c r="BY173" s="2" t="s">
        <v>112</v>
      </c>
      <c r="BZ173" s="2" t="s">
        <v>100</v>
      </c>
    </row>
    <row r="174">
      <c r="A174" s="2" t="s">
        <v>950</v>
      </c>
      <c r="B174" s="2" t="s">
        <v>87</v>
      </c>
      <c r="C174" s="2" t="s">
        <v>88</v>
      </c>
      <c r="D174" s="2" t="s">
        <v>89</v>
      </c>
      <c r="E174" s="2" t="s">
        <v>887</v>
      </c>
      <c r="F174" s="2" t="s">
        <v>951</v>
      </c>
      <c r="G174" s="2" t="s">
        <v>952</v>
      </c>
      <c r="H174" s="2" t="s">
        <v>953</v>
      </c>
      <c r="I174" s="2" t="s">
        <v>954</v>
      </c>
      <c r="J174" s="2" t="s">
        <v>522</v>
      </c>
      <c r="K174" s="2" t="s">
        <v>955</v>
      </c>
      <c r="L174" s="3">
        <v>75.2</v>
      </c>
      <c r="M174" s="3">
        <v>78.96</v>
      </c>
      <c r="N174" s="3">
        <v>159.99</v>
      </c>
      <c r="O174" s="2" t="s">
        <v>97</v>
      </c>
      <c r="P174" s="2" t="s">
        <v>98</v>
      </c>
      <c r="Q174" s="2" t="s">
        <v>99</v>
      </c>
      <c r="R174" s="2" t="s">
        <v>100</v>
      </c>
      <c r="S174" s="2" t="s">
        <v>956</v>
      </c>
      <c r="T174" s="2" t="s">
        <v>190</v>
      </c>
      <c r="U174" s="2" t="s">
        <v>901</v>
      </c>
      <c r="V174" s="2" t="s">
        <v>103</v>
      </c>
      <c r="W174" s="2" t="s">
        <v>686</v>
      </c>
      <c r="X174" s="2" t="s">
        <v>271</v>
      </c>
      <c r="Y174" s="2" t="s">
        <v>957</v>
      </c>
      <c r="Z174" s="4">
        <v>290</v>
      </c>
      <c r="AA174" s="4">
        <f>=ROUNDDOWN(24.1666666666667,0)</f>
      </c>
      <c r="AB174" s="5">
        <v>12</v>
      </c>
      <c r="AC174" s="2" t="s">
        <v>958</v>
      </c>
      <c r="AD174" s="4">
        <v>70</v>
      </c>
      <c r="AE174" s="4">
        <v>70</v>
      </c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/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/>
      <c r="BJ174" s="4">
        <v>43</v>
      </c>
      <c r="BK174" s="8">
        <v>3448.17</v>
      </c>
      <c r="BL174" s="2" t="s">
        <v>959</v>
      </c>
      <c r="BM174" s="7"/>
      <c r="BN174" s="7"/>
      <c r="BO174" s="4"/>
      <c r="BP174" s="8"/>
      <c r="BQ174" s="4"/>
      <c r="BR174" s="8"/>
      <c r="BS174" s="7"/>
      <c r="BT174" s="7"/>
      <c r="BU174" s="2" t="s">
        <v>569</v>
      </c>
      <c r="BV174" s="2" t="s">
        <v>97</v>
      </c>
      <c r="BW174" s="2" t="s">
        <v>100</v>
      </c>
      <c r="BX174" s="2" t="s">
        <v>100</v>
      </c>
      <c r="BY174" s="2" t="s">
        <v>112</v>
      </c>
      <c r="BZ174" s="2" t="s">
        <v>100</v>
      </c>
    </row>
    <row r="175">
      <c r="A175" s="2" t="s">
        <v>960</v>
      </c>
      <c r="B175" s="2" t="s">
        <v>87</v>
      </c>
      <c r="C175" s="2" t="s">
        <v>88</v>
      </c>
      <c r="D175" s="2" t="s">
        <v>89</v>
      </c>
      <c r="E175" s="2" t="s">
        <v>887</v>
      </c>
      <c r="F175" s="2" t="s">
        <v>951</v>
      </c>
      <c r="G175" s="2" t="s">
        <v>952</v>
      </c>
      <c r="H175" s="2" t="s">
        <v>953</v>
      </c>
      <c r="I175" s="2" t="s">
        <v>954</v>
      </c>
      <c r="J175" s="2" t="s">
        <v>529</v>
      </c>
      <c r="K175" s="2" t="s">
        <v>955</v>
      </c>
      <c r="L175" s="3">
        <v>86.4</v>
      </c>
      <c r="M175" s="3">
        <v>90.71</v>
      </c>
      <c r="N175" s="3">
        <v>179.99</v>
      </c>
      <c r="O175" s="2" t="s">
        <v>97</v>
      </c>
      <c r="P175" s="2" t="s">
        <v>98</v>
      </c>
      <c r="Q175" s="2" t="s">
        <v>99</v>
      </c>
      <c r="R175" s="2" t="s">
        <v>100</v>
      </c>
      <c r="S175" s="2" t="s">
        <v>956</v>
      </c>
      <c r="T175" s="2" t="s">
        <v>190</v>
      </c>
      <c r="U175" s="2" t="s">
        <v>901</v>
      </c>
      <c r="V175" s="2" t="s">
        <v>103</v>
      </c>
      <c r="W175" s="2" t="s">
        <v>686</v>
      </c>
      <c r="X175" s="2" t="s">
        <v>271</v>
      </c>
      <c r="Y175" s="2" t="s">
        <v>957</v>
      </c>
      <c r="Z175" s="4">
        <v>371</v>
      </c>
      <c r="AA175" s="4">
        <f>=ROUNDDOWN(23.1875,0)</f>
      </c>
      <c r="AB175" s="5">
        <v>16</v>
      </c>
      <c r="AC175" s="2" t="s">
        <v>911</v>
      </c>
      <c r="AD175" s="4">
        <v>240</v>
      </c>
      <c r="AE175" s="4">
        <v>380</v>
      </c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/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/>
      <c r="BJ175" s="4">
        <v>77</v>
      </c>
      <c r="BK175" s="8">
        <v>7306.96</v>
      </c>
      <c r="BL175" s="2" t="s">
        <v>961</v>
      </c>
      <c r="BM175" s="7"/>
      <c r="BN175" s="7"/>
      <c r="BO175" s="4"/>
      <c r="BP175" s="8"/>
      <c r="BQ175" s="4"/>
      <c r="BR175" s="8"/>
      <c r="BS175" s="7"/>
      <c r="BT175" s="7"/>
      <c r="BU175" s="2" t="s">
        <v>569</v>
      </c>
      <c r="BV175" s="2" t="s">
        <v>97</v>
      </c>
      <c r="BW175" s="2" t="s">
        <v>100</v>
      </c>
      <c r="BX175" s="2" t="s">
        <v>100</v>
      </c>
      <c r="BY175" s="2" t="s">
        <v>112</v>
      </c>
      <c r="BZ175" s="2" t="s">
        <v>100</v>
      </c>
    </row>
    <row r="176">
      <c r="A176" s="2" t="s">
        <v>962</v>
      </c>
      <c r="B176" s="2" t="s">
        <v>87</v>
      </c>
      <c r="C176" s="2" t="s">
        <v>88</v>
      </c>
      <c r="D176" s="2" t="s">
        <v>963</v>
      </c>
      <c r="E176" s="2" t="s">
        <v>964</v>
      </c>
      <c r="F176" s="2" t="s">
        <v>965</v>
      </c>
      <c r="G176" s="2" t="s">
        <v>966</v>
      </c>
      <c r="H176" s="2" t="s">
        <v>967</v>
      </c>
      <c r="I176" s="2" t="s">
        <v>968</v>
      </c>
      <c r="J176" s="2" t="s">
        <v>969</v>
      </c>
      <c r="K176" s="2" t="s">
        <v>471</v>
      </c>
      <c r="L176" s="3">
        <v>42.3</v>
      </c>
      <c r="M176" s="3">
        <v>44.41</v>
      </c>
      <c r="N176" s="3">
        <v>89.99</v>
      </c>
      <c r="O176" s="2" t="s">
        <v>97</v>
      </c>
      <c r="P176" s="2" t="s">
        <v>123</v>
      </c>
      <c r="Q176" s="2" t="s">
        <v>99</v>
      </c>
      <c r="R176" s="2" t="s">
        <v>100</v>
      </c>
      <c r="S176" s="2" t="s">
        <v>970</v>
      </c>
      <c r="T176" s="2" t="s">
        <v>100</v>
      </c>
      <c r="U176" s="2" t="s">
        <v>355</v>
      </c>
      <c r="V176" s="2" t="s">
        <v>103</v>
      </c>
      <c r="W176" s="2" t="s">
        <v>142</v>
      </c>
      <c r="X176" s="2" t="s">
        <v>143</v>
      </c>
      <c r="Y176" s="2" t="s">
        <v>971</v>
      </c>
      <c r="Z176" s="4">
        <v>2217</v>
      </c>
      <c r="AA176" s="4">
        <f>=ROUNDDOWN(40.1630434782609,0)</f>
      </c>
      <c r="AB176" s="5">
        <v>55.2</v>
      </c>
      <c r="AC176" s="2" t="s">
        <v>783</v>
      </c>
      <c r="AD176" s="4">
        <v>380</v>
      </c>
      <c r="AE176" s="4">
        <v>670</v>
      </c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24</v>
      </c>
      <c r="AQ176" s="8">
        <v>1045.2</v>
      </c>
      <c r="AR176" s="4"/>
      <c r="AS176" s="8"/>
      <c r="AT176" s="7"/>
      <c r="AU176" s="7"/>
      <c r="AV176" s="4">
        <v>24</v>
      </c>
      <c r="AW176" s="8">
        <v>1045.2</v>
      </c>
      <c r="AX176" s="4"/>
      <c r="AY176" s="8"/>
      <c r="AZ176" s="7"/>
      <c r="BA176" s="7"/>
      <c r="BB176" s="7">
        <v>1</v>
      </c>
      <c r="BC176" s="4">
        <v>24</v>
      </c>
      <c r="BD176" s="8">
        <v>1045.2</v>
      </c>
      <c r="BE176" s="4"/>
      <c r="BF176" s="8"/>
      <c r="BG176" s="7"/>
      <c r="BH176" s="7"/>
      <c r="BI176" s="7">
        <v>1</v>
      </c>
      <c r="BJ176" s="4">
        <v>173</v>
      </c>
      <c r="BK176" s="8">
        <v>7056.79</v>
      </c>
      <c r="BL176" s="2" t="s">
        <v>972</v>
      </c>
      <c r="BM176" s="7">
        <v>0.1387</v>
      </c>
      <c r="BN176" s="7">
        <v>0.1481</v>
      </c>
      <c r="BO176" s="4">
        <v>24</v>
      </c>
      <c r="BP176" s="8">
        <v>1045.2</v>
      </c>
      <c r="BQ176" s="4"/>
      <c r="BR176" s="8"/>
      <c r="BS176" s="7"/>
      <c r="BT176" s="7"/>
      <c r="BU176" s="2" t="s">
        <v>109</v>
      </c>
      <c r="BV176" s="2" t="s">
        <v>97</v>
      </c>
      <c r="BW176" s="2" t="s">
        <v>147</v>
      </c>
      <c r="BX176" s="2" t="s">
        <v>973</v>
      </c>
      <c r="BY176" s="2" t="s">
        <v>112</v>
      </c>
      <c r="BZ176" s="2" t="s">
        <v>100</v>
      </c>
    </row>
    <row r="177">
      <c r="A177" s="2" t="s">
        <v>974</v>
      </c>
      <c r="B177" s="2" t="s">
        <v>87</v>
      </c>
      <c r="C177" s="2" t="s">
        <v>88</v>
      </c>
      <c r="D177" s="2" t="s">
        <v>963</v>
      </c>
      <c r="E177" s="2" t="s">
        <v>964</v>
      </c>
      <c r="F177" s="2" t="s">
        <v>975</v>
      </c>
      <c r="G177" s="2" t="s">
        <v>976</v>
      </c>
      <c r="H177" s="2" t="s">
        <v>977</v>
      </c>
      <c r="I177" s="2" t="s">
        <v>968</v>
      </c>
      <c r="J177" s="2" t="s">
        <v>969</v>
      </c>
      <c r="K177" s="2" t="s">
        <v>179</v>
      </c>
      <c r="L177" s="3">
        <v>42.3</v>
      </c>
      <c r="M177" s="3">
        <v>44.41</v>
      </c>
      <c r="N177" s="3">
        <v>89.99</v>
      </c>
      <c r="O177" s="2" t="s">
        <v>97</v>
      </c>
      <c r="P177" s="2" t="s">
        <v>98</v>
      </c>
      <c r="Q177" s="2" t="s">
        <v>99</v>
      </c>
      <c r="R177" s="2" t="s">
        <v>100</v>
      </c>
      <c r="S177" s="2" t="s">
        <v>978</v>
      </c>
      <c r="T177" s="2" t="s">
        <v>100</v>
      </c>
      <c r="U177" s="2" t="s">
        <v>355</v>
      </c>
      <c r="V177" s="2" t="s">
        <v>103</v>
      </c>
      <c r="W177" s="2" t="s">
        <v>142</v>
      </c>
      <c r="X177" s="2" t="s">
        <v>979</v>
      </c>
      <c r="Y177" s="2" t="s">
        <v>980</v>
      </c>
      <c r="Z177" s="4">
        <v>1126</v>
      </c>
      <c r="AA177" s="4">
        <f>=ROUNDDOWN(40.2142857142857,0)</f>
      </c>
      <c r="AB177" s="5">
        <v>28</v>
      </c>
      <c r="AC177" s="2" t="s">
        <v>100</v>
      </c>
      <c r="AD177" s="4"/>
      <c r="AE177" s="4"/>
      <c r="AF177" s="6">
        <v>64</v>
      </c>
      <c r="AG177" s="6">
        <v>47</v>
      </c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11</v>
      </c>
      <c r="AQ177" s="8">
        <v>479.05</v>
      </c>
      <c r="AR177" s="4"/>
      <c r="AS177" s="8"/>
      <c r="AT177" s="7"/>
      <c r="AU177" s="7"/>
      <c r="AV177" s="4">
        <v>11</v>
      </c>
      <c r="AW177" s="8">
        <v>479.05</v>
      </c>
      <c r="AX177" s="4"/>
      <c r="AY177" s="8"/>
      <c r="AZ177" s="7"/>
      <c r="BA177" s="7"/>
      <c r="BB177" s="7">
        <v>1</v>
      </c>
      <c r="BC177" s="4">
        <v>11</v>
      </c>
      <c r="BD177" s="8">
        <v>479.05</v>
      </c>
      <c r="BE177" s="4"/>
      <c r="BF177" s="8"/>
      <c r="BG177" s="7"/>
      <c r="BH177" s="7"/>
      <c r="BI177" s="7">
        <v>1</v>
      </c>
      <c r="BJ177" s="4">
        <v>85</v>
      </c>
      <c r="BK177" s="8">
        <v>3574.7</v>
      </c>
      <c r="BL177" s="2" t="s">
        <v>981</v>
      </c>
      <c r="BM177" s="7">
        <v>0.1294</v>
      </c>
      <c r="BN177" s="7">
        <v>0.134</v>
      </c>
      <c r="BO177" s="4">
        <v>11</v>
      </c>
      <c r="BP177" s="8">
        <v>479.05</v>
      </c>
      <c r="BQ177" s="4"/>
      <c r="BR177" s="8"/>
      <c r="BS177" s="7"/>
      <c r="BT177" s="7"/>
      <c r="BU177" s="2" t="s">
        <v>109</v>
      </c>
      <c r="BV177" s="2" t="s">
        <v>97</v>
      </c>
      <c r="BW177" s="2" t="s">
        <v>147</v>
      </c>
      <c r="BX177" s="2" t="s">
        <v>982</v>
      </c>
      <c r="BY177" s="2" t="s">
        <v>112</v>
      </c>
      <c r="BZ177" s="2" t="s">
        <v>100</v>
      </c>
    </row>
    <row r="178">
      <c r="A178" s="2" t="s">
        <v>983</v>
      </c>
      <c r="B178" s="2" t="s">
        <v>87</v>
      </c>
      <c r="C178" s="2" t="s">
        <v>88</v>
      </c>
      <c r="D178" s="2" t="s">
        <v>963</v>
      </c>
      <c r="E178" s="2" t="s">
        <v>964</v>
      </c>
      <c r="F178" s="2" t="s">
        <v>984</v>
      </c>
      <c r="G178" s="2" t="s">
        <v>985</v>
      </c>
      <c r="H178" s="2" t="s">
        <v>986</v>
      </c>
      <c r="I178" s="2" t="s">
        <v>968</v>
      </c>
      <c r="J178" s="2" t="s">
        <v>969</v>
      </c>
      <c r="K178" s="2" t="s">
        <v>987</v>
      </c>
      <c r="L178" s="3">
        <v>48</v>
      </c>
      <c r="M178" s="3">
        <v>50.39</v>
      </c>
      <c r="N178" s="3">
        <v>99.99</v>
      </c>
      <c r="O178" s="2" t="s">
        <v>97</v>
      </c>
      <c r="P178" s="2" t="s">
        <v>98</v>
      </c>
      <c r="Q178" s="2" t="s">
        <v>99</v>
      </c>
      <c r="R178" s="2" t="s">
        <v>100</v>
      </c>
      <c r="S178" s="2" t="s">
        <v>988</v>
      </c>
      <c r="T178" s="2" t="s">
        <v>100</v>
      </c>
      <c r="U178" s="2" t="s">
        <v>355</v>
      </c>
      <c r="V178" s="2" t="s">
        <v>461</v>
      </c>
      <c r="W178" s="2" t="s">
        <v>193</v>
      </c>
      <c r="X178" s="2" t="s">
        <v>211</v>
      </c>
      <c r="Y178" s="2" t="s">
        <v>989</v>
      </c>
      <c r="Z178" s="4">
        <v>529</v>
      </c>
      <c r="AA178" s="4">
        <f>=ROUNDDOWN(17.6333333333333,0)</f>
      </c>
      <c r="AB178" s="5">
        <v>30</v>
      </c>
      <c r="AC178" s="2" t="s">
        <v>990</v>
      </c>
      <c r="AD178" s="4">
        <v>300</v>
      </c>
      <c r="AE178" s="4">
        <v>300</v>
      </c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8</v>
      </c>
      <c r="AQ178" s="8">
        <v>391.92</v>
      </c>
      <c r="AR178" s="4"/>
      <c r="AS178" s="8"/>
      <c r="AT178" s="7"/>
      <c r="AU178" s="7"/>
      <c r="AV178" s="4">
        <v>8</v>
      </c>
      <c r="AW178" s="8">
        <v>391.92</v>
      </c>
      <c r="AX178" s="4"/>
      <c r="AY178" s="8"/>
      <c r="AZ178" s="7"/>
      <c r="BA178" s="7"/>
      <c r="BB178" s="7">
        <v>1</v>
      </c>
      <c r="BC178" s="4">
        <v>8</v>
      </c>
      <c r="BD178" s="8">
        <v>391.92</v>
      </c>
      <c r="BE178" s="4"/>
      <c r="BF178" s="8"/>
      <c r="BG178" s="7"/>
      <c r="BH178" s="7"/>
      <c r="BI178" s="7">
        <v>1</v>
      </c>
      <c r="BJ178" s="4">
        <v>130</v>
      </c>
      <c r="BK178" s="8">
        <v>6780.33</v>
      </c>
      <c r="BL178" s="2" t="s">
        <v>991</v>
      </c>
      <c r="BM178" s="7">
        <v>0.0615</v>
      </c>
      <c r="BN178" s="7">
        <v>0.0578</v>
      </c>
      <c r="BO178" s="4">
        <v>8</v>
      </c>
      <c r="BP178" s="8">
        <v>391.92</v>
      </c>
      <c r="BQ178" s="4"/>
      <c r="BR178" s="8"/>
      <c r="BS178" s="7"/>
      <c r="BT178" s="7"/>
      <c r="BU178" s="2" t="s">
        <v>109</v>
      </c>
      <c r="BV178" s="2" t="s">
        <v>97</v>
      </c>
      <c r="BW178" s="2" t="s">
        <v>992</v>
      </c>
      <c r="BX178" s="2" t="s">
        <v>993</v>
      </c>
      <c r="BY178" s="2" t="s">
        <v>112</v>
      </c>
      <c r="BZ178" s="2" t="s">
        <v>100</v>
      </c>
    </row>
    <row r="179">
      <c r="A179" s="2" t="s">
        <v>994</v>
      </c>
      <c r="B179" s="2" t="s">
        <v>87</v>
      </c>
      <c r="C179" s="2" t="s">
        <v>88</v>
      </c>
      <c r="D179" s="2" t="s">
        <v>963</v>
      </c>
      <c r="E179" s="2" t="s">
        <v>964</v>
      </c>
      <c r="F179" s="2" t="s">
        <v>995</v>
      </c>
      <c r="G179" s="2" t="s">
        <v>996</v>
      </c>
      <c r="H179" s="2" t="s">
        <v>997</v>
      </c>
      <c r="I179" s="2" t="s">
        <v>998</v>
      </c>
      <c r="J179" s="2" t="s">
        <v>969</v>
      </c>
      <c r="K179" s="2" t="s">
        <v>458</v>
      </c>
      <c r="L179" s="3">
        <v>42.3</v>
      </c>
      <c r="M179" s="3">
        <v>44.41</v>
      </c>
      <c r="N179" s="3">
        <v>89.99</v>
      </c>
      <c r="O179" s="2" t="s">
        <v>97</v>
      </c>
      <c r="P179" s="2" t="s">
        <v>707</v>
      </c>
      <c r="Q179" s="2" t="s">
        <v>99</v>
      </c>
      <c r="R179" s="2" t="s">
        <v>100</v>
      </c>
      <c r="S179" s="2" t="s">
        <v>999</v>
      </c>
      <c r="T179" s="2" t="s">
        <v>100</v>
      </c>
      <c r="U179" s="2" t="s">
        <v>355</v>
      </c>
      <c r="V179" s="2" t="s">
        <v>461</v>
      </c>
      <c r="W179" s="2" t="s">
        <v>525</v>
      </c>
      <c r="X179" s="2" t="s">
        <v>1000</v>
      </c>
      <c r="Y179" s="2" t="s">
        <v>1001</v>
      </c>
      <c r="Z179" s="4">
        <v>374</v>
      </c>
      <c r="AA179" s="4">
        <f>=ROUNDDOWN(27.2992700729927,0)</f>
      </c>
      <c r="AB179" s="5">
        <v>13.7</v>
      </c>
      <c r="AC179" s="2" t="s">
        <v>145</v>
      </c>
      <c r="AD179" s="4">
        <v>300</v>
      </c>
      <c r="AE179" s="4">
        <v>500</v>
      </c>
      <c r="AF179" s="6">
        <v>64</v>
      </c>
      <c r="AG179" s="6">
        <v>47</v>
      </c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7</v>
      </c>
      <c r="AQ179" s="8">
        <v>304.85</v>
      </c>
      <c r="AR179" s="4"/>
      <c r="AS179" s="8"/>
      <c r="AT179" s="7"/>
      <c r="AU179" s="7"/>
      <c r="AV179" s="4">
        <v>7</v>
      </c>
      <c r="AW179" s="8">
        <v>304.85</v>
      </c>
      <c r="AX179" s="4"/>
      <c r="AY179" s="8"/>
      <c r="AZ179" s="7"/>
      <c r="BA179" s="7"/>
      <c r="BB179" s="7">
        <v>1</v>
      </c>
      <c r="BC179" s="4">
        <v>7</v>
      </c>
      <c r="BD179" s="8">
        <v>304.85</v>
      </c>
      <c r="BE179" s="4"/>
      <c r="BF179" s="8"/>
      <c r="BG179" s="7"/>
      <c r="BH179" s="7"/>
      <c r="BI179" s="7">
        <v>1</v>
      </c>
      <c r="BJ179" s="4">
        <v>66</v>
      </c>
      <c r="BK179" s="8">
        <v>2999.29</v>
      </c>
      <c r="BL179" s="2" t="s">
        <v>1002</v>
      </c>
      <c r="BM179" s="7">
        <v>0.1061</v>
      </c>
      <c r="BN179" s="7">
        <v>0.1016</v>
      </c>
      <c r="BO179" s="4">
        <v>7</v>
      </c>
      <c r="BP179" s="8">
        <v>304.85</v>
      </c>
      <c r="BQ179" s="4"/>
      <c r="BR179" s="8"/>
      <c r="BS179" s="7"/>
      <c r="BT179" s="7"/>
      <c r="BU179" s="2" t="s">
        <v>109</v>
      </c>
      <c r="BV179" s="2" t="s">
        <v>97</v>
      </c>
      <c r="BW179" s="2" t="s">
        <v>110</v>
      </c>
      <c r="BX179" s="2" t="s">
        <v>1003</v>
      </c>
      <c r="BY179" s="2" t="s">
        <v>112</v>
      </c>
      <c r="BZ179" s="2" t="s">
        <v>100</v>
      </c>
    </row>
    <row r="180">
      <c r="A180" s="2" t="s">
        <v>1004</v>
      </c>
      <c r="B180" s="2" t="s">
        <v>87</v>
      </c>
      <c r="C180" s="2" t="s">
        <v>88</v>
      </c>
      <c r="D180" s="2" t="s">
        <v>963</v>
      </c>
      <c r="E180" s="2" t="s">
        <v>964</v>
      </c>
      <c r="F180" s="2" t="s">
        <v>1005</v>
      </c>
      <c r="G180" s="2" t="s">
        <v>1006</v>
      </c>
      <c r="H180" s="2" t="s">
        <v>1007</v>
      </c>
      <c r="I180" s="2" t="s">
        <v>968</v>
      </c>
      <c r="J180" s="2" t="s">
        <v>969</v>
      </c>
      <c r="K180" s="2" t="s">
        <v>706</v>
      </c>
      <c r="L180" s="3">
        <v>43.2</v>
      </c>
      <c r="M180" s="3">
        <v>45.35</v>
      </c>
      <c r="N180" s="3">
        <v>89.99</v>
      </c>
      <c r="O180" s="2" t="s">
        <v>97</v>
      </c>
      <c r="P180" s="2" t="s">
        <v>123</v>
      </c>
      <c r="Q180" s="2" t="s">
        <v>99</v>
      </c>
      <c r="R180" s="2" t="s">
        <v>100</v>
      </c>
      <c r="S180" s="2" t="s">
        <v>1008</v>
      </c>
      <c r="T180" s="2" t="s">
        <v>100</v>
      </c>
      <c r="U180" s="2" t="s">
        <v>355</v>
      </c>
      <c r="V180" s="2" t="s">
        <v>1009</v>
      </c>
      <c r="W180" s="2" t="s">
        <v>686</v>
      </c>
      <c r="X180" s="2" t="s">
        <v>1010</v>
      </c>
      <c r="Y180" s="2" t="s">
        <v>1011</v>
      </c>
      <c r="Z180" s="4">
        <v>947</v>
      </c>
      <c r="AA180" s="4">
        <f>=ROUNDDOWN(14.134328358209,0)</f>
      </c>
      <c r="AB180" s="5">
        <v>67</v>
      </c>
      <c r="AC180" s="2" t="s">
        <v>582</v>
      </c>
      <c r="AD180" s="4">
        <v>100</v>
      </c>
      <c r="AE180" s="4">
        <v>1260</v>
      </c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3</v>
      </c>
      <c r="AQ180" s="8">
        <v>130.65</v>
      </c>
      <c r="AR180" s="4"/>
      <c r="AS180" s="8"/>
      <c r="AT180" s="7"/>
      <c r="AU180" s="7"/>
      <c r="AV180" s="4">
        <v>3</v>
      </c>
      <c r="AW180" s="8">
        <v>130.65</v>
      </c>
      <c r="AX180" s="4"/>
      <c r="AY180" s="8"/>
      <c r="AZ180" s="7"/>
      <c r="BA180" s="7"/>
      <c r="BB180" s="7">
        <v>1</v>
      </c>
      <c r="BC180" s="4">
        <v>3</v>
      </c>
      <c r="BD180" s="8">
        <v>130.65</v>
      </c>
      <c r="BE180" s="4"/>
      <c r="BF180" s="8"/>
      <c r="BG180" s="7"/>
      <c r="BH180" s="7"/>
      <c r="BI180" s="7">
        <v>1</v>
      </c>
      <c r="BJ180" s="4">
        <v>168</v>
      </c>
      <c r="BK180" s="8">
        <v>7076.04</v>
      </c>
      <c r="BL180" s="2" t="s">
        <v>1012</v>
      </c>
      <c r="BM180" s="7">
        <v>0.0179</v>
      </c>
      <c r="BN180" s="7">
        <v>0.0185</v>
      </c>
      <c r="BO180" s="4">
        <v>3</v>
      </c>
      <c r="BP180" s="8">
        <v>130.65</v>
      </c>
      <c r="BQ180" s="4"/>
      <c r="BR180" s="8"/>
      <c r="BS180" s="7"/>
      <c r="BT180" s="7"/>
      <c r="BU180" s="2" t="s">
        <v>109</v>
      </c>
      <c r="BV180" s="2" t="s">
        <v>97</v>
      </c>
      <c r="BW180" s="2" t="s">
        <v>127</v>
      </c>
      <c r="BX180" s="2" t="s">
        <v>1013</v>
      </c>
      <c r="BY180" s="2" t="s">
        <v>112</v>
      </c>
      <c r="BZ180" s="2" t="s">
        <v>100</v>
      </c>
    </row>
    <row r="181">
      <c r="A181" s="2" t="s">
        <v>1014</v>
      </c>
      <c r="B181" s="2" t="s">
        <v>87</v>
      </c>
      <c r="C181" s="2" t="s">
        <v>88</v>
      </c>
      <c r="D181" s="2" t="s">
        <v>963</v>
      </c>
      <c r="E181" s="2" t="s">
        <v>964</v>
      </c>
      <c r="F181" s="2" t="s">
        <v>1015</v>
      </c>
      <c r="G181" s="2" t="s">
        <v>1016</v>
      </c>
      <c r="H181" s="2" t="s">
        <v>1017</v>
      </c>
      <c r="I181" s="2" t="s">
        <v>1018</v>
      </c>
      <c r="J181" s="2" t="s">
        <v>969</v>
      </c>
      <c r="K181" s="2" t="s">
        <v>856</v>
      </c>
      <c r="L181" s="3">
        <v>52.8</v>
      </c>
      <c r="M181" s="3">
        <v>55.43</v>
      </c>
      <c r="N181" s="3">
        <v>109.99</v>
      </c>
      <c r="O181" s="2" t="s">
        <v>97</v>
      </c>
      <c r="P181" s="2" t="s">
        <v>98</v>
      </c>
      <c r="Q181" s="2" t="s">
        <v>99</v>
      </c>
      <c r="R181" s="2" t="s">
        <v>100</v>
      </c>
      <c r="S181" s="2" t="s">
        <v>1019</v>
      </c>
      <c r="T181" s="2" t="s">
        <v>100</v>
      </c>
      <c r="U181" s="2" t="s">
        <v>355</v>
      </c>
      <c r="V181" s="2" t="s">
        <v>461</v>
      </c>
      <c r="W181" s="2" t="s">
        <v>142</v>
      </c>
      <c r="X181" s="2" t="s">
        <v>979</v>
      </c>
      <c r="Y181" s="2" t="s">
        <v>1020</v>
      </c>
      <c r="Z181" s="4">
        <v>370</v>
      </c>
      <c r="AA181" s="4">
        <f>=ROUNDDOWN(20.5555555555556,0)</f>
      </c>
      <c r="AB181" s="5">
        <v>18</v>
      </c>
      <c r="AC181" s="2" t="s">
        <v>262</v>
      </c>
      <c r="AD181" s="4">
        <v>1</v>
      </c>
      <c r="AE181" s="4">
        <v>251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1</v>
      </c>
      <c r="AQ181" s="8">
        <v>54.43</v>
      </c>
      <c r="AR181" s="4"/>
      <c r="AS181" s="8"/>
      <c r="AT181" s="7"/>
      <c r="AU181" s="7"/>
      <c r="AV181" s="4">
        <v>1</v>
      </c>
      <c r="AW181" s="8">
        <v>54.43</v>
      </c>
      <c r="AX181" s="4"/>
      <c r="AY181" s="8"/>
      <c r="AZ181" s="7"/>
      <c r="BA181" s="7"/>
      <c r="BB181" s="7">
        <v>1</v>
      </c>
      <c r="BC181" s="4">
        <v>1</v>
      </c>
      <c r="BD181" s="8">
        <v>54.43</v>
      </c>
      <c r="BE181" s="4"/>
      <c r="BF181" s="8"/>
      <c r="BG181" s="7"/>
      <c r="BH181" s="7"/>
      <c r="BI181" s="7">
        <v>1</v>
      </c>
      <c r="BJ181" s="4">
        <v>51</v>
      </c>
      <c r="BK181" s="8">
        <v>2938.16</v>
      </c>
      <c r="BL181" s="2" t="s">
        <v>1021</v>
      </c>
      <c r="BM181" s="7">
        <v>0.0196</v>
      </c>
      <c r="BN181" s="7">
        <v>0.0185</v>
      </c>
      <c r="BO181" s="4">
        <v>1</v>
      </c>
      <c r="BP181" s="8">
        <v>54.43</v>
      </c>
      <c r="BQ181" s="4"/>
      <c r="BR181" s="8"/>
      <c r="BS181" s="7"/>
      <c r="BT181" s="7"/>
      <c r="BU181" s="2" t="s">
        <v>109</v>
      </c>
      <c r="BV181" s="2" t="s">
        <v>97</v>
      </c>
      <c r="BW181" s="2" t="s">
        <v>309</v>
      </c>
      <c r="BX181" s="2" t="s">
        <v>1022</v>
      </c>
      <c r="BY181" s="2" t="s">
        <v>112</v>
      </c>
      <c r="BZ181" s="2" t="s">
        <v>100</v>
      </c>
    </row>
    <row r="182">
      <c r="A182" s="2" t="s">
        <v>1023</v>
      </c>
      <c r="B182" s="2" t="s">
        <v>87</v>
      </c>
      <c r="C182" s="2" t="s">
        <v>88</v>
      </c>
      <c r="D182" s="2" t="s">
        <v>963</v>
      </c>
      <c r="E182" s="2" t="s">
        <v>964</v>
      </c>
      <c r="F182" s="2" t="s">
        <v>1024</v>
      </c>
      <c r="G182" s="2" t="s">
        <v>1025</v>
      </c>
      <c r="H182" s="2" t="s">
        <v>1026</v>
      </c>
      <c r="I182" s="2" t="s">
        <v>1027</v>
      </c>
      <c r="J182" s="2" t="s">
        <v>969</v>
      </c>
      <c r="K182" s="2" t="s">
        <v>892</v>
      </c>
      <c r="L182" s="3">
        <v>52.8</v>
      </c>
      <c r="M182" s="3">
        <v>55.43</v>
      </c>
      <c r="N182" s="3">
        <v>109.99</v>
      </c>
      <c r="O182" s="2" t="s">
        <v>97</v>
      </c>
      <c r="P182" s="2" t="s">
        <v>98</v>
      </c>
      <c r="Q182" s="2" t="s">
        <v>99</v>
      </c>
      <c r="R182" s="2" t="s">
        <v>100</v>
      </c>
      <c r="S182" s="2" t="s">
        <v>1028</v>
      </c>
      <c r="T182" s="2" t="s">
        <v>100</v>
      </c>
      <c r="U182" s="2" t="s">
        <v>460</v>
      </c>
      <c r="V182" s="2" t="s">
        <v>103</v>
      </c>
      <c r="W182" s="2" t="s">
        <v>193</v>
      </c>
      <c r="X182" s="2" t="s">
        <v>1029</v>
      </c>
      <c r="Y182" s="2" t="s">
        <v>1030</v>
      </c>
      <c r="Z182" s="4">
        <v>335</v>
      </c>
      <c r="AA182" s="4">
        <f>=ROUNDDOWN(23.9285714285714,0)</f>
      </c>
      <c r="AB182" s="5">
        <v>14</v>
      </c>
      <c r="AC182" s="2" t="s">
        <v>990</v>
      </c>
      <c r="AD182" s="4">
        <v>80</v>
      </c>
      <c r="AE182" s="4">
        <v>250</v>
      </c>
      <c r="AF182" s="6">
        <v>69</v>
      </c>
      <c r="AG182" s="6">
        <v>77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1</v>
      </c>
      <c r="AQ182" s="8">
        <v>54.43</v>
      </c>
      <c r="AR182" s="4"/>
      <c r="AS182" s="8"/>
      <c r="AT182" s="7"/>
      <c r="AU182" s="7"/>
      <c r="AV182" s="4">
        <v>1</v>
      </c>
      <c r="AW182" s="8">
        <v>54.43</v>
      </c>
      <c r="AX182" s="4"/>
      <c r="AY182" s="8"/>
      <c r="AZ182" s="7"/>
      <c r="BA182" s="7"/>
      <c r="BB182" s="7">
        <v>1</v>
      </c>
      <c r="BC182" s="4">
        <v>1</v>
      </c>
      <c r="BD182" s="8">
        <v>54.43</v>
      </c>
      <c r="BE182" s="4"/>
      <c r="BF182" s="8"/>
      <c r="BG182" s="7"/>
      <c r="BH182" s="7"/>
      <c r="BI182" s="7">
        <v>1</v>
      </c>
      <c r="BJ182" s="4">
        <v>49</v>
      </c>
      <c r="BK182" s="8">
        <v>2661.68</v>
      </c>
      <c r="BL182" s="2" t="s">
        <v>1031</v>
      </c>
      <c r="BM182" s="7">
        <v>0.0204</v>
      </c>
      <c r="BN182" s="7">
        <v>0.0204</v>
      </c>
      <c r="BO182" s="4">
        <v>1</v>
      </c>
      <c r="BP182" s="8">
        <v>54.43</v>
      </c>
      <c r="BQ182" s="4"/>
      <c r="BR182" s="8"/>
      <c r="BS182" s="7"/>
      <c r="BT182" s="7"/>
      <c r="BU182" s="2" t="s">
        <v>109</v>
      </c>
      <c r="BV182" s="2" t="s">
        <v>97</v>
      </c>
      <c r="BW182" s="2" t="s">
        <v>1032</v>
      </c>
      <c r="BX182" s="2" t="s">
        <v>1033</v>
      </c>
      <c r="BY182" s="2" t="s">
        <v>112</v>
      </c>
      <c r="BZ182" s="2" t="s">
        <v>100</v>
      </c>
    </row>
    <row r="183">
      <c r="A183" s="2" t="s">
        <v>1034</v>
      </c>
      <c r="B183" s="2" t="s">
        <v>87</v>
      </c>
      <c r="C183" s="2" t="s">
        <v>88</v>
      </c>
      <c r="D183" s="2" t="s">
        <v>963</v>
      </c>
      <c r="E183" s="2" t="s">
        <v>964</v>
      </c>
      <c r="F183" s="2" t="s">
        <v>1035</v>
      </c>
      <c r="G183" s="2" t="s">
        <v>1036</v>
      </c>
      <c r="H183" s="2" t="s">
        <v>1037</v>
      </c>
      <c r="I183" s="2" t="s">
        <v>968</v>
      </c>
      <c r="J183" s="2" t="s">
        <v>969</v>
      </c>
      <c r="K183" s="2" t="s">
        <v>856</v>
      </c>
      <c r="L183" s="3">
        <v>42.3</v>
      </c>
      <c r="M183" s="3">
        <v>44.41</v>
      </c>
      <c r="N183" s="3">
        <v>89.99</v>
      </c>
      <c r="O183" s="2" t="s">
        <v>97</v>
      </c>
      <c r="P183" s="2" t="s">
        <v>98</v>
      </c>
      <c r="Q183" s="2" t="s">
        <v>99</v>
      </c>
      <c r="R183" s="2" t="s">
        <v>100</v>
      </c>
      <c r="S183" s="2" t="s">
        <v>1038</v>
      </c>
      <c r="T183" s="2" t="s">
        <v>100</v>
      </c>
      <c r="U183" s="2" t="s">
        <v>355</v>
      </c>
      <c r="V183" s="2" t="s">
        <v>461</v>
      </c>
      <c r="W183" s="2" t="s">
        <v>142</v>
      </c>
      <c r="X183" s="2" t="s">
        <v>609</v>
      </c>
      <c r="Y183" s="2" t="s">
        <v>980</v>
      </c>
      <c r="Z183" s="4">
        <v>122</v>
      </c>
      <c r="AA183" s="4">
        <f>=ROUNDDOWN(4.51851851851852,0)</f>
      </c>
      <c r="AB183" s="5">
        <v>27</v>
      </c>
      <c r="AC183" s="2" t="s">
        <v>262</v>
      </c>
      <c r="AD183" s="4">
        <v>1</v>
      </c>
      <c r="AE183" s="4">
        <v>771</v>
      </c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/>
      <c r="BJ183" s="4">
        <v>90</v>
      </c>
      <c r="BK183" s="8">
        <v>3677.6</v>
      </c>
      <c r="BL183" s="2" t="s">
        <v>1039</v>
      </c>
      <c r="BM183" s="7"/>
      <c r="BN183" s="7"/>
      <c r="BO183" s="4"/>
      <c r="BP183" s="8"/>
      <c r="BQ183" s="4"/>
      <c r="BR183" s="8"/>
      <c r="BS183" s="7"/>
      <c r="BT183" s="7"/>
      <c r="BU183" s="2" t="s">
        <v>1040</v>
      </c>
      <c r="BV183" s="2" t="s">
        <v>97</v>
      </c>
      <c r="BW183" s="2" t="s">
        <v>147</v>
      </c>
      <c r="BX183" s="2" t="s">
        <v>1041</v>
      </c>
      <c r="BY183" s="2" t="s">
        <v>112</v>
      </c>
      <c r="BZ183" s="2" t="s">
        <v>100</v>
      </c>
    </row>
    <row r="184">
      <c r="A184" s="2" t="s">
        <v>1042</v>
      </c>
      <c r="B184" s="2" t="s">
        <v>87</v>
      </c>
      <c r="C184" s="2" t="s">
        <v>88</v>
      </c>
      <c r="D184" s="2" t="s">
        <v>963</v>
      </c>
      <c r="E184" s="2" t="s">
        <v>964</v>
      </c>
      <c r="F184" s="2" t="s">
        <v>1035</v>
      </c>
      <c r="G184" s="2" t="s">
        <v>1036</v>
      </c>
      <c r="H184" s="2" t="s">
        <v>1037</v>
      </c>
      <c r="I184" s="2" t="s">
        <v>968</v>
      </c>
      <c r="J184" s="2" t="s">
        <v>969</v>
      </c>
      <c r="K184" s="2" t="s">
        <v>458</v>
      </c>
      <c r="L184" s="3">
        <v>42.3</v>
      </c>
      <c r="M184" s="3">
        <v>44.41</v>
      </c>
      <c r="N184" s="3">
        <v>89.99</v>
      </c>
      <c r="O184" s="2" t="s">
        <v>97</v>
      </c>
      <c r="P184" s="2" t="s">
        <v>98</v>
      </c>
      <c r="Q184" s="2" t="s">
        <v>99</v>
      </c>
      <c r="R184" s="2" t="s">
        <v>100</v>
      </c>
      <c r="S184" s="2" t="s">
        <v>1043</v>
      </c>
      <c r="T184" s="2" t="s">
        <v>100</v>
      </c>
      <c r="U184" s="2" t="s">
        <v>355</v>
      </c>
      <c r="V184" s="2" t="s">
        <v>461</v>
      </c>
      <c r="W184" s="2" t="s">
        <v>142</v>
      </c>
      <c r="X184" s="2" t="s">
        <v>609</v>
      </c>
      <c r="Y184" s="2" t="s">
        <v>980</v>
      </c>
      <c r="Z184" s="4">
        <v>104</v>
      </c>
      <c r="AA184" s="4">
        <f>=ROUNDDOWN(5.2,0)</f>
      </c>
      <c r="AB184" s="5">
        <v>20</v>
      </c>
      <c r="AC184" s="2" t="s">
        <v>262</v>
      </c>
      <c r="AD184" s="4">
        <v>2</v>
      </c>
      <c r="AE184" s="4">
        <v>552</v>
      </c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/>
      <c r="BJ184" s="4">
        <v>48</v>
      </c>
      <c r="BK184" s="8">
        <v>2003.31</v>
      </c>
      <c r="BL184" s="2" t="s">
        <v>632</v>
      </c>
      <c r="BM184" s="7"/>
      <c r="BN184" s="7"/>
      <c r="BO184" s="4"/>
      <c r="BP184" s="8"/>
      <c r="BQ184" s="4"/>
      <c r="BR184" s="8"/>
      <c r="BS184" s="7"/>
      <c r="BT184" s="7"/>
      <c r="BU184" s="2" t="s">
        <v>1040</v>
      </c>
      <c r="BV184" s="2" t="s">
        <v>97</v>
      </c>
      <c r="BW184" s="2" t="s">
        <v>147</v>
      </c>
      <c r="BX184" s="2" t="s">
        <v>1044</v>
      </c>
      <c r="BY184" s="2" t="s">
        <v>112</v>
      </c>
      <c r="BZ184" s="2" t="s">
        <v>100</v>
      </c>
    </row>
    <row r="185">
      <c r="A185" s="2" t="s">
        <v>1045</v>
      </c>
      <c r="B185" s="2" t="s">
        <v>87</v>
      </c>
      <c r="C185" s="2" t="s">
        <v>88</v>
      </c>
      <c r="D185" s="2" t="s">
        <v>963</v>
      </c>
      <c r="E185" s="2" t="s">
        <v>1046</v>
      </c>
      <c r="F185" s="2" t="s">
        <v>888</v>
      </c>
      <c r="G185" s="2" t="s">
        <v>889</v>
      </c>
      <c r="H185" s="2" t="s">
        <v>890</v>
      </c>
      <c r="I185" s="2" t="s">
        <v>1047</v>
      </c>
      <c r="J185" s="2" t="s">
        <v>522</v>
      </c>
      <c r="K185" s="2" t="s">
        <v>188</v>
      </c>
      <c r="L185" s="3">
        <v>48</v>
      </c>
      <c r="M185" s="3">
        <v>50.39</v>
      </c>
      <c r="N185" s="3">
        <v>99.99</v>
      </c>
      <c r="O185" s="2" t="s">
        <v>97</v>
      </c>
      <c r="P185" s="2" t="s">
        <v>98</v>
      </c>
      <c r="Q185" s="2" t="s">
        <v>99</v>
      </c>
      <c r="R185" s="2" t="s">
        <v>100</v>
      </c>
      <c r="S185" s="2" t="s">
        <v>1048</v>
      </c>
      <c r="T185" s="2" t="s">
        <v>190</v>
      </c>
      <c r="U185" s="2" t="s">
        <v>901</v>
      </c>
      <c r="V185" s="2" t="s">
        <v>103</v>
      </c>
      <c r="W185" s="2" t="s">
        <v>193</v>
      </c>
      <c r="X185" s="2" t="s">
        <v>1049</v>
      </c>
      <c r="Y185" s="2" t="s">
        <v>902</v>
      </c>
      <c r="Z185" s="4">
        <v>1169</v>
      </c>
      <c r="AA185" s="4">
        <f>=ROUNDDOWN(50.8260869565217,0)</f>
      </c>
      <c r="AB185" s="5">
        <v>23</v>
      </c>
      <c r="AC185" s="2" t="s">
        <v>100</v>
      </c>
      <c r="AD185" s="4"/>
      <c r="AE185" s="4"/>
      <c r="AF185" s="6">
        <v>69</v>
      </c>
      <c r="AG185" s="6">
        <v>77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6</v>
      </c>
      <c r="AQ185" s="8">
        <v>293.94</v>
      </c>
      <c r="AR185" s="4"/>
      <c r="AS185" s="8"/>
      <c r="AT185" s="7"/>
      <c r="AU185" s="7"/>
      <c r="AV185" s="4">
        <v>6</v>
      </c>
      <c r="AW185" s="8">
        <v>293.94</v>
      </c>
      <c r="AX185" s="4"/>
      <c r="AY185" s="8"/>
      <c r="AZ185" s="7"/>
      <c r="BA185" s="7"/>
      <c r="BB185" s="7">
        <v>1</v>
      </c>
      <c r="BC185" s="4">
        <v>8</v>
      </c>
      <c r="BD185" s="8">
        <v>391.92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>
        <v>0.75</v>
      </c>
      <c r="BJ185" s="4">
        <v>69</v>
      </c>
      <c r="BK185" s="8">
        <v>3621.61</v>
      </c>
      <c r="BL185" s="2" t="s">
        <v>1050</v>
      </c>
      <c r="BM185" s="7">
        <v>0.087</v>
      </c>
      <c r="BN185" s="7">
        <v>0.0812</v>
      </c>
      <c r="BO185" s="4">
        <v>6</v>
      </c>
      <c r="BP185" s="8">
        <v>293.94</v>
      </c>
      <c r="BQ185" s="4"/>
      <c r="BR185" s="8"/>
      <c r="BS185" s="7"/>
      <c r="BT185" s="7"/>
      <c r="BU185" s="2" t="s">
        <v>109</v>
      </c>
      <c r="BV185" s="2" t="s">
        <v>97</v>
      </c>
      <c r="BW185" s="2" t="s">
        <v>1051</v>
      </c>
      <c r="BX185" s="2" t="s">
        <v>1052</v>
      </c>
      <c r="BY185" s="2" t="s">
        <v>112</v>
      </c>
      <c r="BZ185" s="2" t="s">
        <v>100</v>
      </c>
    </row>
    <row r="186">
      <c r="A186" s="2" t="s">
        <v>1053</v>
      </c>
      <c r="B186" s="2" t="s">
        <v>87</v>
      </c>
      <c r="C186" s="2" t="s">
        <v>88</v>
      </c>
      <c r="D186" s="2" t="s">
        <v>963</v>
      </c>
      <c r="E186" s="2" t="s">
        <v>1046</v>
      </c>
      <c r="F186" s="2" t="s">
        <v>888</v>
      </c>
      <c r="G186" s="2" t="s">
        <v>889</v>
      </c>
      <c r="H186" s="2" t="s">
        <v>890</v>
      </c>
      <c r="I186" s="2" t="s">
        <v>1047</v>
      </c>
      <c r="J186" s="2" t="s">
        <v>522</v>
      </c>
      <c r="K186" s="2" t="s">
        <v>892</v>
      </c>
      <c r="L186" s="3">
        <v>48</v>
      </c>
      <c r="M186" s="3">
        <v>50.39</v>
      </c>
      <c r="N186" s="3">
        <v>99.99</v>
      </c>
      <c r="O186" s="2" t="s">
        <v>97</v>
      </c>
      <c r="P186" s="2" t="s">
        <v>156</v>
      </c>
      <c r="Q186" s="2" t="s">
        <v>99</v>
      </c>
      <c r="R186" s="2" t="s">
        <v>100</v>
      </c>
      <c r="S186" s="2" t="s">
        <v>893</v>
      </c>
      <c r="T186" s="2" t="s">
        <v>190</v>
      </c>
      <c r="U186" s="2" t="s">
        <v>901</v>
      </c>
      <c r="V186" s="2" t="s">
        <v>103</v>
      </c>
      <c r="W186" s="2" t="s">
        <v>193</v>
      </c>
      <c r="X186" s="2" t="s">
        <v>1049</v>
      </c>
      <c r="Y186" s="2" t="s">
        <v>902</v>
      </c>
      <c r="Z186" s="4">
        <v>1870</v>
      </c>
      <c r="AA186" s="4">
        <f>=ROUNDDOWN(93.5,0)</f>
      </c>
      <c r="AB186" s="5">
        <v>20</v>
      </c>
      <c r="AC186" s="2" t="s">
        <v>897</v>
      </c>
      <c r="AD186" s="4">
        <v>30</v>
      </c>
      <c r="AE186" s="4">
        <v>30</v>
      </c>
      <c r="AF186" s="6">
        <v>69</v>
      </c>
      <c r="AG186" s="6">
        <v>77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2</v>
      </c>
      <c r="AQ186" s="8">
        <v>97.98</v>
      </c>
      <c r="AR186" s="4"/>
      <c r="AS186" s="8"/>
      <c r="AT186" s="7"/>
      <c r="AU186" s="7"/>
      <c r="AV186" s="4">
        <v>2</v>
      </c>
      <c r="AW186" s="8">
        <v>97.98</v>
      </c>
      <c r="AX186" s="4"/>
      <c r="AY186" s="8"/>
      <c r="AZ186" s="7"/>
      <c r="BA186" s="7"/>
      <c r="BB186" s="7">
        <v>1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>
        <v>0.25</v>
      </c>
      <c r="BJ186" s="4">
        <v>68</v>
      </c>
      <c r="BK186" s="8">
        <v>3500.8</v>
      </c>
      <c r="BL186" s="2" t="s">
        <v>1054</v>
      </c>
      <c r="BM186" s="7">
        <v>0.0294</v>
      </c>
      <c r="BN186" s="7">
        <v>0.028</v>
      </c>
      <c r="BO186" s="4">
        <v>2</v>
      </c>
      <c r="BP186" s="8">
        <v>97.98</v>
      </c>
      <c r="BQ186" s="4"/>
      <c r="BR186" s="8"/>
      <c r="BS186" s="7"/>
      <c r="BT186" s="7"/>
      <c r="BU186" s="2" t="s">
        <v>109</v>
      </c>
      <c r="BV186" s="2" t="s">
        <v>97</v>
      </c>
      <c r="BW186" s="2" t="s">
        <v>1051</v>
      </c>
      <c r="BX186" s="2" t="s">
        <v>1055</v>
      </c>
      <c r="BY186" s="2" t="s">
        <v>112</v>
      </c>
      <c r="BZ186" s="2" t="s">
        <v>149</v>
      </c>
    </row>
    <row r="187">
      <c r="A187" s="2" t="s">
        <v>1056</v>
      </c>
      <c r="B187" s="2" t="s">
        <v>87</v>
      </c>
      <c r="C187" s="2" t="s">
        <v>88</v>
      </c>
      <c r="D187" s="2" t="s">
        <v>963</v>
      </c>
      <c r="E187" s="2" t="s">
        <v>1046</v>
      </c>
      <c r="F187" s="2" t="s">
        <v>888</v>
      </c>
      <c r="G187" s="2" t="s">
        <v>889</v>
      </c>
      <c r="H187" s="2" t="s">
        <v>890</v>
      </c>
      <c r="I187" s="2" t="s">
        <v>1047</v>
      </c>
      <c r="J187" s="2" t="s">
        <v>522</v>
      </c>
      <c r="K187" s="2" t="s">
        <v>673</v>
      </c>
      <c r="L187" s="3">
        <v>48</v>
      </c>
      <c r="M187" s="3">
        <v>50.39</v>
      </c>
      <c r="N187" s="3">
        <v>99.99</v>
      </c>
      <c r="O187" s="2" t="s">
        <v>97</v>
      </c>
      <c r="P187" s="2" t="s">
        <v>98</v>
      </c>
      <c r="Q187" s="2" t="s">
        <v>99</v>
      </c>
      <c r="R187" s="2" t="s">
        <v>100</v>
      </c>
      <c r="S187" s="2" t="s">
        <v>909</v>
      </c>
      <c r="T187" s="2" t="s">
        <v>100</v>
      </c>
      <c r="U187" s="2" t="s">
        <v>901</v>
      </c>
      <c r="V187" s="2" t="s">
        <v>103</v>
      </c>
      <c r="W187" s="2" t="s">
        <v>193</v>
      </c>
      <c r="X187" s="2" t="s">
        <v>1049</v>
      </c>
      <c r="Y187" s="2" t="s">
        <v>1057</v>
      </c>
      <c r="Z187" s="4">
        <v>1204</v>
      </c>
      <c r="AA187" s="4">
        <f>=ROUNDDOWN(35.4117647058824,0)</f>
      </c>
      <c r="AB187" s="5">
        <v>34</v>
      </c>
      <c r="AC187" s="2" t="s">
        <v>911</v>
      </c>
      <c r="AD187" s="4">
        <v>130</v>
      </c>
      <c r="AE187" s="4">
        <v>1210</v>
      </c>
      <c r="AF187" s="6">
        <v>69</v>
      </c>
      <c r="AG187" s="6">
        <v>77</v>
      </c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/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 t="s">
        <v>100</v>
      </c>
      <c r="BJ187" s="4">
        <v>129</v>
      </c>
      <c r="BK187" s="8">
        <v>6872.4</v>
      </c>
      <c r="BL187" s="2" t="s">
        <v>1058</v>
      </c>
      <c r="BM187" s="7"/>
      <c r="BN187" s="7"/>
      <c r="BO187" s="4"/>
      <c r="BP187" s="8"/>
      <c r="BQ187" s="4"/>
      <c r="BR187" s="8"/>
      <c r="BS187" s="7"/>
      <c r="BT187" s="7"/>
      <c r="BU187" s="2" t="s">
        <v>569</v>
      </c>
      <c r="BV187" s="2" t="s">
        <v>97</v>
      </c>
      <c r="BW187" s="2" t="s">
        <v>100</v>
      </c>
      <c r="BX187" s="2" t="s">
        <v>100</v>
      </c>
      <c r="BY187" s="2" t="s">
        <v>112</v>
      </c>
      <c r="BZ187" s="2" t="s">
        <v>100</v>
      </c>
    </row>
    <row r="188">
      <c r="A188" s="2" t="s">
        <v>1059</v>
      </c>
      <c r="B188" s="2" t="s">
        <v>87</v>
      </c>
      <c r="C188" s="2" t="s">
        <v>88</v>
      </c>
      <c r="D188" s="2" t="s">
        <v>963</v>
      </c>
      <c r="E188" s="2" t="s">
        <v>1046</v>
      </c>
      <c r="F188" s="2" t="s">
        <v>888</v>
      </c>
      <c r="G188" s="2" t="s">
        <v>889</v>
      </c>
      <c r="H188" s="2" t="s">
        <v>890</v>
      </c>
      <c r="I188" s="2" t="s">
        <v>1047</v>
      </c>
      <c r="J188" s="2" t="s">
        <v>529</v>
      </c>
      <c r="K188" s="2" t="s">
        <v>673</v>
      </c>
      <c r="L188" s="3">
        <v>57.6</v>
      </c>
      <c r="M188" s="3">
        <v>60.47</v>
      </c>
      <c r="N188" s="3">
        <v>119.99</v>
      </c>
      <c r="O188" s="2" t="s">
        <v>97</v>
      </c>
      <c r="P188" s="2" t="s">
        <v>98</v>
      </c>
      <c r="Q188" s="2" t="s">
        <v>99</v>
      </c>
      <c r="R188" s="2" t="s">
        <v>100</v>
      </c>
      <c r="S188" s="2" t="s">
        <v>909</v>
      </c>
      <c r="T188" s="2" t="s">
        <v>100</v>
      </c>
      <c r="U188" s="2" t="s">
        <v>901</v>
      </c>
      <c r="V188" s="2" t="s">
        <v>103</v>
      </c>
      <c r="W188" s="2" t="s">
        <v>193</v>
      </c>
      <c r="X188" s="2" t="s">
        <v>1049</v>
      </c>
      <c r="Y188" s="2" t="s">
        <v>1057</v>
      </c>
      <c r="Z188" s="4">
        <v>2235</v>
      </c>
      <c r="AA188" s="4">
        <f>=ROUNDDOWN(55.875,0)</f>
      </c>
      <c r="AB188" s="5">
        <v>40</v>
      </c>
      <c r="AC188" s="2" t="s">
        <v>1060</v>
      </c>
      <c r="AD188" s="4">
        <v>50</v>
      </c>
      <c r="AE188" s="4">
        <v>700</v>
      </c>
      <c r="AF188" s="6">
        <v>69</v>
      </c>
      <c r="AG188" s="6">
        <v>77</v>
      </c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/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134</v>
      </c>
      <c r="BK188" s="8">
        <v>8695.11</v>
      </c>
      <c r="BL188" s="2" t="s">
        <v>1061</v>
      </c>
      <c r="BM188" s="7"/>
      <c r="BN188" s="7"/>
      <c r="BO188" s="4"/>
      <c r="BP188" s="8"/>
      <c r="BQ188" s="4"/>
      <c r="BR188" s="8"/>
      <c r="BS188" s="7"/>
      <c r="BT188" s="7"/>
      <c r="BU188" s="2" t="s">
        <v>569</v>
      </c>
      <c r="BV188" s="2" t="s">
        <v>97</v>
      </c>
      <c r="BW188" s="2" t="s">
        <v>100</v>
      </c>
      <c r="BX188" s="2" t="s">
        <v>100</v>
      </c>
      <c r="BY188" s="2" t="s">
        <v>112</v>
      </c>
      <c r="BZ188" s="2" t="s">
        <v>100</v>
      </c>
    </row>
    <row r="189">
      <c r="A189" s="2" t="s">
        <v>1062</v>
      </c>
      <c r="B189" s="2" t="s">
        <v>87</v>
      </c>
      <c r="C189" s="2" t="s">
        <v>88</v>
      </c>
      <c r="D189" s="2" t="s">
        <v>963</v>
      </c>
      <c r="E189" s="2" t="s">
        <v>1046</v>
      </c>
      <c r="F189" s="2" t="s">
        <v>1063</v>
      </c>
      <c r="G189" s="2" t="s">
        <v>1064</v>
      </c>
      <c r="H189" s="2" t="s">
        <v>1065</v>
      </c>
      <c r="I189" s="2" t="s">
        <v>1066</v>
      </c>
      <c r="J189" s="2" t="s">
        <v>352</v>
      </c>
      <c r="K189" s="2" t="s">
        <v>842</v>
      </c>
      <c r="L189" s="3">
        <v>28.34</v>
      </c>
      <c r="M189" s="3">
        <v>29.76</v>
      </c>
      <c r="N189" s="3">
        <v>54.99</v>
      </c>
      <c r="O189" s="2" t="s">
        <v>97</v>
      </c>
      <c r="P189" s="2" t="s">
        <v>98</v>
      </c>
      <c r="Q189" s="2" t="s">
        <v>99</v>
      </c>
      <c r="R189" s="2" t="s">
        <v>100</v>
      </c>
      <c r="S189" s="2" t="s">
        <v>1067</v>
      </c>
      <c r="T189" s="2" t="s">
        <v>100</v>
      </c>
      <c r="U189" s="2" t="s">
        <v>894</v>
      </c>
      <c r="V189" s="2" t="s">
        <v>461</v>
      </c>
      <c r="W189" s="2" t="s">
        <v>609</v>
      </c>
      <c r="X189" s="2" t="s">
        <v>1068</v>
      </c>
      <c r="Y189" s="2" t="s">
        <v>1069</v>
      </c>
      <c r="Z189" s="4">
        <v>361</v>
      </c>
      <c r="AA189" s="4">
        <f>=ROUNDDOWN(51.5714285714286,0)</f>
      </c>
      <c r="AB189" s="5">
        <v>7</v>
      </c>
      <c r="AC189" s="2" t="s">
        <v>100</v>
      </c>
      <c r="AD189" s="4"/>
      <c r="AE189" s="4"/>
      <c r="AF189" s="6">
        <v>65</v>
      </c>
      <c r="AG189" s="6">
        <v>48</v>
      </c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>
        <v>2</v>
      </c>
      <c r="AW189" s="8">
        <v>84.86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/>
      <c r="BC189" s="4">
        <v>7</v>
      </c>
      <c r="BD189" s="8">
        <v>294.27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>
        <v>0.2884</v>
      </c>
      <c r="BJ189" s="4">
        <v>8</v>
      </c>
      <c r="BK189" s="8">
        <v>231.82</v>
      </c>
      <c r="BL189" s="2" t="s">
        <v>1070</v>
      </c>
      <c r="BM189" s="7"/>
      <c r="BN189" s="7"/>
      <c r="BO189" s="4"/>
      <c r="BP189" s="8"/>
      <c r="BQ189" s="4"/>
      <c r="BR189" s="8"/>
      <c r="BS189" s="7"/>
      <c r="BT189" s="7"/>
      <c r="BU189" s="2" t="s">
        <v>109</v>
      </c>
      <c r="BV189" s="2" t="s">
        <v>97</v>
      </c>
      <c r="BW189" s="2" t="s">
        <v>1071</v>
      </c>
      <c r="BX189" s="2" t="s">
        <v>1072</v>
      </c>
      <c r="BY189" s="2" t="s">
        <v>112</v>
      </c>
      <c r="BZ189" s="2" t="s">
        <v>149</v>
      </c>
    </row>
    <row r="190">
      <c r="A190" s="2" t="s">
        <v>1073</v>
      </c>
      <c r="B190" s="2" t="s">
        <v>87</v>
      </c>
      <c r="C190" s="2" t="s">
        <v>88</v>
      </c>
      <c r="D190" s="2" t="s">
        <v>963</v>
      </c>
      <c r="E190" s="2" t="s">
        <v>1046</v>
      </c>
      <c r="F190" s="2" t="s">
        <v>1063</v>
      </c>
      <c r="G190" s="2" t="s">
        <v>1064</v>
      </c>
      <c r="H190" s="2" t="s">
        <v>1065</v>
      </c>
      <c r="I190" s="2" t="s">
        <v>1074</v>
      </c>
      <c r="J190" s="2" t="s">
        <v>522</v>
      </c>
      <c r="K190" s="2" t="s">
        <v>842</v>
      </c>
      <c r="L190" s="3">
        <v>36.71</v>
      </c>
      <c r="M190" s="3">
        <v>38.55</v>
      </c>
      <c r="N190" s="3">
        <v>69.99</v>
      </c>
      <c r="O190" s="2" t="s">
        <v>97</v>
      </c>
      <c r="P190" s="2" t="s">
        <v>98</v>
      </c>
      <c r="Q190" s="2" t="s">
        <v>99</v>
      </c>
      <c r="R190" s="2" t="s">
        <v>100</v>
      </c>
      <c r="S190" s="2" t="s">
        <v>1067</v>
      </c>
      <c r="T190" s="2" t="s">
        <v>100</v>
      </c>
      <c r="U190" s="2" t="s">
        <v>901</v>
      </c>
      <c r="V190" s="2" t="s">
        <v>461</v>
      </c>
      <c r="W190" s="2" t="s">
        <v>609</v>
      </c>
      <c r="X190" s="2" t="s">
        <v>1068</v>
      </c>
      <c r="Y190" s="2" t="s">
        <v>1069</v>
      </c>
      <c r="Z190" s="4">
        <v>416</v>
      </c>
      <c r="AA190" s="4">
        <f>=ROUNDDOWN(29.7142857142857,0)</f>
      </c>
      <c r="AB190" s="5">
        <v>14</v>
      </c>
      <c r="AC190" s="2" t="s">
        <v>107</v>
      </c>
      <c r="AD190" s="4">
        <v>140</v>
      </c>
      <c r="AE190" s="4">
        <v>140</v>
      </c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1</v>
      </c>
      <c r="AQ190" s="8">
        <v>39.5</v>
      </c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0.4655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 t="s">
        <v>100</v>
      </c>
      <c r="BJ190" s="4">
        <v>44</v>
      </c>
      <c r="BK190" s="8">
        <v>1666.85</v>
      </c>
      <c r="BL190" s="2" t="s">
        <v>1075</v>
      </c>
      <c r="BM190" s="7">
        <v>0.0227</v>
      </c>
      <c r="BN190" s="7">
        <v>0.0237</v>
      </c>
      <c r="BO190" s="4">
        <v>1</v>
      </c>
      <c r="BP190" s="8">
        <v>39.5</v>
      </c>
      <c r="BQ190" s="4"/>
      <c r="BR190" s="8"/>
      <c r="BS190" s="7"/>
      <c r="BT190" s="7"/>
      <c r="BU190" s="2" t="s">
        <v>109</v>
      </c>
      <c r="BV190" s="2" t="s">
        <v>97</v>
      </c>
      <c r="BW190" s="2" t="s">
        <v>1071</v>
      </c>
      <c r="BX190" s="2" t="s">
        <v>1076</v>
      </c>
      <c r="BY190" s="2" t="s">
        <v>112</v>
      </c>
      <c r="BZ190" s="2" t="s">
        <v>149</v>
      </c>
    </row>
    <row r="191">
      <c r="A191" s="2" t="s">
        <v>1077</v>
      </c>
      <c r="B191" s="2" t="s">
        <v>87</v>
      </c>
      <c r="C191" s="2" t="s">
        <v>88</v>
      </c>
      <c r="D191" s="2" t="s">
        <v>963</v>
      </c>
      <c r="E191" s="2" t="s">
        <v>1046</v>
      </c>
      <c r="F191" s="2" t="s">
        <v>1063</v>
      </c>
      <c r="G191" s="2" t="s">
        <v>1064</v>
      </c>
      <c r="H191" s="2" t="s">
        <v>1065</v>
      </c>
      <c r="I191" s="2" t="s">
        <v>1074</v>
      </c>
      <c r="J191" s="2" t="s">
        <v>529</v>
      </c>
      <c r="K191" s="2" t="s">
        <v>842</v>
      </c>
      <c r="L191" s="3">
        <v>41.03</v>
      </c>
      <c r="M191" s="3">
        <v>43.08</v>
      </c>
      <c r="N191" s="3">
        <v>79.99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1067</v>
      </c>
      <c r="T191" s="2" t="s">
        <v>100</v>
      </c>
      <c r="U191" s="2" t="s">
        <v>901</v>
      </c>
      <c r="V191" s="2" t="s">
        <v>461</v>
      </c>
      <c r="W191" s="2" t="s">
        <v>609</v>
      </c>
      <c r="X191" s="2" t="s">
        <v>1068</v>
      </c>
      <c r="Y191" s="2" t="s">
        <v>1069</v>
      </c>
      <c r="Z191" s="4">
        <v>339</v>
      </c>
      <c r="AA191" s="4">
        <f>=ROUNDDOWN(19.9411764705882,0)</f>
      </c>
      <c r="AB191" s="5">
        <v>17</v>
      </c>
      <c r="AC191" s="2" t="s">
        <v>107</v>
      </c>
      <c r="AD191" s="4">
        <v>120</v>
      </c>
      <c r="AE191" s="4">
        <v>270</v>
      </c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1</v>
      </c>
      <c r="AQ191" s="8">
        <v>45.36</v>
      </c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0.5345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54</v>
      </c>
      <c r="BK191" s="8">
        <v>2377.2</v>
      </c>
      <c r="BL191" s="2" t="s">
        <v>1078</v>
      </c>
      <c r="BM191" s="7">
        <v>0.0185</v>
      </c>
      <c r="BN191" s="7">
        <v>0.0191</v>
      </c>
      <c r="BO191" s="4">
        <v>1</v>
      </c>
      <c r="BP191" s="8">
        <v>45.36</v>
      </c>
      <c r="BQ191" s="4"/>
      <c r="BR191" s="8"/>
      <c r="BS191" s="7"/>
      <c r="BT191" s="7"/>
      <c r="BU191" s="2" t="s">
        <v>109</v>
      </c>
      <c r="BV191" s="2" t="s">
        <v>97</v>
      </c>
      <c r="BW191" s="2" t="s">
        <v>1071</v>
      </c>
      <c r="BX191" s="2" t="s">
        <v>1079</v>
      </c>
      <c r="BY191" s="2" t="s">
        <v>112</v>
      </c>
      <c r="BZ191" s="2" t="s">
        <v>149</v>
      </c>
    </row>
    <row r="192">
      <c r="A192" s="2" t="s">
        <v>1080</v>
      </c>
      <c r="B192" s="2" t="s">
        <v>87</v>
      </c>
      <c r="C192" s="2" t="s">
        <v>88</v>
      </c>
      <c r="D192" s="2" t="s">
        <v>963</v>
      </c>
      <c r="E192" s="2" t="s">
        <v>1046</v>
      </c>
      <c r="F192" s="2" t="s">
        <v>1063</v>
      </c>
      <c r="G192" s="2" t="s">
        <v>1064</v>
      </c>
      <c r="H192" s="2" t="s">
        <v>1065</v>
      </c>
      <c r="I192" s="2" t="s">
        <v>1066</v>
      </c>
      <c r="J192" s="2" t="s">
        <v>352</v>
      </c>
      <c r="K192" s="2" t="s">
        <v>458</v>
      </c>
      <c r="L192" s="3">
        <v>28.34</v>
      </c>
      <c r="M192" s="3">
        <v>29.76</v>
      </c>
      <c r="N192" s="3">
        <v>54.99</v>
      </c>
      <c r="O192" s="2" t="s">
        <v>97</v>
      </c>
      <c r="P192" s="2" t="s">
        <v>98</v>
      </c>
      <c r="Q192" s="2" t="s">
        <v>99</v>
      </c>
      <c r="R192" s="2" t="s">
        <v>100</v>
      </c>
      <c r="S192" s="2" t="s">
        <v>1081</v>
      </c>
      <c r="T192" s="2" t="s">
        <v>100</v>
      </c>
      <c r="U192" s="2" t="s">
        <v>894</v>
      </c>
      <c r="V192" s="2" t="s">
        <v>461</v>
      </c>
      <c r="W192" s="2" t="s">
        <v>609</v>
      </c>
      <c r="X192" s="2" t="s">
        <v>1068</v>
      </c>
      <c r="Y192" s="2" t="s">
        <v>144</v>
      </c>
      <c r="Z192" s="4">
        <v>617</v>
      </c>
      <c r="AA192" s="4">
        <f>=ROUNDDOWN(51.4166666666667,0)</f>
      </c>
      <c r="AB192" s="5">
        <v>12</v>
      </c>
      <c r="AC192" s="2" t="s">
        <v>100</v>
      </c>
      <c r="AD192" s="4"/>
      <c r="AE192" s="4"/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>
        <v>2</v>
      </c>
      <c r="AW192" s="8">
        <v>79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/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>
        <v>0.2685</v>
      </c>
      <c r="BJ192" s="4">
        <v>37</v>
      </c>
      <c r="BK192" s="8">
        <v>1134.26</v>
      </c>
      <c r="BL192" s="2" t="s">
        <v>1082</v>
      </c>
      <c r="BM192" s="7"/>
      <c r="BN192" s="7"/>
      <c r="BO192" s="4"/>
      <c r="BP192" s="8"/>
      <c r="BQ192" s="4"/>
      <c r="BR192" s="8"/>
      <c r="BS192" s="7"/>
      <c r="BT192" s="7"/>
      <c r="BU192" s="2" t="s">
        <v>109</v>
      </c>
      <c r="BV192" s="2" t="s">
        <v>97</v>
      </c>
      <c r="BW192" s="2" t="s">
        <v>159</v>
      </c>
      <c r="BX192" s="2" t="s">
        <v>1083</v>
      </c>
      <c r="BY192" s="2" t="s">
        <v>112</v>
      </c>
      <c r="BZ192" s="2" t="s">
        <v>100</v>
      </c>
    </row>
    <row r="193">
      <c r="A193" s="2" t="s">
        <v>1084</v>
      </c>
      <c r="B193" s="2" t="s">
        <v>87</v>
      </c>
      <c r="C193" s="2" t="s">
        <v>88</v>
      </c>
      <c r="D193" s="2" t="s">
        <v>963</v>
      </c>
      <c r="E193" s="2" t="s">
        <v>1046</v>
      </c>
      <c r="F193" s="2" t="s">
        <v>1063</v>
      </c>
      <c r="G193" s="2" t="s">
        <v>1064</v>
      </c>
      <c r="H193" s="2" t="s">
        <v>1065</v>
      </c>
      <c r="I193" s="2" t="s">
        <v>1074</v>
      </c>
      <c r="J193" s="2" t="s">
        <v>522</v>
      </c>
      <c r="K193" s="2" t="s">
        <v>458</v>
      </c>
      <c r="L193" s="3">
        <v>36.71</v>
      </c>
      <c r="M193" s="3">
        <v>38.55</v>
      </c>
      <c r="N193" s="3">
        <v>69.99</v>
      </c>
      <c r="O193" s="2" t="s">
        <v>97</v>
      </c>
      <c r="P193" s="2" t="s">
        <v>98</v>
      </c>
      <c r="Q193" s="2" t="s">
        <v>99</v>
      </c>
      <c r="R193" s="2" t="s">
        <v>100</v>
      </c>
      <c r="S193" s="2" t="s">
        <v>1081</v>
      </c>
      <c r="T193" s="2" t="s">
        <v>100</v>
      </c>
      <c r="U193" s="2" t="s">
        <v>901</v>
      </c>
      <c r="V193" s="2" t="s">
        <v>461</v>
      </c>
      <c r="W193" s="2" t="s">
        <v>609</v>
      </c>
      <c r="X193" s="2" t="s">
        <v>1068</v>
      </c>
      <c r="Y193" s="2" t="s">
        <v>144</v>
      </c>
      <c r="Z193" s="4">
        <v>731</v>
      </c>
      <c r="AA193" s="4">
        <f>=ROUNDDOWN(30.4583333333333,0)</f>
      </c>
      <c r="AB193" s="5">
        <v>24</v>
      </c>
      <c r="AC193" s="2" t="s">
        <v>107</v>
      </c>
      <c r="AD193" s="4">
        <v>170</v>
      </c>
      <c r="AE193" s="4">
        <v>170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2</v>
      </c>
      <c r="AQ193" s="8">
        <v>79</v>
      </c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1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55</v>
      </c>
      <c r="BK193" s="8">
        <v>2113.34</v>
      </c>
      <c r="BL193" s="2" t="s">
        <v>1085</v>
      </c>
      <c r="BM193" s="7">
        <v>0.0364</v>
      </c>
      <c r="BN193" s="7">
        <v>0.0374</v>
      </c>
      <c r="BO193" s="4">
        <v>2</v>
      </c>
      <c r="BP193" s="8">
        <v>79</v>
      </c>
      <c r="BQ193" s="4"/>
      <c r="BR193" s="8"/>
      <c r="BS193" s="7"/>
      <c r="BT193" s="7"/>
      <c r="BU193" s="2" t="s">
        <v>109</v>
      </c>
      <c r="BV193" s="2" t="s">
        <v>97</v>
      </c>
      <c r="BW193" s="2" t="s">
        <v>159</v>
      </c>
      <c r="BX193" s="2" t="s">
        <v>1086</v>
      </c>
      <c r="BY193" s="2" t="s">
        <v>112</v>
      </c>
      <c r="BZ193" s="2" t="s">
        <v>100</v>
      </c>
    </row>
    <row r="194">
      <c r="A194" s="2" t="s">
        <v>1087</v>
      </c>
      <c r="B194" s="2" t="s">
        <v>87</v>
      </c>
      <c r="C194" s="2" t="s">
        <v>88</v>
      </c>
      <c r="D194" s="2" t="s">
        <v>963</v>
      </c>
      <c r="E194" s="2" t="s">
        <v>1046</v>
      </c>
      <c r="F194" s="2" t="s">
        <v>1063</v>
      </c>
      <c r="G194" s="2" t="s">
        <v>1064</v>
      </c>
      <c r="H194" s="2" t="s">
        <v>1065</v>
      </c>
      <c r="I194" s="2" t="s">
        <v>1074</v>
      </c>
      <c r="J194" s="2" t="s">
        <v>529</v>
      </c>
      <c r="K194" s="2" t="s">
        <v>458</v>
      </c>
      <c r="L194" s="3">
        <v>41.03</v>
      </c>
      <c r="M194" s="3">
        <v>43.08</v>
      </c>
      <c r="N194" s="3">
        <v>79.99</v>
      </c>
      <c r="O194" s="2" t="s">
        <v>97</v>
      </c>
      <c r="P194" s="2" t="s">
        <v>98</v>
      </c>
      <c r="Q194" s="2" t="s">
        <v>99</v>
      </c>
      <c r="R194" s="2" t="s">
        <v>100</v>
      </c>
      <c r="S194" s="2" t="s">
        <v>1081</v>
      </c>
      <c r="T194" s="2" t="s">
        <v>100</v>
      </c>
      <c r="U194" s="2" t="s">
        <v>901</v>
      </c>
      <c r="V194" s="2" t="s">
        <v>461</v>
      </c>
      <c r="W194" s="2" t="s">
        <v>609</v>
      </c>
      <c r="X194" s="2" t="s">
        <v>1068</v>
      </c>
      <c r="Y194" s="2" t="s">
        <v>144</v>
      </c>
      <c r="Z194" s="4">
        <v>705</v>
      </c>
      <c r="AA194" s="4">
        <f>=ROUNDDOWN(27.1153846153846,0)</f>
      </c>
      <c r="AB194" s="5">
        <v>26</v>
      </c>
      <c r="AC194" s="2" t="s">
        <v>107</v>
      </c>
      <c r="AD194" s="4">
        <v>200</v>
      </c>
      <c r="AE194" s="4">
        <v>200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/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 t="s">
        <v>100</v>
      </c>
      <c r="BJ194" s="4">
        <v>83</v>
      </c>
      <c r="BK194" s="8">
        <v>3577.35</v>
      </c>
      <c r="BL194" s="2" t="s">
        <v>1088</v>
      </c>
      <c r="BM194" s="7"/>
      <c r="BN194" s="7"/>
      <c r="BO194" s="4"/>
      <c r="BP194" s="8"/>
      <c r="BQ194" s="4"/>
      <c r="BR194" s="8"/>
      <c r="BS194" s="7"/>
      <c r="BT194" s="7"/>
      <c r="BU194" s="2" t="s">
        <v>109</v>
      </c>
      <c r="BV194" s="2" t="s">
        <v>97</v>
      </c>
      <c r="BW194" s="2" t="s">
        <v>159</v>
      </c>
      <c r="BX194" s="2" t="s">
        <v>358</v>
      </c>
      <c r="BY194" s="2" t="s">
        <v>112</v>
      </c>
      <c r="BZ194" s="2" t="s">
        <v>100</v>
      </c>
    </row>
    <row r="195">
      <c r="A195" s="2" t="s">
        <v>1089</v>
      </c>
      <c r="B195" s="2" t="s">
        <v>87</v>
      </c>
      <c r="C195" s="2" t="s">
        <v>88</v>
      </c>
      <c r="D195" s="2" t="s">
        <v>963</v>
      </c>
      <c r="E195" s="2" t="s">
        <v>1046</v>
      </c>
      <c r="F195" s="2" t="s">
        <v>1063</v>
      </c>
      <c r="G195" s="2" t="s">
        <v>1064</v>
      </c>
      <c r="H195" s="2" t="s">
        <v>1065</v>
      </c>
      <c r="I195" s="2" t="s">
        <v>1066</v>
      </c>
      <c r="J195" s="2" t="s">
        <v>352</v>
      </c>
      <c r="K195" s="2" t="s">
        <v>1090</v>
      </c>
      <c r="L195" s="3">
        <v>28.34</v>
      </c>
      <c r="M195" s="3">
        <v>29.76</v>
      </c>
      <c r="N195" s="3">
        <v>54.99</v>
      </c>
      <c r="O195" s="2" t="s">
        <v>97</v>
      </c>
      <c r="P195" s="2" t="s">
        <v>98</v>
      </c>
      <c r="Q195" s="2" t="s">
        <v>99</v>
      </c>
      <c r="R195" s="2" t="s">
        <v>100</v>
      </c>
      <c r="S195" s="2" t="s">
        <v>1091</v>
      </c>
      <c r="T195" s="2" t="s">
        <v>100</v>
      </c>
      <c r="U195" s="2" t="s">
        <v>894</v>
      </c>
      <c r="V195" s="2" t="s">
        <v>461</v>
      </c>
      <c r="W195" s="2" t="s">
        <v>609</v>
      </c>
      <c r="X195" s="2" t="s">
        <v>1068</v>
      </c>
      <c r="Y195" s="2" t="s">
        <v>144</v>
      </c>
      <c r="Z195" s="4">
        <v>214</v>
      </c>
      <c r="AA195" s="4">
        <f>=ROUNDDOWN(30.5714285714286,0)</f>
      </c>
      <c r="AB195" s="5">
        <v>7</v>
      </c>
      <c r="AC195" s="2" t="s">
        <v>100</v>
      </c>
      <c r="AD195" s="4"/>
      <c r="AE195" s="4"/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>
        <v>1</v>
      </c>
      <c r="AW195" s="8">
        <v>45.36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/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>
        <v>0.1541</v>
      </c>
      <c r="BJ195" s="4">
        <v>24</v>
      </c>
      <c r="BK195" s="8">
        <v>673.41</v>
      </c>
      <c r="BL195" s="2" t="s">
        <v>1092</v>
      </c>
      <c r="BM195" s="7"/>
      <c r="BN195" s="7"/>
      <c r="BO195" s="4"/>
      <c r="BP195" s="8"/>
      <c r="BQ195" s="4"/>
      <c r="BR195" s="8"/>
      <c r="BS195" s="7"/>
      <c r="BT195" s="7"/>
      <c r="BU195" s="2" t="s">
        <v>109</v>
      </c>
      <c r="BV195" s="2" t="s">
        <v>97</v>
      </c>
      <c r="BW195" s="2" t="s">
        <v>159</v>
      </c>
      <c r="BX195" s="2" t="s">
        <v>358</v>
      </c>
      <c r="BY195" s="2" t="s">
        <v>112</v>
      </c>
      <c r="BZ195" s="2" t="s">
        <v>100</v>
      </c>
    </row>
    <row r="196">
      <c r="A196" s="2" t="s">
        <v>1093</v>
      </c>
      <c r="B196" s="2" t="s">
        <v>87</v>
      </c>
      <c r="C196" s="2" t="s">
        <v>88</v>
      </c>
      <c r="D196" s="2" t="s">
        <v>963</v>
      </c>
      <c r="E196" s="2" t="s">
        <v>1046</v>
      </c>
      <c r="F196" s="2" t="s">
        <v>1063</v>
      </c>
      <c r="G196" s="2" t="s">
        <v>1064</v>
      </c>
      <c r="H196" s="2" t="s">
        <v>1065</v>
      </c>
      <c r="I196" s="2" t="s">
        <v>1074</v>
      </c>
      <c r="J196" s="2" t="s">
        <v>522</v>
      </c>
      <c r="K196" s="2" t="s">
        <v>1090</v>
      </c>
      <c r="L196" s="3">
        <v>36.71</v>
      </c>
      <c r="M196" s="3">
        <v>38.55</v>
      </c>
      <c r="N196" s="3">
        <v>69.99</v>
      </c>
      <c r="O196" s="2" t="s">
        <v>97</v>
      </c>
      <c r="P196" s="2" t="s">
        <v>98</v>
      </c>
      <c r="Q196" s="2" t="s">
        <v>99</v>
      </c>
      <c r="R196" s="2" t="s">
        <v>100</v>
      </c>
      <c r="S196" s="2" t="s">
        <v>1091</v>
      </c>
      <c r="T196" s="2" t="s">
        <v>100</v>
      </c>
      <c r="U196" s="2" t="s">
        <v>901</v>
      </c>
      <c r="V196" s="2" t="s">
        <v>461</v>
      </c>
      <c r="W196" s="2" t="s">
        <v>609</v>
      </c>
      <c r="X196" s="2" t="s">
        <v>1068</v>
      </c>
      <c r="Y196" s="2" t="s">
        <v>144</v>
      </c>
      <c r="Z196" s="4">
        <v>456</v>
      </c>
      <c r="AA196" s="4">
        <f>=ROUNDDOWN(41.4545454545455,0)</f>
      </c>
      <c r="AB196" s="5">
        <v>11</v>
      </c>
      <c r="AC196" s="2" t="s">
        <v>1094</v>
      </c>
      <c r="AD196" s="4">
        <v>150</v>
      </c>
      <c r="AE196" s="4">
        <v>150</v>
      </c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/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26</v>
      </c>
      <c r="BK196" s="8">
        <v>988.43</v>
      </c>
      <c r="BL196" s="2" t="s">
        <v>1095</v>
      </c>
      <c r="BM196" s="7"/>
      <c r="BN196" s="7"/>
      <c r="BO196" s="4"/>
      <c r="BP196" s="8"/>
      <c r="BQ196" s="4"/>
      <c r="BR196" s="8"/>
      <c r="BS196" s="7"/>
      <c r="BT196" s="7"/>
      <c r="BU196" s="2" t="s">
        <v>109</v>
      </c>
      <c r="BV196" s="2" t="s">
        <v>97</v>
      </c>
      <c r="BW196" s="2" t="s">
        <v>159</v>
      </c>
      <c r="BX196" s="2" t="s">
        <v>1096</v>
      </c>
      <c r="BY196" s="2" t="s">
        <v>112</v>
      </c>
      <c r="BZ196" s="2" t="s">
        <v>100</v>
      </c>
    </row>
    <row r="197">
      <c r="A197" s="2" t="s">
        <v>1097</v>
      </c>
      <c r="B197" s="2" t="s">
        <v>87</v>
      </c>
      <c r="C197" s="2" t="s">
        <v>88</v>
      </c>
      <c r="D197" s="2" t="s">
        <v>963</v>
      </c>
      <c r="E197" s="2" t="s">
        <v>1046</v>
      </c>
      <c r="F197" s="2" t="s">
        <v>1063</v>
      </c>
      <c r="G197" s="2" t="s">
        <v>1064</v>
      </c>
      <c r="H197" s="2" t="s">
        <v>1065</v>
      </c>
      <c r="I197" s="2" t="s">
        <v>1074</v>
      </c>
      <c r="J197" s="2" t="s">
        <v>529</v>
      </c>
      <c r="K197" s="2" t="s">
        <v>1090</v>
      </c>
      <c r="L197" s="3">
        <v>41.03</v>
      </c>
      <c r="M197" s="3">
        <v>43.08</v>
      </c>
      <c r="N197" s="3">
        <v>79.99</v>
      </c>
      <c r="O197" s="2" t="s">
        <v>97</v>
      </c>
      <c r="P197" s="2" t="s">
        <v>98</v>
      </c>
      <c r="Q197" s="2" t="s">
        <v>99</v>
      </c>
      <c r="R197" s="2" t="s">
        <v>100</v>
      </c>
      <c r="S197" s="2" t="s">
        <v>1091</v>
      </c>
      <c r="T197" s="2" t="s">
        <v>100</v>
      </c>
      <c r="U197" s="2" t="s">
        <v>901</v>
      </c>
      <c r="V197" s="2" t="s">
        <v>461</v>
      </c>
      <c r="W197" s="2" t="s">
        <v>609</v>
      </c>
      <c r="X197" s="2" t="s">
        <v>1068</v>
      </c>
      <c r="Y197" s="2" t="s">
        <v>144</v>
      </c>
      <c r="Z197" s="4">
        <v>435</v>
      </c>
      <c r="AA197" s="4">
        <f>=ROUNDDOWN(31.0714285714286,0)</f>
      </c>
      <c r="AB197" s="5">
        <v>14</v>
      </c>
      <c r="AC197" s="2" t="s">
        <v>100</v>
      </c>
      <c r="AD197" s="4"/>
      <c r="AE197" s="4"/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1</v>
      </c>
      <c r="AQ197" s="8">
        <v>45.36</v>
      </c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1</v>
      </c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 t="s">
        <v>100</v>
      </c>
      <c r="BJ197" s="4">
        <v>37</v>
      </c>
      <c r="BK197" s="8">
        <v>1586.51</v>
      </c>
      <c r="BL197" s="2" t="s">
        <v>1098</v>
      </c>
      <c r="BM197" s="7">
        <v>0.027</v>
      </c>
      <c r="BN197" s="7">
        <v>0.0286</v>
      </c>
      <c r="BO197" s="4">
        <v>1</v>
      </c>
      <c r="BP197" s="8">
        <v>45.36</v>
      </c>
      <c r="BQ197" s="4"/>
      <c r="BR197" s="8"/>
      <c r="BS197" s="7"/>
      <c r="BT197" s="7"/>
      <c r="BU197" s="2" t="s">
        <v>109</v>
      </c>
      <c r="BV197" s="2" t="s">
        <v>97</v>
      </c>
      <c r="BW197" s="2" t="s">
        <v>159</v>
      </c>
      <c r="BX197" s="2" t="s">
        <v>160</v>
      </c>
      <c r="BY197" s="2" t="s">
        <v>112</v>
      </c>
      <c r="BZ197" s="2" t="s">
        <v>100</v>
      </c>
    </row>
    <row r="198">
      <c r="A198" s="2" t="s">
        <v>1099</v>
      </c>
      <c r="B198" s="2" t="s">
        <v>87</v>
      </c>
      <c r="C198" s="2" t="s">
        <v>88</v>
      </c>
      <c r="D198" s="2" t="s">
        <v>963</v>
      </c>
      <c r="E198" s="2" t="s">
        <v>1046</v>
      </c>
      <c r="F198" s="2" t="s">
        <v>1063</v>
      </c>
      <c r="G198" s="2" t="s">
        <v>1064</v>
      </c>
      <c r="H198" s="2" t="s">
        <v>1065</v>
      </c>
      <c r="I198" s="2" t="s">
        <v>1074</v>
      </c>
      <c r="J198" s="2" t="s">
        <v>522</v>
      </c>
      <c r="K198" s="2" t="s">
        <v>96</v>
      </c>
      <c r="L198" s="3">
        <v>36.71</v>
      </c>
      <c r="M198" s="3">
        <v>38.55</v>
      </c>
      <c r="N198" s="3">
        <v>69.99</v>
      </c>
      <c r="O198" s="2" t="s">
        <v>97</v>
      </c>
      <c r="P198" s="2" t="s">
        <v>98</v>
      </c>
      <c r="Q198" s="2" t="s">
        <v>99</v>
      </c>
      <c r="R198" s="2" t="s">
        <v>100</v>
      </c>
      <c r="S198" s="2" t="s">
        <v>1100</v>
      </c>
      <c r="T198" s="2" t="s">
        <v>100</v>
      </c>
      <c r="U198" s="2" t="s">
        <v>901</v>
      </c>
      <c r="V198" s="2" t="s">
        <v>461</v>
      </c>
      <c r="W198" s="2" t="s">
        <v>609</v>
      </c>
      <c r="X198" s="2" t="s">
        <v>1068</v>
      </c>
      <c r="Y198" s="2" t="s">
        <v>144</v>
      </c>
      <c r="Z198" s="4">
        <v>512</v>
      </c>
      <c r="AA198" s="4">
        <f>=ROUNDDOWN(26.9473684210526,0)</f>
      </c>
      <c r="AB198" s="5">
        <v>19</v>
      </c>
      <c r="AC198" s="2" t="s">
        <v>107</v>
      </c>
      <c r="AD198" s="4">
        <v>130</v>
      </c>
      <c r="AE198" s="4">
        <v>130</v>
      </c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>
        <v>1</v>
      </c>
      <c r="AW198" s="8">
        <v>45.36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/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>
        <v>0.1541</v>
      </c>
      <c r="BJ198" s="4">
        <v>66</v>
      </c>
      <c r="BK198" s="8">
        <v>2543.64</v>
      </c>
      <c r="BL198" s="2" t="s">
        <v>1101</v>
      </c>
      <c r="BM198" s="7"/>
      <c r="BN198" s="7"/>
      <c r="BO198" s="4"/>
      <c r="BP198" s="8"/>
      <c r="BQ198" s="4"/>
      <c r="BR198" s="8"/>
      <c r="BS198" s="7"/>
      <c r="BT198" s="7"/>
      <c r="BU198" s="2" t="s">
        <v>109</v>
      </c>
      <c r="BV198" s="2" t="s">
        <v>97</v>
      </c>
      <c r="BW198" s="2" t="s">
        <v>159</v>
      </c>
      <c r="BX198" s="2" t="s">
        <v>1102</v>
      </c>
      <c r="BY198" s="2" t="s">
        <v>112</v>
      </c>
      <c r="BZ198" s="2" t="s">
        <v>100</v>
      </c>
    </row>
    <row r="199">
      <c r="A199" s="2" t="s">
        <v>1103</v>
      </c>
      <c r="B199" s="2" t="s">
        <v>87</v>
      </c>
      <c r="C199" s="2" t="s">
        <v>88</v>
      </c>
      <c r="D199" s="2" t="s">
        <v>963</v>
      </c>
      <c r="E199" s="2" t="s">
        <v>1046</v>
      </c>
      <c r="F199" s="2" t="s">
        <v>1063</v>
      </c>
      <c r="G199" s="2" t="s">
        <v>1064</v>
      </c>
      <c r="H199" s="2" t="s">
        <v>1065</v>
      </c>
      <c r="I199" s="2" t="s">
        <v>1074</v>
      </c>
      <c r="J199" s="2" t="s">
        <v>529</v>
      </c>
      <c r="K199" s="2" t="s">
        <v>96</v>
      </c>
      <c r="L199" s="3">
        <v>41.03</v>
      </c>
      <c r="M199" s="3">
        <v>43.08</v>
      </c>
      <c r="N199" s="3">
        <v>79.99</v>
      </c>
      <c r="O199" s="2" t="s">
        <v>97</v>
      </c>
      <c r="P199" s="2" t="s">
        <v>98</v>
      </c>
      <c r="Q199" s="2" t="s">
        <v>99</v>
      </c>
      <c r="R199" s="2" t="s">
        <v>100</v>
      </c>
      <c r="S199" s="2" t="s">
        <v>1100</v>
      </c>
      <c r="T199" s="2" t="s">
        <v>100</v>
      </c>
      <c r="U199" s="2" t="s">
        <v>901</v>
      </c>
      <c r="V199" s="2" t="s">
        <v>461</v>
      </c>
      <c r="W199" s="2" t="s">
        <v>609</v>
      </c>
      <c r="X199" s="2" t="s">
        <v>1068</v>
      </c>
      <c r="Y199" s="2" t="s">
        <v>144</v>
      </c>
      <c r="Z199" s="4">
        <v>381</v>
      </c>
      <c r="AA199" s="4">
        <f>=ROUNDDOWN(20.0526315789474,0)</f>
      </c>
      <c r="AB199" s="5">
        <v>19</v>
      </c>
      <c r="AC199" s="2" t="s">
        <v>107</v>
      </c>
      <c r="AD199" s="4">
        <v>170</v>
      </c>
      <c r="AE199" s="4">
        <v>170</v>
      </c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1</v>
      </c>
      <c r="AQ199" s="8">
        <v>45.36</v>
      </c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1</v>
      </c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53</v>
      </c>
      <c r="BK199" s="8">
        <v>2263.83</v>
      </c>
      <c r="BL199" s="2" t="s">
        <v>1104</v>
      </c>
      <c r="BM199" s="7">
        <v>0.0189</v>
      </c>
      <c r="BN199" s="7">
        <v>0.02</v>
      </c>
      <c r="BO199" s="4">
        <v>1</v>
      </c>
      <c r="BP199" s="8">
        <v>45.36</v>
      </c>
      <c r="BQ199" s="4"/>
      <c r="BR199" s="8"/>
      <c r="BS199" s="7"/>
      <c r="BT199" s="7"/>
      <c r="BU199" s="2" t="s">
        <v>109</v>
      </c>
      <c r="BV199" s="2" t="s">
        <v>97</v>
      </c>
      <c r="BW199" s="2" t="s">
        <v>159</v>
      </c>
      <c r="BX199" s="2" t="s">
        <v>1105</v>
      </c>
      <c r="BY199" s="2" t="s">
        <v>112</v>
      </c>
      <c r="BZ199" s="2" t="s">
        <v>149</v>
      </c>
    </row>
    <row r="200">
      <c r="A200" s="2" t="s">
        <v>1106</v>
      </c>
      <c r="B200" s="2" t="s">
        <v>87</v>
      </c>
      <c r="C200" s="2" t="s">
        <v>88</v>
      </c>
      <c r="D200" s="2" t="s">
        <v>963</v>
      </c>
      <c r="E200" s="2" t="s">
        <v>1046</v>
      </c>
      <c r="F200" s="2" t="s">
        <v>1063</v>
      </c>
      <c r="G200" s="2" t="s">
        <v>1064</v>
      </c>
      <c r="H200" s="2" t="s">
        <v>1065</v>
      </c>
      <c r="I200" s="2" t="s">
        <v>1066</v>
      </c>
      <c r="J200" s="2" t="s">
        <v>352</v>
      </c>
      <c r="K200" s="2" t="s">
        <v>223</v>
      </c>
      <c r="L200" s="3">
        <v>28.34</v>
      </c>
      <c r="M200" s="3">
        <v>29.76</v>
      </c>
      <c r="N200" s="3">
        <v>54.99</v>
      </c>
      <c r="O200" s="2" t="s">
        <v>97</v>
      </c>
      <c r="P200" s="2" t="s">
        <v>98</v>
      </c>
      <c r="Q200" s="2" t="s">
        <v>99</v>
      </c>
      <c r="R200" s="2" t="s">
        <v>100</v>
      </c>
      <c r="S200" s="2" t="s">
        <v>1107</v>
      </c>
      <c r="T200" s="2" t="s">
        <v>100</v>
      </c>
      <c r="U200" s="2" t="s">
        <v>894</v>
      </c>
      <c r="V200" s="2" t="s">
        <v>461</v>
      </c>
      <c r="W200" s="2" t="s">
        <v>609</v>
      </c>
      <c r="X200" s="2" t="s">
        <v>1068</v>
      </c>
      <c r="Y200" s="2" t="s">
        <v>1108</v>
      </c>
      <c r="Z200" s="4">
        <v>285</v>
      </c>
      <c r="AA200" s="4">
        <f>=ROUNDDOWN(23.75,0)</f>
      </c>
      <c r="AB200" s="5">
        <v>12</v>
      </c>
      <c r="AC200" s="2" t="s">
        <v>1094</v>
      </c>
      <c r="AD200" s="4">
        <v>100</v>
      </c>
      <c r="AE200" s="4">
        <v>100</v>
      </c>
      <c r="AF200" s="6">
        <v>65</v>
      </c>
      <c r="AG200" s="6">
        <v>48</v>
      </c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>
        <v>1</v>
      </c>
      <c r="AW200" s="8">
        <v>39.69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/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>
        <v>0.1349</v>
      </c>
      <c r="BJ200" s="4">
        <v>28</v>
      </c>
      <c r="BK200" s="8">
        <v>778.8</v>
      </c>
      <c r="BL200" s="2" t="s">
        <v>1109</v>
      </c>
      <c r="BM200" s="7"/>
      <c r="BN200" s="7"/>
      <c r="BO200" s="4"/>
      <c r="BP200" s="8"/>
      <c r="BQ200" s="4"/>
      <c r="BR200" s="8"/>
      <c r="BS200" s="7"/>
      <c r="BT200" s="7"/>
      <c r="BU200" s="2" t="s">
        <v>109</v>
      </c>
      <c r="BV200" s="2" t="s">
        <v>97</v>
      </c>
      <c r="BW200" s="2" t="s">
        <v>370</v>
      </c>
      <c r="BX200" s="2" t="s">
        <v>1110</v>
      </c>
      <c r="BY200" s="2" t="s">
        <v>112</v>
      </c>
      <c r="BZ200" s="2" t="s">
        <v>100</v>
      </c>
    </row>
    <row r="201">
      <c r="A201" s="2" t="s">
        <v>1111</v>
      </c>
      <c r="B201" s="2" t="s">
        <v>87</v>
      </c>
      <c r="C201" s="2" t="s">
        <v>88</v>
      </c>
      <c r="D201" s="2" t="s">
        <v>963</v>
      </c>
      <c r="E201" s="2" t="s">
        <v>1046</v>
      </c>
      <c r="F201" s="2" t="s">
        <v>1063</v>
      </c>
      <c r="G201" s="2" t="s">
        <v>1064</v>
      </c>
      <c r="H201" s="2" t="s">
        <v>1065</v>
      </c>
      <c r="I201" s="2" t="s">
        <v>1074</v>
      </c>
      <c r="J201" s="2" t="s">
        <v>522</v>
      </c>
      <c r="K201" s="2" t="s">
        <v>223</v>
      </c>
      <c r="L201" s="3">
        <v>36.71</v>
      </c>
      <c r="M201" s="3">
        <v>38.55</v>
      </c>
      <c r="N201" s="3">
        <v>69.99</v>
      </c>
      <c r="O201" s="2" t="s">
        <v>97</v>
      </c>
      <c r="P201" s="2" t="s">
        <v>98</v>
      </c>
      <c r="Q201" s="2" t="s">
        <v>99</v>
      </c>
      <c r="R201" s="2" t="s">
        <v>100</v>
      </c>
      <c r="S201" s="2" t="s">
        <v>1107</v>
      </c>
      <c r="T201" s="2" t="s">
        <v>100</v>
      </c>
      <c r="U201" s="2" t="s">
        <v>901</v>
      </c>
      <c r="V201" s="2" t="s">
        <v>461</v>
      </c>
      <c r="W201" s="2" t="s">
        <v>609</v>
      </c>
      <c r="X201" s="2" t="s">
        <v>1068</v>
      </c>
      <c r="Y201" s="2" t="s">
        <v>144</v>
      </c>
      <c r="Z201" s="4">
        <v>602</v>
      </c>
      <c r="AA201" s="4">
        <f>=ROUNDDOWN(35.4117647058824,0)</f>
      </c>
      <c r="AB201" s="5">
        <v>17</v>
      </c>
      <c r="AC201" s="2" t="s">
        <v>1094</v>
      </c>
      <c r="AD201" s="4">
        <v>100</v>
      </c>
      <c r="AE201" s="4">
        <v>100</v>
      </c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1</v>
      </c>
      <c r="AQ201" s="8">
        <v>39.69</v>
      </c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1</v>
      </c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 t="s">
        <v>100</v>
      </c>
      <c r="BJ201" s="4">
        <v>47</v>
      </c>
      <c r="BK201" s="8">
        <v>1828.96</v>
      </c>
      <c r="BL201" s="2" t="s">
        <v>1112</v>
      </c>
      <c r="BM201" s="7">
        <v>0.0213</v>
      </c>
      <c r="BN201" s="7">
        <v>0.0217</v>
      </c>
      <c r="BO201" s="4">
        <v>1</v>
      </c>
      <c r="BP201" s="8">
        <v>39.69</v>
      </c>
      <c r="BQ201" s="4"/>
      <c r="BR201" s="8"/>
      <c r="BS201" s="7"/>
      <c r="BT201" s="7"/>
      <c r="BU201" s="2" t="s">
        <v>109</v>
      </c>
      <c r="BV201" s="2" t="s">
        <v>97</v>
      </c>
      <c r="BW201" s="2" t="s">
        <v>370</v>
      </c>
      <c r="BX201" s="2" t="s">
        <v>1113</v>
      </c>
      <c r="BY201" s="2" t="s">
        <v>112</v>
      </c>
      <c r="BZ201" s="2" t="s">
        <v>100</v>
      </c>
    </row>
    <row r="202">
      <c r="A202" s="2" t="s">
        <v>1114</v>
      </c>
      <c r="B202" s="2" t="s">
        <v>87</v>
      </c>
      <c r="C202" s="2" t="s">
        <v>88</v>
      </c>
      <c r="D202" s="2" t="s">
        <v>963</v>
      </c>
      <c r="E202" s="2" t="s">
        <v>1046</v>
      </c>
      <c r="F202" s="2" t="s">
        <v>1063</v>
      </c>
      <c r="G202" s="2" t="s">
        <v>1064</v>
      </c>
      <c r="H202" s="2" t="s">
        <v>1065</v>
      </c>
      <c r="I202" s="2" t="s">
        <v>1074</v>
      </c>
      <c r="J202" s="2" t="s">
        <v>529</v>
      </c>
      <c r="K202" s="2" t="s">
        <v>223</v>
      </c>
      <c r="L202" s="3">
        <v>41.03</v>
      </c>
      <c r="M202" s="3">
        <v>43.08</v>
      </c>
      <c r="N202" s="3">
        <v>79.99</v>
      </c>
      <c r="O202" s="2" t="s">
        <v>97</v>
      </c>
      <c r="P202" s="2" t="s">
        <v>98</v>
      </c>
      <c r="Q202" s="2" t="s">
        <v>99</v>
      </c>
      <c r="R202" s="2" t="s">
        <v>100</v>
      </c>
      <c r="S202" s="2" t="s">
        <v>1107</v>
      </c>
      <c r="T202" s="2" t="s">
        <v>100</v>
      </c>
      <c r="U202" s="2" t="s">
        <v>901</v>
      </c>
      <c r="V202" s="2" t="s">
        <v>461</v>
      </c>
      <c r="W202" s="2" t="s">
        <v>609</v>
      </c>
      <c r="X202" s="2" t="s">
        <v>1068</v>
      </c>
      <c r="Y202" s="2" t="s">
        <v>144</v>
      </c>
      <c r="Z202" s="4">
        <v>315</v>
      </c>
      <c r="AA202" s="4">
        <f>=ROUNDDOWN(19.6875,0)</f>
      </c>
      <c r="AB202" s="5">
        <v>16</v>
      </c>
      <c r="AC202" s="2" t="s">
        <v>1094</v>
      </c>
      <c r="AD202" s="4">
        <v>100</v>
      </c>
      <c r="AE202" s="4">
        <v>250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/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39</v>
      </c>
      <c r="BK202" s="8">
        <v>1722.7</v>
      </c>
      <c r="BL202" s="2" t="s">
        <v>1115</v>
      </c>
      <c r="BM202" s="7"/>
      <c r="BN202" s="7"/>
      <c r="BO202" s="4"/>
      <c r="BP202" s="8"/>
      <c r="BQ202" s="4"/>
      <c r="BR202" s="8"/>
      <c r="BS202" s="7"/>
      <c r="BT202" s="7"/>
      <c r="BU202" s="2" t="s">
        <v>109</v>
      </c>
      <c r="BV202" s="2" t="s">
        <v>97</v>
      </c>
      <c r="BW202" s="2" t="s">
        <v>370</v>
      </c>
      <c r="BX202" s="2" t="s">
        <v>1116</v>
      </c>
      <c r="BY202" s="2" t="s">
        <v>112</v>
      </c>
      <c r="BZ202" s="2" t="s">
        <v>100</v>
      </c>
    </row>
    <row r="203">
      <c r="A203" s="2" t="s">
        <v>1117</v>
      </c>
      <c r="B203" s="2" t="s">
        <v>87</v>
      </c>
      <c r="C203" s="2" t="s">
        <v>88</v>
      </c>
      <c r="D203" s="2" t="s">
        <v>963</v>
      </c>
      <c r="E203" s="2" t="s">
        <v>1046</v>
      </c>
      <c r="F203" s="2" t="s">
        <v>1063</v>
      </c>
      <c r="G203" s="2" t="s">
        <v>1064</v>
      </c>
      <c r="H203" s="2" t="s">
        <v>1065</v>
      </c>
      <c r="I203" s="2" t="s">
        <v>1066</v>
      </c>
      <c r="J203" s="2" t="s">
        <v>352</v>
      </c>
      <c r="K203" s="2" t="s">
        <v>165</v>
      </c>
      <c r="L203" s="3">
        <v>28.34</v>
      </c>
      <c r="M203" s="3">
        <v>29.76</v>
      </c>
      <c r="N203" s="3">
        <v>54.99</v>
      </c>
      <c r="O203" s="2" t="s">
        <v>97</v>
      </c>
      <c r="P203" s="2" t="s">
        <v>98</v>
      </c>
      <c r="Q203" s="2" t="s">
        <v>99</v>
      </c>
      <c r="R203" s="2" t="s">
        <v>100</v>
      </c>
      <c r="S203" s="2" t="s">
        <v>1067</v>
      </c>
      <c r="T203" s="2" t="s">
        <v>100</v>
      </c>
      <c r="U203" s="2" t="s">
        <v>894</v>
      </c>
      <c r="V203" s="2" t="s">
        <v>461</v>
      </c>
      <c r="W203" s="2" t="s">
        <v>609</v>
      </c>
      <c r="X203" s="2" t="s">
        <v>1068</v>
      </c>
      <c r="Y203" s="2" t="s">
        <v>1118</v>
      </c>
      <c r="Z203" s="4">
        <v>191</v>
      </c>
      <c r="AA203" s="4">
        <f>=ROUNDDOWN(23.875,0)</f>
      </c>
      <c r="AB203" s="5">
        <v>8</v>
      </c>
      <c r="AC203" s="2" t="s">
        <v>1094</v>
      </c>
      <c r="AD203" s="4">
        <v>50</v>
      </c>
      <c r="AE203" s="4">
        <v>50</v>
      </c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/>
      <c r="BJ203" s="4">
        <v>14</v>
      </c>
      <c r="BK203" s="8">
        <v>413.03</v>
      </c>
      <c r="BL203" s="2" t="s">
        <v>1119</v>
      </c>
      <c r="BM203" s="7"/>
      <c r="BN203" s="7"/>
      <c r="BO203" s="4"/>
      <c r="BP203" s="8"/>
      <c r="BQ203" s="4"/>
      <c r="BR203" s="8"/>
      <c r="BS203" s="7"/>
      <c r="BT203" s="7"/>
      <c r="BU203" s="2" t="s">
        <v>109</v>
      </c>
      <c r="BV203" s="2" t="s">
        <v>97</v>
      </c>
      <c r="BW203" s="2" t="s">
        <v>1071</v>
      </c>
      <c r="BX203" s="2" t="s">
        <v>1120</v>
      </c>
      <c r="BY203" s="2" t="s">
        <v>112</v>
      </c>
      <c r="BZ203" s="2" t="s">
        <v>149</v>
      </c>
    </row>
    <row r="204">
      <c r="A204" s="2" t="s">
        <v>1121</v>
      </c>
      <c r="B204" s="2" t="s">
        <v>87</v>
      </c>
      <c r="C204" s="2" t="s">
        <v>88</v>
      </c>
      <c r="D204" s="2" t="s">
        <v>963</v>
      </c>
      <c r="E204" s="2" t="s">
        <v>1046</v>
      </c>
      <c r="F204" s="2" t="s">
        <v>951</v>
      </c>
      <c r="G204" s="2" t="s">
        <v>952</v>
      </c>
      <c r="H204" s="2" t="s">
        <v>953</v>
      </c>
      <c r="I204" s="2" t="s">
        <v>1122</v>
      </c>
      <c r="J204" s="2" t="s">
        <v>522</v>
      </c>
      <c r="K204" s="2" t="s">
        <v>955</v>
      </c>
      <c r="L204" s="3">
        <v>43.2</v>
      </c>
      <c r="M204" s="3">
        <v>45.35</v>
      </c>
      <c r="N204" s="3">
        <v>89.99</v>
      </c>
      <c r="O204" s="2" t="s">
        <v>97</v>
      </c>
      <c r="P204" s="2" t="s">
        <v>98</v>
      </c>
      <c r="Q204" s="2" t="s">
        <v>99</v>
      </c>
      <c r="R204" s="2" t="s">
        <v>100</v>
      </c>
      <c r="S204" s="2" t="s">
        <v>1123</v>
      </c>
      <c r="T204" s="2" t="s">
        <v>190</v>
      </c>
      <c r="U204" s="2" t="s">
        <v>901</v>
      </c>
      <c r="V204" s="2" t="s">
        <v>103</v>
      </c>
      <c r="W204" s="2" t="s">
        <v>686</v>
      </c>
      <c r="X204" s="2" t="s">
        <v>271</v>
      </c>
      <c r="Y204" s="2" t="s">
        <v>1124</v>
      </c>
      <c r="Z204" s="4">
        <v>241</v>
      </c>
      <c r="AA204" s="4">
        <f>=ROUNDDOWN(40.1666666666667,0)</f>
      </c>
      <c r="AB204" s="5">
        <v>6</v>
      </c>
      <c r="AC204" s="2" t="s">
        <v>100</v>
      </c>
      <c r="AD204" s="4"/>
      <c r="AE204" s="4"/>
      <c r="AF204" s="6">
        <v>69</v>
      </c>
      <c r="AG204" s="6"/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1</v>
      </c>
      <c r="AQ204" s="8">
        <v>43.55</v>
      </c>
      <c r="AR204" s="4"/>
      <c r="AS204" s="8"/>
      <c r="AT204" s="7"/>
      <c r="AU204" s="7"/>
      <c r="AV204" s="4">
        <v>3</v>
      </c>
      <c r="AW204" s="8">
        <v>152.41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0.2857</v>
      </c>
      <c r="BC204" s="4">
        <v>3</v>
      </c>
      <c r="BD204" s="8">
        <v>152.41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>
        <v>1</v>
      </c>
      <c r="BJ204" s="4">
        <v>18</v>
      </c>
      <c r="BK204" s="8">
        <v>849.85</v>
      </c>
      <c r="BL204" s="2" t="s">
        <v>1125</v>
      </c>
      <c r="BM204" s="7">
        <v>0.0556</v>
      </c>
      <c r="BN204" s="7">
        <v>0.0512</v>
      </c>
      <c r="BO204" s="4">
        <v>1</v>
      </c>
      <c r="BP204" s="8">
        <v>43.55</v>
      </c>
      <c r="BQ204" s="4"/>
      <c r="BR204" s="8"/>
      <c r="BS204" s="7"/>
      <c r="BT204" s="7"/>
      <c r="BU204" s="2" t="s">
        <v>109</v>
      </c>
      <c r="BV204" s="2" t="s">
        <v>97</v>
      </c>
      <c r="BW204" s="2" t="s">
        <v>496</v>
      </c>
      <c r="BX204" s="2" t="s">
        <v>1126</v>
      </c>
      <c r="BY204" s="2" t="s">
        <v>112</v>
      </c>
      <c r="BZ204" s="2" t="s">
        <v>100</v>
      </c>
    </row>
    <row r="205">
      <c r="A205" s="2" t="s">
        <v>1127</v>
      </c>
      <c r="B205" s="2" t="s">
        <v>87</v>
      </c>
      <c r="C205" s="2" t="s">
        <v>88</v>
      </c>
      <c r="D205" s="2" t="s">
        <v>963</v>
      </c>
      <c r="E205" s="2" t="s">
        <v>1046</v>
      </c>
      <c r="F205" s="2" t="s">
        <v>951</v>
      </c>
      <c r="G205" s="2" t="s">
        <v>952</v>
      </c>
      <c r="H205" s="2" t="s">
        <v>953</v>
      </c>
      <c r="I205" s="2" t="s">
        <v>1122</v>
      </c>
      <c r="J205" s="2" t="s">
        <v>529</v>
      </c>
      <c r="K205" s="2" t="s">
        <v>955</v>
      </c>
      <c r="L205" s="3">
        <v>52.8</v>
      </c>
      <c r="M205" s="3">
        <v>55.43</v>
      </c>
      <c r="N205" s="3">
        <v>109.99</v>
      </c>
      <c r="O205" s="2" t="s">
        <v>97</v>
      </c>
      <c r="P205" s="2" t="s">
        <v>98</v>
      </c>
      <c r="Q205" s="2" t="s">
        <v>99</v>
      </c>
      <c r="R205" s="2" t="s">
        <v>100</v>
      </c>
      <c r="S205" s="2" t="s">
        <v>1123</v>
      </c>
      <c r="T205" s="2" t="s">
        <v>190</v>
      </c>
      <c r="U205" s="2" t="s">
        <v>901</v>
      </c>
      <c r="V205" s="2" t="s">
        <v>103</v>
      </c>
      <c r="W205" s="2" t="s">
        <v>686</v>
      </c>
      <c r="X205" s="2" t="s">
        <v>271</v>
      </c>
      <c r="Y205" s="2" t="s">
        <v>1124</v>
      </c>
      <c r="Z205" s="4">
        <v>227</v>
      </c>
      <c r="AA205" s="4">
        <f>=ROUNDDOWN(28.375,0)</f>
      </c>
      <c r="AB205" s="5">
        <v>8</v>
      </c>
      <c r="AC205" s="2" t="s">
        <v>911</v>
      </c>
      <c r="AD205" s="4">
        <v>30</v>
      </c>
      <c r="AE205" s="4">
        <v>70</v>
      </c>
      <c r="AF205" s="6">
        <v>69</v>
      </c>
      <c r="AG205" s="6"/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2</v>
      </c>
      <c r="AQ205" s="8">
        <v>108.86</v>
      </c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0.7143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35</v>
      </c>
      <c r="BK205" s="8">
        <v>2003.84</v>
      </c>
      <c r="BL205" s="2" t="s">
        <v>1128</v>
      </c>
      <c r="BM205" s="7">
        <v>0.0571</v>
      </c>
      <c r="BN205" s="7">
        <v>0.0543</v>
      </c>
      <c r="BO205" s="4">
        <v>2</v>
      </c>
      <c r="BP205" s="8">
        <v>108.86</v>
      </c>
      <c r="BQ205" s="4"/>
      <c r="BR205" s="8"/>
      <c r="BS205" s="7"/>
      <c r="BT205" s="7"/>
      <c r="BU205" s="2" t="s">
        <v>109</v>
      </c>
      <c r="BV205" s="2" t="s">
        <v>97</v>
      </c>
      <c r="BW205" s="2" t="s">
        <v>496</v>
      </c>
      <c r="BX205" s="2" t="s">
        <v>549</v>
      </c>
      <c r="BY205" s="2" t="s">
        <v>112</v>
      </c>
      <c r="BZ205" s="2" t="s">
        <v>100</v>
      </c>
    </row>
    <row r="206">
      <c r="A206" s="2" t="s">
        <v>1129</v>
      </c>
      <c r="B206" s="2" t="s">
        <v>87</v>
      </c>
      <c r="C206" s="2" t="s">
        <v>88</v>
      </c>
      <c r="D206" s="2" t="s">
        <v>963</v>
      </c>
      <c r="E206" s="2" t="s">
        <v>1046</v>
      </c>
      <c r="F206" s="2" t="s">
        <v>1130</v>
      </c>
      <c r="G206" s="2" t="s">
        <v>1131</v>
      </c>
      <c r="H206" s="2" t="s">
        <v>1132</v>
      </c>
      <c r="I206" s="2" t="s">
        <v>1133</v>
      </c>
      <c r="J206" s="2" t="s">
        <v>529</v>
      </c>
      <c r="K206" s="2" t="s">
        <v>673</v>
      </c>
      <c r="L206" s="3">
        <v>47.52</v>
      </c>
      <c r="M206" s="3">
        <v>49.9</v>
      </c>
      <c r="N206" s="3">
        <v>89.99</v>
      </c>
      <c r="O206" s="2" t="s">
        <v>97</v>
      </c>
      <c r="P206" s="2" t="s">
        <v>98</v>
      </c>
      <c r="Q206" s="2" t="s">
        <v>99</v>
      </c>
      <c r="R206" s="2" t="s">
        <v>100</v>
      </c>
      <c r="S206" s="2" t="s">
        <v>1134</v>
      </c>
      <c r="T206" s="2" t="s">
        <v>1135</v>
      </c>
      <c r="U206" s="2" t="s">
        <v>901</v>
      </c>
      <c r="V206" s="2" t="s">
        <v>461</v>
      </c>
      <c r="W206" s="2" t="s">
        <v>1136</v>
      </c>
      <c r="X206" s="2" t="s">
        <v>1137</v>
      </c>
      <c r="Y206" s="2" t="s">
        <v>144</v>
      </c>
      <c r="Z206" s="4">
        <v>667</v>
      </c>
      <c r="AA206" s="4">
        <f>=ROUNDDOWN(51.3076923076923,0)</f>
      </c>
      <c r="AB206" s="5">
        <v>13</v>
      </c>
      <c r="AC206" s="2" t="s">
        <v>312</v>
      </c>
      <c r="AD206" s="4">
        <v>270</v>
      </c>
      <c r="AE206" s="4">
        <v>270</v>
      </c>
      <c r="AF206" s="6">
        <v>64</v>
      </c>
      <c r="AG206" s="6">
        <v>47</v>
      </c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1</v>
      </c>
      <c r="AQ206" s="8">
        <v>54.43</v>
      </c>
      <c r="AR206" s="4"/>
      <c r="AS206" s="8"/>
      <c r="AT206" s="7"/>
      <c r="AU206" s="7"/>
      <c r="AV206" s="4">
        <v>1</v>
      </c>
      <c r="AW206" s="8">
        <v>54.43</v>
      </c>
      <c r="AX206" s="4"/>
      <c r="AY206" s="8"/>
      <c r="AZ206" s="7"/>
      <c r="BA206" s="7"/>
      <c r="BB206" s="7">
        <v>1</v>
      </c>
      <c r="BC206" s="4">
        <v>1</v>
      </c>
      <c r="BD206" s="8">
        <v>54.43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>
        <v>1</v>
      </c>
      <c r="BJ206" s="4">
        <v>82</v>
      </c>
      <c r="BK206" s="8">
        <v>4332.26</v>
      </c>
      <c r="BL206" s="2" t="s">
        <v>1138</v>
      </c>
      <c r="BM206" s="7">
        <v>0.0122</v>
      </c>
      <c r="BN206" s="7">
        <v>0.0126</v>
      </c>
      <c r="BO206" s="4">
        <v>1</v>
      </c>
      <c r="BP206" s="8">
        <v>54.43</v>
      </c>
      <c r="BQ206" s="4"/>
      <c r="BR206" s="8"/>
      <c r="BS206" s="7"/>
      <c r="BT206" s="7"/>
      <c r="BU206" s="2" t="s">
        <v>109</v>
      </c>
      <c r="BV206" s="2" t="s">
        <v>97</v>
      </c>
      <c r="BW206" s="2" t="s">
        <v>370</v>
      </c>
      <c r="BX206" s="2" t="s">
        <v>1139</v>
      </c>
      <c r="BY206" s="2" t="s">
        <v>112</v>
      </c>
      <c r="BZ206" s="2" t="s">
        <v>149</v>
      </c>
    </row>
    <row r="207">
      <c r="A207" s="2" t="s">
        <v>1140</v>
      </c>
      <c r="B207" s="2" t="s">
        <v>87</v>
      </c>
      <c r="C207" s="2" t="s">
        <v>88</v>
      </c>
      <c r="D207" s="2" t="s">
        <v>963</v>
      </c>
      <c r="E207" s="2" t="s">
        <v>1046</v>
      </c>
      <c r="F207" s="2" t="s">
        <v>1130</v>
      </c>
      <c r="G207" s="2" t="s">
        <v>1131</v>
      </c>
      <c r="H207" s="2" t="s">
        <v>1132</v>
      </c>
      <c r="I207" s="2" t="s">
        <v>1133</v>
      </c>
      <c r="J207" s="2" t="s">
        <v>522</v>
      </c>
      <c r="K207" s="2" t="s">
        <v>96</v>
      </c>
      <c r="L207" s="3">
        <v>43.2</v>
      </c>
      <c r="M207" s="3">
        <v>45.36</v>
      </c>
      <c r="N207" s="3">
        <v>79.99</v>
      </c>
      <c r="O207" s="2" t="s">
        <v>97</v>
      </c>
      <c r="P207" s="2" t="s">
        <v>98</v>
      </c>
      <c r="Q207" s="2" t="s">
        <v>99</v>
      </c>
      <c r="R207" s="2" t="s">
        <v>100</v>
      </c>
      <c r="S207" s="2" t="s">
        <v>1141</v>
      </c>
      <c r="T207" s="2" t="s">
        <v>1135</v>
      </c>
      <c r="U207" s="2" t="s">
        <v>901</v>
      </c>
      <c r="V207" s="2" t="s">
        <v>461</v>
      </c>
      <c r="W207" s="2" t="s">
        <v>1136</v>
      </c>
      <c r="X207" s="2" t="s">
        <v>1137</v>
      </c>
      <c r="Y207" s="2" t="s">
        <v>144</v>
      </c>
      <c r="Z207" s="4">
        <v>294</v>
      </c>
      <c r="AA207" s="4">
        <f>=ROUNDDOWN(29.4,0)</f>
      </c>
      <c r="AB207" s="5">
        <v>10</v>
      </c>
      <c r="AC207" s="2" t="s">
        <v>1142</v>
      </c>
      <c r="AD207" s="4">
        <v>170</v>
      </c>
      <c r="AE207" s="4">
        <v>270</v>
      </c>
      <c r="AF207" s="6">
        <v>64</v>
      </c>
      <c r="AG207" s="6">
        <v>47</v>
      </c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/>
      <c r="BJ207" s="4">
        <v>33</v>
      </c>
      <c r="BK207" s="8">
        <v>1545.67</v>
      </c>
      <c r="BL207" s="2" t="s">
        <v>1143</v>
      </c>
      <c r="BM207" s="7"/>
      <c r="BN207" s="7"/>
      <c r="BO207" s="4"/>
      <c r="BP207" s="8"/>
      <c r="BQ207" s="4"/>
      <c r="BR207" s="8"/>
      <c r="BS207" s="7"/>
      <c r="BT207" s="7"/>
      <c r="BU207" s="2" t="s">
        <v>109</v>
      </c>
      <c r="BV207" s="2" t="s">
        <v>97</v>
      </c>
      <c r="BW207" s="2" t="s">
        <v>370</v>
      </c>
      <c r="BX207" s="2" t="s">
        <v>229</v>
      </c>
      <c r="BY207" s="2" t="s">
        <v>112</v>
      </c>
      <c r="BZ207" s="2" t="s">
        <v>149</v>
      </c>
    </row>
    <row r="208">
      <c r="A208" s="2" t="s">
        <v>1144</v>
      </c>
      <c r="B208" s="2" t="s">
        <v>87</v>
      </c>
      <c r="C208" s="2" t="s">
        <v>88</v>
      </c>
      <c r="D208" s="2" t="s">
        <v>963</v>
      </c>
      <c r="E208" s="2" t="s">
        <v>1046</v>
      </c>
      <c r="F208" s="2" t="s">
        <v>1130</v>
      </c>
      <c r="G208" s="2" t="s">
        <v>1131</v>
      </c>
      <c r="H208" s="2" t="s">
        <v>1132</v>
      </c>
      <c r="I208" s="2" t="s">
        <v>1133</v>
      </c>
      <c r="J208" s="2" t="s">
        <v>522</v>
      </c>
      <c r="K208" s="2" t="s">
        <v>1145</v>
      </c>
      <c r="L208" s="3">
        <v>43.2</v>
      </c>
      <c r="M208" s="3">
        <v>45.36</v>
      </c>
      <c r="N208" s="3">
        <v>79.99</v>
      </c>
      <c r="O208" s="2" t="s">
        <v>97</v>
      </c>
      <c r="P208" s="2" t="s">
        <v>98</v>
      </c>
      <c r="Q208" s="2" t="s">
        <v>99</v>
      </c>
      <c r="R208" s="2" t="s">
        <v>100</v>
      </c>
      <c r="S208" s="2" t="s">
        <v>1146</v>
      </c>
      <c r="T208" s="2" t="s">
        <v>1135</v>
      </c>
      <c r="U208" s="2" t="s">
        <v>901</v>
      </c>
      <c r="V208" s="2" t="s">
        <v>461</v>
      </c>
      <c r="W208" s="2" t="s">
        <v>1136</v>
      </c>
      <c r="X208" s="2" t="s">
        <v>1147</v>
      </c>
      <c r="Y208" s="2" t="s">
        <v>1148</v>
      </c>
      <c r="Z208" s="4">
        <v>352</v>
      </c>
      <c r="AA208" s="4">
        <f>=ROUNDDOWN(58.6666666666667,0)</f>
      </c>
      <c r="AB208" s="5">
        <v>6</v>
      </c>
      <c r="AC208" s="2" t="s">
        <v>100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/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23</v>
      </c>
      <c r="BK208" s="8">
        <v>1033.62</v>
      </c>
      <c r="BL208" s="2" t="s">
        <v>1149</v>
      </c>
      <c r="BM208" s="7"/>
      <c r="BN208" s="7"/>
      <c r="BO208" s="4"/>
      <c r="BP208" s="8"/>
      <c r="BQ208" s="4"/>
      <c r="BR208" s="8"/>
      <c r="BS208" s="7"/>
      <c r="BT208" s="7"/>
      <c r="BU208" s="2" t="s">
        <v>171</v>
      </c>
      <c r="BV208" s="2" t="s">
        <v>97</v>
      </c>
      <c r="BW208" s="2" t="s">
        <v>100</v>
      </c>
      <c r="BX208" s="2" t="s">
        <v>100</v>
      </c>
      <c r="BY208" s="2" t="s">
        <v>112</v>
      </c>
      <c r="BZ208" s="2" t="s">
        <v>149</v>
      </c>
    </row>
    <row r="209">
      <c r="A209" s="2" t="s">
        <v>1150</v>
      </c>
      <c r="B209" s="2" t="s">
        <v>87</v>
      </c>
      <c r="C209" s="2" t="s">
        <v>88</v>
      </c>
      <c r="D209" s="2" t="s">
        <v>963</v>
      </c>
      <c r="E209" s="2" t="s">
        <v>1046</v>
      </c>
      <c r="F209" s="2" t="s">
        <v>1130</v>
      </c>
      <c r="G209" s="2" t="s">
        <v>1131</v>
      </c>
      <c r="H209" s="2" t="s">
        <v>1132</v>
      </c>
      <c r="I209" s="2" t="s">
        <v>1133</v>
      </c>
      <c r="J209" s="2" t="s">
        <v>529</v>
      </c>
      <c r="K209" s="2" t="s">
        <v>1145</v>
      </c>
      <c r="L209" s="3">
        <v>47.52</v>
      </c>
      <c r="M209" s="3">
        <v>49.9</v>
      </c>
      <c r="N209" s="3">
        <v>89.99</v>
      </c>
      <c r="O209" s="2" t="s">
        <v>97</v>
      </c>
      <c r="P209" s="2" t="s">
        <v>98</v>
      </c>
      <c r="Q209" s="2" t="s">
        <v>99</v>
      </c>
      <c r="R209" s="2" t="s">
        <v>100</v>
      </c>
      <c r="S209" s="2" t="s">
        <v>1146</v>
      </c>
      <c r="T209" s="2" t="s">
        <v>1135</v>
      </c>
      <c r="U209" s="2" t="s">
        <v>901</v>
      </c>
      <c r="V209" s="2" t="s">
        <v>461</v>
      </c>
      <c r="W209" s="2" t="s">
        <v>1136</v>
      </c>
      <c r="X209" s="2" t="s">
        <v>1147</v>
      </c>
      <c r="Y209" s="2" t="s">
        <v>1148</v>
      </c>
      <c r="Z209" s="4">
        <v>673</v>
      </c>
      <c r="AA209" s="4">
        <f>=ROUNDDOWN(61.1818181818182,0)</f>
      </c>
      <c r="AB209" s="5">
        <v>11</v>
      </c>
      <c r="AC209" s="2" t="s">
        <v>100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/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 t="s">
        <v>100</v>
      </c>
      <c r="BJ209" s="4">
        <v>45</v>
      </c>
      <c r="BK209" s="8">
        <v>2321.07</v>
      </c>
      <c r="BL209" s="2" t="s">
        <v>719</v>
      </c>
      <c r="BM209" s="7"/>
      <c r="BN209" s="7"/>
      <c r="BO209" s="4"/>
      <c r="BP209" s="8"/>
      <c r="BQ209" s="4"/>
      <c r="BR209" s="8"/>
      <c r="BS209" s="7"/>
      <c r="BT209" s="7"/>
      <c r="BU209" s="2" t="s">
        <v>171</v>
      </c>
      <c r="BV209" s="2" t="s">
        <v>97</v>
      </c>
      <c r="BW209" s="2" t="s">
        <v>100</v>
      </c>
      <c r="BX209" s="2" t="s">
        <v>100</v>
      </c>
      <c r="BY209" s="2" t="s">
        <v>112</v>
      </c>
      <c r="BZ209" s="2" t="s">
        <v>149</v>
      </c>
    </row>
    <row r="210">
      <c r="A210" s="2" t="s">
        <v>1151</v>
      </c>
      <c r="B210" s="2" t="s">
        <v>87</v>
      </c>
      <c r="C210" s="2" t="s">
        <v>88</v>
      </c>
      <c r="D210" s="2" t="s">
        <v>963</v>
      </c>
      <c r="E210" s="2" t="s">
        <v>1046</v>
      </c>
      <c r="F210" s="2" t="s">
        <v>1130</v>
      </c>
      <c r="G210" s="2" t="s">
        <v>1131</v>
      </c>
      <c r="H210" s="2" t="s">
        <v>1132</v>
      </c>
      <c r="I210" s="2" t="s">
        <v>1133</v>
      </c>
      <c r="J210" s="2" t="s">
        <v>522</v>
      </c>
      <c r="K210" s="2" t="s">
        <v>1152</v>
      </c>
      <c r="L210" s="3">
        <v>43.2</v>
      </c>
      <c r="M210" s="3">
        <v>45.36</v>
      </c>
      <c r="N210" s="3">
        <v>79.99</v>
      </c>
      <c r="O210" s="2" t="s">
        <v>97</v>
      </c>
      <c r="P210" s="2" t="s">
        <v>98</v>
      </c>
      <c r="Q210" s="2" t="s">
        <v>99</v>
      </c>
      <c r="R210" s="2" t="s">
        <v>100</v>
      </c>
      <c r="S210" s="2" t="s">
        <v>1153</v>
      </c>
      <c r="T210" s="2" t="s">
        <v>1135</v>
      </c>
      <c r="U210" s="2" t="s">
        <v>901</v>
      </c>
      <c r="V210" s="2" t="s">
        <v>461</v>
      </c>
      <c r="W210" s="2" t="s">
        <v>1136</v>
      </c>
      <c r="X210" s="2" t="s">
        <v>1147</v>
      </c>
      <c r="Y210" s="2" t="s">
        <v>1148</v>
      </c>
      <c r="Z210" s="4">
        <v>371</v>
      </c>
      <c r="AA210" s="4">
        <f>=ROUNDDOWN(46.375,0)</f>
      </c>
      <c r="AB210" s="5">
        <v>8</v>
      </c>
      <c r="AC210" s="2" t="s">
        <v>312</v>
      </c>
      <c r="AD210" s="4">
        <v>130</v>
      </c>
      <c r="AE210" s="4">
        <v>130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/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 t="s">
        <v>100</v>
      </c>
      <c r="BJ210" s="4">
        <v>31</v>
      </c>
      <c r="BK210" s="8">
        <v>1451.22</v>
      </c>
      <c r="BL210" s="2" t="s">
        <v>1154</v>
      </c>
      <c r="BM210" s="7"/>
      <c r="BN210" s="7"/>
      <c r="BO210" s="4"/>
      <c r="BP210" s="8"/>
      <c r="BQ210" s="4"/>
      <c r="BR210" s="8"/>
      <c r="BS210" s="7"/>
      <c r="BT210" s="7"/>
      <c r="BU210" s="2" t="s">
        <v>171</v>
      </c>
      <c r="BV210" s="2" t="s">
        <v>97</v>
      </c>
      <c r="BW210" s="2" t="s">
        <v>100</v>
      </c>
      <c r="BX210" s="2" t="s">
        <v>100</v>
      </c>
      <c r="BY210" s="2" t="s">
        <v>112</v>
      </c>
      <c r="BZ210" s="2" t="s">
        <v>149</v>
      </c>
    </row>
    <row r="211">
      <c r="A211" s="2" t="s">
        <v>1155</v>
      </c>
      <c r="B211" s="2" t="s">
        <v>87</v>
      </c>
      <c r="C211" s="2" t="s">
        <v>88</v>
      </c>
      <c r="D211" s="2" t="s">
        <v>963</v>
      </c>
      <c r="E211" s="2" t="s">
        <v>1046</v>
      </c>
      <c r="F211" s="2" t="s">
        <v>1130</v>
      </c>
      <c r="G211" s="2" t="s">
        <v>1131</v>
      </c>
      <c r="H211" s="2" t="s">
        <v>1132</v>
      </c>
      <c r="I211" s="2" t="s">
        <v>1133</v>
      </c>
      <c r="J211" s="2" t="s">
        <v>529</v>
      </c>
      <c r="K211" s="2" t="s">
        <v>1152</v>
      </c>
      <c r="L211" s="3">
        <v>47.52</v>
      </c>
      <c r="M211" s="3">
        <v>49.9</v>
      </c>
      <c r="N211" s="3">
        <v>89.99</v>
      </c>
      <c r="O211" s="2" t="s">
        <v>97</v>
      </c>
      <c r="P211" s="2" t="s">
        <v>98</v>
      </c>
      <c r="Q211" s="2" t="s">
        <v>99</v>
      </c>
      <c r="R211" s="2" t="s">
        <v>100</v>
      </c>
      <c r="S211" s="2" t="s">
        <v>1153</v>
      </c>
      <c r="T211" s="2" t="s">
        <v>1135</v>
      </c>
      <c r="U211" s="2" t="s">
        <v>901</v>
      </c>
      <c r="V211" s="2" t="s">
        <v>461</v>
      </c>
      <c r="W211" s="2" t="s">
        <v>1136</v>
      </c>
      <c r="X211" s="2" t="s">
        <v>1147</v>
      </c>
      <c r="Y211" s="2" t="s">
        <v>1148</v>
      </c>
      <c r="Z211" s="4">
        <v>668</v>
      </c>
      <c r="AA211" s="4">
        <f>=ROUNDDOWN(47.7142857142857,0)</f>
      </c>
      <c r="AB211" s="5">
        <v>14</v>
      </c>
      <c r="AC211" s="2" t="s">
        <v>312</v>
      </c>
      <c r="AD211" s="4">
        <v>180</v>
      </c>
      <c r="AE211" s="4">
        <v>180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/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70</v>
      </c>
      <c r="BK211" s="8">
        <v>3583.69</v>
      </c>
      <c r="BL211" s="2" t="s">
        <v>1156</v>
      </c>
      <c r="BM211" s="7"/>
      <c r="BN211" s="7"/>
      <c r="BO211" s="4"/>
      <c r="BP211" s="8"/>
      <c r="BQ211" s="4"/>
      <c r="BR211" s="8"/>
      <c r="BS211" s="7"/>
      <c r="BT211" s="7"/>
      <c r="BU211" s="2" t="s">
        <v>171</v>
      </c>
      <c r="BV211" s="2" t="s">
        <v>97</v>
      </c>
      <c r="BW211" s="2" t="s">
        <v>100</v>
      </c>
      <c r="BX211" s="2" t="s">
        <v>100</v>
      </c>
      <c r="BY211" s="2" t="s">
        <v>112</v>
      </c>
      <c r="BZ211" s="2" t="s">
        <v>149</v>
      </c>
    </row>
    <row r="212">
      <c r="A212" s="2" t="s">
        <v>1157</v>
      </c>
      <c r="B212" s="2" t="s">
        <v>87</v>
      </c>
      <c r="C212" s="2" t="s">
        <v>88</v>
      </c>
      <c r="D212" s="2" t="s">
        <v>963</v>
      </c>
      <c r="E212" s="2" t="s">
        <v>1046</v>
      </c>
      <c r="F212" s="2" t="s">
        <v>1035</v>
      </c>
      <c r="G212" s="2" t="s">
        <v>1036</v>
      </c>
      <c r="H212" s="2" t="s">
        <v>1037</v>
      </c>
      <c r="I212" s="2" t="s">
        <v>1158</v>
      </c>
      <c r="J212" s="2" t="s">
        <v>529</v>
      </c>
      <c r="K212" s="2" t="s">
        <v>223</v>
      </c>
      <c r="L212" s="3">
        <v>39.69</v>
      </c>
      <c r="M212" s="3">
        <v>41.67</v>
      </c>
      <c r="N212" s="3">
        <v>79.99</v>
      </c>
      <c r="O212" s="2" t="s">
        <v>97</v>
      </c>
      <c r="P212" s="2" t="s">
        <v>98</v>
      </c>
      <c r="Q212" s="2" t="s">
        <v>99</v>
      </c>
      <c r="R212" s="2" t="s">
        <v>100</v>
      </c>
      <c r="S212" s="2" t="s">
        <v>1159</v>
      </c>
      <c r="T212" s="2" t="s">
        <v>100</v>
      </c>
      <c r="U212" s="2" t="s">
        <v>901</v>
      </c>
      <c r="V212" s="2" t="s">
        <v>461</v>
      </c>
      <c r="W212" s="2" t="s">
        <v>142</v>
      </c>
      <c r="X212" s="2" t="s">
        <v>609</v>
      </c>
      <c r="Y212" s="2" t="s">
        <v>144</v>
      </c>
      <c r="Z212" s="4">
        <v>273</v>
      </c>
      <c r="AA212" s="4">
        <f>=ROUNDDOWN(14.3684210526316,0)</f>
      </c>
      <c r="AB212" s="5">
        <v>19</v>
      </c>
      <c r="AC212" s="2" t="s">
        <v>307</v>
      </c>
      <c r="AD212" s="4">
        <v>30</v>
      </c>
      <c r="AE212" s="4">
        <v>310</v>
      </c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1</v>
      </c>
      <c r="AQ212" s="8">
        <v>45.13</v>
      </c>
      <c r="AR212" s="4"/>
      <c r="AS212" s="8"/>
      <c r="AT212" s="7"/>
      <c r="AU212" s="7"/>
      <c r="AV212" s="4">
        <v>1</v>
      </c>
      <c r="AW212" s="8">
        <v>45.13</v>
      </c>
      <c r="AX212" s="4"/>
      <c r="AY212" s="8"/>
      <c r="AZ212" s="7"/>
      <c r="BA212" s="7"/>
      <c r="BB212" s="7">
        <v>1</v>
      </c>
      <c r="BC212" s="4">
        <v>1</v>
      </c>
      <c r="BD212" s="8">
        <v>45.13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>
        <v>1</v>
      </c>
      <c r="BJ212" s="4">
        <v>56</v>
      </c>
      <c r="BK212" s="8">
        <v>2316.47</v>
      </c>
      <c r="BL212" s="2" t="s">
        <v>1160</v>
      </c>
      <c r="BM212" s="7">
        <v>0.0179</v>
      </c>
      <c r="BN212" s="7">
        <v>0.0195</v>
      </c>
      <c r="BO212" s="4">
        <v>1</v>
      </c>
      <c r="BP212" s="8">
        <v>45.13</v>
      </c>
      <c r="BQ212" s="4"/>
      <c r="BR212" s="8"/>
      <c r="BS212" s="7"/>
      <c r="BT212" s="7"/>
      <c r="BU212" s="2" t="s">
        <v>109</v>
      </c>
      <c r="BV212" s="2" t="s">
        <v>97</v>
      </c>
      <c r="BW212" s="2" t="s">
        <v>159</v>
      </c>
      <c r="BX212" s="2" t="s">
        <v>1161</v>
      </c>
      <c r="BY212" s="2" t="s">
        <v>112</v>
      </c>
      <c r="BZ212" s="2" t="s">
        <v>100</v>
      </c>
    </row>
    <row r="213">
      <c r="A213" s="2" t="s">
        <v>1162</v>
      </c>
      <c r="B213" s="2" t="s">
        <v>87</v>
      </c>
      <c r="C213" s="2" t="s">
        <v>88</v>
      </c>
      <c r="D213" s="2" t="s">
        <v>963</v>
      </c>
      <c r="E213" s="2" t="s">
        <v>1046</v>
      </c>
      <c r="F213" s="2" t="s">
        <v>1035</v>
      </c>
      <c r="G213" s="2" t="s">
        <v>1036</v>
      </c>
      <c r="H213" s="2" t="s">
        <v>1037</v>
      </c>
      <c r="I213" s="2" t="s">
        <v>1158</v>
      </c>
      <c r="J213" s="2" t="s">
        <v>352</v>
      </c>
      <c r="K213" s="2" t="s">
        <v>179</v>
      </c>
      <c r="L213" s="3">
        <v>26.9</v>
      </c>
      <c r="M213" s="3">
        <v>28.24</v>
      </c>
      <c r="N213" s="3">
        <v>54.99</v>
      </c>
      <c r="O213" s="2" t="s">
        <v>97</v>
      </c>
      <c r="P213" s="2" t="s">
        <v>98</v>
      </c>
      <c r="Q213" s="2" t="s">
        <v>99</v>
      </c>
      <c r="R213" s="2" t="s">
        <v>100</v>
      </c>
      <c r="S213" s="2" t="s">
        <v>1163</v>
      </c>
      <c r="T213" s="2" t="s">
        <v>100</v>
      </c>
      <c r="U213" s="2" t="s">
        <v>894</v>
      </c>
      <c r="V213" s="2" t="s">
        <v>461</v>
      </c>
      <c r="W213" s="2" t="s">
        <v>142</v>
      </c>
      <c r="X213" s="2" t="s">
        <v>609</v>
      </c>
      <c r="Y213" s="2" t="s">
        <v>144</v>
      </c>
      <c r="Z213" s="4">
        <v>131</v>
      </c>
      <c r="AA213" s="4">
        <f>=ROUNDDOWN(9.35714285714286,0)</f>
      </c>
      <c r="AB213" s="5">
        <v>14</v>
      </c>
      <c r="AC213" s="2" t="s">
        <v>312</v>
      </c>
      <c r="AD213" s="4">
        <v>30</v>
      </c>
      <c r="AE213" s="4">
        <v>350</v>
      </c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/>
      <c r="BJ213" s="4">
        <v>53</v>
      </c>
      <c r="BK213" s="8">
        <v>1638.2</v>
      </c>
      <c r="BL213" s="2" t="s">
        <v>1164</v>
      </c>
      <c r="BM213" s="7"/>
      <c r="BN213" s="7"/>
      <c r="BO213" s="4"/>
      <c r="BP213" s="8"/>
      <c r="BQ213" s="4"/>
      <c r="BR213" s="8"/>
      <c r="BS213" s="7"/>
      <c r="BT213" s="7"/>
      <c r="BU213" s="2" t="s">
        <v>109</v>
      </c>
      <c r="BV213" s="2" t="s">
        <v>97</v>
      </c>
      <c r="BW213" s="2" t="s">
        <v>475</v>
      </c>
      <c r="BX213" s="2" t="s">
        <v>1165</v>
      </c>
      <c r="BY213" s="2" t="s">
        <v>112</v>
      </c>
      <c r="BZ213" s="2" t="s">
        <v>100</v>
      </c>
    </row>
    <row r="214">
      <c r="A214" s="2" t="s">
        <v>1166</v>
      </c>
      <c r="B214" s="2" t="s">
        <v>87</v>
      </c>
      <c r="C214" s="2" t="s">
        <v>88</v>
      </c>
      <c r="D214" s="2" t="s">
        <v>963</v>
      </c>
      <c r="E214" s="2" t="s">
        <v>1046</v>
      </c>
      <c r="F214" s="2" t="s">
        <v>1035</v>
      </c>
      <c r="G214" s="2" t="s">
        <v>1036</v>
      </c>
      <c r="H214" s="2" t="s">
        <v>1037</v>
      </c>
      <c r="I214" s="2" t="s">
        <v>1158</v>
      </c>
      <c r="J214" s="2" t="s">
        <v>522</v>
      </c>
      <c r="K214" s="2" t="s">
        <v>1090</v>
      </c>
      <c r="L214" s="3">
        <v>34.55</v>
      </c>
      <c r="M214" s="3">
        <v>36.28</v>
      </c>
      <c r="N214" s="3">
        <v>69.99</v>
      </c>
      <c r="O214" s="2" t="s">
        <v>97</v>
      </c>
      <c r="P214" s="2" t="s">
        <v>156</v>
      </c>
      <c r="Q214" s="2" t="s">
        <v>99</v>
      </c>
      <c r="R214" s="2" t="s">
        <v>100</v>
      </c>
      <c r="S214" s="2" t="s">
        <v>1167</v>
      </c>
      <c r="T214" s="2" t="s">
        <v>100</v>
      </c>
      <c r="U214" s="2" t="s">
        <v>901</v>
      </c>
      <c r="V214" s="2" t="s">
        <v>461</v>
      </c>
      <c r="W214" s="2" t="s">
        <v>142</v>
      </c>
      <c r="X214" s="2" t="s">
        <v>609</v>
      </c>
      <c r="Y214" s="2" t="s">
        <v>144</v>
      </c>
      <c r="Z214" s="4">
        <v>729</v>
      </c>
      <c r="AA214" s="4">
        <f>=ROUNDDOWN(27,0)</f>
      </c>
      <c r="AB214" s="5">
        <v>27</v>
      </c>
      <c r="AC214" s="2" t="s">
        <v>130</v>
      </c>
      <c r="AD214" s="4">
        <v>50</v>
      </c>
      <c r="AE214" s="4">
        <v>150</v>
      </c>
      <c r="AF214" s="6">
        <v>65</v>
      </c>
      <c r="AG214" s="6">
        <v>48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/>
      <c r="BJ214" s="4">
        <v>107</v>
      </c>
      <c r="BK214" s="8">
        <v>4041.31</v>
      </c>
      <c r="BL214" s="2" t="s">
        <v>1168</v>
      </c>
      <c r="BM214" s="7"/>
      <c r="BN214" s="7"/>
      <c r="BO214" s="4"/>
      <c r="BP214" s="8"/>
      <c r="BQ214" s="4"/>
      <c r="BR214" s="8"/>
      <c r="BS214" s="7"/>
      <c r="BT214" s="7"/>
      <c r="BU214" s="2" t="s">
        <v>109</v>
      </c>
      <c r="BV214" s="2" t="s">
        <v>97</v>
      </c>
      <c r="BW214" s="2" t="s">
        <v>159</v>
      </c>
      <c r="BX214" s="2" t="s">
        <v>358</v>
      </c>
      <c r="BY214" s="2" t="s">
        <v>112</v>
      </c>
      <c r="BZ214" s="2" t="s">
        <v>149</v>
      </c>
    </row>
    <row r="215">
      <c r="A215" s="2" t="s">
        <v>1169</v>
      </c>
      <c r="B215" s="2" t="s">
        <v>87</v>
      </c>
      <c r="C215" s="2" t="s">
        <v>88</v>
      </c>
      <c r="D215" s="2" t="s">
        <v>963</v>
      </c>
      <c r="E215" s="2" t="s">
        <v>1046</v>
      </c>
      <c r="F215" s="2" t="s">
        <v>1035</v>
      </c>
      <c r="G215" s="2" t="s">
        <v>1036</v>
      </c>
      <c r="H215" s="2" t="s">
        <v>1037</v>
      </c>
      <c r="I215" s="2" t="s">
        <v>1158</v>
      </c>
      <c r="J215" s="2" t="s">
        <v>522</v>
      </c>
      <c r="K215" s="2" t="s">
        <v>856</v>
      </c>
      <c r="L215" s="3">
        <v>34.55</v>
      </c>
      <c r="M215" s="3">
        <v>36.28</v>
      </c>
      <c r="N215" s="3">
        <v>69.99</v>
      </c>
      <c r="O215" s="2" t="s">
        <v>97</v>
      </c>
      <c r="P215" s="2" t="s">
        <v>98</v>
      </c>
      <c r="Q215" s="2" t="s">
        <v>99</v>
      </c>
      <c r="R215" s="2" t="s">
        <v>100</v>
      </c>
      <c r="S215" s="2" t="s">
        <v>1170</v>
      </c>
      <c r="T215" s="2" t="s">
        <v>100</v>
      </c>
      <c r="U215" s="2" t="s">
        <v>901</v>
      </c>
      <c r="V215" s="2" t="s">
        <v>461</v>
      </c>
      <c r="W215" s="2" t="s">
        <v>142</v>
      </c>
      <c r="X215" s="2" t="s">
        <v>609</v>
      </c>
      <c r="Y215" s="2" t="s">
        <v>144</v>
      </c>
      <c r="Z215" s="4">
        <v>630</v>
      </c>
      <c r="AA215" s="4">
        <f>=ROUNDDOWN(33.1578947368421,0)</f>
      </c>
      <c r="AB215" s="5">
        <v>19</v>
      </c>
      <c r="AC215" s="2" t="s">
        <v>307</v>
      </c>
      <c r="AD215" s="4">
        <v>30</v>
      </c>
      <c r="AE215" s="4">
        <v>240</v>
      </c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/>
      <c r="BJ215" s="4">
        <v>31</v>
      </c>
      <c r="BK215" s="8">
        <v>1155.9</v>
      </c>
      <c r="BL215" s="2" t="s">
        <v>1171</v>
      </c>
      <c r="BM215" s="7"/>
      <c r="BN215" s="7"/>
      <c r="BO215" s="4"/>
      <c r="BP215" s="8"/>
      <c r="BQ215" s="4"/>
      <c r="BR215" s="8"/>
      <c r="BS215" s="7"/>
      <c r="BT215" s="7"/>
      <c r="BU215" s="2" t="s">
        <v>109</v>
      </c>
      <c r="BV215" s="2" t="s">
        <v>97</v>
      </c>
      <c r="BW215" s="2" t="s">
        <v>159</v>
      </c>
      <c r="BX215" s="2" t="s">
        <v>358</v>
      </c>
      <c r="BY215" s="2" t="s">
        <v>112</v>
      </c>
      <c r="BZ215" s="2" t="s">
        <v>149</v>
      </c>
    </row>
    <row r="216">
      <c r="A216" s="2" t="s">
        <v>1172</v>
      </c>
      <c r="B216" s="2" t="s">
        <v>87</v>
      </c>
      <c r="C216" s="2" t="s">
        <v>88</v>
      </c>
      <c r="D216" s="2" t="s">
        <v>963</v>
      </c>
      <c r="E216" s="2" t="s">
        <v>1046</v>
      </c>
      <c r="F216" s="2" t="s">
        <v>1035</v>
      </c>
      <c r="G216" s="2" t="s">
        <v>1036</v>
      </c>
      <c r="H216" s="2" t="s">
        <v>1037</v>
      </c>
      <c r="I216" s="2" t="s">
        <v>1158</v>
      </c>
      <c r="J216" s="2" t="s">
        <v>352</v>
      </c>
      <c r="K216" s="2" t="s">
        <v>1173</v>
      </c>
      <c r="L216" s="3">
        <v>26.9</v>
      </c>
      <c r="M216" s="3">
        <v>28.24</v>
      </c>
      <c r="N216" s="3">
        <v>54.99</v>
      </c>
      <c r="O216" s="2" t="s">
        <v>97</v>
      </c>
      <c r="P216" s="2" t="s">
        <v>98</v>
      </c>
      <c r="Q216" s="2" t="s">
        <v>99</v>
      </c>
      <c r="R216" s="2" t="s">
        <v>100</v>
      </c>
      <c r="S216" s="2" t="s">
        <v>1174</v>
      </c>
      <c r="T216" s="2" t="s">
        <v>100</v>
      </c>
      <c r="U216" s="2" t="s">
        <v>894</v>
      </c>
      <c r="V216" s="2" t="s">
        <v>461</v>
      </c>
      <c r="W216" s="2" t="s">
        <v>142</v>
      </c>
      <c r="X216" s="2" t="s">
        <v>609</v>
      </c>
      <c r="Y216" s="2" t="s">
        <v>144</v>
      </c>
      <c r="Z216" s="4">
        <v>124</v>
      </c>
      <c r="AA216" s="4">
        <f>=ROUNDDOWN(9.53846153846154,0)</f>
      </c>
      <c r="AB216" s="5">
        <v>13</v>
      </c>
      <c r="AC216" s="2" t="s">
        <v>107</v>
      </c>
      <c r="AD216" s="4">
        <v>50</v>
      </c>
      <c r="AE216" s="4">
        <v>360</v>
      </c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/>
      <c r="BJ216" s="4">
        <v>28</v>
      </c>
      <c r="BK216" s="8">
        <v>809.31</v>
      </c>
      <c r="BL216" s="2" t="s">
        <v>357</v>
      </c>
      <c r="BM216" s="7"/>
      <c r="BN216" s="7"/>
      <c r="BO216" s="4"/>
      <c r="BP216" s="8"/>
      <c r="BQ216" s="4"/>
      <c r="BR216" s="8"/>
      <c r="BS216" s="7"/>
      <c r="BT216" s="7"/>
      <c r="BU216" s="2" t="s">
        <v>109</v>
      </c>
      <c r="BV216" s="2" t="s">
        <v>97</v>
      </c>
      <c r="BW216" s="2" t="s">
        <v>159</v>
      </c>
      <c r="BX216" s="2" t="s">
        <v>1175</v>
      </c>
      <c r="BY216" s="2" t="s">
        <v>112</v>
      </c>
      <c r="BZ216" s="2" t="s">
        <v>149</v>
      </c>
    </row>
    <row r="217">
      <c r="A217" s="2" t="s">
        <v>1176</v>
      </c>
      <c r="B217" s="2" t="s">
        <v>87</v>
      </c>
      <c r="C217" s="2" t="s">
        <v>88</v>
      </c>
      <c r="D217" s="2" t="s">
        <v>963</v>
      </c>
      <c r="E217" s="2" t="s">
        <v>1046</v>
      </c>
      <c r="F217" s="2" t="s">
        <v>636</v>
      </c>
      <c r="G217" s="2" t="s">
        <v>637</v>
      </c>
      <c r="H217" s="2" t="s">
        <v>638</v>
      </c>
      <c r="I217" s="2" t="s">
        <v>1177</v>
      </c>
      <c r="J217" s="2" t="s">
        <v>522</v>
      </c>
      <c r="K217" s="2" t="s">
        <v>640</v>
      </c>
      <c r="L217" s="3">
        <v>38.09</v>
      </c>
      <c r="M217" s="3">
        <v>39.99</v>
      </c>
      <c r="N217" s="3">
        <v>79.99</v>
      </c>
      <c r="O217" s="2" t="s">
        <v>97</v>
      </c>
      <c r="P217" s="2" t="s">
        <v>98</v>
      </c>
      <c r="Q217" s="2" t="s">
        <v>99</v>
      </c>
      <c r="R217" s="2" t="s">
        <v>100</v>
      </c>
      <c r="S217" s="2" t="s">
        <v>641</v>
      </c>
      <c r="T217" s="2" t="s">
        <v>438</v>
      </c>
      <c r="U217" s="2" t="s">
        <v>901</v>
      </c>
      <c r="V217" s="2" t="s">
        <v>473</v>
      </c>
      <c r="W217" s="2" t="s">
        <v>642</v>
      </c>
      <c r="X217" s="2" t="s">
        <v>580</v>
      </c>
      <c r="Y217" s="2" t="s">
        <v>1178</v>
      </c>
      <c r="Z217" s="4">
        <v>735</v>
      </c>
      <c r="AA217" s="4">
        <f>=ROUNDDOWN(19.8648648648649,0)</f>
      </c>
      <c r="AB217" s="5">
        <v>37</v>
      </c>
      <c r="AC217" s="2" t="s">
        <v>145</v>
      </c>
      <c r="AD217" s="4">
        <v>460</v>
      </c>
      <c r="AE217" s="4">
        <v>460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/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/>
      <c r="BJ217" s="4">
        <v>103</v>
      </c>
      <c r="BK217" s="8">
        <v>3847.37</v>
      </c>
      <c r="BL217" s="2" t="s">
        <v>1179</v>
      </c>
      <c r="BM217" s="7"/>
      <c r="BN217" s="7"/>
      <c r="BO217" s="4"/>
      <c r="BP217" s="8"/>
      <c r="BQ217" s="4"/>
      <c r="BR217" s="8"/>
      <c r="BS217" s="7"/>
      <c r="BT217" s="7"/>
      <c r="BU217" s="2" t="s">
        <v>171</v>
      </c>
      <c r="BV217" s="2" t="s">
        <v>97</v>
      </c>
      <c r="BW217" s="2" t="s">
        <v>100</v>
      </c>
      <c r="BX217" s="2" t="s">
        <v>100</v>
      </c>
      <c r="BY217" s="2" t="s">
        <v>112</v>
      </c>
      <c r="BZ217" s="2" t="s">
        <v>149</v>
      </c>
    </row>
    <row r="218">
      <c r="A218" s="2" t="s">
        <v>1180</v>
      </c>
      <c r="B218" s="2" t="s">
        <v>87</v>
      </c>
      <c r="C218" s="2" t="s">
        <v>88</v>
      </c>
      <c r="D218" s="2" t="s">
        <v>963</v>
      </c>
      <c r="E218" s="2" t="s">
        <v>1046</v>
      </c>
      <c r="F218" s="2" t="s">
        <v>636</v>
      </c>
      <c r="G218" s="2" t="s">
        <v>637</v>
      </c>
      <c r="H218" s="2" t="s">
        <v>638</v>
      </c>
      <c r="I218" s="2" t="s">
        <v>1177</v>
      </c>
      <c r="J218" s="2" t="s">
        <v>529</v>
      </c>
      <c r="K218" s="2" t="s">
        <v>640</v>
      </c>
      <c r="L218" s="3">
        <v>42.85</v>
      </c>
      <c r="M218" s="3">
        <v>44.99</v>
      </c>
      <c r="N218" s="3">
        <v>89.99</v>
      </c>
      <c r="O218" s="2" t="s">
        <v>97</v>
      </c>
      <c r="P218" s="2" t="s">
        <v>98</v>
      </c>
      <c r="Q218" s="2" t="s">
        <v>99</v>
      </c>
      <c r="R218" s="2" t="s">
        <v>100</v>
      </c>
      <c r="S218" s="2" t="s">
        <v>641</v>
      </c>
      <c r="T218" s="2" t="s">
        <v>438</v>
      </c>
      <c r="U218" s="2" t="s">
        <v>901</v>
      </c>
      <c r="V218" s="2" t="s">
        <v>473</v>
      </c>
      <c r="W218" s="2" t="s">
        <v>642</v>
      </c>
      <c r="X218" s="2" t="s">
        <v>580</v>
      </c>
      <c r="Y218" s="2" t="s">
        <v>1178</v>
      </c>
      <c r="Z218" s="4">
        <v>828</v>
      </c>
      <c r="AA218" s="4">
        <f>=ROUNDDOWN(18,0)</f>
      </c>
      <c r="AB218" s="5">
        <v>46</v>
      </c>
      <c r="AC218" s="2" t="s">
        <v>646</v>
      </c>
      <c r="AD218" s="4">
        <v>640</v>
      </c>
      <c r="AE218" s="4">
        <v>640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/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/>
      <c r="BJ218" s="4">
        <v>124</v>
      </c>
      <c r="BK218" s="8">
        <v>5412.56</v>
      </c>
      <c r="BL218" s="2" t="s">
        <v>1181</v>
      </c>
      <c r="BM218" s="7"/>
      <c r="BN218" s="7"/>
      <c r="BO218" s="4"/>
      <c r="BP218" s="8"/>
      <c r="BQ218" s="4"/>
      <c r="BR218" s="8"/>
      <c r="BS218" s="7"/>
      <c r="BT218" s="7"/>
      <c r="BU218" s="2" t="s">
        <v>171</v>
      </c>
      <c r="BV218" s="2" t="s">
        <v>97</v>
      </c>
      <c r="BW218" s="2" t="s">
        <v>100</v>
      </c>
      <c r="BX218" s="2" t="s">
        <v>100</v>
      </c>
      <c r="BY218" s="2" t="s">
        <v>112</v>
      </c>
      <c r="BZ218" s="2" t="s">
        <v>149</v>
      </c>
    </row>
    <row r="219">
      <c r="A219" s="2" t="s">
        <v>1182</v>
      </c>
      <c r="B219" s="2" t="s">
        <v>87</v>
      </c>
      <c r="C219" s="2" t="s">
        <v>88</v>
      </c>
      <c r="D219" s="2" t="s">
        <v>963</v>
      </c>
      <c r="E219" s="2" t="s">
        <v>1046</v>
      </c>
      <c r="F219" s="2" t="s">
        <v>1183</v>
      </c>
      <c r="G219" s="2" t="s">
        <v>1184</v>
      </c>
      <c r="H219" s="2" t="s">
        <v>1185</v>
      </c>
      <c r="I219" s="2" t="s">
        <v>1186</v>
      </c>
      <c r="J219" s="2" t="s">
        <v>522</v>
      </c>
      <c r="K219" s="2" t="s">
        <v>1187</v>
      </c>
      <c r="L219" s="3">
        <v>36.8</v>
      </c>
      <c r="M219" s="3">
        <v>38.64</v>
      </c>
      <c r="N219" s="3">
        <v>79.99</v>
      </c>
      <c r="O219" s="2" t="s">
        <v>97</v>
      </c>
      <c r="P219" s="2" t="s">
        <v>98</v>
      </c>
      <c r="Q219" s="2" t="s">
        <v>99</v>
      </c>
      <c r="R219" s="2" t="s">
        <v>100</v>
      </c>
      <c r="S219" s="2" t="s">
        <v>1188</v>
      </c>
      <c r="T219" s="2" t="s">
        <v>438</v>
      </c>
      <c r="U219" s="2" t="s">
        <v>901</v>
      </c>
      <c r="V219" s="2" t="s">
        <v>269</v>
      </c>
      <c r="W219" s="2" t="s">
        <v>270</v>
      </c>
      <c r="X219" s="2" t="s">
        <v>356</v>
      </c>
      <c r="Y219" s="2" t="s">
        <v>1189</v>
      </c>
      <c r="Z219" s="4">
        <v>693</v>
      </c>
      <c r="AA219" s="4">
        <f>=ROUNDDOWN(31.5,0)</f>
      </c>
      <c r="AB219" s="5">
        <v>22</v>
      </c>
      <c r="AC219" s="2" t="s">
        <v>1142</v>
      </c>
      <c r="AD219" s="4">
        <v>240</v>
      </c>
      <c r="AE219" s="4">
        <v>240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/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/>
      <c r="BJ219" s="4">
        <v>81</v>
      </c>
      <c r="BK219" s="8">
        <v>3118.34</v>
      </c>
      <c r="BL219" s="2" t="s">
        <v>1190</v>
      </c>
      <c r="BM219" s="7"/>
      <c r="BN219" s="7"/>
      <c r="BO219" s="4"/>
      <c r="BP219" s="8"/>
      <c r="BQ219" s="4"/>
      <c r="BR219" s="8"/>
      <c r="BS219" s="7"/>
      <c r="BT219" s="7"/>
      <c r="BU219" s="2" t="s">
        <v>171</v>
      </c>
      <c r="BV219" s="2" t="s">
        <v>97</v>
      </c>
      <c r="BW219" s="2" t="s">
        <v>100</v>
      </c>
      <c r="BX219" s="2" t="s">
        <v>100</v>
      </c>
      <c r="BY219" s="2" t="s">
        <v>112</v>
      </c>
      <c r="BZ219" s="2" t="s">
        <v>149</v>
      </c>
    </row>
    <row r="220">
      <c r="A220" s="2" t="s">
        <v>1191</v>
      </c>
      <c r="B220" s="2" t="s">
        <v>87</v>
      </c>
      <c r="C220" s="2" t="s">
        <v>88</v>
      </c>
      <c r="D220" s="2" t="s">
        <v>963</v>
      </c>
      <c r="E220" s="2" t="s">
        <v>1046</v>
      </c>
      <c r="F220" s="2" t="s">
        <v>1183</v>
      </c>
      <c r="G220" s="2" t="s">
        <v>1184</v>
      </c>
      <c r="H220" s="2" t="s">
        <v>1185</v>
      </c>
      <c r="I220" s="2" t="s">
        <v>1186</v>
      </c>
      <c r="J220" s="2" t="s">
        <v>529</v>
      </c>
      <c r="K220" s="2" t="s">
        <v>1187</v>
      </c>
      <c r="L220" s="3">
        <v>42.3</v>
      </c>
      <c r="M220" s="3">
        <v>44.41</v>
      </c>
      <c r="N220" s="3">
        <v>89.99</v>
      </c>
      <c r="O220" s="2" t="s">
        <v>97</v>
      </c>
      <c r="P220" s="2" t="s">
        <v>98</v>
      </c>
      <c r="Q220" s="2" t="s">
        <v>99</v>
      </c>
      <c r="R220" s="2" t="s">
        <v>100</v>
      </c>
      <c r="S220" s="2" t="s">
        <v>1188</v>
      </c>
      <c r="T220" s="2" t="s">
        <v>438</v>
      </c>
      <c r="U220" s="2" t="s">
        <v>901</v>
      </c>
      <c r="V220" s="2" t="s">
        <v>269</v>
      </c>
      <c r="W220" s="2" t="s">
        <v>270</v>
      </c>
      <c r="X220" s="2" t="s">
        <v>356</v>
      </c>
      <c r="Y220" s="2" t="s">
        <v>1192</v>
      </c>
      <c r="Z220" s="4">
        <v>387</v>
      </c>
      <c r="AA220" s="4">
        <f>=ROUNDDOWN(22.7647058823529,0)</f>
      </c>
      <c r="AB220" s="5">
        <v>17</v>
      </c>
      <c r="AC220" s="2" t="s">
        <v>1142</v>
      </c>
      <c r="AD220" s="4">
        <v>360</v>
      </c>
      <c r="AE220" s="4">
        <v>360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/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/>
      <c r="BJ220" s="4">
        <v>66</v>
      </c>
      <c r="BK220" s="8">
        <v>2877.25</v>
      </c>
      <c r="BL220" s="2" t="s">
        <v>1193</v>
      </c>
      <c r="BM220" s="7"/>
      <c r="BN220" s="7"/>
      <c r="BO220" s="4"/>
      <c r="BP220" s="8"/>
      <c r="BQ220" s="4"/>
      <c r="BR220" s="8"/>
      <c r="BS220" s="7"/>
      <c r="BT220" s="7"/>
      <c r="BU220" s="2" t="s">
        <v>171</v>
      </c>
      <c r="BV220" s="2" t="s">
        <v>97</v>
      </c>
      <c r="BW220" s="2" t="s">
        <v>100</v>
      </c>
      <c r="BX220" s="2" t="s">
        <v>100</v>
      </c>
      <c r="BY220" s="2" t="s">
        <v>112</v>
      </c>
      <c r="BZ220" s="2" t="s">
        <v>100</v>
      </c>
    </row>
    <row r="221">
      <c r="A221" s="2" t="s">
        <v>1194</v>
      </c>
      <c r="B221" s="2" t="s">
        <v>87</v>
      </c>
      <c r="C221" s="2" t="s">
        <v>88</v>
      </c>
      <c r="D221" s="2" t="s">
        <v>963</v>
      </c>
      <c r="E221" s="2" t="s">
        <v>1046</v>
      </c>
      <c r="F221" s="2" t="s">
        <v>1195</v>
      </c>
      <c r="G221" s="2" t="s">
        <v>1196</v>
      </c>
      <c r="H221" s="2" t="s">
        <v>1197</v>
      </c>
      <c r="I221" s="2" t="s">
        <v>1198</v>
      </c>
      <c r="J221" s="2" t="s">
        <v>522</v>
      </c>
      <c r="K221" s="2" t="s">
        <v>179</v>
      </c>
      <c r="L221" s="3">
        <v>42.3</v>
      </c>
      <c r="M221" s="3">
        <v>44.41</v>
      </c>
      <c r="N221" s="3">
        <v>89.99</v>
      </c>
      <c r="O221" s="2" t="s">
        <v>97</v>
      </c>
      <c r="P221" s="2" t="s">
        <v>98</v>
      </c>
      <c r="Q221" s="2" t="s">
        <v>99</v>
      </c>
      <c r="R221" s="2" t="s">
        <v>100</v>
      </c>
      <c r="S221" s="2" t="s">
        <v>1199</v>
      </c>
      <c r="T221" s="2" t="s">
        <v>438</v>
      </c>
      <c r="U221" s="2" t="s">
        <v>901</v>
      </c>
      <c r="V221" s="2" t="s">
        <v>461</v>
      </c>
      <c r="W221" s="2" t="s">
        <v>525</v>
      </c>
      <c r="X221" s="2" t="s">
        <v>1147</v>
      </c>
      <c r="Y221" s="2" t="s">
        <v>1200</v>
      </c>
      <c r="Z221" s="4">
        <v>817</v>
      </c>
      <c r="AA221" s="4">
        <f>=ROUNDDOWN(27.2333333333333,0)</f>
      </c>
      <c r="AB221" s="5">
        <v>30</v>
      </c>
      <c r="AC221" s="2" t="s">
        <v>1201</v>
      </c>
      <c r="AD221" s="4">
        <v>520</v>
      </c>
      <c r="AE221" s="4">
        <v>520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/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/>
      <c r="BJ221" s="4">
        <v>93</v>
      </c>
      <c r="BK221" s="8">
        <v>4150.89</v>
      </c>
      <c r="BL221" s="2" t="s">
        <v>1202</v>
      </c>
      <c r="BM221" s="7"/>
      <c r="BN221" s="7"/>
      <c r="BO221" s="4"/>
      <c r="BP221" s="8"/>
      <c r="BQ221" s="4"/>
      <c r="BR221" s="8"/>
      <c r="BS221" s="7"/>
      <c r="BT221" s="7"/>
      <c r="BU221" s="2" t="s">
        <v>171</v>
      </c>
      <c r="BV221" s="2" t="s">
        <v>97</v>
      </c>
      <c r="BW221" s="2" t="s">
        <v>100</v>
      </c>
      <c r="BX221" s="2" t="s">
        <v>100</v>
      </c>
      <c r="BY221" s="2" t="s">
        <v>112</v>
      </c>
      <c r="BZ221" s="2" t="s">
        <v>100</v>
      </c>
    </row>
    <row r="222">
      <c r="A222" s="2" t="s">
        <v>1203</v>
      </c>
      <c r="B222" s="2" t="s">
        <v>87</v>
      </c>
      <c r="C222" s="2" t="s">
        <v>88</v>
      </c>
      <c r="D222" s="2" t="s">
        <v>963</v>
      </c>
      <c r="E222" s="2" t="s">
        <v>1046</v>
      </c>
      <c r="F222" s="2" t="s">
        <v>1195</v>
      </c>
      <c r="G222" s="2" t="s">
        <v>1196</v>
      </c>
      <c r="H222" s="2" t="s">
        <v>1197</v>
      </c>
      <c r="I222" s="2" t="s">
        <v>1198</v>
      </c>
      <c r="J222" s="2" t="s">
        <v>529</v>
      </c>
      <c r="K222" s="2" t="s">
        <v>179</v>
      </c>
      <c r="L222" s="3">
        <v>47</v>
      </c>
      <c r="M222" s="3">
        <v>49.35</v>
      </c>
      <c r="N222" s="3">
        <v>99.99</v>
      </c>
      <c r="O222" s="2" t="s">
        <v>97</v>
      </c>
      <c r="P222" s="2" t="s">
        <v>98</v>
      </c>
      <c r="Q222" s="2" t="s">
        <v>99</v>
      </c>
      <c r="R222" s="2" t="s">
        <v>100</v>
      </c>
      <c r="S222" s="2" t="s">
        <v>1199</v>
      </c>
      <c r="T222" s="2" t="s">
        <v>438</v>
      </c>
      <c r="U222" s="2" t="s">
        <v>901</v>
      </c>
      <c r="V222" s="2" t="s">
        <v>461</v>
      </c>
      <c r="W222" s="2" t="s">
        <v>525</v>
      </c>
      <c r="X222" s="2" t="s">
        <v>1147</v>
      </c>
      <c r="Y222" s="2" t="s">
        <v>1200</v>
      </c>
      <c r="Z222" s="4">
        <v>901</v>
      </c>
      <c r="AA222" s="4">
        <f>=ROUNDDOWN(27.3030303030303,0)</f>
      </c>
      <c r="AB222" s="5">
        <v>33</v>
      </c>
      <c r="AC222" s="2" t="s">
        <v>1201</v>
      </c>
      <c r="AD222" s="4">
        <v>230</v>
      </c>
      <c r="AE222" s="4">
        <v>230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/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/>
      <c r="BJ222" s="4">
        <v>103</v>
      </c>
      <c r="BK222" s="8">
        <v>5056.9</v>
      </c>
      <c r="BL222" s="2" t="s">
        <v>1204</v>
      </c>
      <c r="BM222" s="7"/>
      <c r="BN222" s="7"/>
      <c r="BO222" s="4"/>
      <c r="BP222" s="8"/>
      <c r="BQ222" s="4"/>
      <c r="BR222" s="8"/>
      <c r="BS222" s="7"/>
      <c r="BT222" s="7"/>
      <c r="BU222" s="2" t="s">
        <v>171</v>
      </c>
      <c r="BV222" s="2" t="s">
        <v>97</v>
      </c>
      <c r="BW222" s="2" t="s">
        <v>100</v>
      </c>
      <c r="BX222" s="2" t="s">
        <v>100</v>
      </c>
      <c r="BY222" s="2" t="s">
        <v>112</v>
      </c>
      <c r="BZ222" s="2" t="s">
        <v>149</v>
      </c>
    </row>
    <row r="223">
      <c r="A223" s="2" t="s">
        <v>1205</v>
      </c>
      <c r="B223" s="2" t="s">
        <v>87</v>
      </c>
      <c r="C223" s="2" t="s">
        <v>88</v>
      </c>
      <c r="D223" s="2" t="s">
        <v>963</v>
      </c>
      <c r="E223" s="2" t="s">
        <v>1046</v>
      </c>
      <c r="F223" s="2" t="s">
        <v>1195</v>
      </c>
      <c r="G223" s="2" t="s">
        <v>1196</v>
      </c>
      <c r="H223" s="2" t="s">
        <v>1197</v>
      </c>
      <c r="I223" s="2" t="s">
        <v>1198</v>
      </c>
      <c r="J223" s="2" t="s">
        <v>522</v>
      </c>
      <c r="K223" s="2" t="s">
        <v>458</v>
      </c>
      <c r="L223" s="3">
        <v>42.3</v>
      </c>
      <c r="M223" s="3">
        <v>44.41</v>
      </c>
      <c r="N223" s="3">
        <v>89.99</v>
      </c>
      <c r="O223" s="2" t="s">
        <v>97</v>
      </c>
      <c r="P223" s="2" t="s">
        <v>123</v>
      </c>
      <c r="Q223" s="2" t="s">
        <v>99</v>
      </c>
      <c r="R223" s="2" t="s">
        <v>100</v>
      </c>
      <c r="S223" s="2" t="s">
        <v>1206</v>
      </c>
      <c r="T223" s="2" t="s">
        <v>100</v>
      </c>
      <c r="U223" s="2" t="s">
        <v>901</v>
      </c>
      <c r="V223" s="2" t="s">
        <v>461</v>
      </c>
      <c r="W223" s="2" t="s">
        <v>525</v>
      </c>
      <c r="X223" s="2" t="s">
        <v>1137</v>
      </c>
      <c r="Y223" s="2" t="s">
        <v>144</v>
      </c>
      <c r="Z223" s="4">
        <v>2215</v>
      </c>
      <c r="AA223" s="4">
        <f>=ROUNDDOWN(30.3424657534247,0)</f>
      </c>
      <c r="AB223" s="5">
        <v>73</v>
      </c>
      <c r="AC223" s="2" t="s">
        <v>107</v>
      </c>
      <c r="AD223" s="4">
        <v>150</v>
      </c>
      <c r="AE223" s="4">
        <v>200</v>
      </c>
      <c r="AF223" s="6">
        <v>64</v>
      </c>
      <c r="AG223" s="6">
        <v>47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/>
      <c r="BJ223" s="4">
        <v>198</v>
      </c>
      <c r="BK223" s="8">
        <v>8397.63</v>
      </c>
      <c r="BL223" s="2" t="s">
        <v>1207</v>
      </c>
      <c r="BM223" s="7"/>
      <c r="BN223" s="7"/>
      <c r="BO223" s="4"/>
      <c r="BP223" s="8"/>
      <c r="BQ223" s="4"/>
      <c r="BR223" s="8"/>
      <c r="BS223" s="7"/>
      <c r="BT223" s="7"/>
      <c r="BU223" s="2" t="s">
        <v>109</v>
      </c>
      <c r="BV223" s="2" t="s">
        <v>97</v>
      </c>
      <c r="BW223" s="2" t="s">
        <v>159</v>
      </c>
      <c r="BX223" s="2" t="s">
        <v>1208</v>
      </c>
      <c r="BY223" s="2" t="s">
        <v>112</v>
      </c>
      <c r="BZ223" s="2" t="s">
        <v>100</v>
      </c>
    </row>
    <row r="224">
      <c r="A224" s="2" t="s">
        <v>1209</v>
      </c>
      <c r="B224" s="2" t="s">
        <v>87</v>
      </c>
      <c r="C224" s="2" t="s">
        <v>88</v>
      </c>
      <c r="D224" s="2" t="s">
        <v>963</v>
      </c>
      <c r="E224" s="2" t="s">
        <v>1210</v>
      </c>
      <c r="F224" s="2" t="s">
        <v>1035</v>
      </c>
      <c r="G224" s="2" t="s">
        <v>1036</v>
      </c>
      <c r="H224" s="2" t="s">
        <v>1037</v>
      </c>
      <c r="I224" s="2" t="s">
        <v>1211</v>
      </c>
      <c r="J224" s="2" t="s">
        <v>95</v>
      </c>
      <c r="K224" s="2" t="s">
        <v>1212</v>
      </c>
      <c r="L224" s="3">
        <v>47</v>
      </c>
      <c r="M224" s="3">
        <v>49.35</v>
      </c>
      <c r="N224" s="3">
        <v>99.99</v>
      </c>
      <c r="O224" s="2" t="s">
        <v>97</v>
      </c>
      <c r="P224" s="2" t="s">
        <v>98</v>
      </c>
      <c r="Q224" s="2" t="s">
        <v>99</v>
      </c>
      <c r="R224" s="2" t="s">
        <v>100</v>
      </c>
      <c r="S224" s="2" t="s">
        <v>1213</v>
      </c>
      <c r="T224" s="2" t="s">
        <v>100</v>
      </c>
      <c r="U224" s="2" t="s">
        <v>901</v>
      </c>
      <c r="V224" s="2" t="s">
        <v>461</v>
      </c>
      <c r="W224" s="2" t="s">
        <v>142</v>
      </c>
      <c r="X224" s="2" t="s">
        <v>609</v>
      </c>
      <c r="Y224" s="2" t="s">
        <v>1214</v>
      </c>
      <c r="Z224" s="4">
        <v>116</v>
      </c>
      <c r="AA224" s="4">
        <f>=ROUNDDOWN(7.73333333333333,0)</f>
      </c>
      <c r="AB224" s="5">
        <v>15</v>
      </c>
      <c r="AC224" s="2" t="s">
        <v>1201</v>
      </c>
      <c r="AD224" s="4">
        <v>30</v>
      </c>
      <c r="AE224" s="4">
        <v>310</v>
      </c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1</v>
      </c>
      <c r="AQ224" s="8">
        <v>48.99</v>
      </c>
      <c r="AR224" s="4"/>
      <c r="AS224" s="8"/>
      <c r="AT224" s="7"/>
      <c r="AU224" s="7"/>
      <c r="AV224" s="4">
        <v>4</v>
      </c>
      <c r="AW224" s="8">
        <v>228.63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0.2143</v>
      </c>
      <c r="BC224" s="4">
        <v>7</v>
      </c>
      <c r="BD224" s="8">
        <v>375.6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>
        <v>0.6087</v>
      </c>
      <c r="BJ224" s="4">
        <v>40</v>
      </c>
      <c r="BK224" s="8">
        <v>2100.29</v>
      </c>
      <c r="BL224" s="2" t="s">
        <v>320</v>
      </c>
      <c r="BM224" s="7">
        <v>0.025</v>
      </c>
      <c r="BN224" s="7">
        <v>0.0233</v>
      </c>
      <c r="BO224" s="4">
        <v>1</v>
      </c>
      <c r="BP224" s="8">
        <v>48.99</v>
      </c>
      <c r="BQ224" s="4"/>
      <c r="BR224" s="8"/>
      <c r="BS224" s="7"/>
      <c r="BT224" s="7"/>
      <c r="BU224" s="2" t="s">
        <v>109</v>
      </c>
      <c r="BV224" s="2" t="s">
        <v>97</v>
      </c>
      <c r="BW224" s="2" t="s">
        <v>1215</v>
      </c>
      <c r="BX224" s="2" t="s">
        <v>1216</v>
      </c>
      <c r="BY224" s="2" t="s">
        <v>112</v>
      </c>
      <c r="BZ224" s="2" t="s">
        <v>100</v>
      </c>
    </row>
    <row r="225">
      <c r="A225" s="2" t="s">
        <v>1217</v>
      </c>
      <c r="B225" s="2" t="s">
        <v>87</v>
      </c>
      <c r="C225" s="2" t="s">
        <v>88</v>
      </c>
      <c r="D225" s="2" t="s">
        <v>963</v>
      </c>
      <c r="E225" s="2" t="s">
        <v>1210</v>
      </c>
      <c r="F225" s="2" t="s">
        <v>1035</v>
      </c>
      <c r="G225" s="2" t="s">
        <v>1036</v>
      </c>
      <c r="H225" s="2" t="s">
        <v>1037</v>
      </c>
      <c r="I225" s="2" t="s">
        <v>1211</v>
      </c>
      <c r="J225" s="2" t="s">
        <v>114</v>
      </c>
      <c r="K225" s="2" t="s">
        <v>1212</v>
      </c>
      <c r="L225" s="3">
        <v>57.6</v>
      </c>
      <c r="M225" s="3">
        <v>60.47</v>
      </c>
      <c r="N225" s="3">
        <v>119.99</v>
      </c>
      <c r="O225" s="2" t="s">
        <v>97</v>
      </c>
      <c r="P225" s="2" t="s">
        <v>98</v>
      </c>
      <c r="Q225" s="2" t="s">
        <v>99</v>
      </c>
      <c r="R225" s="2" t="s">
        <v>100</v>
      </c>
      <c r="S225" s="2" t="s">
        <v>1213</v>
      </c>
      <c r="T225" s="2" t="s">
        <v>100</v>
      </c>
      <c r="U225" s="2" t="s">
        <v>901</v>
      </c>
      <c r="V225" s="2" t="s">
        <v>461</v>
      </c>
      <c r="W225" s="2" t="s">
        <v>142</v>
      </c>
      <c r="X225" s="2" t="s">
        <v>609</v>
      </c>
      <c r="Y225" s="2" t="s">
        <v>1214</v>
      </c>
      <c r="Z225" s="4">
        <v>159</v>
      </c>
      <c r="AA225" s="4">
        <f>=ROUNDDOWN(12.2307692307692,0)</f>
      </c>
      <c r="AB225" s="5">
        <v>13</v>
      </c>
      <c r="AC225" s="2" t="s">
        <v>1201</v>
      </c>
      <c r="AD225" s="4">
        <v>60</v>
      </c>
      <c r="AE225" s="4">
        <v>320</v>
      </c>
      <c r="AF225" s="6">
        <v>65</v>
      </c>
      <c r="AG225" s="6">
        <v>48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3</v>
      </c>
      <c r="AQ225" s="8">
        <v>179.64</v>
      </c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0.7857</v>
      </c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 t="s">
        <v>100</v>
      </c>
      <c r="BJ225" s="4">
        <v>35</v>
      </c>
      <c r="BK225" s="8">
        <v>2153.62</v>
      </c>
      <c r="BL225" s="2" t="s">
        <v>313</v>
      </c>
      <c r="BM225" s="7">
        <v>0.0857</v>
      </c>
      <c r="BN225" s="7">
        <v>0.0834</v>
      </c>
      <c r="BO225" s="4">
        <v>3</v>
      </c>
      <c r="BP225" s="8">
        <v>179.64</v>
      </c>
      <c r="BQ225" s="4"/>
      <c r="BR225" s="8"/>
      <c r="BS225" s="7"/>
      <c r="BT225" s="7"/>
      <c r="BU225" s="2" t="s">
        <v>109</v>
      </c>
      <c r="BV225" s="2" t="s">
        <v>97</v>
      </c>
      <c r="BW225" s="2" t="s">
        <v>1215</v>
      </c>
      <c r="BX225" s="2" t="s">
        <v>1218</v>
      </c>
      <c r="BY225" s="2" t="s">
        <v>112</v>
      </c>
      <c r="BZ225" s="2" t="s">
        <v>100</v>
      </c>
    </row>
    <row r="226">
      <c r="A226" s="2" t="s">
        <v>1219</v>
      </c>
      <c r="B226" s="2" t="s">
        <v>87</v>
      </c>
      <c r="C226" s="2" t="s">
        <v>88</v>
      </c>
      <c r="D226" s="2" t="s">
        <v>963</v>
      </c>
      <c r="E226" s="2" t="s">
        <v>1210</v>
      </c>
      <c r="F226" s="2" t="s">
        <v>1035</v>
      </c>
      <c r="G226" s="2" t="s">
        <v>1036</v>
      </c>
      <c r="H226" s="2" t="s">
        <v>1037</v>
      </c>
      <c r="I226" s="2" t="s">
        <v>1211</v>
      </c>
      <c r="J226" s="2" t="s">
        <v>95</v>
      </c>
      <c r="K226" s="2" t="s">
        <v>856</v>
      </c>
      <c r="L226" s="3">
        <v>47</v>
      </c>
      <c r="M226" s="3">
        <v>49.35</v>
      </c>
      <c r="N226" s="3">
        <v>99.99</v>
      </c>
      <c r="O226" s="2" t="s">
        <v>97</v>
      </c>
      <c r="P226" s="2" t="s">
        <v>98</v>
      </c>
      <c r="Q226" s="2" t="s">
        <v>99</v>
      </c>
      <c r="R226" s="2" t="s">
        <v>100</v>
      </c>
      <c r="S226" s="2" t="s">
        <v>1213</v>
      </c>
      <c r="T226" s="2" t="s">
        <v>100</v>
      </c>
      <c r="U226" s="2" t="s">
        <v>901</v>
      </c>
      <c r="V226" s="2" t="s">
        <v>461</v>
      </c>
      <c r="W226" s="2" t="s">
        <v>142</v>
      </c>
      <c r="X226" s="2" t="s">
        <v>609</v>
      </c>
      <c r="Y226" s="2" t="s">
        <v>1214</v>
      </c>
      <c r="Z226" s="4">
        <v>191</v>
      </c>
      <c r="AA226" s="4">
        <f>=ROUNDDOWN(10.6111111111111,0)</f>
      </c>
      <c r="AB226" s="5">
        <v>18</v>
      </c>
      <c r="AC226" s="2" t="s">
        <v>1201</v>
      </c>
      <c r="AD226" s="4">
        <v>50</v>
      </c>
      <c r="AE226" s="4">
        <v>520</v>
      </c>
      <c r="AF226" s="6">
        <v>65</v>
      </c>
      <c r="AG226" s="6">
        <v>48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2</v>
      </c>
      <c r="AQ226" s="8">
        <v>97.98</v>
      </c>
      <c r="AR226" s="4"/>
      <c r="AS226" s="8"/>
      <c r="AT226" s="7"/>
      <c r="AU226" s="7"/>
      <c r="AV226" s="4">
        <v>2</v>
      </c>
      <c r="AW226" s="8">
        <v>97.98</v>
      </c>
      <c r="AX226" s="4"/>
      <c r="AY226" s="8"/>
      <c r="AZ226" s="7"/>
      <c r="BA226" s="7"/>
      <c r="BB226" s="7">
        <v>1</v>
      </c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>
        <v>0.2609</v>
      </c>
      <c r="BJ226" s="4">
        <v>47</v>
      </c>
      <c r="BK226" s="8">
        <v>2438.58</v>
      </c>
      <c r="BL226" s="2" t="s">
        <v>1220</v>
      </c>
      <c r="BM226" s="7">
        <v>0.0426</v>
      </c>
      <c r="BN226" s="7">
        <v>0.0402</v>
      </c>
      <c r="BO226" s="4">
        <v>2</v>
      </c>
      <c r="BP226" s="8">
        <v>97.98</v>
      </c>
      <c r="BQ226" s="4"/>
      <c r="BR226" s="8"/>
      <c r="BS226" s="7"/>
      <c r="BT226" s="7"/>
      <c r="BU226" s="2" t="s">
        <v>109</v>
      </c>
      <c r="BV226" s="2" t="s">
        <v>97</v>
      </c>
      <c r="BW226" s="2" t="s">
        <v>1215</v>
      </c>
      <c r="BX226" s="2" t="s">
        <v>1221</v>
      </c>
      <c r="BY226" s="2" t="s">
        <v>112</v>
      </c>
      <c r="BZ226" s="2" t="s">
        <v>100</v>
      </c>
    </row>
    <row r="227">
      <c r="A227" s="2" t="s">
        <v>1222</v>
      </c>
      <c r="B227" s="2" t="s">
        <v>87</v>
      </c>
      <c r="C227" s="2" t="s">
        <v>88</v>
      </c>
      <c r="D227" s="2" t="s">
        <v>963</v>
      </c>
      <c r="E227" s="2" t="s">
        <v>1210</v>
      </c>
      <c r="F227" s="2" t="s">
        <v>1035</v>
      </c>
      <c r="G227" s="2" t="s">
        <v>1036</v>
      </c>
      <c r="H227" s="2" t="s">
        <v>1037</v>
      </c>
      <c r="I227" s="2" t="s">
        <v>1211</v>
      </c>
      <c r="J227" s="2" t="s">
        <v>95</v>
      </c>
      <c r="K227" s="2" t="s">
        <v>1090</v>
      </c>
      <c r="L227" s="3">
        <v>47</v>
      </c>
      <c r="M227" s="3">
        <v>49.35</v>
      </c>
      <c r="N227" s="3">
        <v>99.99</v>
      </c>
      <c r="O227" s="2" t="s">
        <v>97</v>
      </c>
      <c r="P227" s="2" t="s">
        <v>98</v>
      </c>
      <c r="Q227" s="2" t="s">
        <v>99</v>
      </c>
      <c r="R227" s="2" t="s">
        <v>100</v>
      </c>
      <c r="S227" s="2" t="s">
        <v>1213</v>
      </c>
      <c r="T227" s="2" t="s">
        <v>100</v>
      </c>
      <c r="U227" s="2" t="s">
        <v>901</v>
      </c>
      <c r="V227" s="2" t="s">
        <v>461</v>
      </c>
      <c r="W227" s="2" t="s">
        <v>142</v>
      </c>
      <c r="X227" s="2" t="s">
        <v>609</v>
      </c>
      <c r="Y227" s="2" t="s">
        <v>1214</v>
      </c>
      <c r="Z227" s="4">
        <v>454</v>
      </c>
      <c r="AA227" s="4">
        <f>=ROUNDDOWN(16.8148148148148,0)</f>
      </c>
      <c r="AB227" s="5">
        <v>27</v>
      </c>
      <c r="AC227" s="2" t="s">
        <v>1201</v>
      </c>
      <c r="AD227" s="4">
        <v>120</v>
      </c>
      <c r="AE227" s="4">
        <v>570</v>
      </c>
      <c r="AF227" s="6">
        <v>65</v>
      </c>
      <c r="AG227" s="6">
        <v>48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1</v>
      </c>
      <c r="AQ227" s="8">
        <v>48.99</v>
      </c>
      <c r="AR227" s="4"/>
      <c r="AS227" s="8"/>
      <c r="AT227" s="7"/>
      <c r="AU227" s="7"/>
      <c r="AV227" s="4">
        <v>1</v>
      </c>
      <c r="AW227" s="8">
        <v>48.99</v>
      </c>
      <c r="AX227" s="4"/>
      <c r="AY227" s="8"/>
      <c r="AZ227" s="7"/>
      <c r="BA227" s="7"/>
      <c r="BB227" s="7">
        <v>1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>
        <v>0.1304</v>
      </c>
      <c r="BJ227" s="4">
        <v>81</v>
      </c>
      <c r="BK227" s="8">
        <v>4135.92</v>
      </c>
      <c r="BL227" s="2" t="s">
        <v>1223</v>
      </c>
      <c r="BM227" s="7">
        <v>0.0123</v>
      </c>
      <c r="BN227" s="7">
        <v>0.0118</v>
      </c>
      <c r="BO227" s="4">
        <v>1</v>
      </c>
      <c r="BP227" s="8">
        <v>48.99</v>
      </c>
      <c r="BQ227" s="4"/>
      <c r="BR227" s="8"/>
      <c r="BS227" s="7"/>
      <c r="BT227" s="7"/>
      <c r="BU227" s="2" t="s">
        <v>109</v>
      </c>
      <c r="BV227" s="2" t="s">
        <v>97</v>
      </c>
      <c r="BW227" s="2" t="s">
        <v>1215</v>
      </c>
      <c r="BX227" s="2" t="s">
        <v>1224</v>
      </c>
      <c r="BY227" s="2" t="s">
        <v>112</v>
      </c>
      <c r="BZ227" s="2" t="s">
        <v>100</v>
      </c>
    </row>
    <row r="228">
      <c r="A228" s="2" t="s">
        <v>1225</v>
      </c>
      <c r="B228" s="2" t="s">
        <v>87</v>
      </c>
      <c r="C228" s="2" t="s">
        <v>88</v>
      </c>
      <c r="D228" s="2" t="s">
        <v>963</v>
      </c>
      <c r="E228" s="2" t="s">
        <v>1210</v>
      </c>
      <c r="F228" s="2" t="s">
        <v>1015</v>
      </c>
      <c r="G228" s="2" t="s">
        <v>1016</v>
      </c>
      <c r="H228" s="2" t="s">
        <v>1017</v>
      </c>
      <c r="I228" s="2" t="s">
        <v>1226</v>
      </c>
      <c r="J228" s="2" t="s">
        <v>114</v>
      </c>
      <c r="K228" s="2" t="s">
        <v>856</v>
      </c>
      <c r="L228" s="3">
        <v>64.4</v>
      </c>
      <c r="M228" s="3">
        <v>67.62</v>
      </c>
      <c r="N228" s="3">
        <v>139.99</v>
      </c>
      <c r="O228" s="2" t="s">
        <v>97</v>
      </c>
      <c r="P228" s="2" t="s">
        <v>98</v>
      </c>
      <c r="Q228" s="2" t="s">
        <v>99</v>
      </c>
      <c r="R228" s="2" t="s">
        <v>100</v>
      </c>
      <c r="S228" s="2" t="s">
        <v>1227</v>
      </c>
      <c r="T228" s="2" t="s">
        <v>100</v>
      </c>
      <c r="U228" s="2" t="s">
        <v>1228</v>
      </c>
      <c r="V228" s="2" t="s">
        <v>461</v>
      </c>
      <c r="W228" s="2" t="s">
        <v>142</v>
      </c>
      <c r="X228" s="2" t="s">
        <v>1229</v>
      </c>
      <c r="Y228" s="2" t="s">
        <v>1230</v>
      </c>
      <c r="Z228" s="4">
        <v>93</v>
      </c>
      <c r="AA228" s="4">
        <f>=ROUNDDOWN(6.64285714285714,0)</f>
      </c>
      <c r="AB228" s="5">
        <v>14</v>
      </c>
      <c r="AC228" s="2" t="s">
        <v>262</v>
      </c>
      <c r="AD228" s="4">
        <v>1</v>
      </c>
      <c r="AE228" s="4">
        <v>431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1</v>
      </c>
      <c r="AQ228" s="8">
        <v>66.33</v>
      </c>
      <c r="AR228" s="4"/>
      <c r="AS228" s="8"/>
      <c r="AT228" s="7"/>
      <c r="AU228" s="7"/>
      <c r="AV228" s="4">
        <v>1</v>
      </c>
      <c r="AW228" s="8">
        <v>66.33</v>
      </c>
      <c r="AX228" s="4"/>
      <c r="AY228" s="8"/>
      <c r="AZ228" s="7"/>
      <c r="BA228" s="7"/>
      <c r="BB228" s="7">
        <v>1</v>
      </c>
      <c r="BC228" s="4">
        <v>1</v>
      </c>
      <c r="BD228" s="8">
        <v>66.33</v>
      </c>
      <c r="BE228" s="4"/>
      <c r="BF228" s="8"/>
      <c r="BG228" s="7"/>
      <c r="BH228" s="7"/>
      <c r="BI228" s="7">
        <v>1</v>
      </c>
      <c r="BJ228" s="4">
        <v>53</v>
      </c>
      <c r="BK228" s="8">
        <v>3720.37</v>
      </c>
      <c r="BL228" s="2" t="s">
        <v>313</v>
      </c>
      <c r="BM228" s="7">
        <v>0.0189</v>
      </c>
      <c r="BN228" s="7">
        <v>0.0178</v>
      </c>
      <c r="BO228" s="4">
        <v>1</v>
      </c>
      <c r="BP228" s="8">
        <v>66.33</v>
      </c>
      <c r="BQ228" s="4"/>
      <c r="BR228" s="8"/>
      <c r="BS228" s="7"/>
      <c r="BT228" s="7"/>
      <c r="BU228" s="2" t="s">
        <v>109</v>
      </c>
      <c r="BV228" s="2" t="s">
        <v>97</v>
      </c>
      <c r="BW228" s="2" t="s">
        <v>501</v>
      </c>
      <c r="BX228" s="2" t="s">
        <v>287</v>
      </c>
      <c r="BY228" s="2" t="s">
        <v>112</v>
      </c>
      <c r="BZ228" s="2" t="s">
        <v>149</v>
      </c>
    </row>
    <row r="229">
      <c r="A229" s="2" t="s">
        <v>1231</v>
      </c>
      <c r="B229" s="2" t="s">
        <v>87</v>
      </c>
      <c r="C229" s="2" t="s">
        <v>88</v>
      </c>
      <c r="D229" s="2" t="s">
        <v>963</v>
      </c>
      <c r="E229" s="2" t="s">
        <v>1232</v>
      </c>
      <c r="F229" s="2" t="s">
        <v>1233</v>
      </c>
      <c r="G229" s="2" t="s">
        <v>1234</v>
      </c>
      <c r="H229" s="2" t="s">
        <v>1235</v>
      </c>
      <c r="I229" s="2" t="s">
        <v>1236</v>
      </c>
      <c r="J229" s="2" t="s">
        <v>352</v>
      </c>
      <c r="K229" s="2" t="s">
        <v>179</v>
      </c>
      <c r="L229" s="3">
        <v>49.99</v>
      </c>
      <c r="M229" s="3">
        <v>52.49</v>
      </c>
      <c r="N229" s="3">
        <v>99.99</v>
      </c>
      <c r="O229" s="2" t="s">
        <v>97</v>
      </c>
      <c r="P229" s="2" t="s">
        <v>98</v>
      </c>
      <c r="Q229" s="2" t="s">
        <v>99</v>
      </c>
      <c r="R229" s="2" t="s">
        <v>100</v>
      </c>
      <c r="S229" s="2" t="s">
        <v>1237</v>
      </c>
      <c r="T229" s="2" t="s">
        <v>100</v>
      </c>
      <c r="U229" s="2" t="s">
        <v>460</v>
      </c>
      <c r="V229" s="2" t="s">
        <v>717</v>
      </c>
      <c r="W229" s="2" t="s">
        <v>717</v>
      </c>
      <c r="X229" s="2" t="s">
        <v>271</v>
      </c>
      <c r="Y229" s="2" t="s">
        <v>144</v>
      </c>
      <c r="Z229" s="4">
        <v>299</v>
      </c>
      <c r="AA229" s="4">
        <f>=ROUNDDOWN(42.7142857142857,0)</f>
      </c>
      <c r="AB229" s="5">
        <v>7</v>
      </c>
      <c r="AC229" s="2" t="s">
        <v>1238</v>
      </c>
      <c r="AD229" s="4">
        <v>30</v>
      </c>
      <c r="AE229" s="4">
        <v>100</v>
      </c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>
        <v>3</v>
      </c>
      <c r="AW229" s="8">
        <v>170.07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/>
      <c r="BC229" s="4">
        <v>3</v>
      </c>
      <c r="BD229" s="8">
        <v>170.07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>
        <v>1</v>
      </c>
      <c r="BJ229" s="4">
        <v>21</v>
      </c>
      <c r="BK229" s="8">
        <v>1076.35</v>
      </c>
      <c r="BL229" s="2" t="s">
        <v>1239</v>
      </c>
      <c r="BM229" s="7"/>
      <c r="BN229" s="7"/>
      <c r="BO229" s="4"/>
      <c r="BP229" s="8"/>
      <c r="BQ229" s="4"/>
      <c r="BR229" s="8"/>
      <c r="BS229" s="7"/>
      <c r="BT229" s="7"/>
      <c r="BU229" s="2" t="s">
        <v>109</v>
      </c>
      <c r="BV229" s="2" t="s">
        <v>97</v>
      </c>
      <c r="BW229" s="2" t="s">
        <v>159</v>
      </c>
      <c r="BX229" s="2" t="s">
        <v>160</v>
      </c>
      <c r="BY229" s="2" t="s">
        <v>112</v>
      </c>
      <c r="BZ229" s="2" t="s">
        <v>149</v>
      </c>
    </row>
    <row r="230">
      <c r="A230" s="2" t="s">
        <v>1240</v>
      </c>
      <c r="B230" s="2" t="s">
        <v>87</v>
      </c>
      <c r="C230" s="2" t="s">
        <v>88</v>
      </c>
      <c r="D230" s="2" t="s">
        <v>963</v>
      </c>
      <c r="E230" s="2" t="s">
        <v>1232</v>
      </c>
      <c r="F230" s="2" t="s">
        <v>1233</v>
      </c>
      <c r="G230" s="2" t="s">
        <v>1234</v>
      </c>
      <c r="H230" s="2" t="s">
        <v>1235</v>
      </c>
      <c r="I230" s="2" t="s">
        <v>1236</v>
      </c>
      <c r="J230" s="2" t="s">
        <v>522</v>
      </c>
      <c r="K230" s="2" t="s">
        <v>179</v>
      </c>
      <c r="L230" s="3">
        <v>54.99</v>
      </c>
      <c r="M230" s="3">
        <v>57.74</v>
      </c>
      <c r="N230" s="3">
        <v>109.99</v>
      </c>
      <c r="O230" s="2" t="s">
        <v>97</v>
      </c>
      <c r="P230" s="2" t="s">
        <v>98</v>
      </c>
      <c r="Q230" s="2" t="s">
        <v>99</v>
      </c>
      <c r="R230" s="2" t="s">
        <v>100</v>
      </c>
      <c r="S230" s="2" t="s">
        <v>1237</v>
      </c>
      <c r="T230" s="2" t="s">
        <v>100</v>
      </c>
      <c r="U230" s="2" t="s">
        <v>355</v>
      </c>
      <c r="V230" s="2" t="s">
        <v>717</v>
      </c>
      <c r="W230" s="2" t="s">
        <v>717</v>
      </c>
      <c r="X230" s="2" t="s">
        <v>271</v>
      </c>
      <c r="Y230" s="2" t="s">
        <v>144</v>
      </c>
      <c r="Z230" s="4">
        <v>745</v>
      </c>
      <c r="AA230" s="4">
        <f>=ROUNDDOWN(53.2142857142857,0)</f>
      </c>
      <c r="AB230" s="5">
        <v>14</v>
      </c>
      <c r="AC230" s="2" t="s">
        <v>1238</v>
      </c>
      <c r="AD230" s="4">
        <v>130</v>
      </c>
      <c r="AE230" s="4">
        <v>280</v>
      </c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3</v>
      </c>
      <c r="AQ230" s="8">
        <v>170.07</v>
      </c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1</v>
      </c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 t="s">
        <v>100</v>
      </c>
      <c r="BJ230" s="4">
        <v>38</v>
      </c>
      <c r="BK230" s="8">
        <v>2073.33</v>
      </c>
      <c r="BL230" s="2" t="s">
        <v>1241</v>
      </c>
      <c r="BM230" s="7">
        <v>0.0789</v>
      </c>
      <c r="BN230" s="7">
        <v>0.082</v>
      </c>
      <c r="BO230" s="4">
        <v>3</v>
      </c>
      <c r="BP230" s="8">
        <v>170.07</v>
      </c>
      <c r="BQ230" s="4"/>
      <c r="BR230" s="8"/>
      <c r="BS230" s="7"/>
      <c r="BT230" s="7"/>
      <c r="BU230" s="2" t="s">
        <v>109</v>
      </c>
      <c r="BV230" s="2" t="s">
        <v>97</v>
      </c>
      <c r="BW230" s="2" t="s">
        <v>159</v>
      </c>
      <c r="BX230" s="2" t="s">
        <v>160</v>
      </c>
      <c r="BY230" s="2" t="s">
        <v>112</v>
      </c>
      <c r="BZ230" s="2" t="s">
        <v>100</v>
      </c>
    </row>
    <row r="231">
      <c r="A231" s="2" t="s">
        <v>1242</v>
      </c>
      <c r="B231" s="2" t="s">
        <v>87</v>
      </c>
      <c r="C231" s="2" t="s">
        <v>88</v>
      </c>
      <c r="D231" s="2" t="s">
        <v>963</v>
      </c>
      <c r="E231" s="2" t="s">
        <v>1232</v>
      </c>
      <c r="F231" s="2" t="s">
        <v>1243</v>
      </c>
      <c r="G231" s="2" t="s">
        <v>1244</v>
      </c>
      <c r="H231" s="2" t="s">
        <v>1245</v>
      </c>
      <c r="I231" s="2" t="s">
        <v>1246</v>
      </c>
      <c r="J231" s="2" t="s">
        <v>529</v>
      </c>
      <c r="K231" s="2" t="s">
        <v>179</v>
      </c>
      <c r="L231" s="3">
        <v>53.99</v>
      </c>
      <c r="M231" s="3">
        <v>56.69</v>
      </c>
      <c r="N231" s="3">
        <v>109.99</v>
      </c>
      <c r="O231" s="2" t="s">
        <v>97</v>
      </c>
      <c r="P231" s="2" t="s">
        <v>156</v>
      </c>
      <c r="Q231" s="2" t="s">
        <v>99</v>
      </c>
      <c r="R231" s="2" t="s">
        <v>100</v>
      </c>
      <c r="S231" s="2" t="s">
        <v>1247</v>
      </c>
      <c r="T231" s="2" t="s">
        <v>100</v>
      </c>
      <c r="U231" s="2" t="s">
        <v>355</v>
      </c>
      <c r="V231" s="2" t="s">
        <v>103</v>
      </c>
      <c r="W231" s="2" t="s">
        <v>686</v>
      </c>
      <c r="X231" s="2" t="s">
        <v>1248</v>
      </c>
      <c r="Y231" s="2" t="s">
        <v>144</v>
      </c>
      <c r="Z231" s="4">
        <v>1099</v>
      </c>
      <c r="AA231" s="4">
        <f>=ROUNDDOWN(26.1666666666667,0)</f>
      </c>
      <c r="AB231" s="5">
        <v>42</v>
      </c>
      <c r="AC231" s="2" t="s">
        <v>206</v>
      </c>
      <c r="AD231" s="4">
        <v>268</v>
      </c>
      <c r="AE231" s="4">
        <v>788</v>
      </c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2</v>
      </c>
      <c r="AQ231" s="8">
        <v>124.74</v>
      </c>
      <c r="AR231" s="4"/>
      <c r="AS231" s="8"/>
      <c r="AT231" s="7"/>
      <c r="AU231" s="7"/>
      <c r="AV231" s="4">
        <v>2</v>
      </c>
      <c r="AW231" s="8">
        <v>124.74</v>
      </c>
      <c r="AX231" s="4"/>
      <c r="AY231" s="8"/>
      <c r="AZ231" s="7"/>
      <c r="BA231" s="7"/>
      <c r="BB231" s="7">
        <v>1</v>
      </c>
      <c r="BC231" s="4">
        <v>2</v>
      </c>
      <c r="BD231" s="8">
        <v>124.74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>
        <v>1</v>
      </c>
      <c r="BJ231" s="4">
        <v>119</v>
      </c>
      <c r="BK231" s="8">
        <v>7280.19</v>
      </c>
      <c r="BL231" s="2" t="s">
        <v>1249</v>
      </c>
      <c r="BM231" s="7">
        <v>0.0168</v>
      </c>
      <c r="BN231" s="7">
        <v>0.0171</v>
      </c>
      <c r="BO231" s="4">
        <v>2</v>
      </c>
      <c r="BP231" s="8">
        <v>124.74</v>
      </c>
      <c r="BQ231" s="4"/>
      <c r="BR231" s="8"/>
      <c r="BS231" s="7"/>
      <c r="BT231" s="7"/>
      <c r="BU231" s="2" t="s">
        <v>109</v>
      </c>
      <c r="BV231" s="2" t="s">
        <v>97</v>
      </c>
      <c r="BW231" s="2" t="s">
        <v>159</v>
      </c>
      <c r="BX231" s="2" t="s">
        <v>1250</v>
      </c>
      <c r="BY231" s="2" t="s">
        <v>112</v>
      </c>
      <c r="BZ231" s="2" t="s">
        <v>100</v>
      </c>
    </row>
    <row r="232">
      <c r="A232" s="2" t="s">
        <v>1251</v>
      </c>
      <c r="B232" s="2" t="s">
        <v>87</v>
      </c>
      <c r="C232" s="2" t="s">
        <v>88</v>
      </c>
      <c r="D232" s="2" t="s">
        <v>963</v>
      </c>
      <c r="E232" s="2" t="s">
        <v>1232</v>
      </c>
      <c r="F232" s="2" t="s">
        <v>1243</v>
      </c>
      <c r="G232" s="2" t="s">
        <v>1244</v>
      </c>
      <c r="H232" s="2" t="s">
        <v>1245</v>
      </c>
      <c r="I232" s="2" t="s">
        <v>1246</v>
      </c>
      <c r="J232" s="2" t="s">
        <v>529</v>
      </c>
      <c r="K232" s="2" t="s">
        <v>1252</v>
      </c>
      <c r="L232" s="3">
        <v>53.99</v>
      </c>
      <c r="M232" s="3">
        <v>56.69</v>
      </c>
      <c r="N232" s="3">
        <v>109.99</v>
      </c>
      <c r="O232" s="2" t="s">
        <v>97</v>
      </c>
      <c r="P232" s="2" t="s">
        <v>98</v>
      </c>
      <c r="Q232" s="2" t="s">
        <v>99</v>
      </c>
      <c r="R232" s="2" t="s">
        <v>100</v>
      </c>
      <c r="S232" s="2" t="s">
        <v>1253</v>
      </c>
      <c r="T232" s="2" t="s">
        <v>100</v>
      </c>
      <c r="U232" s="2" t="s">
        <v>355</v>
      </c>
      <c r="V232" s="2" t="s">
        <v>103</v>
      </c>
      <c r="W232" s="2" t="s">
        <v>686</v>
      </c>
      <c r="X232" s="2" t="s">
        <v>1248</v>
      </c>
      <c r="Y232" s="2" t="s">
        <v>144</v>
      </c>
      <c r="Z232" s="4">
        <v>648</v>
      </c>
      <c r="AA232" s="4">
        <f>=ROUNDDOWN(36,0)</f>
      </c>
      <c r="AB232" s="5">
        <v>18</v>
      </c>
      <c r="AC232" s="2" t="s">
        <v>550</v>
      </c>
      <c r="AD232" s="4">
        <v>200</v>
      </c>
      <c r="AE232" s="4">
        <v>500</v>
      </c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/>
      <c r="BJ232" s="4">
        <v>61</v>
      </c>
      <c r="BK232" s="8">
        <v>3688.22</v>
      </c>
      <c r="BL232" s="2" t="s">
        <v>1254</v>
      </c>
      <c r="BM232" s="7"/>
      <c r="BN232" s="7"/>
      <c r="BO232" s="4"/>
      <c r="BP232" s="8"/>
      <c r="BQ232" s="4"/>
      <c r="BR232" s="8"/>
      <c r="BS232" s="7"/>
      <c r="BT232" s="7"/>
      <c r="BU232" s="2" t="s">
        <v>109</v>
      </c>
      <c r="BV232" s="2" t="s">
        <v>97</v>
      </c>
      <c r="BW232" s="2" t="s">
        <v>475</v>
      </c>
      <c r="BX232" s="2" t="s">
        <v>1255</v>
      </c>
      <c r="BY232" s="2" t="s">
        <v>112</v>
      </c>
      <c r="BZ232" s="2" t="s">
        <v>149</v>
      </c>
    </row>
    <row r="233">
      <c r="A233" s="2" t="s">
        <v>1256</v>
      </c>
      <c r="B233" s="2" t="s">
        <v>87</v>
      </c>
      <c r="C233" s="2" t="s">
        <v>88</v>
      </c>
      <c r="D233" s="2" t="s">
        <v>963</v>
      </c>
      <c r="E233" s="2" t="s">
        <v>1232</v>
      </c>
      <c r="F233" s="2" t="s">
        <v>1257</v>
      </c>
      <c r="G233" s="2" t="s">
        <v>1258</v>
      </c>
      <c r="H233" s="2" t="s">
        <v>1259</v>
      </c>
      <c r="I233" s="2" t="s">
        <v>1260</v>
      </c>
      <c r="J233" s="2" t="s">
        <v>522</v>
      </c>
      <c r="K233" s="2" t="s">
        <v>236</v>
      </c>
      <c r="L233" s="3">
        <v>59.8</v>
      </c>
      <c r="M233" s="3">
        <v>62.79</v>
      </c>
      <c r="N233" s="3">
        <v>129.99</v>
      </c>
      <c r="O233" s="2" t="s">
        <v>97</v>
      </c>
      <c r="P233" s="2" t="s">
        <v>707</v>
      </c>
      <c r="Q233" s="2" t="s">
        <v>99</v>
      </c>
      <c r="R233" s="2" t="s">
        <v>100</v>
      </c>
      <c r="S233" s="2" t="s">
        <v>1261</v>
      </c>
      <c r="T233" s="2" t="s">
        <v>100</v>
      </c>
      <c r="U233" s="2" t="s">
        <v>355</v>
      </c>
      <c r="V233" s="2" t="s">
        <v>192</v>
      </c>
      <c r="W233" s="2" t="s">
        <v>142</v>
      </c>
      <c r="X233" s="2" t="s">
        <v>462</v>
      </c>
      <c r="Y233" s="2" t="s">
        <v>1262</v>
      </c>
      <c r="Z233" s="4">
        <v>179</v>
      </c>
      <c r="AA233" s="4">
        <f>=ROUNDDOWN(22.375,0)</f>
      </c>
      <c r="AB233" s="5">
        <v>8</v>
      </c>
      <c r="AC233" s="2" t="s">
        <v>206</v>
      </c>
      <c r="AD233" s="4">
        <v>30</v>
      </c>
      <c r="AE233" s="4">
        <v>60</v>
      </c>
      <c r="AF233" s="6">
        <v>65</v>
      </c>
      <c r="AG233" s="6">
        <v>73</v>
      </c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1</v>
      </c>
      <c r="AQ233" s="8">
        <v>61.24</v>
      </c>
      <c r="AR233" s="4"/>
      <c r="AS233" s="8"/>
      <c r="AT233" s="7"/>
      <c r="AU233" s="7"/>
      <c r="AV233" s="4">
        <v>1</v>
      </c>
      <c r="AW233" s="8">
        <v>61.24</v>
      </c>
      <c r="AX233" s="4"/>
      <c r="AY233" s="8"/>
      <c r="AZ233" s="7"/>
      <c r="BA233" s="7"/>
      <c r="BB233" s="7">
        <v>1</v>
      </c>
      <c r="BC233" s="4">
        <v>1</v>
      </c>
      <c r="BD233" s="8">
        <v>61.24</v>
      </c>
      <c r="BE233" s="4"/>
      <c r="BF233" s="8"/>
      <c r="BG233" s="7"/>
      <c r="BH233" s="7"/>
      <c r="BI233" s="7">
        <v>1</v>
      </c>
      <c r="BJ233" s="4">
        <v>25</v>
      </c>
      <c r="BK233" s="8">
        <v>1609.25</v>
      </c>
      <c r="BL233" s="2" t="s">
        <v>1263</v>
      </c>
      <c r="BM233" s="7">
        <v>0.04</v>
      </c>
      <c r="BN233" s="7">
        <v>0.0381</v>
      </c>
      <c r="BO233" s="4">
        <v>1</v>
      </c>
      <c r="BP233" s="8">
        <v>61.24</v>
      </c>
      <c r="BQ233" s="4"/>
      <c r="BR233" s="8"/>
      <c r="BS233" s="7"/>
      <c r="BT233" s="7"/>
      <c r="BU233" s="2" t="s">
        <v>109</v>
      </c>
      <c r="BV233" s="2" t="s">
        <v>97</v>
      </c>
      <c r="BW233" s="2" t="s">
        <v>274</v>
      </c>
      <c r="BX233" s="2" t="s">
        <v>1264</v>
      </c>
      <c r="BY233" s="2" t="s">
        <v>112</v>
      </c>
      <c r="BZ233" s="2" t="s">
        <v>100</v>
      </c>
    </row>
    <row r="234">
      <c r="A234" s="2" t="s">
        <v>1265</v>
      </c>
      <c r="B234" s="2" t="s">
        <v>87</v>
      </c>
      <c r="C234" s="2" t="s">
        <v>88</v>
      </c>
      <c r="D234" s="2" t="s">
        <v>963</v>
      </c>
      <c r="E234" s="2" t="s">
        <v>1232</v>
      </c>
      <c r="F234" s="2" t="s">
        <v>265</v>
      </c>
      <c r="G234" s="2" t="s">
        <v>266</v>
      </c>
      <c r="H234" s="2" t="s">
        <v>267</v>
      </c>
      <c r="I234" s="2" t="s">
        <v>1266</v>
      </c>
      <c r="J234" s="2" t="s">
        <v>522</v>
      </c>
      <c r="K234" s="2" t="s">
        <v>96</v>
      </c>
      <c r="L234" s="3">
        <v>51.83</v>
      </c>
      <c r="M234" s="3">
        <v>54.42</v>
      </c>
      <c r="N234" s="3">
        <v>109.99</v>
      </c>
      <c r="O234" s="2" t="s">
        <v>97</v>
      </c>
      <c r="P234" s="2" t="s">
        <v>98</v>
      </c>
      <c r="Q234" s="2" t="s">
        <v>99</v>
      </c>
      <c r="R234" s="2" t="s">
        <v>100</v>
      </c>
      <c r="S234" s="2" t="s">
        <v>100</v>
      </c>
      <c r="T234" s="2" t="s">
        <v>100</v>
      </c>
      <c r="U234" s="2" t="s">
        <v>355</v>
      </c>
      <c r="V234" s="2" t="s">
        <v>269</v>
      </c>
      <c r="W234" s="2" t="s">
        <v>270</v>
      </c>
      <c r="X234" s="2" t="s">
        <v>271</v>
      </c>
      <c r="Y234" s="2" t="s">
        <v>153</v>
      </c>
      <c r="Z234" s="4">
        <v>308</v>
      </c>
      <c r="AA234" s="4">
        <f>=ROUNDDOWN(28,0)</f>
      </c>
      <c r="AB234" s="5">
        <v>11</v>
      </c>
      <c r="AC234" s="2" t="s">
        <v>262</v>
      </c>
      <c r="AD234" s="4">
        <v>70</v>
      </c>
      <c r="AE234" s="4">
        <v>120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1</v>
      </c>
      <c r="AQ234" s="8">
        <v>59.88</v>
      </c>
      <c r="AR234" s="4"/>
      <c r="AS234" s="8"/>
      <c r="AT234" s="7"/>
      <c r="AU234" s="7"/>
      <c r="AV234" s="4">
        <v>1</v>
      </c>
      <c r="AW234" s="8">
        <v>59.88</v>
      </c>
      <c r="AX234" s="4"/>
      <c r="AY234" s="8"/>
      <c r="AZ234" s="7"/>
      <c r="BA234" s="7"/>
      <c r="BB234" s="7">
        <v>1</v>
      </c>
      <c r="BC234" s="4">
        <v>1</v>
      </c>
      <c r="BD234" s="8">
        <v>59.88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>
        <v>1</v>
      </c>
      <c r="BJ234" s="4">
        <v>21</v>
      </c>
      <c r="BK234" s="8">
        <v>1219.81</v>
      </c>
      <c r="BL234" s="2" t="s">
        <v>1267</v>
      </c>
      <c r="BM234" s="7">
        <v>0.0476</v>
      </c>
      <c r="BN234" s="7">
        <v>0.0491</v>
      </c>
      <c r="BO234" s="4">
        <v>1</v>
      </c>
      <c r="BP234" s="8">
        <v>59.88</v>
      </c>
      <c r="BQ234" s="4"/>
      <c r="BR234" s="8"/>
      <c r="BS234" s="7"/>
      <c r="BT234" s="7"/>
      <c r="BU234" s="2" t="s">
        <v>109</v>
      </c>
      <c r="BV234" s="2" t="s">
        <v>97</v>
      </c>
      <c r="BW234" s="2" t="s">
        <v>274</v>
      </c>
      <c r="BX234" s="2" t="s">
        <v>1268</v>
      </c>
      <c r="BY234" s="2" t="s">
        <v>112</v>
      </c>
      <c r="BZ234" s="2" t="s">
        <v>149</v>
      </c>
    </row>
    <row r="235">
      <c r="A235" s="2" t="s">
        <v>1269</v>
      </c>
      <c r="B235" s="2" t="s">
        <v>87</v>
      </c>
      <c r="C235" s="2" t="s">
        <v>88</v>
      </c>
      <c r="D235" s="2" t="s">
        <v>963</v>
      </c>
      <c r="E235" s="2" t="s">
        <v>1232</v>
      </c>
      <c r="F235" s="2" t="s">
        <v>265</v>
      </c>
      <c r="G235" s="2" t="s">
        <v>266</v>
      </c>
      <c r="H235" s="2" t="s">
        <v>267</v>
      </c>
      <c r="I235" s="2" t="s">
        <v>1266</v>
      </c>
      <c r="J235" s="2" t="s">
        <v>522</v>
      </c>
      <c r="K235" s="2" t="s">
        <v>289</v>
      </c>
      <c r="L235" s="3">
        <v>51.83</v>
      </c>
      <c r="M235" s="3">
        <v>54.42</v>
      </c>
      <c r="N235" s="3">
        <v>109.99</v>
      </c>
      <c r="O235" s="2" t="s">
        <v>97</v>
      </c>
      <c r="P235" s="2" t="s">
        <v>98</v>
      </c>
      <c r="Q235" s="2" t="s">
        <v>99</v>
      </c>
      <c r="R235" s="2" t="s">
        <v>100</v>
      </c>
      <c r="S235" s="2" t="s">
        <v>1270</v>
      </c>
      <c r="T235" s="2" t="s">
        <v>100</v>
      </c>
      <c r="U235" s="2" t="s">
        <v>355</v>
      </c>
      <c r="V235" s="2" t="s">
        <v>269</v>
      </c>
      <c r="W235" s="2" t="s">
        <v>270</v>
      </c>
      <c r="X235" s="2" t="s">
        <v>271</v>
      </c>
      <c r="Y235" s="2" t="s">
        <v>291</v>
      </c>
      <c r="Z235" s="4">
        <v>87</v>
      </c>
      <c r="AA235" s="4">
        <f>=ROUNDDOWN(8.7,0)</f>
      </c>
      <c r="AB235" s="5">
        <v>10</v>
      </c>
      <c r="AC235" s="2" t="s">
        <v>130</v>
      </c>
      <c r="AD235" s="4">
        <v>150</v>
      </c>
      <c r="AE235" s="4">
        <v>150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/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 t="s">
        <v>100</v>
      </c>
      <c r="BJ235" s="4">
        <v>27</v>
      </c>
      <c r="BK235" s="8">
        <v>1514.51</v>
      </c>
      <c r="BL235" s="2" t="s">
        <v>1271</v>
      </c>
      <c r="BM235" s="7"/>
      <c r="BN235" s="7"/>
      <c r="BO235" s="4"/>
      <c r="BP235" s="8"/>
      <c r="BQ235" s="4"/>
      <c r="BR235" s="8"/>
      <c r="BS235" s="7"/>
      <c r="BT235" s="7"/>
      <c r="BU235" s="2" t="s">
        <v>171</v>
      </c>
      <c r="BV235" s="2" t="s">
        <v>97</v>
      </c>
      <c r="BW235" s="2" t="s">
        <v>100</v>
      </c>
      <c r="BX235" s="2" t="s">
        <v>100</v>
      </c>
      <c r="BY235" s="2" t="s">
        <v>112</v>
      </c>
      <c r="BZ235" s="2" t="s">
        <v>100</v>
      </c>
    </row>
    <row r="236">
      <c r="A236" s="2" t="s">
        <v>1272</v>
      </c>
      <c r="B236" s="2" t="s">
        <v>87</v>
      </c>
      <c r="C236" s="2" t="s">
        <v>88</v>
      </c>
      <c r="D236" s="2" t="s">
        <v>963</v>
      </c>
      <c r="E236" s="2" t="s">
        <v>1232</v>
      </c>
      <c r="F236" s="2" t="s">
        <v>265</v>
      </c>
      <c r="G236" s="2" t="s">
        <v>266</v>
      </c>
      <c r="H236" s="2" t="s">
        <v>267</v>
      </c>
      <c r="I236" s="2" t="s">
        <v>1266</v>
      </c>
      <c r="J236" s="2" t="s">
        <v>529</v>
      </c>
      <c r="K236" s="2" t="s">
        <v>289</v>
      </c>
      <c r="L236" s="3">
        <v>57.32</v>
      </c>
      <c r="M236" s="3">
        <v>60.19</v>
      </c>
      <c r="N236" s="3">
        <v>119.99</v>
      </c>
      <c r="O236" s="2" t="s">
        <v>97</v>
      </c>
      <c r="P236" s="2" t="s">
        <v>98</v>
      </c>
      <c r="Q236" s="2" t="s">
        <v>99</v>
      </c>
      <c r="R236" s="2" t="s">
        <v>100</v>
      </c>
      <c r="S236" s="2" t="s">
        <v>1270</v>
      </c>
      <c r="T236" s="2" t="s">
        <v>100</v>
      </c>
      <c r="U236" s="2" t="s">
        <v>355</v>
      </c>
      <c r="V236" s="2" t="s">
        <v>269</v>
      </c>
      <c r="W236" s="2" t="s">
        <v>270</v>
      </c>
      <c r="X236" s="2" t="s">
        <v>271</v>
      </c>
      <c r="Y236" s="2" t="s">
        <v>291</v>
      </c>
      <c r="Z236" s="4">
        <v>78</v>
      </c>
      <c r="AA236" s="4">
        <f>=ROUNDDOWN(7.8,0)</f>
      </c>
      <c r="AB236" s="5">
        <v>10</v>
      </c>
      <c r="AC236" s="2" t="s">
        <v>130</v>
      </c>
      <c r="AD236" s="4">
        <v>140</v>
      </c>
      <c r="AE236" s="4">
        <v>230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/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 t="s">
        <v>100</v>
      </c>
      <c r="BJ236" s="4">
        <v>24</v>
      </c>
      <c r="BK236" s="8">
        <v>1531.92</v>
      </c>
      <c r="BL236" s="2" t="s">
        <v>1273</v>
      </c>
      <c r="BM236" s="7"/>
      <c r="BN236" s="7"/>
      <c r="BO236" s="4"/>
      <c r="BP236" s="8"/>
      <c r="BQ236" s="4"/>
      <c r="BR236" s="8"/>
      <c r="BS236" s="7"/>
      <c r="BT236" s="7"/>
      <c r="BU236" s="2" t="s">
        <v>171</v>
      </c>
      <c r="BV236" s="2" t="s">
        <v>97</v>
      </c>
      <c r="BW236" s="2" t="s">
        <v>100</v>
      </c>
      <c r="BX236" s="2" t="s">
        <v>100</v>
      </c>
      <c r="BY236" s="2" t="s">
        <v>112</v>
      </c>
      <c r="BZ236" s="2" t="s">
        <v>100</v>
      </c>
    </row>
    <row r="237">
      <c r="A237" s="2" t="s">
        <v>1274</v>
      </c>
      <c r="B237" s="2" t="s">
        <v>87</v>
      </c>
      <c r="C237" s="2" t="s">
        <v>88</v>
      </c>
      <c r="D237" s="2" t="s">
        <v>963</v>
      </c>
      <c r="E237" s="2" t="s">
        <v>1232</v>
      </c>
      <c r="F237" s="2" t="s">
        <v>265</v>
      </c>
      <c r="G237" s="2" t="s">
        <v>266</v>
      </c>
      <c r="H237" s="2" t="s">
        <v>267</v>
      </c>
      <c r="I237" s="2" t="s">
        <v>1266</v>
      </c>
      <c r="J237" s="2" t="s">
        <v>529</v>
      </c>
      <c r="K237" s="2" t="s">
        <v>236</v>
      </c>
      <c r="L237" s="3">
        <v>57.32</v>
      </c>
      <c r="M237" s="3">
        <v>60.19</v>
      </c>
      <c r="N237" s="3">
        <v>119.99</v>
      </c>
      <c r="O237" s="2" t="s">
        <v>97</v>
      </c>
      <c r="P237" s="2" t="s">
        <v>98</v>
      </c>
      <c r="Q237" s="2" t="s">
        <v>99</v>
      </c>
      <c r="R237" s="2" t="s">
        <v>100</v>
      </c>
      <c r="S237" s="2" t="s">
        <v>100</v>
      </c>
      <c r="T237" s="2" t="s">
        <v>100</v>
      </c>
      <c r="U237" s="2" t="s">
        <v>355</v>
      </c>
      <c r="V237" s="2" t="s">
        <v>269</v>
      </c>
      <c r="W237" s="2" t="s">
        <v>270</v>
      </c>
      <c r="X237" s="2" t="s">
        <v>271</v>
      </c>
      <c r="Y237" s="2" t="s">
        <v>153</v>
      </c>
      <c r="Z237" s="4">
        <v>146</v>
      </c>
      <c r="AA237" s="4">
        <f>=ROUNDDOWN(20.8571428571429,0)</f>
      </c>
      <c r="AB237" s="5">
        <v>7</v>
      </c>
      <c r="AC237" s="2" t="s">
        <v>130</v>
      </c>
      <c r="AD237" s="4">
        <v>160</v>
      </c>
      <c r="AE237" s="4">
        <v>160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/>
      <c r="BJ237" s="4">
        <v>28</v>
      </c>
      <c r="BK237" s="8">
        <v>1846.31</v>
      </c>
      <c r="BL237" s="2" t="s">
        <v>1275</v>
      </c>
      <c r="BM237" s="7"/>
      <c r="BN237" s="7"/>
      <c r="BO237" s="4"/>
      <c r="BP237" s="8"/>
      <c r="BQ237" s="4"/>
      <c r="BR237" s="8"/>
      <c r="BS237" s="7"/>
      <c r="BT237" s="7"/>
      <c r="BU237" s="2" t="s">
        <v>109</v>
      </c>
      <c r="BV237" s="2" t="s">
        <v>97</v>
      </c>
      <c r="BW237" s="2" t="s">
        <v>274</v>
      </c>
      <c r="BX237" s="2" t="s">
        <v>1276</v>
      </c>
      <c r="BY237" s="2" t="s">
        <v>112</v>
      </c>
      <c r="BZ237" s="2" t="s">
        <v>100</v>
      </c>
    </row>
    <row r="238">
      <c r="A238" s="2" t="s">
        <v>1277</v>
      </c>
      <c r="B238" s="2" t="s">
        <v>87</v>
      </c>
      <c r="C238" s="2" t="s">
        <v>88</v>
      </c>
      <c r="D238" s="2" t="s">
        <v>963</v>
      </c>
      <c r="E238" s="2" t="s">
        <v>1232</v>
      </c>
      <c r="F238" s="2" t="s">
        <v>1278</v>
      </c>
      <c r="G238" s="2" t="s">
        <v>1279</v>
      </c>
      <c r="H238" s="2" t="s">
        <v>1280</v>
      </c>
      <c r="I238" s="2" t="s">
        <v>1281</v>
      </c>
      <c r="J238" s="2" t="s">
        <v>522</v>
      </c>
      <c r="K238" s="2" t="s">
        <v>165</v>
      </c>
      <c r="L238" s="3">
        <v>65</v>
      </c>
      <c r="M238" s="3">
        <v>68.24</v>
      </c>
      <c r="N238" s="3">
        <v>129.99</v>
      </c>
      <c r="O238" s="2" t="s">
        <v>97</v>
      </c>
      <c r="P238" s="2" t="s">
        <v>123</v>
      </c>
      <c r="Q238" s="2" t="s">
        <v>99</v>
      </c>
      <c r="R238" s="2" t="s">
        <v>100</v>
      </c>
      <c r="S238" s="2" t="s">
        <v>1282</v>
      </c>
      <c r="T238" s="2" t="s">
        <v>100</v>
      </c>
      <c r="U238" s="2" t="s">
        <v>102</v>
      </c>
      <c r="V238" s="2" t="s">
        <v>492</v>
      </c>
      <c r="W238" s="2" t="s">
        <v>142</v>
      </c>
      <c r="X238" s="2" t="s">
        <v>580</v>
      </c>
      <c r="Y238" s="2" t="s">
        <v>144</v>
      </c>
      <c r="Z238" s="4">
        <v>92</v>
      </c>
      <c r="AA238" s="4">
        <f>=ROUNDDOWN(5.75,0)</f>
      </c>
      <c r="AB238" s="5">
        <v>16</v>
      </c>
      <c r="AC238" s="2" t="s">
        <v>130</v>
      </c>
      <c r="AD238" s="4">
        <v>30</v>
      </c>
      <c r="AE238" s="4">
        <v>570</v>
      </c>
      <c r="AF238" s="6">
        <v>65</v>
      </c>
      <c r="AG238" s="6">
        <v>48</v>
      </c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>
        <v>58</v>
      </c>
      <c r="BK238" s="8">
        <v>3887.64</v>
      </c>
      <c r="BL238" s="2" t="s">
        <v>328</v>
      </c>
      <c r="BM238" s="7"/>
      <c r="BN238" s="7"/>
      <c r="BO238" s="4"/>
      <c r="BP238" s="8"/>
      <c r="BQ238" s="4"/>
      <c r="BR238" s="8"/>
      <c r="BS238" s="7"/>
      <c r="BT238" s="7"/>
      <c r="BU238" s="2" t="s">
        <v>109</v>
      </c>
      <c r="BV238" s="2" t="s">
        <v>97</v>
      </c>
      <c r="BW238" s="2" t="s">
        <v>159</v>
      </c>
      <c r="BX238" s="2" t="s">
        <v>1283</v>
      </c>
      <c r="BY238" s="2" t="s">
        <v>112</v>
      </c>
      <c r="BZ238" s="2" t="s">
        <v>100</v>
      </c>
    </row>
    <row r="239">
      <c r="A239" s="2" t="s">
        <v>1284</v>
      </c>
      <c r="B239" s="2" t="s">
        <v>87</v>
      </c>
      <c r="C239" s="2" t="s">
        <v>88</v>
      </c>
      <c r="D239" s="2" t="s">
        <v>963</v>
      </c>
      <c r="E239" s="2" t="s">
        <v>1232</v>
      </c>
      <c r="F239" s="2" t="s">
        <v>812</v>
      </c>
      <c r="G239" s="2" t="s">
        <v>813</v>
      </c>
      <c r="H239" s="2" t="s">
        <v>814</v>
      </c>
      <c r="I239" s="2" t="s">
        <v>1285</v>
      </c>
      <c r="J239" s="2" t="s">
        <v>522</v>
      </c>
      <c r="K239" s="2" t="s">
        <v>165</v>
      </c>
      <c r="L239" s="3">
        <v>54.99</v>
      </c>
      <c r="M239" s="3">
        <v>57.74</v>
      </c>
      <c r="N239" s="3">
        <v>109.99</v>
      </c>
      <c r="O239" s="2" t="s">
        <v>97</v>
      </c>
      <c r="P239" s="2" t="s">
        <v>98</v>
      </c>
      <c r="Q239" s="2" t="s">
        <v>99</v>
      </c>
      <c r="R239" s="2" t="s">
        <v>100</v>
      </c>
      <c r="S239" s="2" t="s">
        <v>1286</v>
      </c>
      <c r="T239" s="2" t="s">
        <v>100</v>
      </c>
      <c r="U239" s="2" t="s">
        <v>355</v>
      </c>
      <c r="V239" s="2" t="s">
        <v>401</v>
      </c>
      <c r="W239" s="2" t="s">
        <v>104</v>
      </c>
      <c r="X239" s="2" t="s">
        <v>105</v>
      </c>
      <c r="Y239" s="2" t="s">
        <v>144</v>
      </c>
      <c r="Z239" s="4">
        <v>187</v>
      </c>
      <c r="AA239" s="4">
        <f>=ROUNDDOWN(18.7,0)</f>
      </c>
      <c r="AB239" s="5">
        <v>10</v>
      </c>
      <c r="AC239" s="2" t="s">
        <v>145</v>
      </c>
      <c r="AD239" s="4">
        <v>30</v>
      </c>
      <c r="AE239" s="4">
        <v>180</v>
      </c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>
        <v>21</v>
      </c>
      <c r="BK239" s="8">
        <v>1174.81</v>
      </c>
      <c r="BL239" s="2" t="s">
        <v>585</v>
      </c>
      <c r="BM239" s="7"/>
      <c r="BN239" s="7"/>
      <c r="BO239" s="4"/>
      <c r="BP239" s="8"/>
      <c r="BQ239" s="4"/>
      <c r="BR239" s="8"/>
      <c r="BS239" s="7"/>
      <c r="BT239" s="7"/>
      <c r="BU239" s="2" t="s">
        <v>109</v>
      </c>
      <c r="BV239" s="2" t="s">
        <v>97</v>
      </c>
      <c r="BW239" s="2" t="s">
        <v>475</v>
      </c>
      <c r="BX239" s="2" t="s">
        <v>1287</v>
      </c>
      <c r="BY239" s="2" t="s">
        <v>112</v>
      </c>
      <c r="BZ239" s="2" t="s">
        <v>100</v>
      </c>
    </row>
    <row r="240">
      <c r="A240" s="2" t="s">
        <v>1288</v>
      </c>
      <c r="B240" s="2" t="s">
        <v>87</v>
      </c>
      <c r="C240" s="2" t="s">
        <v>88</v>
      </c>
      <c r="D240" s="2" t="s">
        <v>963</v>
      </c>
      <c r="E240" s="2" t="s">
        <v>1232</v>
      </c>
      <c r="F240" s="2" t="s">
        <v>91</v>
      </c>
      <c r="G240" s="2" t="s">
        <v>92</v>
      </c>
      <c r="H240" s="2" t="s">
        <v>93</v>
      </c>
      <c r="I240" s="2" t="s">
        <v>1285</v>
      </c>
      <c r="J240" s="2" t="s">
        <v>522</v>
      </c>
      <c r="K240" s="2" t="s">
        <v>122</v>
      </c>
      <c r="L240" s="3">
        <v>54.99</v>
      </c>
      <c r="M240" s="3">
        <v>57.74</v>
      </c>
      <c r="N240" s="3">
        <v>109.99</v>
      </c>
      <c r="O240" s="2" t="s">
        <v>97</v>
      </c>
      <c r="P240" s="2" t="s">
        <v>317</v>
      </c>
      <c r="Q240" s="2" t="s">
        <v>99</v>
      </c>
      <c r="R240" s="2" t="s">
        <v>100</v>
      </c>
      <c r="S240" s="2" t="s">
        <v>1289</v>
      </c>
      <c r="T240" s="2" t="s">
        <v>100</v>
      </c>
      <c r="U240" s="2" t="s">
        <v>355</v>
      </c>
      <c r="V240" s="2" t="s">
        <v>103</v>
      </c>
      <c r="W240" s="2" t="s">
        <v>104</v>
      </c>
      <c r="X240" s="2" t="s">
        <v>105</v>
      </c>
      <c r="Y240" s="2" t="s">
        <v>144</v>
      </c>
      <c r="Z240" s="4">
        <v>502</v>
      </c>
      <c r="AA240" s="4">
        <f>=ROUNDDOWN(15.2121212121212,0)</f>
      </c>
      <c r="AB240" s="5">
        <v>33</v>
      </c>
      <c r="AC240" s="2" t="s">
        <v>107</v>
      </c>
      <c r="AD240" s="4">
        <v>120</v>
      </c>
      <c r="AE240" s="4">
        <v>730</v>
      </c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>
        <v>119</v>
      </c>
      <c r="BK240" s="8">
        <v>6770.3</v>
      </c>
      <c r="BL240" s="2" t="s">
        <v>1290</v>
      </c>
      <c r="BM240" s="7"/>
      <c r="BN240" s="7"/>
      <c r="BO240" s="4"/>
      <c r="BP240" s="8"/>
      <c r="BQ240" s="4"/>
      <c r="BR240" s="8"/>
      <c r="BS240" s="7"/>
      <c r="BT240" s="7"/>
      <c r="BU240" s="2" t="s">
        <v>109</v>
      </c>
      <c r="BV240" s="2" t="s">
        <v>97</v>
      </c>
      <c r="BW240" s="2" t="s">
        <v>159</v>
      </c>
      <c r="BX240" s="2" t="s">
        <v>358</v>
      </c>
      <c r="BY240" s="2" t="s">
        <v>112</v>
      </c>
      <c r="BZ240" s="2" t="s">
        <v>100</v>
      </c>
    </row>
    <row r="241">
      <c r="A241" s="2" t="s">
        <v>1291</v>
      </c>
      <c r="B241" s="2" t="s">
        <v>87</v>
      </c>
      <c r="C241" s="2" t="s">
        <v>88</v>
      </c>
      <c r="D241" s="2" t="s">
        <v>963</v>
      </c>
      <c r="E241" s="2" t="s">
        <v>1232</v>
      </c>
      <c r="F241" s="2" t="s">
        <v>467</v>
      </c>
      <c r="G241" s="2" t="s">
        <v>468</v>
      </c>
      <c r="H241" s="2" t="s">
        <v>469</v>
      </c>
      <c r="I241" s="2" t="s">
        <v>1292</v>
      </c>
      <c r="J241" s="2" t="s">
        <v>522</v>
      </c>
      <c r="K241" s="2" t="s">
        <v>223</v>
      </c>
      <c r="L241" s="3">
        <v>48</v>
      </c>
      <c r="M241" s="3">
        <v>50.39</v>
      </c>
      <c r="N241" s="3">
        <v>99.99</v>
      </c>
      <c r="O241" s="2" t="s">
        <v>97</v>
      </c>
      <c r="P241" s="2" t="s">
        <v>98</v>
      </c>
      <c r="Q241" s="2" t="s">
        <v>99</v>
      </c>
      <c r="R241" s="2" t="s">
        <v>100</v>
      </c>
      <c r="S241" s="2" t="s">
        <v>1293</v>
      </c>
      <c r="T241" s="2" t="s">
        <v>100</v>
      </c>
      <c r="U241" s="2" t="s">
        <v>1228</v>
      </c>
      <c r="V241" s="2" t="s">
        <v>473</v>
      </c>
      <c r="W241" s="2" t="s">
        <v>104</v>
      </c>
      <c r="X241" s="2" t="s">
        <v>305</v>
      </c>
      <c r="Y241" s="2" t="s">
        <v>1294</v>
      </c>
      <c r="Z241" s="4">
        <v>242</v>
      </c>
      <c r="AA241" s="4">
        <f>=ROUNDDOWN(30.25,0)</f>
      </c>
      <c r="AB241" s="5">
        <v>8</v>
      </c>
      <c r="AC241" s="2" t="s">
        <v>145</v>
      </c>
      <c r="AD241" s="4">
        <v>80</v>
      </c>
      <c r="AE241" s="4">
        <v>130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/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/>
      <c r="BJ241" s="4">
        <v>33</v>
      </c>
      <c r="BK241" s="8">
        <v>1808.73</v>
      </c>
      <c r="BL241" s="2" t="s">
        <v>1295</v>
      </c>
      <c r="BM241" s="7"/>
      <c r="BN241" s="7"/>
      <c r="BO241" s="4"/>
      <c r="BP241" s="8"/>
      <c r="BQ241" s="4"/>
      <c r="BR241" s="8"/>
      <c r="BS241" s="7"/>
      <c r="BT241" s="7"/>
      <c r="BU241" s="2" t="s">
        <v>171</v>
      </c>
      <c r="BV241" s="2" t="s">
        <v>97</v>
      </c>
      <c r="BW241" s="2" t="s">
        <v>100</v>
      </c>
      <c r="BX241" s="2" t="s">
        <v>100</v>
      </c>
      <c r="BY241" s="2" t="s">
        <v>112</v>
      </c>
      <c r="BZ241" s="2" t="s">
        <v>149</v>
      </c>
    </row>
    <row r="242">
      <c r="A242" s="2" t="s">
        <v>1296</v>
      </c>
      <c r="B242" s="2" t="s">
        <v>87</v>
      </c>
      <c r="C242" s="2" t="s">
        <v>88</v>
      </c>
      <c r="D242" s="2" t="s">
        <v>963</v>
      </c>
      <c r="E242" s="2" t="s">
        <v>1232</v>
      </c>
      <c r="F242" s="2" t="s">
        <v>467</v>
      </c>
      <c r="G242" s="2" t="s">
        <v>468</v>
      </c>
      <c r="H242" s="2" t="s">
        <v>469</v>
      </c>
      <c r="I242" s="2" t="s">
        <v>1292</v>
      </c>
      <c r="J242" s="2" t="s">
        <v>529</v>
      </c>
      <c r="K242" s="2" t="s">
        <v>223</v>
      </c>
      <c r="L242" s="3">
        <v>52.8</v>
      </c>
      <c r="M242" s="3">
        <v>55.43</v>
      </c>
      <c r="N242" s="3">
        <v>109.99</v>
      </c>
      <c r="O242" s="2" t="s">
        <v>97</v>
      </c>
      <c r="P242" s="2" t="s">
        <v>98</v>
      </c>
      <c r="Q242" s="2" t="s">
        <v>99</v>
      </c>
      <c r="R242" s="2" t="s">
        <v>100</v>
      </c>
      <c r="S242" s="2" t="s">
        <v>1293</v>
      </c>
      <c r="T242" s="2" t="s">
        <v>100</v>
      </c>
      <c r="U242" s="2" t="s">
        <v>1228</v>
      </c>
      <c r="V242" s="2" t="s">
        <v>473</v>
      </c>
      <c r="W242" s="2" t="s">
        <v>104</v>
      </c>
      <c r="X242" s="2" t="s">
        <v>305</v>
      </c>
      <c r="Y242" s="2" t="s">
        <v>1294</v>
      </c>
      <c r="Z242" s="4">
        <v>162</v>
      </c>
      <c r="AA242" s="4">
        <f>=ROUNDDOWN(14.7272727272727,0)</f>
      </c>
      <c r="AB242" s="5">
        <v>11</v>
      </c>
      <c r="AC242" s="2" t="s">
        <v>145</v>
      </c>
      <c r="AD242" s="4">
        <v>80</v>
      </c>
      <c r="AE242" s="4">
        <v>250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/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/>
      <c r="BJ242" s="4">
        <v>40</v>
      </c>
      <c r="BK242" s="8">
        <v>2307.14</v>
      </c>
      <c r="BL242" s="2" t="s">
        <v>495</v>
      </c>
      <c r="BM242" s="7"/>
      <c r="BN242" s="7"/>
      <c r="BO242" s="4"/>
      <c r="BP242" s="8"/>
      <c r="BQ242" s="4"/>
      <c r="BR242" s="8"/>
      <c r="BS242" s="7"/>
      <c r="BT242" s="7"/>
      <c r="BU242" s="2" t="s">
        <v>171</v>
      </c>
      <c r="BV242" s="2" t="s">
        <v>97</v>
      </c>
      <c r="BW242" s="2" t="s">
        <v>100</v>
      </c>
      <c r="BX242" s="2" t="s">
        <v>100</v>
      </c>
      <c r="BY242" s="2" t="s">
        <v>112</v>
      </c>
      <c r="BZ242" s="2" t="s">
        <v>100</v>
      </c>
    </row>
    <row r="243">
      <c r="A243" s="2" t="s">
        <v>1297</v>
      </c>
      <c r="B243" s="2" t="s">
        <v>87</v>
      </c>
      <c r="C243" s="2" t="s">
        <v>88</v>
      </c>
      <c r="D243" s="2" t="s">
        <v>963</v>
      </c>
      <c r="E243" s="2" t="s">
        <v>1232</v>
      </c>
      <c r="F243" s="2" t="s">
        <v>1298</v>
      </c>
      <c r="G243" s="2" t="s">
        <v>1299</v>
      </c>
      <c r="H243" s="2" t="s">
        <v>1300</v>
      </c>
      <c r="I243" s="2" t="s">
        <v>1301</v>
      </c>
      <c r="J243" s="2" t="s">
        <v>529</v>
      </c>
      <c r="K243" s="2" t="s">
        <v>179</v>
      </c>
      <c r="L243" s="3">
        <v>59.99</v>
      </c>
      <c r="M243" s="3">
        <v>62.99</v>
      </c>
      <c r="N243" s="3">
        <v>119.99</v>
      </c>
      <c r="O243" s="2" t="s">
        <v>97</v>
      </c>
      <c r="P243" s="2" t="s">
        <v>123</v>
      </c>
      <c r="Q243" s="2" t="s">
        <v>99</v>
      </c>
      <c r="R243" s="2" t="s">
        <v>100</v>
      </c>
      <c r="S243" s="2" t="s">
        <v>1302</v>
      </c>
      <c r="T243" s="2" t="s">
        <v>100</v>
      </c>
      <c r="U243" s="2" t="s">
        <v>355</v>
      </c>
      <c r="V243" s="2" t="s">
        <v>733</v>
      </c>
      <c r="W243" s="2" t="s">
        <v>142</v>
      </c>
      <c r="X243" s="2" t="s">
        <v>1229</v>
      </c>
      <c r="Y243" s="2" t="s">
        <v>144</v>
      </c>
      <c r="Z243" s="4">
        <v>1183</v>
      </c>
      <c r="AA243" s="4">
        <f>=ROUNDDOWN(19.0806451612903,0)</f>
      </c>
      <c r="AB243" s="5">
        <v>62</v>
      </c>
      <c r="AC243" s="2" t="s">
        <v>107</v>
      </c>
      <c r="AD243" s="4">
        <v>190</v>
      </c>
      <c r="AE243" s="4">
        <v>1040</v>
      </c>
      <c r="AF243" s="6">
        <v>64</v>
      </c>
      <c r="AG243" s="6">
        <v>47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/>
      <c r="BJ243" s="4">
        <v>153</v>
      </c>
      <c r="BK243" s="8">
        <v>9842.22</v>
      </c>
      <c r="BL243" s="2" t="s">
        <v>1303</v>
      </c>
      <c r="BM243" s="7"/>
      <c r="BN243" s="7"/>
      <c r="BO243" s="4"/>
      <c r="BP243" s="8"/>
      <c r="BQ243" s="4"/>
      <c r="BR243" s="8"/>
      <c r="BS243" s="7"/>
      <c r="BT243" s="7"/>
      <c r="BU243" s="2" t="s">
        <v>109</v>
      </c>
      <c r="BV243" s="2" t="s">
        <v>97</v>
      </c>
      <c r="BW243" s="2" t="s">
        <v>159</v>
      </c>
      <c r="BX243" s="2" t="s">
        <v>1304</v>
      </c>
      <c r="BY243" s="2" t="s">
        <v>112</v>
      </c>
      <c r="BZ243" s="2" t="s">
        <v>149</v>
      </c>
    </row>
    <row r="244">
      <c r="A244" s="2" t="s">
        <v>1305</v>
      </c>
      <c r="B244" s="2" t="s">
        <v>87</v>
      </c>
      <c r="C244" s="2" t="s">
        <v>88</v>
      </c>
      <c r="D244" s="2" t="s">
        <v>963</v>
      </c>
      <c r="E244" s="2" t="s">
        <v>1232</v>
      </c>
      <c r="F244" s="2" t="s">
        <v>1298</v>
      </c>
      <c r="G244" s="2" t="s">
        <v>1299</v>
      </c>
      <c r="H244" s="2" t="s">
        <v>1300</v>
      </c>
      <c r="I244" s="2" t="s">
        <v>1301</v>
      </c>
      <c r="J244" s="2" t="s">
        <v>529</v>
      </c>
      <c r="K244" s="2" t="s">
        <v>626</v>
      </c>
      <c r="L244" s="3">
        <v>59.99</v>
      </c>
      <c r="M244" s="3">
        <v>62.99</v>
      </c>
      <c r="N244" s="3">
        <v>119.99</v>
      </c>
      <c r="O244" s="2" t="s">
        <v>97</v>
      </c>
      <c r="P244" s="2" t="s">
        <v>98</v>
      </c>
      <c r="Q244" s="2" t="s">
        <v>99</v>
      </c>
      <c r="R244" s="2" t="s">
        <v>100</v>
      </c>
      <c r="S244" s="2" t="s">
        <v>1306</v>
      </c>
      <c r="T244" s="2" t="s">
        <v>100</v>
      </c>
      <c r="U244" s="2" t="s">
        <v>355</v>
      </c>
      <c r="V244" s="2" t="s">
        <v>733</v>
      </c>
      <c r="W244" s="2" t="s">
        <v>142</v>
      </c>
      <c r="X244" s="2" t="s">
        <v>1229</v>
      </c>
      <c r="Y244" s="2" t="s">
        <v>144</v>
      </c>
      <c r="Z244" s="4">
        <v>1144</v>
      </c>
      <c r="AA244" s="4">
        <f>=ROUNDDOWN(47.6666666666667,0)</f>
      </c>
      <c r="AB244" s="5">
        <v>24</v>
      </c>
      <c r="AC244" s="2" t="s">
        <v>173</v>
      </c>
      <c r="AD244" s="4">
        <v>330</v>
      </c>
      <c r="AE244" s="4">
        <v>330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/>
      <c r="BJ244" s="4">
        <v>59</v>
      </c>
      <c r="BK244" s="8">
        <v>3665.65</v>
      </c>
      <c r="BL244" s="2" t="s">
        <v>1307</v>
      </c>
      <c r="BM244" s="7"/>
      <c r="BN244" s="7"/>
      <c r="BO244" s="4"/>
      <c r="BP244" s="8"/>
      <c r="BQ244" s="4"/>
      <c r="BR244" s="8"/>
      <c r="BS244" s="7"/>
      <c r="BT244" s="7"/>
      <c r="BU244" s="2" t="s">
        <v>109</v>
      </c>
      <c r="BV244" s="2" t="s">
        <v>97</v>
      </c>
      <c r="BW244" s="2" t="s">
        <v>159</v>
      </c>
      <c r="BX244" s="2" t="s">
        <v>1308</v>
      </c>
      <c r="BY244" s="2" t="s">
        <v>112</v>
      </c>
      <c r="BZ244" s="2" t="s">
        <v>149</v>
      </c>
    </row>
    <row r="245">
      <c r="A245" s="2" t="s">
        <v>1309</v>
      </c>
      <c r="B245" s="2" t="s">
        <v>87</v>
      </c>
      <c r="C245" s="2" t="s">
        <v>88</v>
      </c>
      <c r="D245" s="2" t="s">
        <v>963</v>
      </c>
      <c r="E245" s="2" t="s">
        <v>1232</v>
      </c>
      <c r="F245" s="2" t="s">
        <v>965</v>
      </c>
      <c r="G245" s="2" t="s">
        <v>966</v>
      </c>
      <c r="H245" s="2" t="s">
        <v>967</v>
      </c>
      <c r="I245" s="2" t="s">
        <v>1310</v>
      </c>
      <c r="J245" s="2" t="s">
        <v>522</v>
      </c>
      <c r="K245" s="2" t="s">
        <v>706</v>
      </c>
      <c r="L245" s="3">
        <v>49.5</v>
      </c>
      <c r="M245" s="3">
        <v>51.98</v>
      </c>
      <c r="N245" s="3">
        <v>99.99</v>
      </c>
      <c r="O245" s="2" t="s">
        <v>97</v>
      </c>
      <c r="P245" s="2" t="s">
        <v>98</v>
      </c>
      <c r="Q245" s="2" t="s">
        <v>99</v>
      </c>
      <c r="R245" s="2" t="s">
        <v>100</v>
      </c>
      <c r="S245" s="2" t="s">
        <v>1311</v>
      </c>
      <c r="T245" s="2" t="s">
        <v>100</v>
      </c>
      <c r="U245" s="2" t="s">
        <v>355</v>
      </c>
      <c r="V245" s="2" t="s">
        <v>103</v>
      </c>
      <c r="W245" s="2" t="s">
        <v>142</v>
      </c>
      <c r="X245" s="2" t="s">
        <v>143</v>
      </c>
      <c r="Y245" s="2" t="s">
        <v>144</v>
      </c>
      <c r="Z245" s="4">
        <v>426</v>
      </c>
      <c r="AA245" s="4">
        <f>=ROUNDDOWN(60.8571428571429,0)</f>
      </c>
      <c r="AB245" s="5">
        <v>7</v>
      </c>
      <c r="AC245" s="2" t="s">
        <v>783</v>
      </c>
      <c r="AD245" s="4">
        <v>280</v>
      </c>
      <c r="AE245" s="4">
        <v>330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>
        <v>15</v>
      </c>
      <c r="BK245" s="8">
        <v>849.56</v>
      </c>
      <c r="BL245" s="2" t="s">
        <v>1312</v>
      </c>
      <c r="BM245" s="7"/>
      <c r="BN245" s="7"/>
      <c r="BO245" s="4"/>
      <c r="BP245" s="8"/>
      <c r="BQ245" s="4"/>
      <c r="BR245" s="8"/>
      <c r="BS245" s="7"/>
      <c r="BT245" s="7"/>
      <c r="BU245" s="2" t="s">
        <v>109</v>
      </c>
      <c r="BV245" s="2" t="s">
        <v>97</v>
      </c>
      <c r="BW245" s="2" t="s">
        <v>159</v>
      </c>
      <c r="BX245" s="2" t="s">
        <v>1313</v>
      </c>
      <c r="BY245" s="2" t="s">
        <v>112</v>
      </c>
      <c r="BZ245" s="2" t="s">
        <v>149</v>
      </c>
    </row>
    <row r="246">
      <c r="A246" s="2" t="s">
        <v>1314</v>
      </c>
      <c r="B246" s="2" t="s">
        <v>87</v>
      </c>
      <c r="C246" s="2" t="s">
        <v>88</v>
      </c>
      <c r="D246" s="2" t="s">
        <v>963</v>
      </c>
      <c r="E246" s="2" t="s">
        <v>1232</v>
      </c>
      <c r="F246" s="2" t="s">
        <v>613</v>
      </c>
      <c r="G246" s="2" t="s">
        <v>614</v>
      </c>
      <c r="H246" s="2" t="s">
        <v>615</v>
      </c>
      <c r="I246" s="2" t="s">
        <v>1315</v>
      </c>
      <c r="J246" s="2" t="s">
        <v>522</v>
      </c>
      <c r="K246" s="2" t="s">
        <v>188</v>
      </c>
      <c r="L246" s="3">
        <v>63.7</v>
      </c>
      <c r="M246" s="3">
        <v>66.88</v>
      </c>
      <c r="N246" s="3">
        <v>129.99</v>
      </c>
      <c r="O246" s="2" t="s">
        <v>97</v>
      </c>
      <c r="P246" s="2" t="s">
        <v>123</v>
      </c>
      <c r="Q246" s="2" t="s">
        <v>99</v>
      </c>
      <c r="R246" s="2" t="s">
        <v>100</v>
      </c>
      <c r="S246" s="2" t="s">
        <v>617</v>
      </c>
      <c r="T246" s="2" t="s">
        <v>100</v>
      </c>
      <c r="U246" s="2" t="s">
        <v>355</v>
      </c>
      <c r="V246" s="2" t="s">
        <v>141</v>
      </c>
      <c r="W246" s="2" t="s">
        <v>525</v>
      </c>
      <c r="X246" s="2" t="s">
        <v>619</v>
      </c>
      <c r="Y246" s="2" t="s">
        <v>620</v>
      </c>
      <c r="Z246" s="4">
        <v>306</v>
      </c>
      <c r="AA246" s="4">
        <f>=ROUNDDOWN(7.84615384615385,0)</f>
      </c>
      <c r="AB246" s="5">
        <v>39</v>
      </c>
      <c r="AC246" s="2" t="s">
        <v>206</v>
      </c>
      <c r="AD246" s="4">
        <v>250</v>
      </c>
      <c r="AE246" s="4">
        <v>940</v>
      </c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/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/>
      <c r="BJ246" s="4">
        <v>167</v>
      </c>
      <c r="BK246" s="8">
        <v>10893.05</v>
      </c>
      <c r="BL246" s="2" t="s">
        <v>1316</v>
      </c>
      <c r="BM246" s="7"/>
      <c r="BN246" s="7"/>
      <c r="BO246" s="4"/>
      <c r="BP246" s="8"/>
      <c r="BQ246" s="4"/>
      <c r="BR246" s="8"/>
      <c r="BS246" s="7"/>
      <c r="BT246" s="7"/>
      <c r="BU246" s="2" t="s">
        <v>171</v>
      </c>
      <c r="BV246" s="2" t="s">
        <v>97</v>
      </c>
      <c r="BW246" s="2" t="s">
        <v>100</v>
      </c>
      <c r="BX246" s="2" t="s">
        <v>100</v>
      </c>
      <c r="BY246" s="2" t="s">
        <v>112</v>
      </c>
      <c r="BZ246" s="2" t="s">
        <v>100</v>
      </c>
    </row>
    <row r="247">
      <c r="A247" s="2" t="s">
        <v>1317</v>
      </c>
      <c r="B247" s="2" t="s">
        <v>87</v>
      </c>
      <c r="C247" s="2" t="s">
        <v>88</v>
      </c>
      <c r="D247" s="2" t="s">
        <v>963</v>
      </c>
      <c r="E247" s="2" t="s">
        <v>1232</v>
      </c>
      <c r="F247" s="2" t="s">
        <v>613</v>
      </c>
      <c r="G247" s="2" t="s">
        <v>614</v>
      </c>
      <c r="H247" s="2" t="s">
        <v>615</v>
      </c>
      <c r="I247" s="2" t="s">
        <v>1315</v>
      </c>
      <c r="J247" s="2" t="s">
        <v>529</v>
      </c>
      <c r="K247" s="2" t="s">
        <v>188</v>
      </c>
      <c r="L247" s="3">
        <v>68.6</v>
      </c>
      <c r="M247" s="3">
        <v>72.02</v>
      </c>
      <c r="N247" s="3">
        <v>139.99</v>
      </c>
      <c r="O247" s="2" t="s">
        <v>97</v>
      </c>
      <c r="P247" s="2" t="s">
        <v>123</v>
      </c>
      <c r="Q247" s="2" t="s">
        <v>99</v>
      </c>
      <c r="R247" s="2" t="s">
        <v>100</v>
      </c>
      <c r="S247" s="2" t="s">
        <v>617</v>
      </c>
      <c r="T247" s="2" t="s">
        <v>100</v>
      </c>
      <c r="U247" s="2" t="s">
        <v>355</v>
      </c>
      <c r="V247" s="2" t="s">
        <v>141</v>
      </c>
      <c r="W247" s="2" t="s">
        <v>525</v>
      </c>
      <c r="X247" s="2" t="s">
        <v>619</v>
      </c>
      <c r="Y247" s="2" t="s">
        <v>620</v>
      </c>
      <c r="Z247" s="4">
        <v>531</v>
      </c>
      <c r="AA247" s="4">
        <f>=ROUNDDOWN(9.83333333333333,0)</f>
      </c>
      <c r="AB247" s="5">
        <v>54</v>
      </c>
      <c r="AC247" s="2" t="s">
        <v>582</v>
      </c>
      <c r="AD247" s="4">
        <v>50</v>
      </c>
      <c r="AE247" s="4">
        <v>1000</v>
      </c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/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/>
      <c r="BJ247" s="4">
        <v>196</v>
      </c>
      <c r="BK247" s="8">
        <v>14064.21</v>
      </c>
      <c r="BL247" s="2" t="s">
        <v>1318</v>
      </c>
      <c r="BM247" s="7"/>
      <c r="BN247" s="7"/>
      <c r="BO247" s="4"/>
      <c r="BP247" s="8"/>
      <c r="BQ247" s="4"/>
      <c r="BR247" s="8"/>
      <c r="BS247" s="7"/>
      <c r="BT247" s="7"/>
      <c r="BU247" s="2" t="s">
        <v>171</v>
      </c>
      <c r="BV247" s="2" t="s">
        <v>97</v>
      </c>
      <c r="BW247" s="2" t="s">
        <v>100</v>
      </c>
      <c r="BX247" s="2" t="s">
        <v>100</v>
      </c>
      <c r="BY247" s="2" t="s">
        <v>112</v>
      </c>
      <c r="BZ247" s="2" t="s">
        <v>100</v>
      </c>
    </row>
    <row r="248">
      <c r="A248" s="2" t="s">
        <v>1319</v>
      </c>
      <c r="B248" s="2" t="s">
        <v>87</v>
      </c>
      <c r="C248" s="2" t="s">
        <v>88</v>
      </c>
      <c r="D248" s="2" t="s">
        <v>963</v>
      </c>
      <c r="E248" s="2" t="s">
        <v>1232</v>
      </c>
      <c r="F248" s="2" t="s">
        <v>613</v>
      </c>
      <c r="G248" s="2" t="s">
        <v>614</v>
      </c>
      <c r="H248" s="2" t="s">
        <v>615</v>
      </c>
      <c r="I248" s="2" t="s">
        <v>1315</v>
      </c>
      <c r="J248" s="2" t="s">
        <v>522</v>
      </c>
      <c r="K248" s="2" t="s">
        <v>626</v>
      </c>
      <c r="L248" s="3">
        <v>63.7</v>
      </c>
      <c r="M248" s="3">
        <v>66.88</v>
      </c>
      <c r="N248" s="3">
        <v>129.99</v>
      </c>
      <c r="O248" s="2" t="s">
        <v>97</v>
      </c>
      <c r="P248" s="2" t="s">
        <v>123</v>
      </c>
      <c r="Q248" s="2" t="s">
        <v>99</v>
      </c>
      <c r="R248" s="2" t="s">
        <v>100</v>
      </c>
      <c r="S248" s="2" t="s">
        <v>1320</v>
      </c>
      <c r="T248" s="2" t="s">
        <v>190</v>
      </c>
      <c r="U248" s="2" t="s">
        <v>355</v>
      </c>
      <c r="V248" s="2" t="s">
        <v>141</v>
      </c>
      <c r="W248" s="2" t="s">
        <v>525</v>
      </c>
      <c r="X248" s="2" t="s">
        <v>619</v>
      </c>
      <c r="Y248" s="2" t="s">
        <v>628</v>
      </c>
      <c r="Z248" s="4">
        <v>15</v>
      </c>
      <c r="AA248" s="4">
        <f>=ROUNDDOWN(0.333333333333333,0)</f>
      </c>
      <c r="AB248" s="5">
        <v>45</v>
      </c>
      <c r="AC248" s="2" t="s">
        <v>262</v>
      </c>
      <c r="AD248" s="4">
        <v>180</v>
      </c>
      <c r="AE248" s="4">
        <v>1120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/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/>
      <c r="BJ248" s="4">
        <v>190</v>
      </c>
      <c r="BK248" s="8">
        <v>12701.67</v>
      </c>
      <c r="BL248" s="2" t="s">
        <v>1321</v>
      </c>
      <c r="BM248" s="7"/>
      <c r="BN248" s="7"/>
      <c r="BO248" s="4"/>
      <c r="BP248" s="8"/>
      <c r="BQ248" s="4"/>
      <c r="BR248" s="8"/>
      <c r="BS248" s="7"/>
      <c r="BT248" s="7"/>
      <c r="BU248" s="2" t="s">
        <v>171</v>
      </c>
      <c r="BV248" s="2" t="s">
        <v>97</v>
      </c>
      <c r="BW248" s="2" t="s">
        <v>100</v>
      </c>
      <c r="BX248" s="2" t="s">
        <v>100</v>
      </c>
      <c r="BY248" s="2" t="s">
        <v>112</v>
      </c>
      <c r="BZ248" s="2" t="s">
        <v>100</v>
      </c>
    </row>
    <row r="249">
      <c r="A249" s="2" t="s">
        <v>1322</v>
      </c>
      <c r="B249" s="2" t="s">
        <v>87</v>
      </c>
      <c r="C249" s="2" t="s">
        <v>88</v>
      </c>
      <c r="D249" s="2" t="s">
        <v>963</v>
      </c>
      <c r="E249" s="2" t="s">
        <v>1232</v>
      </c>
      <c r="F249" s="2" t="s">
        <v>613</v>
      </c>
      <c r="G249" s="2" t="s">
        <v>614</v>
      </c>
      <c r="H249" s="2" t="s">
        <v>615</v>
      </c>
      <c r="I249" s="2" t="s">
        <v>1315</v>
      </c>
      <c r="J249" s="2" t="s">
        <v>529</v>
      </c>
      <c r="K249" s="2" t="s">
        <v>626</v>
      </c>
      <c r="L249" s="3">
        <v>68.6</v>
      </c>
      <c r="M249" s="3">
        <v>72.02</v>
      </c>
      <c r="N249" s="3">
        <v>139.99</v>
      </c>
      <c r="O249" s="2" t="s">
        <v>97</v>
      </c>
      <c r="P249" s="2" t="s">
        <v>123</v>
      </c>
      <c r="Q249" s="2" t="s">
        <v>99</v>
      </c>
      <c r="R249" s="2" t="s">
        <v>100</v>
      </c>
      <c r="S249" s="2" t="s">
        <v>1320</v>
      </c>
      <c r="T249" s="2" t="s">
        <v>190</v>
      </c>
      <c r="U249" s="2" t="s">
        <v>355</v>
      </c>
      <c r="V249" s="2" t="s">
        <v>141</v>
      </c>
      <c r="W249" s="2" t="s">
        <v>525</v>
      </c>
      <c r="X249" s="2" t="s">
        <v>619</v>
      </c>
      <c r="Y249" s="2" t="s">
        <v>628</v>
      </c>
      <c r="Z249" s="4">
        <v>130</v>
      </c>
      <c r="AA249" s="4">
        <f>=ROUNDDOWN(2.95454545454545,0)</f>
      </c>
      <c r="AB249" s="5">
        <v>44</v>
      </c>
      <c r="AC249" s="2" t="s">
        <v>262</v>
      </c>
      <c r="AD249" s="4">
        <v>240</v>
      </c>
      <c r="AE249" s="4">
        <v>1050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/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/>
      <c r="BJ249" s="4">
        <v>169</v>
      </c>
      <c r="BK249" s="8">
        <v>12146.1</v>
      </c>
      <c r="BL249" s="2" t="s">
        <v>1323</v>
      </c>
      <c r="BM249" s="7"/>
      <c r="BN249" s="7"/>
      <c r="BO249" s="4"/>
      <c r="BP249" s="8"/>
      <c r="BQ249" s="4"/>
      <c r="BR249" s="8"/>
      <c r="BS249" s="7"/>
      <c r="BT249" s="7"/>
      <c r="BU249" s="2" t="s">
        <v>171</v>
      </c>
      <c r="BV249" s="2" t="s">
        <v>97</v>
      </c>
      <c r="BW249" s="2" t="s">
        <v>100</v>
      </c>
      <c r="BX249" s="2" t="s">
        <v>100</v>
      </c>
      <c r="BY249" s="2" t="s">
        <v>112</v>
      </c>
      <c r="BZ249" s="2" t="s">
        <v>100</v>
      </c>
    </row>
    <row r="250">
      <c r="A250" s="2" t="s">
        <v>1324</v>
      </c>
      <c r="B250" s="2" t="s">
        <v>87</v>
      </c>
      <c r="C250" s="2" t="s">
        <v>88</v>
      </c>
      <c r="D250" s="2" t="s">
        <v>963</v>
      </c>
      <c r="E250" s="2" t="s">
        <v>1232</v>
      </c>
      <c r="F250" s="2" t="s">
        <v>348</v>
      </c>
      <c r="G250" s="2" t="s">
        <v>349</v>
      </c>
      <c r="H250" s="2" t="s">
        <v>350</v>
      </c>
      <c r="I250" s="2" t="s">
        <v>1325</v>
      </c>
      <c r="J250" s="2" t="s">
        <v>522</v>
      </c>
      <c r="K250" s="2" t="s">
        <v>1326</v>
      </c>
      <c r="L250" s="3">
        <v>59.99</v>
      </c>
      <c r="M250" s="3">
        <v>62.99</v>
      </c>
      <c r="N250" s="3">
        <v>119.99</v>
      </c>
      <c r="O250" s="2" t="s">
        <v>97</v>
      </c>
      <c r="P250" s="2" t="s">
        <v>98</v>
      </c>
      <c r="Q250" s="2" t="s">
        <v>99</v>
      </c>
      <c r="R250" s="2" t="s">
        <v>100</v>
      </c>
      <c r="S250" s="2" t="s">
        <v>1327</v>
      </c>
      <c r="T250" s="2" t="s">
        <v>100</v>
      </c>
      <c r="U250" s="2" t="s">
        <v>355</v>
      </c>
      <c r="V250" s="2" t="s">
        <v>192</v>
      </c>
      <c r="W250" s="2" t="s">
        <v>142</v>
      </c>
      <c r="X250" s="2" t="s">
        <v>356</v>
      </c>
      <c r="Y250" s="2" t="s">
        <v>1328</v>
      </c>
      <c r="Z250" s="4">
        <v>482</v>
      </c>
      <c r="AA250" s="4">
        <f>=ROUNDDOWN(24.1,0)</f>
      </c>
      <c r="AB250" s="5">
        <v>20</v>
      </c>
      <c r="AC250" s="2" t="s">
        <v>1329</v>
      </c>
      <c r="AD250" s="4">
        <v>150</v>
      </c>
      <c r="AE250" s="4">
        <v>200</v>
      </c>
      <c r="AF250" s="6">
        <v>65</v>
      </c>
      <c r="AG250" s="6">
        <v>73</v>
      </c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/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/>
      <c r="BJ250" s="4">
        <v>70</v>
      </c>
      <c r="BK250" s="8">
        <v>4713.33</v>
      </c>
      <c r="BL250" s="2" t="s">
        <v>1330</v>
      </c>
      <c r="BM250" s="7"/>
      <c r="BN250" s="7"/>
      <c r="BO250" s="4"/>
      <c r="BP250" s="8"/>
      <c r="BQ250" s="4"/>
      <c r="BR250" s="8"/>
      <c r="BS250" s="7"/>
      <c r="BT250" s="7"/>
      <c r="BU250" s="2" t="s">
        <v>569</v>
      </c>
      <c r="BV250" s="2" t="s">
        <v>97</v>
      </c>
      <c r="BW250" s="2" t="s">
        <v>100</v>
      </c>
      <c r="BX250" s="2" t="s">
        <v>100</v>
      </c>
      <c r="BY250" s="2" t="s">
        <v>112</v>
      </c>
      <c r="BZ250" s="2" t="s">
        <v>149</v>
      </c>
    </row>
    <row r="251">
      <c r="A251" s="2" t="s">
        <v>1331</v>
      </c>
      <c r="B251" s="2" t="s">
        <v>87</v>
      </c>
      <c r="C251" s="2" t="s">
        <v>88</v>
      </c>
      <c r="D251" s="2" t="s">
        <v>963</v>
      </c>
      <c r="E251" s="2" t="s">
        <v>1232</v>
      </c>
      <c r="F251" s="2" t="s">
        <v>348</v>
      </c>
      <c r="G251" s="2" t="s">
        <v>349</v>
      </c>
      <c r="H251" s="2" t="s">
        <v>350</v>
      </c>
      <c r="I251" s="2" t="s">
        <v>1325</v>
      </c>
      <c r="J251" s="2" t="s">
        <v>529</v>
      </c>
      <c r="K251" s="2" t="s">
        <v>1326</v>
      </c>
      <c r="L251" s="3">
        <v>66.29</v>
      </c>
      <c r="M251" s="3">
        <v>69.61</v>
      </c>
      <c r="N251" s="3">
        <v>129.99</v>
      </c>
      <c r="O251" s="2" t="s">
        <v>97</v>
      </c>
      <c r="P251" s="2" t="s">
        <v>98</v>
      </c>
      <c r="Q251" s="2" t="s">
        <v>99</v>
      </c>
      <c r="R251" s="2" t="s">
        <v>100</v>
      </c>
      <c r="S251" s="2" t="s">
        <v>1327</v>
      </c>
      <c r="T251" s="2" t="s">
        <v>100</v>
      </c>
      <c r="U251" s="2" t="s">
        <v>355</v>
      </c>
      <c r="V251" s="2" t="s">
        <v>192</v>
      </c>
      <c r="W251" s="2" t="s">
        <v>142</v>
      </c>
      <c r="X251" s="2" t="s">
        <v>356</v>
      </c>
      <c r="Y251" s="2" t="s">
        <v>1328</v>
      </c>
      <c r="Z251" s="4">
        <v>722</v>
      </c>
      <c r="AA251" s="4">
        <f>=ROUNDDOWN(40.1111111111111,0)</f>
      </c>
      <c r="AB251" s="5">
        <v>18</v>
      </c>
      <c r="AC251" s="2" t="s">
        <v>100</v>
      </c>
      <c r="AD251" s="4"/>
      <c r="AE251" s="4"/>
      <c r="AF251" s="6">
        <v>65</v>
      </c>
      <c r="AG251" s="6">
        <v>73</v>
      </c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/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/>
      <c r="BJ251" s="4">
        <v>53</v>
      </c>
      <c r="BK251" s="8">
        <v>3805.1</v>
      </c>
      <c r="BL251" s="2" t="s">
        <v>1332</v>
      </c>
      <c r="BM251" s="7"/>
      <c r="BN251" s="7"/>
      <c r="BO251" s="4"/>
      <c r="BP251" s="8"/>
      <c r="BQ251" s="4"/>
      <c r="BR251" s="8"/>
      <c r="BS251" s="7"/>
      <c r="BT251" s="7"/>
      <c r="BU251" s="2" t="s">
        <v>569</v>
      </c>
      <c r="BV251" s="2" t="s">
        <v>97</v>
      </c>
      <c r="BW251" s="2" t="s">
        <v>100</v>
      </c>
      <c r="BX251" s="2" t="s">
        <v>100</v>
      </c>
      <c r="BY251" s="2" t="s">
        <v>112</v>
      </c>
      <c r="BZ251" s="2" t="s">
        <v>100</v>
      </c>
    </row>
    <row r="252">
      <c r="A252" s="2" t="s">
        <v>1333</v>
      </c>
      <c r="B252" s="2" t="s">
        <v>87</v>
      </c>
      <c r="C252" s="2" t="s">
        <v>88</v>
      </c>
      <c r="D252" s="2" t="s">
        <v>963</v>
      </c>
      <c r="E252" s="2" t="s">
        <v>1232</v>
      </c>
      <c r="F252" s="2" t="s">
        <v>348</v>
      </c>
      <c r="G252" s="2" t="s">
        <v>349</v>
      </c>
      <c r="H252" s="2" t="s">
        <v>350</v>
      </c>
      <c r="I252" s="2" t="s">
        <v>1325</v>
      </c>
      <c r="J252" s="2" t="s">
        <v>522</v>
      </c>
      <c r="K252" s="2" t="s">
        <v>353</v>
      </c>
      <c r="L252" s="3">
        <v>59.99</v>
      </c>
      <c r="M252" s="3">
        <v>62.99</v>
      </c>
      <c r="N252" s="3">
        <v>119.99</v>
      </c>
      <c r="O252" s="2" t="s">
        <v>97</v>
      </c>
      <c r="P252" s="2" t="s">
        <v>98</v>
      </c>
      <c r="Q252" s="2" t="s">
        <v>99</v>
      </c>
      <c r="R252" s="2" t="s">
        <v>100</v>
      </c>
      <c r="S252" s="2" t="s">
        <v>354</v>
      </c>
      <c r="T252" s="2" t="s">
        <v>100</v>
      </c>
      <c r="U252" s="2" t="s">
        <v>355</v>
      </c>
      <c r="V252" s="2" t="s">
        <v>192</v>
      </c>
      <c r="W252" s="2" t="s">
        <v>142</v>
      </c>
      <c r="X252" s="2" t="s">
        <v>356</v>
      </c>
      <c r="Y252" s="2" t="s">
        <v>1108</v>
      </c>
      <c r="Z252" s="4">
        <v>580</v>
      </c>
      <c r="AA252" s="4">
        <f>=ROUNDDOWN(44.6153846153846,0)</f>
      </c>
      <c r="AB252" s="5">
        <v>13</v>
      </c>
      <c r="AC252" s="2" t="s">
        <v>100</v>
      </c>
      <c r="AD252" s="4"/>
      <c r="AE252" s="4"/>
      <c r="AF252" s="6">
        <v>65</v>
      </c>
      <c r="AG252" s="6">
        <v>73</v>
      </c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/>
      <c r="BJ252" s="4">
        <v>35</v>
      </c>
      <c r="BK252" s="8">
        <v>2284.58</v>
      </c>
      <c r="BL252" s="2" t="s">
        <v>1334</v>
      </c>
      <c r="BM252" s="7"/>
      <c r="BN252" s="7"/>
      <c r="BO252" s="4"/>
      <c r="BP252" s="8"/>
      <c r="BQ252" s="4"/>
      <c r="BR252" s="8"/>
      <c r="BS252" s="7"/>
      <c r="BT252" s="7"/>
      <c r="BU252" s="2" t="s">
        <v>109</v>
      </c>
      <c r="BV252" s="2" t="s">
        <v>97</v>
      </c>
      <c r="BW252" s="2" t="s">
        <v>1335</v>
      </c>
      <c r="BX252" s="2" t="s">
        <v>1336</v>
      </c>
      <c r="BY252" s="2" t="s">
        <v>112</v>
      </c>
      <c r="BZ252" s="2" t="s">
        <v>100</v>
      </c>
    </row>
    <row r="253">
      <c r="A253" s="2" t="s">
        <v>1337</v>
      </c>
      <c r="B253" s="2" t="s">
        <v>87</v>
      </c>
      <c r="C253" s="2" t="s">
        <v>88</v>
      </c>
      <c r="D253" s="2" t="s">
        <v>963</v>
      </c>
      <c r="E253" s="2" t="s">
        <v>1232</v>
      </c>
      <c r="F253" s="2" t="s">
        <v>712</v>
      </c>
      <c r="G253" s="2" t="s">
        <v>713</v>
      </c>
      <c r="H253" s="2" t="s">
        <v>714</v>
      </c>
      <c r="I253" s="2" t="s">
        <v>1310</v>
      </c>
      <c r="J253" s="2" t="s">
        <v>522</v>
      </c>
      <c r="K253" s="2" t="s">
        <v>471</v>
      </c>
      <c r="L253" s="3">
        <v>52.92</v>
      </c>
      <c r="M253" s="3">
        <v>55.57</v>
      </c>
      <c r="N253" s="3">
        <v>109.99</v>
      </c>
      <c r="O253" s="2" t="s">
        <v>97</v>
      </c>
      <c r="P253" s="2" t="s">
        <v>98</v>
      </c>
      <c r="Q253" s="2" t="s">
        <v>99</v>
      </c>
      <c r="R253" s="2" t="s">
        <v>100</v>
      </c>
      <c r="S253" s="2" t="s">
        <v>1338</v>
      </c>
      <c r="T253" s="2" t="s">
        <v>438</v>
      </c>
      <c r="U253" s="2" t="s">
        <v>355</v>
      </c>
      <c r="V253" s="2" t="s">
        <v>367</v>
      </c>
      <c r="W253" s="2" t="s">
        <v>717</v>
      </c>
      <c r="X253" s="2" t="s">
        <v>194</v>
      </c>
      <c r="Y253" s="2" t="s">
        <v>721</v>
      </c>
      <c r="Z253" s="4">
        <v>140</v>
      </c>
      <c r="AA253" s="4">
        <f>=ROUNDDOWN(13.5922330097087,0)</f>
      </c>
      <c r="AB253" s="5">
        <v>10.3</v>
      </c>
      <c r="AC253" s="2" t="s">
        <v>312</v>
      </c>
      <c r="AD253" s="4">
        <v>80</v>
      </c>
      <c r="AE253" s="4">
        <v>145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/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/>
      <c r="BJ253" s="4">
        <v>37</v>
      </c>
      <c r="BK253" s="8">
        <v>2249.35</v>
      </c>
      <c r="BL253" s="2" t="s">
        <v>1339</v>
      </c>
      <c r="BM253" s="7"/>
      <c r="BN253" s="7"/>
      <c r="BO253" s="4"/>
      <c r="BP253" s="8"/>
      <c r="BQ253" s="4"/>
      <c r="BR253" s="8"/>
      <c r="BS253" s="7"/>
      <c r="BT253" s="7"/>
      <c r="BU253" s="2" t="s">
        <v>171</v>
      </c>
      <c r="BV253" s="2" t="s">
        <v>97</v>
      </c>
      <c r="BW253" s="2" t="s">
        <v>100</v>
      </c>
      <c r="BX253" s="2" t="s">
        <v>100</v>
      </c>
      <c r="BY253" s="2" t="s">
        <v>112</v>
      </c>
      <c r="BZ253" s="2" t="s">
        <v>149</v>
      </c>
    </row>
    <row r="254">
      <c r="A254" s="2" t="s">
        <v>1340</v>
      </c>
      <c r="B254" s="2" t="s">
        <v>87</v>
      </c>
      <c r="C254" s="2" t="s">
        <v>88</v>
      </c>
      <c r="D254" s="2" t="s">
        <v>963</v>
      </c>
      <c r="E254" s="2" t="s">
        <v>1232</v>
      </c>
      <c r="F254" s="2" t="s">
        <v>712</v>
      </c>
      <c r="G254" s="2" t="s">
        <v>713</v>
      </c>
      <c r="H254" s="2" t="s">
        <v>714</v>
      </c>
      <c r="I254" s="2" t="s">
        <v>1310</v>
      </c>
      <c r="J254" s="2" t="s">
        <v>529</v>
      </c>
      <c r="K254" s="2" t="s">
        <v>471</v>
      </c>
      <c r="L254" s="3">
        <v>57.33</v>
      </c>
      <c r="M254" s="3">
        <v>60.2</v>
      </c>
      <c r="N254" s="3">
        <v>119.99</v>
      </c>
      <c r="O254" s="2" t="s">
        <v>97</v>
      </c>
      <c r="P254" s="2" t="s">
        <v>98</v>
      </c>
      <c r="Q254" s="2" t="s">
        <v>99</v>
      </c>
      <c r="R254" s="2" t="s">
        <v>100</v>
      </c>
      <c r="S254" s="2" t="s">
        <v>1338</v>
      </c>
      <c r="T254" s="2" t="s">
        <v>438</v>
      </c>
      <c r="U254" s="2" t="s">
        <v>355</v>
      </c>
      <c r="V254" s="2" t="s">
        <v>367</v>
      </c>
      <c r="W254" s="2" t="s">
        <v>717</v>
      </c>
      <c r="X254" s="2" t="s">
        <v>194</v>
      </c>
      <c r="Y254" s="2" t="s">
        <v>721</v>
      </c>
      <c r="Z254" s="4">
        <v>204</v>
      </c>
      <c r="AA254" s="4">
        <f>=ROUNDDOWN(15.6923076923077,0)</f>
      </c>
      <c r="AB254" s="5">
        <v>13</v>
      </c>
      <c r="AC254" s="2" t="s">
        <v>312</v>
      </c>
      <c r="AD254" s="4">
        <v>30</v>
      </c>
      <c r="AE254" s="4">
        <v>95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/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/>
      <c r="BJ254" s="4">
        <v>36</v>
      </c>
      <c r="BK254" s="8">
        <v>2368.44</v>
      </c>
      <c r="BL254" s="2" t="s">
        <v>722</v>
      </c>
      <c r="BM254" s="7"/>
      <c r="BN254" s="7"/>
      <c r="BO254" s="4"/>
      <c r="BP254" s="8"/>
      <c r="BQ254" s="4"/>
      <c r="BR254" s="8"/>
      <c r="BS254" s="7"/>
      <c r="BT254" s="7"/>
      <c r="BU254" s="2" t="s">
        <v>171</v>
      </c>
      <c r="BV254" s="2" t="s">
        <v>97</v>
      </c>
      <c r="BW254" s="2" t="s">
        <v>100</v>
      </c>
      <c r="BX254" s="2" t="s">
        <v>100</v>
      </c>
      <c r="BY254" s="2" t="s">
        <v>112</v>
      </c>
      <c r="BZ254" s="2" t="s">
        <v>149</v>
      </c>
    </row>
    <row r="255">
      <c r="A255" s="2" t="s">
        <v>1341</v>
      </c>
      <c r="B255" s="2" t="s">
        <v>87</v>
      </c>
      <c r="C255" s="2" t="s">
        <v>88</v>
      </c>
      <c r="D255" s="2" t="s">
        <v>963</v>
      </c>
      <c r="E255" s="2" t="s">
        <v>1232</v>
      </c>
      <c r="F255" s="2" t="s">
        <v>712</v>
      </c>
      <c r="G255" s="2" t="s">
        <v>713</v>
      </c>
      <c r="H255" s="2" t="s">
        <v>714</v>
      </c>
      <c r="I255" s="2" t="s">
        <v>1310</v>
      </c>
      <c r="J255" s="2" t="s">
        <v>522</v>
      </c>
      <c r="K255" s="2" t="s">
        <v>179</v>
      </c>
      <c r="L255" s="3">
        <v>52.92</v>
      </c>
      <c r="M255" s="3">
        <v>55.57</v>
      </c>
      <c r="N255" s="3">
        <v>109.99</v>
      </c>
      <c r="O255" s="2" t="s">
        <v>97</v>
      </c>
      <c r="P255" s="2" t="s">
        <v>123</v>
      </c>
      <c r="Q255" s="2" t="s">
        <v>99</v>
      </c>
      <c r="R255" s="2" t="s">
        <v>100</v>
      </c>
      <c r="S255" s="2" t="s">
        <v>1342</v>
      </c>
      <c r="T255" s="2" t="s">
        <v>438</v>
      </c>
      <c r="U255" s="2" t="s">
        <v>355</v>
      </c>
      <c r="V255" s="2" t="s">
        <v>367</v>
      </c>
      <c r="W255" s="2" t="s">
        <v>717</v>
      </c>
      <c r="X255" s="2" t="s">
        <v>1248</v>
      </c>
      <c r="Y255" s="2" t="s">
        <v>144</v>
      </c>
      <c r="Z255" s="4">
        <v>1209</v>
      </c>
      <c r="AA255" s="4">
        <f>=ROUNDDOWN(26.8666666666667,0)</f>
      </c>
      <c r="AB255" s="5">
        <v>45</v>
      </c>
      <c r="AC255" s="2" t="s">
        <v>655</v>
      </c>
      <c r="AD255" s="4">
        <v>60</v>
      </c>
      <c r="AE255" s="4">
        <v>260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/>
      <c r="BJ255" s="4">
        <v>158</v>
      </c>
      <c r="BK255" s="8">
        <v>9811.8</v>
      </c>
      <c r="BL255" s="2" t="s">
        <v>1343</v>
      </c>
      <c r="BM255" s="7"/>
      <c r="BN255" s="7"/>
      <c r="BO255" s="4"/>
      <c r="BP255" s="8"/>
      <c r="BQ255" s="4"/>
      <c r="BR255" s="8"/>
      <c r="BS255" s="7"/>
      <c r="BT255" s="7"/>
      <c r="BU255" s="2" t="s">
        <v>109</v>
      </c>
      <c r="BV255" s="2" t="s">
        <v>97</v>
      </c>
      <c r="BW255" s="2" t="s">
        <v>475</v>
      </c>
      <c r="BX255" s="2" t="s">
        <v>1344</v>
      </c>
      <c r="BY255" s="2" t="s">
        <v>112</v>
      </c>
      <c r="BZ255" s="2" t="s">
        <v>149</v>
      </c>
    </row>
    <row r="256">
      <c r="A256" s="2" t="s">
        <v>1345</v>
      </c>
      <c r="B256" s="2" t="s">
        <v>87</v>
      </c>
      <c r="C256" s="2" t="s">
        <v>88</v>
      </c>
      <c r="D256" s="2" t="s">
        <v>963</v>
      </c>
      <c r="E256" s="2" t="s">
        <v>1232</v>
      </c>
      <c r="F256" s="2" t="s">
        <v>712</v>
      </c>
      <c r="G256" s="2" t="s">
        <v>713</v>
      </c>
      <c r="H256" s="2" t="s">
        <v>714</v>
      </c>
      <c r="I256" s="2" t="s">
        <v>1310</v>
      </c>
      <c r="J256" s="2" t="s">
        <v>522</v>
      </c>
      <c r="K256" s="2" t="s">
        <v>626</v>
      </c>
      <c r="L256" s="3">
        <v>52.92</v>
      </c>
      <c r="M256" s="3">
        <v>55.57</v>
      </c>
      <c r="N256" s="3">
        <v>109.99</v>
      </c>
      <c r="O256" s="2" t="s">
        <v>97</v>
      </c>
      <c r="P256" s="2" t="s">
        <v>98</v>
      </c>
      <c r="Q256" s="2" t="s">
        <v>99</v>
      </c>
      <c r="R256" s="2" t="s">
        <v>100</v>
      </c>
      <c r="S256" s="2" t="s">
        <v>1346</v>
      </c>
      <c r="T256" s="2" t="s">
        <v>438</v>
      </c>
      <c r="U256" s="2" t="s">
        <v>355</v>
      </c>
      <c r="V256" s="2" t="s">
        <v>367</v>
      </c>
      <c r="W256" s="2" t="s">
        <v>717</v>
      </c>
      <c r="X256" s="2" t="s">
        <v>194</v>
      </c>
      <c r="Y256" s="2" t="s">
        <v>721</v>
      </c>
      <c r="Z256" s="4">
        <v>231</v>
      </c>
      <c r="AA256" s="4">
        <f>=ROUNDDOWN(28.875,0)</f>
      </c>
      <c r="AB256" s="5">
        <v>8</v>
      </c>
      <c r="AC256" s="2" t="s">
        <v>725</v>
      </c>
      <c r="AD256" s="4">
        <v>70</v>
      </c>
      <c r="AE256" s="4">
        <v>70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/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/>
      <c r="BJ256" s="4">
        <v>15</v>
      </c>
      <c r="BK256" s="8">
        <v>937.95</v>
      </c>
      <c r="BL256" s="2" t="s">
        <v>1347</v>
      </c>
      <c r="BM256" s="7"/>
      <c r="BN256" s="7"/>
      <c r="BO256" s="4"/>
      <c r="BP256" s="8"/>
      <c r="BQ256" s="4"/>
      <c r="BR256" s="8"/>
      <c r="BS256" s="7"/>
      <c r="BT256" s="7"/>
      <c r="BU256" s="2" t="s">
        <v>171</v>
      </c>
      <c r="BV256" s="2" t="s">
        <v>97</v>
      </c>
      <c r="BW256" s="2" t="s">
        <v>100</v>
      </c>
      <c r="BX256" s="2" t="s">
        <v>100</v>
      </c>
      <c r="BY256" s="2" t="s">
        <v>112</v>
      </c>
      <c r="BZ256" s="2" t="s">
        <v>100</v>
      </c>
    </row>
    <row r="257">
      <c r="A257" s="2" t="s">
        <v>1348</v>
      </c>
      <c r="B257" s="2" t="s">
        <v>87</v>
      </c>
      <c r="C257" s="2" t="s">
        <v>88</v>
      </c>
      <c r="D257" s="2" t="s">
        <v>963</v>
      </c>
      <c r="E257" s="2" t="s">
        <v>1232</v>
      </c>
      <c r="F257" s="2" t="s">
        <v>712</v>
      </c>
      <c r="G257" s="2" t="s">
        <v>713</v>
      </c>
      <c r="H257" s="2" t="s">
        <v>714</v>
      </c>
      <c r="I257" s="2" t="s">
        <v>1310</v>
      </c>
      <c r="J257" s="2" t="s">
        <v>529</v>
      </c>
      <c r="K257" s="2" t="s">
        <v>626</v>
      </c>
      <c r="L257" s="3">
        <v>57.33</v>
      </c>
      <c r="M257" s="3">
        <v>60.2</v>
      </c>
      <c r="N257" s="3">
        <v>119.99</v>
      </c>
      <c r="O257" s="2" t="s">
        <v>97</v>
      </c>
      <c r="P257" s="2" t="s">
        <v>98</v>
      </c>
      <c r="Q257" s="2" t="s">
        <v>99</v>
      </c>
      <c r="R257" s="2" t="s">
        <v>100</v>
      </c>
      <c r="S257" s="2" t="s">
        <v>1346</v>
      </c>
      <c r="T257" s="2" t="s">
        <v>438</v>
      </c>
      <c r="U257" s="2" t="s">
        <v>355</v>
      </c>
      <c r="V257" s="2" t="s">
        <v>367</v>
      </c>
      <c r="W257" s="2" t="s">
        <v>717</v>
      </c>
      <c r="X257" s="2" t="s">
        <v>194</v>
      </c>
      <c r="Y257" s="2" t="s">
        <v>721</v>
      </c>
      <c r="Z257" s="4">
        <v>283</v>
      </c>
      <c r="AA257" s="4">
        <f>=ROUNDDOWN(40.4285714285714,0)</f>
      </c>
      <c r="AB257" s="5">
        <v>7</v>
      </c>
      <c r="AC257" s="2" t="s">
        <v>725</v>
      </c>
      <c r="AD257" s="4">
        <v>60</v>
      </c>
      <c r="AE257" s="4">
        <v>60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/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/>
      <c r="BJ257" s="4">
        <v>17</v>
      </c>
      <c r="BK257" s="8">
        <v>1128.94</v>
      </c>
      <c r="BL257" s="2" t="s">
        <v>1349</v>
      </c>
      <c r="BM257" s="7"/>
      <c r="BN257" s="7"/>
      <c r="BO257" s="4"/>
      <c r="BP257" s="8"/>
      <c r="BQ257" s="4"/>
      <c r="BR257" s="8"/>
      <c r="BS257" s="7"/>
      <c r="BT257" s="7"/>
      <c r="BU257" s="2" t="s">
        <v>171</v>
      </c>
      <c r="BV257" s="2" t="s">
        <v>97</v>
      </c>
      <c r="BW257" s="2" t="s">
        <v>100</v>
      </c>
      <c r="BX257" s="2" t="s">
        <v>100</v>
      </c>
      <c r="BY257" s="2" t="s">
        <v>112</v>
      </c>
      <c r="BZ257" s="2" t="s">
        <v>149</v>
      </c>
    </row>
    <row r="258">
      <c r="A258" s="2" t="s">
        <v>1350</v>
      </c>
      <c r="B258" s="2" t="s">
        <v>87</v>
      </c>
      <c r="C258" s="2" t="s">
        <v>88</v>
      </c>
      <c r="D258" s="2" t="s">
        <v>963</v>
      </c>
      <c r="E258" s="2" t="s">
        <v>1232</v>
      </c>
      <c r="F258" s="2" t="s">
        <v>736</v>
      </c>
      <c r="G258" s="2" t="s">
        <v>737</v>
      </c>
      <c r="H258" s="2" t="s">
        <v>738</v>
      </c>
      <c r="I258" s="2" t="s">
        <v>1351</v>
      </c>
      <c r="J258" s="2" t="s">
        <v>522</v>
      </c>
      <c r="K258" s="2" t="s">
        <v>471</v>
      </c>
      <c r="L258" s="3">
        <v>62.4</v>
      </c>
      <c r="M258" s="3">
        <v>65.52</v>
      </c>
      <c r="N258" s="3">
        <v>129.99</v>
      </c>
      <c r="O258" s="2" t="s">
        <v>97</v>
      </c>
      <c r="P258" s="2" t="s">
        <v>98</v>
      </c>
      <c r="Q258" s="2" t="s">
        <v>99</v>
      </c>
      <c r="R258" s="2" t="s">
        <v>100</v>
      </c>
      <c r="S258" s="2" t="s">
        <v>1352</v>
      </c>
      <c r="T258" s="2" t="s">
        <v>190</v>
      </c>
      <c r="U258" s="2" t="s">
        <v>355</v>
      </c>
      <c r="V258" s="2" t="s">
        <v>717</v>
      </c>
      <c r="W258" s="2" t="s">
        <v>717</v>
      </c>
      <c r="X258" s="2" t="s">
        <v>271</v>
      </c>
      <c r="Y258" s="2" t="s">
        <v>741</v>
      </c>
      <c r="Z258" s="4">
        <v>503</v>
      </c>
      <c r="AA258" s="4">
        <f>=ROUNDDOWN(31.4375,0)</f>
      </c>
      <c r="AB258" s="5">
        <v>16</v>
      </c>
      <c r="AC258" s="2" t="s">
        <v>1353</v>
      </c>
      <c r="AD258" s="4">
        <v>200</v>
      </c>
      <c r="AE258" s="4">
        <v>370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/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/>
      <c r="BJ258" s="4">
        <v>55</v>
      </c>
      <c r="BK258" s="8">
        <v>3580.98</v>
      </c>
      <c r="BL258" s="2" t="s">
        <v>1354</v>
      </c>
      <c r="BM258" s="7"/>
      <c r="BN258" s="7"/>
      <c r="BO258" s="4"/>
      <c r="BP258" s="8"/>
      <c r="BQ258" s="4"/>
      <c r="BR258" s="8"/>
      <c r="BS258" s="7"/>
      <c r="BT258" s="7"/>
      <c r="BU258" s="2" t="s">
        <v>171</v>
      </c>
      <c r="BV258" s="2" t="s">
        <v>97</v>
      </c>
      <c r="BW258" s="2" t="s">
        <v>100</v>
      </c>
      <c r="BX258" s="2" t="s">
        <v>100</v>
      </c>
      <c r="BY258" s="2" t="s">
        <v>112</v>
      </c>
      <c r="BZ258" s="2" t="s">
        <v>100</v>
      </c>
    </row>
    <row r="259">
      <c r="A259" s="2" t="s">
        <v>1355</v>
      </c>
      <c r="B259" s="2" t="s">
        <v>87</v>
      </c>
      <c r="C259" s="2" t="s">
        <v>88</v>
      </c>
      <c r="D259" s="2" t="s">
        <v>963</v>
      </c>
      <c r="E259" s="2" t="s">
        <v>1232</v>
      </c>
      <c r="F259" s="2" t="s">
        <v>736</v>
      </c>
      <c r="G259" s="2" t="s">
        <v>737</v>
      </c>
      <c r="H259" s="2" t="s">
        <v>738</v>
      </c>
      <c r="I259" s="2" t="s">
        <v>1351</v>
      </c>
      <c r="J259" s="2" t="s">
        <v>529</v>
      </c>
      <c r="K259" s="2" t="s">
        <v>471</v>
      </c>
      <c r="L259" s="3">
        <v>67.2</v>
      </c>
      <c r="M259" s="3">
        <v>70.56</v>
      </c>
      <c r="N259" s="3">
        <v>139.99</v>
      </c>
      <c r="O259" s="2" t="s">
        <v>97</v>
      </c>
      <c r="P259" s="2" t="s">
        <v>98</v>
      </c>
      <c r="Q259" s="2" t="s">
        <v>99</v>
      </c>
      <c r="R259" s="2" t="s">
        <v>100</v>
      </c>
      <c r="S259" s="2" t="s">
        <v>1352</v>
      </c>
      <c r="T259" s="2" t="s">
        <v>190</v>
      </c>
      <c r="U259" s="2" t="s">
        <v>355</v>
      </c>
      <c r="V259" s="2" t="s">
        <v>717</v>
      </c>
      <c r="W259" s="2" t="s">
        <v>717</v>
      </c>
      <c r="X259" s="2" t="s">
        <v>271</v>
      </c>
      <c r="Y259" s="2" t="s">
        <v>1356</v>
      </c>
      <c r="Z259" s="4">
        <v>498</v>
      </c>
      <c r="AA259" s="4">
        <f>=ROUNDDOWN(22.6363636363636,0)</f>
      </c>
      <c r="AB259" s="5">
        <v>22</v>
      </c>
      <c r="AC259" s="2" t="s">
        <v>1353</v>
      </c>
      <c r="AD259" s="4">
        <v>200</v>
      </c>
      <c r="AE259" s="4">
        <v>350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/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/>
      <c r="BJ259" s="4">
        <v>70</v>
      </c>
      <c r="BK259" s="8">
        <v>4780.46</v>
      </c>
      <c r="BL259" s="2" t="s">
        <v>1357</v>
      </c>
      <c r="BM259" s="7"/>
      <c r="BN259" s="7"/>
      <c r="BO259" s="4"/>
      <c r="BP259" s="8"/>
      <c r="BQ259" s="4"/>
      <c r="BR259" s="8"/>
      <c r="BS259" s="7"/>
      <c r="BT259" s="7"/>
      <c r="BU259" s="2" t="s">
        <v>171</v>
      </c>
      <c r="BV259" s="2" t="s">
        <v>97</v>
      </c>
      <c r="BW259" s="2" t="s">
        <v>100</v>
      </c>
      <c r="BX259" s="2" t="s">
        <v>100</v>
      </c>
      <c r="BY259" s="2" t="s">
        <v>112</v>
      </c>
      <c r="BZ259" s="2" t="s">
        <v>100</v>
      </c>
    </row>
    <row r="260">
      <c r="A260" s="2" t="s">
        <v>1358</v>
      </c>
      <c r="B260" s="2" t="s">
        <v>87</v>
      </c>
      <c r="C260" s="2" t="s">
        <v>88</v>
      </c>
      <c r="D260" s="2" t="s">
        <v>963</v>
      </c>
      <c r="E260" s="2" t="s">
        <v>1232</v>
      </c>
      <c r="F260" s="2" t="s">
        <v>362</v>
      </c>
      <c r="G260" s="2" t="s">
        <v>363</v>
      </c>
      <c r="H260" s="2" t="s">
        <v>364</v>
      </c>
      <c r="I260" s="2" t="s">
        <v>1359</v>
      </c>
      <c r="J260" s="2" t="s">
        <v>522</v>
      </c>
      <c r="K260" s="2" t="s">
        <v>365</v>
      </c>
      <c r="L260" s="3">
        <v>51.83</v>
      </c>
      <c r="M260" s="3">
        <v>54.42</v>
      </c>
      <c r="N260" s="3">
        <v>109.99</v>
      </c>
      <c r="O260" s="2" t="s">
        <v>97</v>
      </c>
      <c r="P260" s="2" t="s">
        <v>156</v>
      </c>
      <c r="Q260" s="2" t="s">
        <v>99</v>
      </c>
      <c r="R260" s="2" t="s">
        <v>100</v>
      </c>
      <c r="S260" s="2" t="s">
        <v>366</v>
      </c>
      <c r="T260" s="2" t="s">
        <v>100</v>
      </c>
      <c r="U260" s="2" t="s">
        <v>355</v>
      </c>
      <c r="V260" s="2" t="s">
        <v>367</v>
      </c>
      <c r="W260" s="2" t="s">
        <v>142</v>
      </c>
      <c r="X260" s="2" t="s">
        <v>368</v>
      </c>
      <c r="Y260" s="2" t="s">
        <v>1110</v>
      </c>
      <c r="Z260" s="4">
        <v>1392</v>
      </c>
      <c r="AA260" s="4">
        <f>=ROUNDDOWN(73.2631578947368,0)</f>
      </c>
      <c r="AB260" s="5">
        <v>19</v>
      </c>
      <c r="AC260" s="2" t="s">
        <v>107</v>
      </c>
      <c r="AD260" s="4">
        <v>130</v>
      </c>
      <c r="AE260" s="4">
        <v>260</v>
      </c>
      <c r="AF260" s="6">
        <v>66</v>
      </c>
      <c r="AG260" s="6">
        <v>49</v>
      </c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/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/>
      <c r="BJ260" s="4">
        <v>51</v>
      </c>
      <c r="BK260" s="8">
        <v>3159.39</v>
      </c>
      <c r="BL260" s="2" t="s">
        <v>1360</v>
      </c>
      <c r="BM260" s="7"/>
      <c r="BN260" s="7"/>
      <c r="BO260" s="4"/>
      <c r="BP260" s="8"/>
      <c r="BQ260" s="4"/>
      <c r="BR260" s="8"/>
      <c r="BS260" s="7"/>
      <c r="BT260" s="7"/>
      <c r="BU260" s="2" t="s">
        <v>109</v>
      </c>
      <c r="BV260" s="2" t="s">
        <v>97</v>
      </c>
      <c r="BW260" s="2" t="s">
        <v>370</v>
      </c>
      <c r="BX260" s="2" t="s">
        <v>1361</v>
      </c>
      <c r="BY260" s="2" t="s">
        <v>112</v>
      </c>
      <c r="BZ260" s="2" t="s">
        <v>149</v>
      </c>
    </row>
    <row r="261">
      <c r="A261" s="2" t="s">
        <v>1362</v>
      </c>
      <c r="B261" s="2" t="s">
        <v>87</v>
      </c>
      <c r="C261" s="2" t="s">
        <v>88</v>
      </c>
      <c r="D261" s="2" t="s">
        <v>963</v>
      </c>
      <c r="E261" s="2" t="s">
        <v>1232</v>
      </c>
      <c r="F261" s="2" t="s">
        <v>362</v>
      </c>
      <c r="G261" s="2" t="s">
        <v>363</v>
      </c>
      <c r="H261" s="2" t="s">
        <v>364</v>
      </c>
      <c r="I261" s="2" t="s">
        <v>1359</v>
      </c>
      <c r="J261" s="2" t="s">
        <v>529</v>
      </c>
      <c r="K261" s="2" t="s">
        <v>365</v>
      </c>
      <c r="L261" s="3">
        <v>57.32</v>
      </c>
      <c r="M261" s="3">
        <v>60.19</v>
      </c>
      <c r="N261" s="3">
        <v>119.99</v>
      </c>
      <c r="O261" s="2" t="s">
        <v>97</v>
      </c>
      <c r="P261" s="2" t="s">
        <v>156</v>
      </c>
      <c r="Q261" s="2" t="s">
        <v>99</v>
      </c>
      <c r="R261" s="2" t="s">
        <v>100</v>
      </c>
      <c r="S261" s="2" t="s">
        <v>366</v>
      </c>
      <c r="T261" s="2" t="s">
        <v>100</v>
      </c>
      <c r="U261" s="2" t="s">
        <v>355</v>
      </c>
      <c r="V261" s="2" t="s">
        <v>367</v>
      </c>
      <c r="W261" s="2" t="s">
        <v>142</v>
      </c>
      <c r="X261" s="2" t="s">
        <v>368</v>
      </c>
      <c r="Y261" s="2" t="s">
        <v>1110</v>
      </c>
      <c r="Z261" s="4">
        <v>1286</v>
      </c>
      <c r="AA261" s="4">
        <f>=ROUNDDOWN(37.8235294117647,0)</f>
      </c>
      <c r="AB261" s="5">
        <v>34</v>
      </c>
      <c r="AC261" s="2" t="s">
        <v>107</v>
      </c>
      <c r="AD261" s="4">
        <v>100</v>
      </c>
      <c r="AE261" s="4">
        <v>200</v>
      </c>
      <c r="AF261" s="6">
        <v>66</v>
      </c>
      <c r="AG261" s="6">
        <v>49</v>
      </c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/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/>
      <c r="BJ261" s="4">
        <v>76</v>
      </c>
      <c r="BK261" s="8">
        <v>5102.78</v>
      </c>
      <c r="BL261" s="2" t="s">
        <v>1363</v>
      </c>
      <c r="BM261" s="7"/>
      <c r="BN261" s="7"/>
      <c r="BO261" s="4"/>
      <c r="BP261" s="8"/>
      <c r="BQ261" s="4"/>
      <c r="BR261" s="8"/>
      <c r="BS261" s="7"/>
      <c r="BT261" s="7"/>
      <c r="BU261" s="2" t="s">
        <v>109</v>
      </c>
      <c r="BV261" s="2" t="s">
        <v>97</v>
      </c>
      <c r="BW261" s="2" t="s">
        <v>370</v>
      </c>
      <c r="BX261" s="2" t="s">
        <v>1364</v>
      </c>
      <c r="BY261" s="2" t="s">
        <v>112</v>
      </c>
      <c r="BZ261" s="2" t="s">
        <v>100</v>
      </c>
    </row>
    <row r="262">
      <c r="A262" s="2" t="s">
        <v>1365</v>
      </c>
      <c r="B262" s="2" t="s">
        <v>87</v>
      </c>
      <c r="C262" s="2" t="s">
        <v>88</v>
      </c>
      <c r="D262" s="2" t="s">
        <v>963</v>
      </c>
      <c r="E262" s="2" t="s">
        <v>1232</v>
      </c>
      <c r="F262" s="2" t="s">
        <v>362</v>
      </c>
      <c r="G262" s="2" t="s">
        <v>363</v>
      </c>
      <c r="H262" s="2" t="s">
        <v>364</v>
      </c>
      <c r="I262" s="2" t="s">
        <v>1359</v>
      </c>
      <c r="J262" s="2" t="s">
        <v>522</v>
      </c>
      <c r="K262" s="2" t="s">
        <v>223</v>
      </c>
      <c r="L262" s="3">
        <v>51.83</v>
      </c>
      <c r="M262" s="3">
        <v>54.42</v>
      </c>
      <c r="N262" s="3">
        <v>109.99</v>
      </c>
      <c r="O262" s="2" t="s">
        <v>97</v>
      </c>
      <c r="P262" s="2" t="s">
        <v>123</v>
      </c>
      <c r="Q262" s="2" t="s">
        <v>99</v>
      </c>
      <c r="R262" s="2" t="s">
        <v>100</v>
      </c>
      <c r="S262" s="2" t="s">
        <v>376</v>
      </c>
      <c r="T262" s="2" t="s">
        <v>100</v>
      </c>
      <c r="U262" s="2" t="s">
        <v>355</v>
      </c>
      <c r="V262" s="2" t="s">
        <v>367</v>
      </c>
      <c r="W262" s="2" t="s">
        <v>142</v>
      </c>
      <c r="X262" s="2" t="s">
        <v>377</v>
      </c>
      <c r="Y262" s="2" t="s">
        <v>381</v>
      </c>
      <c r="Z262" s="4">
        <v>1415</v>
      </c>
      <c r="AA262" s="4">
        <f>=ROUNDDOWN(28.8775510204082,0)</f>
      </c>
      <c r="AB262" s="5">
        <v>49</v>
      </c>
      <c r="AC262" s="2" t="s">
        <v>107</v>
      </c>
      <c r="AD262" s="4">
        <v>210</v>
      </c>
      <c r="AE262" s="4">
        <v>420</v>
      </c>
      <c r="AF262" s="6">
        <v>66</v>
      </c>
      <c r="AG262" s="6">
        <v>49</v>
      </c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/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/>
      <c r="BJ262" s="4">
        <v>172</v>
      </c>
      <c r="BK262" s="8">
        <v>10906.06</v>
      </c>
      <c r="BL262" s="2" t="s">
        <v>1366</v>
      </c>
      <c r="BM262" s="7"/>
      <c r="BN262" s="7"/>
      <c r="BO262" s="4"/>
      <c r="BP262" s="8"/>
      <c r="BQ262" s="4"/>
      <c r="BR262" s="8"/>
      <c r="BS262" s="7"/>
      <c r="BT262" s="7"/>
      <c r="BU262" s="2" t="s">
        <v>171</v>
      </c>
      <c r="BV262" s="2" t="s">
        <v>97</v>
      </c>
      <c r="BW262" s="2" t="s">
        <v>100</v>
      </c>
      <c r="BX262" s="2" t="s">
        <v>100</v>
      </c>
      <c r="BY262" s="2" t="s">
        <v>112</v>
      </c>
      <c r="BZ262" s="2" t="s">
        <v>100</v>
      </c>
    </row>
    <row r="263">
      <c r="A263" s="2" t="s">
        <v>1367</v>
      </c>
      <c r="B263" s="2" t="s">
        <v>87</v>
      </c>
      <c r="C263" s="2" t="s">
        <v>88</v>
      </c>
      <c r="D263" s="2" t="s">
        <v>963</v>
      </c>
      <c r="E263" s="2" t="s">
        <v>1232</v>
      </c>
      <c r="F263" s="2" t="s">
        <v>362</v>
      </c>
      <c r="G263" s="2" t="s">
        <v>363</v>
      </c>
      <c r="H263" s="2" t="s">
        <v>364</v>
      </c>
      <c r="I263" s="2" t="s">
        <v>1359</v>
      </c>
      <c r="J263" s="2" t="s">
        <v>529</v>
      </c>
      <c r="K263" s="2" t="s">
        <v>223</v>
      </c>
      <c r="L263" s="3">
        <v>57.32</v>
      </c>
      <c r="M263" s="3">
        <v>60.19</v>
      </c>
      <c r="N263" s="3">
        <v>119.99</v>
      </c>
      <c r="O263" s="2" t="s">
        <v>97</v>
      </c>
      <c r="P263" s="2" t="s">
        <v>123</v>
      </c>
      <c r="Q263" s="2" t="s">
        <v>99</v>
      </c>
      <c r="R263" s="2" t="s">
        <v>100</v>
      </c>
      <c r="S263" s="2" t="s">
        <v>376</v>
      </c>
      <c r="T263" s="2" t="s">
        <v>100</v>
      </c>
      <c r="U263" s="2" t="s">
        <v>355</v>
      </c>
      <c r="V263" s="2" t="s">
        <v>367</v>
      </c>
      <c r="W263" s="2" t="s">
        <v>142</v>
      </c>
      <c r="X263" s="2" t="s">
        <v>377</v>
      </c>
      <c r="Y263" s="2" t="s">
        <v>381</v>
      </c>
      <c r="Z263" s="4">
        <v>1980</v>
      </c>
      <c r="AA263" s="4">
        <f>=ROUNDDOWN(30,0)</f>
      </c>
      <c r="AB263" s="5">
        <v>66</v>
      </c>
      <c r="AC263" s="2" t="s">
        <v>107</v>
      </c>
      <c r="AD263" s="4">
        <v>180</v>
      </c>
      <c r="AE263" s="4">
        <v>780</v>
      </c>
      <c r="AF263" s="6">
        <v>66</v>
      </c>
      <c r="AG263" s="6">
        <v>49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/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/>
      <c r="BJ263" s="4">
        <v>215</v>
      </c>
      <c r="BK263" s="8">
        <v>14707.72</v>
      </c>
      <c r="BL263" s="2" t="s">
        <v>1368</v>
      </c>
      <c r="BM263" s="7"/>
      <c r="BN263" s="7"/>
      <c r="BO263" s="4"/>
      <c r="BP263" s="8"/>
      <c r="BQ263" s="4"/>
      <c r="BR263" s="8"/>
      <c r="BS263" s="7"/>
      <c r="BT263" s="7"/>
      <c r="BU263" s="2" t="s">
        <v>171</v>
      </c>
      <c r="BV263" s="2" t="s">
        <v>97</v>
      </c>
      <c r="BW263" s="2" t="s">
        <v>100</v>
      </c>
      <c r="BX263" s="2" t="s">
        <v>100</v>
      </c>
      <c r="BY263" s="2" t="s">
        <v>112</v>
      </c>
      <c r="BZ263" s="2" t="s">
        <v>100</v>
      </c>
    </row>
    <row r="264">
      <c r="A264" s="2" t="s">
        <v>1369</v>
      </c>
      <c r="B264" s="2" t="s">
        <v>87</v>
      </c>
      <c r="C264" s="2" t="s">
        <v>88</v>
      </c>
      <c r="D264" s="2" t="s">
        <v>963</v>
      </c>
      <c r="E264" s="2" t="s">
        <v>1232</v>
      </c>
      <c r="F264" s="2" t="s">
        <v>1370</v>
      </c>
      <c r="G264" s="2" t="s">
        <v>1371</v>
      </c>
      <c r="H264" s="2" t="s">
        <v>1372</v>
      </c>
      <c r="I264" s="2" t="s">
        <v>1310</v>
      </c>
      <c r="J264" s="2" t="s">
        <v>522</v>
      </c>
      <c r="K264" s="2" t="s">
        <v>1373</v>
      </c>
      <c r="L264" s="3">
        <v>54.99</v>
      </c>
      <c r="M264" s="3">
        <v>57.74</v>
      </c>
      <c r="N264" s="3">
        <v>109.99</v>
      </c>
      <c r="O264" s="2" t="s">
        <v>97</v>
      </c>
      <c r="P264" s="2" t="s">
        <v>98</v>
      </c>
      <c r="Q264" s="2" t="s">
        <v>99</v>
      </c>
      <c r="R264" s="2" t="s">
        <v>100</v>
      </c>
      <c r="S264" s="2" t="s">
        <v>1374</v>
      </c>
      <c r="T264" s="2" t="s">
        <v>100</v>
      </c>
      <c r="U264" s="2" t="s">
        <v>355</v>
      </c>
      <c r="V264" s="2" t="s">
        <v>103</v>
      </c>
      <c r="W264" s="2" t="s">
        <v>686</v>
      </c>
      <c r="X264" s="2" t="s">
        <v>1248</v>
      </c>
      <c r="Y264" s="2" t="s">
        <v>144</v>
      </c>
      <c r="Z264" s="4">
        <v>194</v>
      </c>
      <c r="AA264" s="4">
        <f>=ROUNDDOWN(24.25,0)</f>
      </c>
      <c r="AB264" s="5">
        <v>8</v>
      </c>
      <c r="AC264" s="2" t="s">
        <v>206</v>
      </c>
      <c r="AD264" s="4">
        <v>30</v>
      </c>
      <c r="AE264" s="4">
        <v>280</v>
      </c>
      <c r="AF264" s="6">
        <v>65</v>
      </c>
      <c r="AG264" s="6">
        <v>73</v>
      </c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/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/>
      <c r="BJ264" s="4">
        <v>18</v>
      </c>
      <c r="BK264" s="8">
        <v>964.8</v>
      </c>
      <c r="BL264" s="2" t="s">
        <v>1375</v>
      </c>
      <c r="BM264" s="7"/>
      <c r="BN264" s="7"/>
      <c r="BO264" s="4"/>
      <c r="BP264" s="8"/>
      <c r="BQ264" s="4"/>
      <c r="BR264" s="8"/>
      <c r="BS264" s="7"/>
      <c r="BT264" s="7"/>
      <c r="BU264" s="2" t="s">
        <v>109</v>
      </c>
      <c r="BV264" s="2" t="s">
        <v>97</v>
      </c>
      <c r="BW264" s="2" t="s">
        <v>159</v>
      </c>
      <c r="BX264" s="2" t="s">
        <v>259</v>
      </c>
      <c r="BY264" s="2" t="s">
        <v>112</v>
      </c>
      <c r="BZ264" s="2" t="s">
        <v>100</v>
      </c>
    </row>
    <row r="265">
      <c r="A265" s="2" t="s">
        <v>1376</v>
      </c>
      <c r="B265" s="2" t="s">
        <v>87</v>
      </c>
      <c r="C265" s="2" t="s">
        <v>88</v>
      </c>
      <c r="D265" s="2" t="s">
        <v>963</v>
      </c>
      <c r="E265" s="2" t="s">
        <v>1232</v>
      </c>
      <c r="F265" s="2" t="s">
        <v>1370</v>
      </c>
      <c r="G265" s="2" t="s">
        <v>1371</v>
      </c>
      <c r="H265" s="2" t="s">
        <v>1372</v>
      </c>
      <c r="I265" s="2" t="s">
        <v>1310</v>
      </c>
      <c r="J265" s="2" t="s">
        <v>114</v>
      </c>
      <c r="K265" s="2" t="s">
        <v>1373</v>
      </c>
      <c r="L265" s="3">
        <v>59.99</v>
      </c>
      <c r="M265" s="3">
        <v>62.99</v>
      </c>
      <c r="N265" s="3">
        <v>119.99</v>
      </c>
      <c r="O265" s="2" t="s">
        <v>97</v>
      </c>
      <c r="P265" s="2" t="s">
        <v>98</v>
      </c>
      <c r="Q265" s="2" t="s">
        <v>99</v>
      </c>
      <c r="R265" s="2" t="s">
        <v>100</v>
      </c>
      <c r="S265" s="2" t="s">
        <v>1374</v>
      </c>
      <c r="T265" s="2" t="s">
        <v>100</v>
      </c>
      <c r="U265" s="2" t="s">
        <v>355</v>
      </c>
      <c r="V265" s="2" t="s">
        <v>103</v>
      </c>
      <c r="W265" s="2" t="s">
        <v>686</v>
      </c>
      <c r="X265" s="2" t="s">
        <v>1248</v>
      </c>
      <c r="Y265" s="2" t="s">
        <v>144</v>
      </c>
      <c r="Z265" s="4">
        <v>295</v>
      </c>
      <c r="AA265" s="4">
        <f>=ROUNDDOWN(26.8181818181818,0)</f>
      </c>
      <c r="AB265" s="5">
        <v>11</v>
      </c>
      <c r="AC265" s="2" t="s">
        <v>629</v>
      </c>
      <c r="AD265" s="4">
        <v>120</v>
      </c>
      <c r="AE265" s="4">
        <v>272</v>
      </c>
      <c r="AF265" s="6">
        <v>65</v>
      </c>
      <c r="AG265" s="6">
        <v>73</v>
      </c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/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/>
      <c r="BJ265" s="4">
        <v>22</v>
      </c>
      <c r="BK265" s="8">
        <v>1296.26</v>
      </c>
      <c r="BL265" s="2" t="s">
        <v>647</v>
      </c>
      <c r="BM265" s="7"/>
      <c r="BN265" s="7"/>
      <c r="BO265" s="4"/>
      <c r="BP265" s="8"/>
      <c r="BQ265" s="4"/>
      <c r="BR265" s="8"/>
      <c r="BS265" s="7"/>
      <c r="BT265" s="7"/>
      <c r="BU265" s="2" t="s">
        <v>109</v>
      </c>
      <c r="BV265" s="2" t="s">
        <v>97</v>
      </c>
      <c r="BW265" s="2" t="s">
        <v>159</v>
      </c>
      <c r="BX265" s="2" t="s">
        <v>1083</v>
      </c>
      <c r="BY265" s="2" t="s">
        <v>112</v>
      </c>
      <c r="BZ265" s="2" t="s">
        <v>100</v>
      </c>
    </row>
    <row r="266">
      <c r="A266" s="2" t="s">
        <v>1377</v>
      </c>
      <c r="B266" s="2" t="s">
        <v>87</v>
      </c>
      <c r="C266" s="2" t="s">
        <v>88</v>
      </c>
      <c r="D266" s="2" t="s">
        <v>963</v>
      </c>
      <c r="E266" s="2" t="s">
        <v>1232</v>
      </c>
      <c r="F266" s="2" t="s">
        <v>778</v>
      </c>
      <c r="G266" s="2" t="s">
        <v>779</v>
      </c>
      <c r="H266" s="2" t="s">
        <v>780</v>
      </c>
      <c r="I266" s="2" t="s">
        <v>1325</v>
      </c>
      <c r="J266" s="2" t="s">
        <v>522</v>
      </c>
      <c r="K266" s="2" t="s">
        <v>165</v>
      </c>
      <c r="L266" s="3">
        <v>63.7</v>
      </c>
      <c r="M266" s="3">
        <v>66.88</v>
      </c>
      <c r="N266" s="3">
        <v>129.99</v>
      </c>
      <c r="O266" s="2" t="s">
        <v>97</v>
      </c>
      <c r="P266" s="2" t="s">
        <v>98</v>
      </c>
      <c r="Q266" s="2" t="s">
        <v>99</v>
      </c>
      <c r="R266" s="2" t="s">
        <v>100</v>
      </c>
      <c r="S266" s="2" t="s">
        <v>1378</v>
      </c>
      <c r="T266" s="2" t="s">
        <v>190</v>
      </c>
      <c r="U266" s="2" t="s">
        <v>355</v>
      </c>
      <c r="V266" s="2" t="s">
        <v>304</v>
      </c>
      <c r="W266" s="2" t="s">
        <v>142</v>
      </c>
      <c r="X266" s="2" t="s">
        <v>168</v>
      </c>
      <c r="Y266" s="2" t="s">
        <v>1379</v>
      </c>
      <c r="Z266" s="4">
        <v>124</v>
      </c>
      <c r="AA266" s="4">
        <f>=ROUNDDOWN(24.8,0)</f>
      </c>
      <c r="AB266" s="5">
        <v>5</v>
      </c>
      <c r="AC266" s="2" t="s">
        <v>783</v>
      </c>
      <c r="AD266" s="4">
        <v>36</v>
      </c>
      <c r="AE266" s="4">
        <v>36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/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/>
      <c r="BJ266" s="4">
        <v>7</v>
      </c>
      <c r="BK266" s="8">
        <v>467.95</v>
      </c>
      <c r="BL266" s="2" t="s">
        <v>1380</v>
      </c>
      <c r="BM266" s="7"/>
      <c r="BN266" s="7"/>
      <c r="BO266" s="4"/>
      <c r="BP266" s="8"/>
      <c r="BQ266" s="4"/>
      <c r="BR266" s="8"/>
      <c r="BS266" s="7"/>
      <c r="BT266" s="7"/>
      <c r="BU266" s="2" t="s">
        <v>171</v>
      </c>
      <c r="BV266" s="2" t="s">
        <v>97</v>
      </c>
      <c r="BW266" s="2" t="s">
        <v>100</v>
      </c>
      <c r="BX266" s="2" t="s">
        <v>100</v>
      </c>
      <c r="BY266" s="2" t="s">
        <v>112</v>
      </c>
      <c r="BZ266" s="2" t="s">
        <v>100</v>
      </c>
    </row>
    <row r="267">
      <c r="A267" s="2" t="s">
        <v>1381</v>
      </c>
      <c r="B267" s="2" t="s">
        <v>87</v>
      </c>
      <c r="C267" s="2" t="s">
        <v>88</v>
      </c>
      <c r="D267" s="2" t="s">
        <v>963</v>
      </c>
      <c r="E267" s="2" t="s">
        <v>1232</v>
      </c>
      <c r="F267" s="2" t="s">
        <v>778</v>
      </c>
      <c r="G267" s="2" t="s">
        <v>779</v>
      </c>
      <c r="H267" s="2" t="s">
        <v>780</v>
      </c>
      <c r="I267" s="2" t="s">
        <v>1325</v>
      </c>
      <c r="J267" s="2" t="s">
        <v>529</v>
      </c>
      <c r="K267" s="2" t="s">
        <v>165</v>
      </c>
      <c r="L267" s="3">
        <v>68.6</v>
      </c>
      <c r="M267" s="3">
        <v>72.02</v>
      </c>
      <c r="N267" s="3">
        <v>139.99</v>
      </c>
      <c r="O267" s="2" t="s">
        <v>97</v>
      </c>
      <c r="P267" s="2" t="s">
        <v>98</v>
      </c>
      <c r="Q267" s="2" t="s">
        <v>99</v>
      </c>
      <c r="R267" s="2" t="s">
        <v>100</v>
      </c>
      <c r="S267" s="2" t="s">
        <v>1378</v>
      </c>
      <c r="T267" s="2" t="s">
        <v>190</v>
      </c>
      <c r="U267" s="2" t="s">
        <v>355</v>
      </c>
      <c r="V267" s="2" t="s">
        <v>304</v>
      </c>
      <c r="W267" s="2" t="s">
        <v>142</v>
      </c>
      <c r="X267" s="2" t="s">
        <v>168</v>
      </c>
      <c r="Y267" s="2" t="s">
        <v>1379</v>
      </c>
      <c r="Z267" s="4">
        <v>112</v>
      </c>
      <c r="AA267" s="4">
        <f>=ROUNDDOWN(16,0)</f>
      </c>
      <c r="AB267" s="5">
        <v>7</v>
      </c>
      <c r="AC267" s="2" t="s">
        <v>783</v>
      </c>
      <c r="AD267" s="4">
        <v>70</v>
      </c>
      <c r="AE267" s="4">
        <v>120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100</v>
      </c>
      <c r="AW267" s="8" t="s">
        <v>100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/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/>
      <c r="BJ267" s="4">
        <v>15</v>
      </c>
      <c r="BK267" s="8">
        <v>1073.57</v>
      </c>
      <c r="BL267" s="2" t="s">
        <v>1382</v>
      </c>
      <c r="BM267" s="7"/>
      <c r="BN267" s="7"/>
      <c r="BO267" s="4"/>
      <c r="BP267" s="8"/>
      <c r="BQ267" s="4"/>
      <c r="BR267" s="8"/>
      <c r="BS267" s="7"/>
      <c r="BT267" s="7"/>
      <c r="BU267" s="2" t="s">
        <v>171</v>
      </c>
      <c r="BV267" s="2" t="s">
        <v>97</v>
      </c>
      <c r="BW267" s="2" t="s">
        <v>100</v>
      </c>
      <c r="BX267" s="2" t="s">
        <v>100</v>
      </c>
      <c r="BY267" s="2" t="s">
        <v>112</v>
      </c>
      <c r="BZ267" s="2" t="s">
        <v>100</v>
      </c>
    </row>
    <row r="268">
      <c r="A268" s="2" t="s">
        <v>1383</v>
      </c>
      <c r="B268" s="2" t="s">
        <v>87</v>
      </c>
      <c r="C268" s="2" t="s">
        <v>88</v>
      </c>
      <c r="D268" s="2" t="s">
        <v>963</v>
      </c>
      <c r="E268" s="2" t="s">
        <v>1232</v>
      </c>
      <c r="F268" s="2" t="s">
        <v>778</v>
      </c>
      <c r="G268" s="2" t="s">
        <v>779</v>
      </c>
      <c r="H268" s="2" t="s">
        <v>780</v>
      </c>
      <c r="I268" s="2" t="s">
        <v>1325</v>
      </c>
      <c r="J268" s="2" t="s">
        <v>522</v>
      </c>
      <c r="K268" s="2" t="s">
        <v>1384</v>
      </c>
      <c r="L268" s="3">
        <v>63.7</v>
      </c>
      <c r="M268" s="3">
        <v>66.88</v>
      </c>
      <c r="N268" s="3">
        <v>129.99</v>
      </c>
      <c r="O268" s="2" t="s">
        <v>97</v>
      </c>
      <c r="P268" s="2" t="s">
        <v>98</v>
      </c>
      <c r="Q268" s="2" t="s">
        <v>99</v>
      </c>
      <c r="R268" s="2" t="s">
        <v>100</v>
      </c>
      <c r="S268" s="2" t="s">
        <v>1385</v>
      </c>
      <c r="T268" s="2" t="s">
        <v>100</v>
      </c>
      <c r="U268" s="2" t="s">
        <v>355</v>
      </c>
      <c r="V268" s="2" t="s">
        <v>304</v>
      </c>
      <c r="W268" s="2" t="s">
        <v>142</v>
      </c>
      <c r="X268" s="2" t="s">
        <v>168</v>
      </c>
      <c r="Y268" s="2" t="s">
        <v>1386</v>
      </c>
      <c r="Z268" s="4">
        <v>217</v>
      </c>
      <c r="AA268" s="4">
        <f>=ROUNDDOWN(19.7272727272727,0)</f>
      </c>
      <c r="AB268" s="5">
        <v>11</v>
      </c>
      <c r="AC268" s="2" t="s">
        <v>824</v>
      </c>
      <c r="AD268" s="4">
        <v>30</v>
      </c>
      <c r="AE268" s="4">
        <v>190</v>
      </c>
      <c r="AF268" s="6">
        <v>65</v>
      </c>
      <c r="AG268" s="6">
        <v>73</v>
      </c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/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/>
      <c r="BJ268" s="4">
        <v>27</v>
      </c>
      <c r="BK268" s="8">
        <v>1815.71</v>
      </c>
      <c r="BL268" s="2" t="s">
        <v>1387</v>
      </c>
      <c r="BM268" s="7"/>
      <c r="BN268" s="7"/>
      <c r="BO268" s="4"/>
      <c r="BP268" s="8"/>
      <c r="BQ268" s="4"/>
      <c r="BR268" s="8"/>
      <c r="BS268" s="7"/>
      <c r="BT268" s="7"/>
      <c r="BU268" s="2" t="s">
        <v>109</v>
      </c>
      <c r="BV268" s="2" t="s">
        <v>97</v>
      </c>
      <c r="BW268" s="2" t="s">
        <v>501</v>
      </c>
      <c r="BX268" s="2" t="s">
        <v>1388</v>
      </c>
      <c r="BY268" s="2" t="s">
        <v>112</v>
      </c>
      <c r="BZ268" s="2" t="s">
        <v>100</v>
      </c>
    </row>
    <row r="269">
      <c r="A269" s="2" t="s">
        <v>1389</v>
      </c>
      <c r="B269" s="2" t="s">
        <v>87</v>
      </c>
      <c r="C269" s="2" t="s">
        <v>88</v>
      </c>
      <c r="D269" s="2" t="s">
        <v>963</v>
      </c>
      <c r="E269" s="2" t="s">
        <v>1232</v>
      </c>
      <c r="F269" s="2" t="s">
        <v>778</v>
      </c>
      <c r="G269" s="2" t="s">
        <v>779</v>
      </c>
      <c r="H269" s="2" t="s">
        <v>780</v>
      </c>
      <c r="I269" s="2" t="s">
        <v>1325</v>
      </c>
      <c r="J269" s="2" t="s">
        <v>529</v>
      </c>
      <c r="K269" s="2" t="s">
        <v>1384</v>
      </c>
      <c r="L269" s="3">
        <v>68.6</v>
      </c>
      <c r="M269" s="3">
        <v>72.02</v>
      </c>
      <c r="N269" s="3">
        <v>139.99</v>
      </c>
      <c r="O269" s="2" t="s">
        <v>97</v>
      </c>
      <c r="P269" s="2" t="s">
        <v>98</v>
      </c>
      <c r="Q269" s="2" t="s">
        <v>99</v>
      </c>
      <c r="R269" s="2" t="s">
        <v>100</v>
      </c>
      <c r="S269" s="2" t="s">
        <v>1385</v>
      </c>
      <c r="T269" s="2" t="s">
        <v>100</v>
      </c>
      <c r="U269" s="2" t="s">
        <v>355</v>
      </c>
      <c r="V269" s="2" t="s">
        <v>304</v>
      </c>
      <c r="W269" s="2" t="s">
        <v>142</v>
      </c>
      <c r="X269" s="2" t="s">
        <v>143</v>
      </c>
      <c r="Y269" s="2" t="s">
        <v>1386</v>
      </c>
      <c r="Z269" s="4">
        <v>379</v>
      </c>
      <c r="AA269" s="4">
        <f>=ROUNDDOWN(22.2941176470588,0)</f>
      </c>
      <c r="AB269" s="5">
        <v>17</v>
      </c>
      <c r="AC269" s="2" t="s">
        <v>824</v>
      </c>
      <c r="AD269" s="4">
        <v>30</v>
      </c>
      <c r="AE269" s="4">
        <v>160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/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/>
      <c r="BJ269" s="4">
        <v>53</v>
      </c>
      <c r="BK269" s="8">
        <v>3783.86</v>
      </c>
      <c r="BL269" s="2" t="s">
        <v>1390</v>
      </c>
      <c r="BM269" s="7"/>
      <c r="BN269" s="7"/>
      <c r="BO269" s="4"/>
      <c r="BP269" s="8"/>
      <c r="BQ269" s="4"/>
      <c r="BR269" s="8"/>
      <c r="BS269" s="7"/>
      <c r="BT269" s="7"/>
      <c r="BU269" s="2" t="s">
        <v>109</v>
      </c>
      <c r="BV269" s="2" t="s">
        <v>97</v>
      </c>
      <c r="BW269" s="2" t="s">
        <v>501</v>
      </c>
      <c r="BX269" s="2" t="s">
        <v>1391</v>
      </c>
      <c r="BY269" s="2" t="s">
        <v>112</v>
      </c>
      <c r="BZ269" s="2" t="s">
        <v>100</v>
      </c>
    </row>
    <row r="270">
      <c r="A270" s="2" t="s">
        <v>1392</v>
      </c>
      <c r="B270" s="2" t="s">
        <v>87</v>
      </c>
      <c r="C270" s="2" t="s">
        <v>88</v>
      </c>
      <c r="D270" s="2" t="s">
        <v>963</v>
      </c>
      <c r="E270" s="2" t="s">
        <v>1232</v>
      </c>
      <c r="F270" s="2" t="s">
        <v>1393</v>
      </c>
      <c r="G270" s="2" t="s">
        <v>1394</v>
      </c>
      <c r="H270" s="2" t="s">
        <v>1395</v>
      </c>
      <c r="I270" s="2" t="s">
        <v>1396</v>
      </c>
      <c r="J270" s="2" t="s">
        <v>522</v>
      </c>
      <c r="K270" s="2" t="s">
        <v>256</v>
      </c>
      <c r="L270" s="3">
        <v>58.12</v>
      </c>
      <c r="M270" s="3">
        <v>61.03</v>
      </c>
      <c r="N270" s="3">
        <v>119.99</v>
      </c>
      <c r="O270" s="2" t="s">
        <v>97</v>
      </c>
      <c r="P270" s="2" t="s">
        <v>156</v>
      </c>
      <c r="Q270" s="2" t="s">
        <v>99</v>
      </c>
      <c r="R270" s="2" t="s">
        <v>100</v>
      </c>
      <c r="S270" s="2" t="s">
        <v>1397</v>
      </c>
      <c r="T270" s="2" t="s">
        <v>190</v>
      </c>
      <c r="U270" s="2" t="s">
        <v>355</v>
      </c>
      <c r="V270" s="2" t="s">
        <v>192</v>
      </c>
      <c r="W270" s="2" t="s">
        <v>525</v>
      </c>
      <c r="X270" s="2" t="s">
        <v>1248</v>
      </c>
      <c r="Y270" s="2" t="s">
        <v>144</v>
      </c>
      <c r="Z270" s="4">
        <v>514</v>
      </c>
      <c r="AA270" s="4">
        <f>=ROUNDDOWN(21.4166666666667,0)</f>
      </c>
      <c r="AB270" s="5">
        <v>24</v>
      </c>
      <c r="AC270" s="2" t="s">
        <v>1398</v>
      </c>
      <c r="AD270" s="4">
        <v>450</v>
      </c>
      <c r="AE270" s="4">
        <v>450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>
        <v>46</v>
      </c>
      <c r="BK270" s="8">
        <v>2943.14</v>
      </c>
      <c r="BL270" s="2" t="s">
        <v>1399</v>
      </c>
      <c r="BM270" s="7"/>
      <c r="BN270" s="7"/>
      <c r="BO270" s="4"/>
      <c r="BP270" s="8"/>
      <c r="BQ270" s="4"/>
      <c r="BR270" s="8"/>
      <c r="BS270" s="7"/>
      <c r="BT270" s="7"/>
      <c r="BU270" s="2" t="s">
        <v>109</v>
      </c>
      <c r="BV270" s="2" t="s">
        <v>97</v>
      </c>
      <c r="BW270" s="2" t="s">
        <v>370</v>
      </c>
      <c r="BX270" s="2" t="s">
        <v>1400</v>
      </c>
      <c r="BY270" s="2" t="s">
        <v>112</v>
      </c>
      <c r="BZ270" s="2" t="s">
        <v>149</v>
      </c>
    </row>
    <row r="271">
      <c r="A271" s="2" t="s">
        <v>1401</v>
      </c>
      <c r="B271" s="2" t="s">
        <v>87</v>
      </c>
      <c r="C271" s="2" t="s">
        <v>88</v>
      </c>
      <c r="D271" s="2" t="s">
        <v>963</v>
      </c>
      <c r="E271" s="2" t="s">
        <v>1232</v>
      </c>
      <c r="F271" s="2" t="s">
        <v>1005</v>
      </c>
      <c r="G271" s="2" t="s">
        <v>1006</v>
      </c>
      <c r="H271" s="2" t="s">
        <v>1007</v>
      </c>
      <c r="I271" s="2" t="s">
        <v>1402</v>
      </c>
      <c r="J271" s="2" t="s">
        <v>352</v>
      </c>
      <c r="K271" s="2" t="s">
        <v>706</v>
      </c>
      <c r="L271" s="3">
        <v>49.99</v>
      </c>
      <c r="M271" s="3">
        <v>52.49</v>
      </c>
      <c r="N271" s="3">
        <v>99.99</v>
      </c>
      <c r="O271" s="2" t="s">
        <v>97</v>
      </c>
      <c r="P271" s="2" t="s">
        <v>707</v>
      </c>
      <c r="Q271" s="2" t="s">
        <v>99</v>
      </c>
      <c r="R271" s="2" t="s">
        <v>100</v>
      </c>
      <c r="S271" s="2" t="s">
        <v>1403</v>
      </c>
      <c r="T271" s="2" t="s">
        <v>100</v>
      </c>
      <c r="U271" s="2" t="s">
        <v>460</v>
      </c>
      <c r="V271" s="2" t="s">
        <v>1009</v>
      </c>
      <c r="W271" s="2" t="s">
        <v>686</v>
      </c>
      <c r="X271" s="2" t="s">
        <v>1010</v>
      </c>
      <c r="Y271" s="2" t="s">
        <v>144</v>
      </c>
      <c r="Z271" s="4">
        <v>92</v>
      </c>
      <c r="AA271" s="4">
        <f>=ROUNDDOWN(23,0)</f>
      </c>
      <c r="AB271" s="5">
        <v>4</v>
      </c>
      <c r="AC271" s="2" t="s">
        <v>629</v>
      </c>
      <c r="AD271" s="4">
        <v>30</v>
      </c>
      <c r="AE271" s="4">
        <v>30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/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/>
      <c r="BJ271" s="4">
        <v>17</v>
      </c>
      <c r="BK271" s="8">
        <v>815.24</v>
      </c>
      <c r="BL271" s="2" t="s">
        <v>1404</v>
      </c>
      <c r="BM271" s="7"/>
      <c r="BN271" s="7"/>
      <c r="BO271" s="4"/>
      <c r="BP271" s="8"/>
      <c r="BQ271" s="4"/>
      <c r="BR271" s="8"/>
      <c r="BS271" s="7"/>
      <c r="BT271" s="7"/>
      <c r="BU271" s="2" t="s">
        <v>109</v>
      </c>
      <c r="BV271" s="2" t="s">
        <v>97</v>
      </c>
      <c r="BW271" s="2" t="s">
        <v>475</v>
      </c>
      <c r="BX271" s="2" t="s">
        <v>1405</v>
      </c>
      <c r="BY271" s="2" t="s">
        <v>112</v>
      </c>
      <c r="BZ271" s="2" t="s">
        <v>100</v>
      </c>
    </row>
    <row r="272">
      <c r="A272" s="2" t="s">
        <v>1406</v>
      </c>
      <c r="B272" s="2" t="s">
        <v>87</v>
      </c>
      <c r="C272" s="2" t="s">
        <v>88</v>
      </c>
      <c r="D272" s="2" t="s">
        <v>963</v>
      </c>
      <c r="E272" s="2" t="s">
        <v>1232</v>
      </c>
      <c r="F272" s="2" t="s">
        <v>1005</v>
      </c>
      <c r="G272" s="2" t="s">
        <v>1006</v>
      </c>
      <c r="H272" s="2" t="s">
        <v>1007</v>
      </c>
      <c r="I272" s="2" t="s">
        <v>1402</v>
      </c>
      <c r="J272" s="2" t="s">
        <v>529</v>
      </c>
      <c r="K272" s="2" t="s">
        <v>706</v>
      </c>
      <c r="L272" s="3">
        <v>59.99</v>
      </c>
      <c r="M272" s="3">
        <v>62.99</v>
      </c>
      <c r="N272" s="3">
        <v>119.99</v>
      </c>
      <c r="O272" s="2" t="s">
        <v>97</v>
      </c>
      <c r="P272" s="2" t="s">
        <v>98</v>
      </c>
      <c r="Q272" s="2" t="s">
        <v>99</v>
      </c>
      <c r="R272" s="2" t="s">
        <v>100</v>
      </c>
      <c r="S272" s="2" t="s">
        <v>1403</v>
      </c>
      <c r="T272" s="2" t="s">
        <v>100</v>
      </c>
      <c r="U272" s="2" t="s">
        <v>355</v>
      </c>
      <c r="V272" s="2" t="s">
        <v>1009</v>
      </c>
      <c r="W272" s="2" t="s">
        <v>686</v>
      </c>
      <c r="X272" s="2" t="s">
        <v>1010</v>
      </c>
      <c r="Y272" s="2" t="s">
        <v>144</v>
      </c>
      <c r="Z272" s="4">
        <v>64</v>
      </c>
      <c r="AA272" s="4">
        <f>=ROUNDDOWN(4.26666666666667,0)</f>
      </c>
      <c r="AB272" s="5">
        <v>15</v>
      </c>
      <c r="AC272" s="2" t="s">
        <v>582</v>
      </c>
      <c r="AD272" s="4">
        <v>30</v>
      </c>
      <c r="AE272" s="4">
        <v>380</v>
      </c>
      <c r="AF272" s="6">
        <v>65</v>
      </c>
      <c r="AG272" s="6">
        <v>73</v>
      </c>
      <c r="AH272" s="7">
        <v>0.7742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/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/>
      <c r="BJ272" s="4">
        <v>31</v>
      </c>
      <c r="BK272" s="8">
        <v>1951.87</v>
      </c>
      <c r="BL272" s="2" t="s">
        <v>1407</v>
      </c>
      <c r="BM272" s="7"/>
      <c r="BN272" s="7"/>
      <c r="BO272" s="4"/>
      <c r="BP272" s="8"/>
      <c r="BQ272" s="4"/>
      <c r="BR272" s="8"/>
      <c r="BS272" s="7"/>
      <c r="BT272" s="7"/>
      <c r="BU272" s="2" t="s">
        <v>109</v>
      </c>
      <c r="BV272" s="2" t="s">
        <v>97</v>
      </c>
      <c r="BW272" s="2" t="s">
        <v>159</v>
      </c>
      <c r="BX272" s="2" t="s">
        <v>358</v>
      </c>
      <c r="BY272" s="2" t="s">
        <v>112</v>
      </c>
      <c r="BZ272" s="2" t="s">
        <v>100</v>
      </c>
    </row>
    <row r="273">
      <c r="A273" s="2" t="s">
        <v>1408</v>
      </c>
      <c r="B273" s="2" t="s">
        <v>87</v>
      </c>
      <c r="C273" s="2" t="s">
        <v>88</v>
      </c>
      <c r="D273" s="2" t="s">
        <v>963</v>
      </c>
      <c r="E273" s="2" t="s">
        <v>1409</v>
      </c>
      <c r="F273" s="2" t="s">
        <v>1024</v>
      </c>
      <c r="G273" s="2" t="s">
        <v>1025</v>
      </c>
      <c r="H273" s="2" t="s">
        <v>1026</v>
      </c>
      <c r="I273" s="2" t="s">
        <v>1410</v>
      </c>
      <c r="J273" s="2" t="s">
        <v>522</v>
      </c>
      <c r="K273" s="2" t="s">
        <v>673</v>
      </c>
      <c r="L273" s="3">
        <v>44.54</v>
      </c>
      <c r="M273" s="3">
        <v>46.77</v>
      </c>
      <c r="N273" s="3">
        <v>99.99</v>
      </c>
      <c r="O273" s="2" t="s">
        <v>97</v>
      </c>
      <c r="P273" s="2" t="s">
        <v>98</v>
      </c>
      <c r="Q273" s="2" t="s">
        <v>99</v>
      </c>
      <c r="R273" s="2" t="s">
        <v>100</v>
      </c>
      <c r="S273" s="2" t="s">
        <v>1411</v>
      </c>
      <c r="T273" s="2" t="s">
        <v>100</v>
      </c>
      <c r="U273" s="2" t="s">
        <v>901</v>
      </c>
      <c r="V273" s="2" t="s">
        <v>103</v>
      </c>
      <c r="W273" s="2" t="s">
        <v>193</v>
      </c>
      <c r="X273" s="2" t="s">
        <v>462</v>
      </c>
      <c r="Y273" s="2" t="s">
        <v>1057</v>
      </c>
      <c r="Z273" s="4">
        <v>263</v>
      </c>
      <c r="AA273" s="4">
        <f>=ROUNDDOWN(20.2307692307692,0)</f>
      </c>
      <c r="AB273" s="5">
        <v>13</v>
      </c>
      <c r="AC273" s="2" t="s">
        <v>958</v>
      </c>
      <c r="AD273" s="4">
        <v>140</v>
      </c>
      <c r="AE273" s="4">
        <v>210</v>
      </c>
      <c r="AF273" s="6">
        <v>69</v>
      </c>
      <c r="AG273" s="6">
        <v>77</v>
      </c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5</v>
      </c>
      <c r="AQ273" s="8">
        <v>255.15</v>
      </c>
      <c r="AR273" s="4"/>
      <c r="AS273" s="8"/>
      <c r="AT273" s="7"/>
      <c r="AU273" s="7"/>
      <c r="AV273" s="4">
        <v>6</v>
      </c>
      <c r="AW273" s="8">
        <v>316.39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0.8064</v>
      </c>
      <c r="BC273" s="4">
        <v>6</v>
      </c>
      <c r="BD273" s="8">
        <v>316.39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>
        <v>1</v>
      </c>
      <c r="BJ273" s="4">
        <v>54</v>
      </c>
      <c r="BK273" s="8">
        <v>2727.83</v>
      </c>
      <c r="BL273" s="2" t="s">
        <v>1412</v>
      </c>
      <c r="BM273" s="7">
        <v>0.0926</v>
      </c>
      <c r="BN273" s="7">
        <v>0.0935</v>
      </c>
      <c r="BO273" s="4">
        <v>5</v>
      </c>
      <c r="BP273" s="8">
        <v>255.15</v>
      </c>
      <c r="BQ273" s="4"/>
      <c r="BR273" s="8"/>
      <c r="BS273" s="7"/>
      <c r="BT273" s="7"/>
      <c r="BU273" s="2" t="s">
        <v>109</v>
      </c>
      <c r="BV273" s="2" t="s">
        <v>97</v>
      </c>
      <c r="BW273" s="2" t="s">
        <v>1413</v>
      </c>
      <c r="BX273" s="2" t="s">
        <v>1414</v>
      </c>
      <c r="BY273" s="2" t="s">
        <v>112</v>
      </c>
      <c r="BZ273" s="2" t="s">
        <v>100</v>
      </c>
    </row>
    <row r="274">
      <c r="A274" s="2" t="s">
        <v>1415</v>
      </c>
      <c r="B274" s="2" t="s">
        <v>87</v>
      </c>
      <c r="C274" s="2" t="s">
        <v>88</v>
      </c>
      <c r="D274" s="2" t="s">
        <v>963</v>
      </c>
      <c r="E274" s="2" t="s">
        <v>1409</v>
      </c>
      <c r="F274" s="2" t="s">
        <v>1024</v>
      </c>
      <c r="G274" s="2" t="s">
        <v>1025</v>
      </c>
      <c r="H274" s="2" t="s">
        <v>1026</v>
      </c>
      <c r="I274" s="2" t="s">
        <v>1410</v>
      </c>
      <c r="J274" s="2" t="s">
        <v>529</v>
      </c>
      <c r="K274" s="2" t="s">
        <v>673</v>
      </c>
      <c r="L274" s="3">
        <v>52.65</v>
      </c>
      <c r="M274" s="3">
        <v>55.28</v>
      </c>
      <c r="N274" s="3">
        <v>119.99</v>
      </c>
      <c r="O274" s="2" t="s">
        <v>97</v>
      </c>
      <c r="P274" s="2" t="s">
        <v>98</v>
      </c>
      <c r="Q274" s="2" t="s">
        <v>99</v>
      </c>
      <c r="R274" s="2" t="s">
        <v>100</v>
      </c>
      <c r="S274" s="2" t="s">
        <v>1411</v>
      </c>
      <c r="T274" s="2" t="s">
        <v>100</v>
      </c>
      <c r="U274" s="2" t="s">
        <v>901</v>
      </c>
      <c r="V274" s="2" t="s">
        <v>103</v>
      </c>
      <c r="W274" s="2" t="s">
        <v>193</v>
      </c>
      <c r="X274" s="2" t="s">
        <v>462</v>
      </c>
      <c r="Y274" s="2" t="s">
        <v>1057</v>
      </c>
      <c r="Z274" s="4">
        <v>692</v>
      </c>
      <c r="AA274" s="4">
        <f>=ROUNDDOWN(36.4210526315789,0)</f>
      </c>
      <c r="AB274" s="5">
        <v>19</v>
      </c>
      <c r="AC274" s="2" t="s">
        <v>100</v>
      </c>
      <c r="AD274" s="4"/>
      <c r="AE274" s="4"/>
      <c r="AF274" s="6">
        <v>69</v>
      </c>
      <c r="AG274" s="6">
        <v>77</v>
      </c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1</v>
      </c>
      <c r="AQ274" s="8">
        <v>61.24</v>
      </c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0.1936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 t="s">
        <v>100</v>
      </c>
      <c r="BJ274" s="4">
        <v>72</v>
      </c>
      <c r="BK274" s="8">
        <v>4377.68</v>
      </c>
      <c r="BL274" s="2" t="s">
        <v>1416</v>
      </c>
      <c r="BM274" s="7">
        <v>0.0139</v>
      </c>
      <c r="BN274" s="7">
        <v>0.014</v>
      </c>
      <c r="BO274" s="4">
        <v>1</v>
      </c>
      <c r="BP274" s="8">
        <v>61.24</v>
      </c>
      <c r="BQ274" s="4"/>
      <c r="BR274" s="8"/>
      <c r="BS274" s="7"/>
      <c r="BT274" s="7"/>
      <c r="BU274" s="2" t="s">
        <v>109</v>
      </c>
      <c r="BV274" s="2" t="s">
        <v>97</v>
      </c>
      <c r="BW274" s="2" t="s">
        <v>1417</v>
      </c>
      <c r="BX274" s="2" t="s">
        <v>1418</v>
      </c>
      <c r="BY274" s="2" t="s">
        <v>112</v>
      </c>
      <c r="BZ274" s="2" t="s">
        <v>100</v>
      </c>
    </row>
    <row r="275">
      <c r="A275" s="2" t="s">
        <v>1419</v>
      </c>
      <c r="B275" s="2" t="s">
        <v>87</v>
      </c>
      <c r="C275" s="2" t="s">
        <v>88</v>
      </c>
      <c r="D275" s="2" t="s">
        <v>963</v>
      </c>
      <c r="E275" s="2" t="s">
        <v>1409</v>
      </c>
      <c r="F275" s="2" t="s">
        <v>1024</v>
      </c>
      <c r="G275" s="2" t="s">
        <v>1025</v>
      </c>
      <c r="H275" s="2" t="s">
        <v>1026</v>
      </c>
      <c r="I275" s="2" t="s">
        <v>1420</v>
      </c>
      <c r="J275" s="2" t="s">
        <v>522</v>
      </c>
      <c r="K275" s="2" t="s">
        <v>892</v>
      </c>
      <c r="L275" s="3">
        <v>44.54</v>
      </c>
      <c r="M275" s="3">
        <v>46.77</v>
      </c>
      <c r="N275" s="3">
        <v>99.99</v>
      </c>
      <c r="O275" s="2" t="s">
        <v>97</v>
      </c>
      <c r="P275" s="2" t="s">
        <v>156</v>
      </c>
      <c r="Q275" s="2" t="s">
        <v>99</v>
      </c>
      <c r="R275" s="2" t="s">
        <v>100</v>
      </c>
      <c r="S275" s="2" t="s">
        <v>1028</v>
      </c>
      <c r="T275" s="2" t="s">
        <v>100</v>
      </c>
      <c r="U275" s="2" t="s">
        <v>901</v>
      </c>
      <c r="V275" s="2" t="s">
        <v>103</v>
      </c>
      <c r="W275" s="2" t="s">
        <v>193</v>
      </c>
      <c r="X275" s="2" t="s">
        <v>1029</v>
      </c>
      <c r="Y275" s="2" t="s">
        <v>1030</v>
      </c>
      <c r="Z275" s="4">
        <v>532</v>
      </c>
      <c r="AA275" s="4">
        <f>=ROUNDDOWN(33.25,0)</f>
      </c>
      <c r="AB275" s="5">
        <v>16</v>
      </c>
      <c r="AC275" s="2" t="s">
        <v>990</v>
      </c>
      <c r="AD275" s="4">
        <v>60</v>
      </c>
      <c r="AE275" s="4">
        <v>170</v>
      </c>
      <c r="AF275" s="6">
        <v>69</v>
      </c>
      <c r="AG275" s="6">
        <v>77</v>
      </c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/>
      <c r="BJ275" s="4">
        <v>56</v>
      </c>
      <c r="BK275" s="8">
        <v>2974.31</v>
      </c>
      <c r="BL275" s="2" t="s">
        <v>1421</v>
      </c>
      <c r="BM275" s="7"/>
      <c r="BN275" s="7"/>
      <c r="BO275" s="4"/>
      <c r="BP275" s="8"/>
      <c r="BQ275" s="4"/>
      <c r="BR275" s="8"/>
      <c r="BS275" s="7"/>
      <c r="BT275" s="7"/>
      <c r="BU275" s="2" t="s">
        <v>109</v>
      </c>
      <c r="BV275" s="2" t="s">
        <v>97</v>
      </c>
      <c r="BW275" s="2" t="s">
        <v>1032</v>
      </c>
      <c r="BX275" s="2" t="s">
        <v>1071</v>
      </c>
      <c r="BY275" s="2" t="s">
        <v>112</v>
      </c>
      <c r="BZ275" s="2" t="s">
        <v>100</v>
      </c>
    </row>
    <row r="276">
      <c r="A276" s="2" t="s">
        <v>1422</v>
      </c>
      <c r="B276" s="2" t="s">
        <v>87</v>
      </c>
      <c r="C276" s="2" t="s">
        <v>88</v>
      </c>
      <c r="D276" s="2" t="s">
        <v>963</v>
      </c>
      <c r="E276" s="2" t="s">
        <v>1409</v>
      </c>
      <c r="F276" s="2" t="s">
        <v>1035</v>
      </c>
      <c r="G276" s="2" t="s">
        <v>1036</v>
      </c>
      <c r="H276" s="2" t="s">
        <v>1037</v>
      </c>
      <c r="I276" s="2" t="s">
        <v>1423</v>
      </c>
      <c r="J276" s="2" t="s">
        <v>95</v>
      </c>
      <c r="K276" s="2" t="s">
        <v>1424</v>
      </c>
      <c r="L276" s="3">
        <v>49.5</v>
      </c>
      <c r="M276" s="3">
        <v>51.98</v>
      </c>
      <c r="N276" s="3">
        <v>99.99</v>
      </c>
      <c r="O276" s="2" t="s">
        <v>97</v>
      </c>
      <c r="P276" s="2" t="s">
        <v>156</v>
      </c>
      <c r="Q276" s="2" t="s">
        <v>99</v>
      </c>
      <c r="R276" s="2" t="s">
        <v>100</v>
      </c>
      <c r="S276" s="2" t="s">
        <v>1425</v>
      </c>
      <c r="T276" s="2" t="s">
        <v>100</v>
      </c>
      <c r="U276" s="2" t="s">
        <v>901</v>
      </c>
      <c r="V276" s="2" t="s">
        <v>461</v>
      </c>
      <c r="W276" s="2" t="s">
        <v>142</v>
      </c>
      <c r="X276" s="2" t="s">
        <v>609</v>
      </c>
      <c r="Y276" s="2" t="s">
        <v>1426</v>
      </c>
      <c r="Z276" s="4">
        <v>320</v>
      </c>
      <c r="AA276" s="4">
        <f>=ROUNDDOWN(10,0)</f>
      </c>
      <c r="AB276" s="5">
        <v>32</v>
      </c>
      <c r="AC276" s="2" t="s">
        <v>1201</v>
      </c>
      <c r="AD276" s="4">
        <v>120</v>
      </c>
      <c r="AE276" s="4">
        <v>810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>
        <v>1</v>
      </c>
      <c r="AW276" s="8">
        <v>73.71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/>
      <c r="BC276" s="4">
        <v>1</v>
      </c>
      <c r="BD276" s="8">
        <v>73.71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>
        <v>1</v>
      </c>
      <c r="BJ276" s="4">
        <v>103</v>
      </c>
      <c r="BK276" s="8">
        <v>5555.3</v>
      </c>
      <c r="BL276" s="2" t="s">
        <v>1427</v>
      </c>
      <c r="BM276" s="7"/>
      <c r="BN276" s="7"/>
      <c r="BO276" s="4"/>
      <c r="BP276" s="8"/>
      <c r="BQ276" s="4"/>
      <c r="BR276" s="8"/>
      <c r="BS276" s="7"/>
      <c r="BT276" s="7"/>
      <c r="BU276" s="2" t="s">
        <v>109</v>
      </c>
      <c r="BV276" s="2" t="s">
        <v>97</v>
      </c>
      <c r="BW276" s="2" t="s">
        <v>1428</v>
      </c>
      <c r="BX276" s="2" t="s">
        <v>1429</v>
      </c>
      <c r="BY276" s="2" t="s">
        <v>112</v>
      </c>
      <c r="BZ276" s="2" t="s">
        <v>100</v>
      </c>
    </row>
    <row r="277">
      <c r="A277" s="2" t="s">
        <v>1430</v>
      </c>
      <c r="B277" s="2" t="s">
        <v>87</v>
      </c>
      <c r="C277" s="2" t="s">
        <v>88</v>
      </c>
      <c r="D277" s="2" t="s">
        <v>963</v>
      </c>
      <c r="E277" s="2" t="s">
        <v>1409</v>
      </c>
      <c r="F277" s="2" t="s">
        <v>1035</v>
      </c>
      <c r="G277" s="2" t="s">
        <v>1036</v>
      </c>
      <c r="H277" s="2" t="s">
        <v>1037</v>
      </c>
      <c r="I277" s="2" t="s">
        <v>1423</v>
      </c>
      <c r="J277" s="2" t="s">
        <v>114</v>
      </c>
      <c r="K277" s="2" t="s">
        <v>1424</v>
      </c>
      <c r="L277" s="3">
        <v>64.25</v>
      </c>
      <c r="M277" s="3">
        <v>67.46</v>
      </c>
      <c r="N277" s="3">
        <v>129.99</v>
      </c>
      <c r="O277" s="2" t="s">
        <v>97</v>
      </c>
      <c r="P277" s="2" t="s">
        <v>156</v>
      </c>
      <c r="Q277" s="2" t="s">
        <v>99</v>
      </c>
      <c r="R277" s="2" t="s">
        <v>100</v>
      </c>
      <c r="S277" s="2" t="s">
        <v>1425</v>
      </c>
      <c r="T277" s="2" t="s">
        <v>100</v>
      </c>
      <c r="U277" s="2" t="s">
        <v>901</v>
      </c>
      <c r="V277" s="2" t="s">
        <v>461</v>
      </c>
      <c r="W277" s="2" t="s">
        <v>142</v>
      </c>
      <c r="X277" s="2" t="s">
        <v>609</v>
      </c>
      <c r="Y277" s="2" t="s">
        <v>1426</v>
      </c>
      <c r="Z277" s="4">
        <v>288</v>
      </c>
      <c r="AA277" s="4">
        <f>=ROUNDDOWN(7.38461538461539,0)</f>
      </c>
      <c r="AB277" s="5">
        <v>39</v>
      </c>
      <c r="AC277" s="2" t="s">
        <v>1201</v>
      </c>
      <c r="AD277" s="4">
        <v>160</v>
      </c>
      <c r="AE277" s="4">
        <v>1010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1</v>
      </c>
      <c r="AQ277" s="8">
        <v>73.71</v>
      </c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1</v>
      </c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 t="s">
        <v>100</v>
      </c>
      <c r="BJ277" s="4">
        <v>98</v>
      </c>
      <c r="BK277" s="8">
        <v>6924.52</v>
      </c>
      <c r="BL277" s="2" t="s">
        <v>1220</v>
      </c>
      <c r="BM277" s="7">
        <v>0.0102</v>
      </c>
      <c r="BN277" s="7">
        <v>0.0106</v>
      </c>
      <c r="BO277" s="4">
        <v>1</v>
      </c>
      <c r="BP277" s="8">
        <v>73.71</v>
      </c>
      <c r="BQ277" s="4"/>
      <c r="BR277" s="8"/>
      <c r="BS277" s="7"/>
      <c r="BT277" s="7"/>
      <c r="BU277" s="2" t="s">
        <v>109</v>
      </c>
      <c r="BV277" s="2" t="s">
        <v>97</v>
      </c>
      <c r="BW277" s="2" t="s">
        <v>1428</v>
      </c>
      <c r="BX277" s="2" t="s">
        <v>1429</v>
      </c>
      <c r="BY277" s="2" t="s">
        <v>112</v>
      </c>
      <c r="BZ277" s="2" t="s">
        <v>100</v>
      </c>
    </row>
    <row r="278">
      <c r="A278" s="2" t="s">
        <v>1431</v>
      </c>
      <c r="B278" s="2" t="s">
        <v>87</v>
      </c>
      <c r="C278" s="2" t="s">
        <v>88</v>
      </c>
      <c r="D278" s="2" t="s">
        <v>963</v>
      </c>
      <c r="E278" s="2" t="s">
        <v>1409</v>
      </c>
      <c r="F278" s="2" t="s">
        <v>1035</v>
      </c>
      <c r="G278" s="2" t="s">
        <v>1036</v>
      </c>
      <c r="H278" s="2" t="s">
        <v>1037</v>
      </c>
      <c r="I278" s="2" t="s">
        <v>1423</v>
      </c>
      <c r="J278" s="2" t="s">
        <v>490</v>
      </c>
      <c r="K278" s="2" t="s">
        <v>1212</v>
      </c>
      <c r="L278" s="3">
        <v>39.69</v>
      </c>
      <c r="M278" s="3">
        <v>41.67</v>
      </c>
      <c r="N278" s="3">
        <v>79.99</v>
      </c>
      <c r="O278" s="2" t="s">
        <v>97</v>
      </c>
      <c r="P278" s="2" t="s">
        <v>156</v>
      </c>
      <c r="Q278" s="2" t="s">
        <v>99</v>
      </c>
      <c r="R278" s="2" t="s">
        <v>100</v>
      </c>
      <c r="S278" s="2" t="s">
        <v>1425</v>
      </c>
      <c r="T278" s="2" t="s">
        <v>100</v>
      </c>
      <c r="U278" s="2" t="s">
        <v>901</v>
      </c>
      <c r="V278" s="2" t="s">
        <v>461</v>
      </c>
      <c r="W278" s="2" t="s">
        <v>142</v>
      </c>
      <c r="X278" s="2" t="s">
        <v>609</v>
      </c>
      <c r="Y278" s="2" t="s">
        <v>1432</v>
      </c>
      <c r="Z278" s="4">
        <v>17</v>
      </c>
      <c r="AA278" s="4">
        <f>=ROUNDDOWN(3.4,0)</f>
      </c>
      <c r="AB278" s="5">
        <v>5</v>
      </c>
      <c r="AC278" s="2" t="s">
        <v>1201</v>
      </c>
      <c r="AD278" s="4">
        <v>80</v>
      </c>
      <c r="AE278" s="4">
        <v>200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/>
      <c r="BJ278" s="4">
        <v>20</v>
      </c>
      <c r="BK278" s="8">
        <v>881.19</v>
      </c>
      <c r="BL278" s="2" t="s">
        <v>632</v>
      </c>
      <c r="BM278" s="7"/>
      <c r="BN278" s="7"/>
      <c r="BO278" s="4"/>
      <c r="BP278" s="8"/>
      <c r="BQ278" s="4"/>
      <c r="BR278" s="8"/>
      <c r="BS278" s="7"/>
      <c r="BT278" s="7"/>
      <c r="BU278" s="2" t="s">
        <v>109</v>
      </c>
      <c r="BV278" s="2" t="s">
        <v>97</v>
      </c>
      <c r="BW278" s="2" t="s">
        <v>1428</v>
      </c>
      <c r="BX278" s="2" t="s">
        <v>1328</v>
      </c>
      <c r="BY278" s="2" t="s">
        <v>112</v>
      </c>
      <c r="BZ278" s="2" t="s">
        <v>100</v>
      </c>
    </row>
    <row r="279">
      <c r="A279" s="2" t="s">
        <v>1433</v>
      </c>
      <c r="B279" s="2" t="s">
        <v>87</v>
      </c>
      <c r="C279" s="2" t="s">
        <v>88</v>
      </c>
      <c r="D279" s="2" t="s">
        <v>963</v>
      </c>
      <c r="E279" s="2" t="s">
        <v>1409</v>
      </c>
      <c r="F279" s="2" t="s">
        <v>1035</v>
      </c>
      <c r="G279" s="2" t="s">
        <v>1036</v>
      </c>
      <c r="H279" s="2" t="s">
        <v>1037</v>
      </c>
      <c r="I279" s="2" t="s">
        <v>1423</v>
      </c>
      <c r="J279" s="2" t="s">
        <v>114</v>
      </c>
      <c r="K279" s="2" t="s">
        <v>96</v>
      </c>
      <c r="L279" s="3">
        <v>64.25</v>
      </c>
      <c r="M279" s="3">
        <v>67.46</v>
      </c>
      <c r="N279" s="3">
        <v>129.99</v>
      </c>
      <c r="O279" s="2" t="s">
        <v>97</v>
      </c>
      <c r="P279" s="2" t="s">
        <v>98</v>
      </c>
      <c r="Q279" s="2" t="s">
        <v>99</v>
      </c>
      <c r="R279" s="2" t="s">
        <v>100</v>
      </c>
      <c r="S279" s="2" t="s">
        <v>1434</v>
      </c>
      <c r="T279" s="2" t="s">
        <v>100</v>
      </c>
      <c r="U279" s="2" t="s">
        <v>901</v>
      </c>
      <c r="V279" s="2" t="s">
        <v>461</v>
      </c>
      <c r="W279" s="2" t="s">
        <v>142</v>
      </c>
      <c r="X279" s="2" t="s">
        <v>609</v>
      </c>
      <c r="Y279" s="2" t="s">
        <v>1435</v>
      </c>
      <c r="Z279" s="4">
        <v>119</v>
      </c>
      <c r="AA279" s="4">
        <f>=ROUNDDOWN(4.40740740740741,0)</f>
      </c>
      <c r="AB279" s="5">
        <v>27</v>
      </c>
      <c r="AC279" s="2" t="s">
        <v>1201</v>
      </c>
      <c r="AD279" s="4">
        <v>160</v>
      </c>
      <c r="AE279" s="4">
        <v>750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/>
      <c r="BJ279" s="4">
        <v>65</v>
      </c>
      <c r="BK279" s="8">
        <v>4528.75</v>
      </c>
      <c r="BL279" s="2" t="s">
        <v>1436</v>
      </c>
      <c r="BM279" s="7"/>
      <c r="BN279" s="7"/>
      <c r="BO279" s="4"/>
      <c r="BP279" s="8"/>
      <c r="BQ279" s="4"/>
      <c r="BR279" s="8"/>
      <c r="BS279" s="7"/>
      <c r="BT279" s="7"/>
      <c r="BU279" s="2" t="s">
        <v>109</v>
      </c>
      <c r="BV279" s="2" t="s">
        <v>97</v>
      </c>
      <c r="BW279" s="2" t="s">
        <v>1335</v>
      </c>
      <c r="BX279" s="2" t="s">
        <v>1437</v>
      </c>
      <c r="BY279" s="2" t="s">
        <v>112</v>
      </c>
      <c r="BZ279" s="2" t="s">
        <v>100</v>
      </c>
    </row>
    <row r="280">
      <c r="A280" s="2" t="s">
        <v>1438</v>
      </c>
      <c r="B280" s="2" t="s">
        <v>87</v>
      </c>
      <c r="C280" s="2" t="s">
        <v>88</v>
      </c>
      <c r="D280" s="2" t="s">
        <v>963</v>
      </c>
      <c r="E280" s="2" t="s">
        <v>1409</v>
      </c>
      <c r="F280" s="2" t="s">
        <v>1035</v>
      </c>
      <c r="G280" s="2" t="s">
        <v>1036</v>
      </c>
      <c r="H280" s="2" t="s">
        <v>1037</v>
      </c>
      <c r="I280" s="2" t="s">
        <v>1423</v>
      </c>
      <c r="J280" s="2" t="s">
        <v>490</v>
      </c>
      <c r="K280" s="2" t="s">
        <v>223</v>
      </c>
      <c r="L280" s="3">
        <v>39.69</v>
      </c>
      <c r="M280" s="3">
        <v>41.67</v>
      </c>
      <c r="N280" s="3">
        <v>79.99</v>
      </c>
      <c r="O280" s="2" t="s">
        <v>97</v>
      </c>
      <c r="P280" s="2" t="s">
        <v>123</v>
      </c>
      <c r="Q280" s="2" t="s">
        <v>99</v>
      </c>
      <c r="R280" s="2" t="s">
        <v>100</v>
      </c>
      <c r="S280" s="2" t="s">
        <v>1439</v>
      </c>
      <c r="T280" s="2" t="s">
        <v>100</v>
      </c>
      <c r="U280" s="2" t="s">
        <v>901</v>
      </c>
      <c r="V280" s="2" t="s">
        <v>461</v>
      </c>
      <c r="W280" s="2" t="s">
        <v>142</v>
      </c>
      <c r="X280" s="2" t="s">
        <v>609</v>
      </c>
      <c r="Y280" s="2" t="s">
        <v>1440</v>
      </c>
      <c r="Z280" s="4">
        <v>152</v>
      </c>
      <c r="AA280" s="4">
        <f>=ROUNDDOWN(21.7142857142857,0)</f>
      </c>
      <c r="AB280" s="5">
        <v>7</v>
      </c>
      <c r="AC280" s="2" t="s">
        <v>1201</v>
      </c>
      <c r="AD280" s="4">
        <v>70</v>
      </c>
      <c r="AE280" s="4">
        <v>100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/>
      <c r="BJ280" s="4">
        <v>19</v>
      </c>
      <c r="BK280" s="8">
        <v>842.18</v>
      </c>
      <c r="BL280" s="2" t="s">
        <v>1190</v>
      </c>
      <c r="BM280" s="7"/>
      <c r="BN280" s="7"/>
      <c r="BO280" s="4"/>
      <c r="BP280" s="8"/>
      <c r="BQ280" s="4"/>
      <c r="BR280" s="8"/>
      <c r="BS280" s="7"/>
      <c r="BT280" s="7"/>
      <c r="BU280" s="2" t="s">
        <v>109</v>
      </c>
      <c r="BV280" s="2" t="s">
        <v>97</v>
      </c>
      <c r="BW280" s="2" t="s">
        <v>1441</v>
      </c>
      <c r="BX280" s="2" t="s">
        <v>1076</v>
      </c>
      <c r="BY280" s="2" t="s">
        <v>112</v>
      </c>
      <c r="BZ280" s="2" t="s">
        <v>100</v>
      </c>
    </row>
    <row r="281">
      <c r="A281" s="2" t="s">
        <v>1442</v>
      </c>
      <c r="B281" s="2" t="s">
        <v>87</v>
      </c>
      <c r="C281" s="2" t="s">
        <v>88</v>
      </c>
      <c r="D281" s="2" t="s">
        <v>963</v>
      </c>
      <c r="E281" s="2" t="s">
        <v>1409</v>
      </c>
      <c r="F281" s="2" t="s">
        <v>1035</v>
      </c>
      <c r="G281" s="2" t="s">
        <v>1036</v>
      </c>
      <c r="H281" s="2" t="s">
        <v>1037</v>
      </c>
      <c r="I281" s="2" t="s">
        <v>1423</v>
      </c>
      <c r="J281" s="2" t="s">
        <v>1443</v>
      </c>
      <c r="K281" s="2" t="s">
        <v>1173</v>
      </c>
      <c r="L281" s="3">
        <v>32.39</v>
      </c>
      <c r="M281" s="3">
        <v>34.01</v>
      </c>
      <c r="N281" s="3">
        <v>64.99</v>
      </c>
      <c r="O281" s="2" t="s">
        <v>97</v>
      </c>
      <c r="P281" s="2" t="s">
        <v>123</v>
      </c>
      <c r="Q281" s="2" t="s">
        <v>99</v>
      </c>
      <c r="R281" s="2" t="s">
        <v>100</v>
      </c>
      <c r="S281" s="2" t="s">
        <v>1425</v>
      </c>
      <c r="T281" s="2" t="s">
        <v>100</v>
      </c>
      <c r="U281" s="2" t="s">
        <v>894</v>
      </c>
      <c r="V281" s="2" t="s">
        <v>461</v>
      </c>
      <c r="W281" s="2" t="s">
        <v>142</v>
      </c>
      <c r="X281" s="2" t="s">
        <v>609</v>
      </c>
      <c r="Y281" s="2" t="s">
        <v>1444</v>
      </c>
      <c r="Z281" s="4">
        <v>34</v>
      </c>
      <c r="AA281" s="4">
        <f>=ROUNDDOWN(2,0)</f>
      </c>
      <c r="AB281" s="5">
        <v>17</v>
      </c>
      <c r="AC281" s="2" t="s">
        <v>307</v>
      </c>
      <c r="AD281" s="4">
        <v>30</v>
      </c>
      <c r="AE281" s="4">
        <v>530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/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 t="s">
        <v>100</v>
      </c>
      <c r="BJ281" s="4">
        <v>41</v>
      </c>
      <c r="BK281" s="8">
        <v>1452.57</v>
      </c>
      <c r="BL281" s="2" t="s">
        <v>1445</v>
      </c>
      <c r="BM281" s="7"/>
      <c r="BN281" s="7"/>
      <c r="BO281" s="4"/>
      <c r="BP281" s="8"/>
      <c r="BQ281" s="4"/>
      <c r="BR281" s="8"/>
      <c r="BS281" s="7"/>
      <c r="BT281" s="7"/>
      <c r="BU281" s="2" t="s">
        <v>109</v>
      </c>
      <c r="BV281" s="2" t="s">
        <v>97</v>
      </c>
      <c r="BW281" s="2" t="s">
        <v>1428</v>
      </c>
      <c r="BX281" s="2" t="s">
        <v>1446</v>
      </c>
      <c r="BY281" s="2" t="s">
        <v>112</v>
      </c>
      <c r="BZ281" s="2" t="s">
        <v>100</v>
      </c>
    </row>
    <row r="282">
      <c r="A282" s="2" t="s">
        <v>1447</v>
      </c>
      <c r="B282" s="2" t="s">
        <v>87</v>
      </c>
      <c r="C282" s="2" t="s">
        <v>88</v>
      </c>
      <c r="D282" s="2" t="s">
        <v>963</v>
      </c>
      <c r="E282" s="2" t="s">
        <v>1409</v>
      </c>
      <c r="F282" s="2" t="s">
        <v>1035</v>
      </c>
      <c r="G282" s="2" t="s">
        <v>1036</v>
      </c>
      <c r="H282" s="2" t="s">
        <v>1037</v>
      </c>
      <c r="I282" s="2" t="s">
        <v>1423</v>
      </c>
      <c r="J282" s="2" t="s">
        <v>490</v>
      </c>
      <c r="K282" s="2" t="s">
        <v>1173</v>
      </c>
      <c r="L282" s="3">
        <v>39.69</v>
      </c>
      <c r="M282" s="3">
        <v>41.67</v>
      </c>
      <c r="N282" s="3">
        <v>79.99</v>
      </c>
      <c r="O282" s="2" t="s">
        <v>97</v>
      </c>
      <c r="P282" s="2" t="s">
        <v>123</v>
      </c>
      <c r="Q282" s="2" t="s">
        <v>99</v>
      </c>
      <c r="R282" s="2" t="s">
        <v>100</v>
      </c>
      <c r="S282" s="2" t="s">
        <v>1425</v>
      </c>
      <c r="T282" s="2" t="s">
        <v>100</v>
      </c>
      <c r="U282" s="2" t="s">
        <v>901</v>
      </c>
      <c r="V282" s="2" t="s">
        <v>461</v>
      </c>
      <c r="W282" s="2" t="s">
        <v>142</v>
      </c>
      <c r="X282" s="2" t="s">
        <v>609</v>
      </c>
      <c r="Y282" s="2" t="s">
        <v>1444</v>
      </c>
      <c r="Z282" s="4">
        <v>131</v>
      </c>
      <c r="AA282" s="4">
        <f>=ROUNDDOWN(11.9090909090909,0)</f>
      </c>
      <c r="AB282" s="5">
        <v>11</v>
      </c>
      <c r="AC282" s="2" t="s">
        <v>1201</v>
      </c>
      <c r="AD282" s="4">
        <v>40</v>
      </c>
      <c r="AE282" s="4">
        <v>230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/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 t="s">
        <v>100</v>
      </c>
      <c r="BJ282" s="4">
        <v>21</v>
      </c>
      <c r="BK282" s="8">
        <v>926.34</v>
      </c>
      <c r="BL282" s="2" t="s">
        <v>1448</v>
      </c>
      <c r="BM282" s="7"/>
      <c r="BN282" s="7"/>
      <c r="BO282" s="4"/>
      <c r="BP282" s="8"/>
      <c r="BQ282" s="4"/>
      <c r="BR282" s="8"/>
      <c r="BS282" s="7"/>
      <c r="BT282" s="7"/>
      <c r="BU282" s="2" t="s">
        <v>109</v>
      </c>
      <c r="BV282" s="2" t="s">
        <v>97</v>
      </c>
      <c r="BW282" s="2" t="s">
        <v>1428</v>
      </c>
      <c r="BX282" s="2" t="s">
        <v>1449</v>
      </c>
      <c r="BY282" s="2" t="s">
        <v>112</v>
      </c>
      <c r="BZ282" s="2" t="s">
        <v>100</v>
      </c>
    </row>
    <row r="283">
      <c r="A283" s="2" t="s">
        <v>1450</v>
      </c>
      <c r="B283" s="2" t="s">
        <v>87</v>
      </c>
      <c r="C283" s="2" t="s">
        <v>88</v>
      </c>
      <c r="D283" s="2" t="s">
        <v>963</v>
      </c>
      <c r="E283" s="2" t="s">
        <v>1409</v>
      </c>
      <c r="F283" s="2" t="s">
        <v>1035</v>
      </c>
      <c r="G283" s="2" t="s">
        <v>1036</v>
      </c>
      <c r="H283" s="2" t="s">
        <v>1037</v>
      </c>
      <c r="I283" s="2" t="s">
        <v>1423</v>
      </c>
      <c r="J283" s="2" t="s">
        <v>490</v>
      </c>
      <c r="K283" s="2" t="s">
        <v>458</v>
      </c>
      <c r="L283" s="3">
        <v>39.69</v>
      </c>
      <c r="M283" s="3">
        <v>41.67</v>
      </c>
      <c r="N283" s="3">
        <v>79.99</v>
      </c>
      <c r="O283" s="2" t="s">
        <v>97</v>
      </c>
      <c r="P283" s="2" t="s">
        <v>123</v>
      </c>
      <c r="Q283" s="2" t="s">
        <v>99</v>
      </c>
      <c r="R283" s="2" t="s">
        <v>100</v>
      </c>
      <c r="S283" s="2" t="s">
        <v>1451</v>
      </c>
      <c r="T283" s="2" t="s">
        <v>100</v>
      </c>
      <c r="U283" s="2" t="s">
        <v>901</v>
      </c>
      <c r="V283" s="2" t="s">
        <v>461</v>
      </c>
      <c r="W283" s="2" t="s">
        <v>142</v>
      </c>
      <c r="X283" s="2" t="s">
        <v>609</v>
      </c>
      <c r="Y283" s="2" t="s">
        <v>1440</v>
      </c>
      <c r="Z283" s="4">
        <v>104</v>
      </c>
      <c r="AA283" s="4">
        <f>=ROUNDDOWN(13,0)</f>
      </c>
      <c r="AB283" s="5">
        <v>8</v>
      </c>
      <c r="AC283" s="2" t="s">
        <v>1452</v>
      </c>
      <c r="AD283" s="4">
        <v>60</v>
      </c>
      <c r="AE283" s="4">
        <v>210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/>
      <c r="BJ283" s="4">
        <v>19</v>
      </c>
      <c r="BK283" s="8">
        <v>857.36</v>
      </c>
      <c r="BL283" s="2" t="s">
        <v>788</v>
      </c>
      <c r="BM283" s="7"/>
      <c r="BN283" s="7"/>
      <c r="BO283" s="4"/>
      <c r="BP283" s="8"/>
      <c r="BQ283" s="4"/>
      <c r="BR283" s="8"/>
      <c r="BS283" s="7"/>
      <c r="BT283" s="7"/>
      <c r="BU283" s="2" t="s">
        <v>109</v>
      </c>
      <c r="BV283" s="2" t="s">
        <v>97</v>
      </c>
      <c r="BW283" s="2" t="s">
        <v>1441</v>
      </c>
      <c r="BX283" s="2" t="s">
        <v>1051</v>
      </c>
      <c r="BY283" s="2" t="s">
        <v>112</v>
      </c>
      <c r="BZ283" s="2" t="s">
        <v>100</v>
      </c>
    </row>
    <row r="284">
      <c r="A284" s="2" t="s">
        <v>1453</v>
      </c>
      <c r="B284" s="2" t="s">
        <v>87</v>
      </c>
      <c r="C284" s="2" t="s">
        <v>88</v>
      </c>
      <c r="D284" s="2" t="s">
        <v>963</v>
      </c>
      <c r="E284" s="2" t="s">
        <v>1409</v>
      </c>
      <c r="F284" s="2" t="s">
        <v>812</v>
      </c>
      <c r="G284" s="2" t="s">
        <v>813</v>
      </c>
      <c r="H284" s="2" t="s">
        <v>814</v>
      </c>
      <c r="I284" s="2" t="s">
        <v>1454</v>
      </c>
      <c r="J284" s="2" t="s">
        <v>95</v>
      </c>
      <c r="K284" s="2" t="s">
        <v>165</v>
      </c>
      <c r="L284" s="3">
        <v>63.7</v>
      </c>
      <c r="M284" s="3">
        <v>66.88</v>
      </c>
      <c r="N284" s="3">
        <v>139.99</v>
      </c>
      <c r="O284" s="2" t="s">
        <v>97</v>
      </c>
      <c r="P284" s="2" t="s">
        <v>98</v>
      </c>
      <c r="Q284" s="2" t="s">
        <v>99</v>
      </c>
      <c r="R284" s="2" t="s">
        <v>100</v>
      </c>
      <c r="S284" s="2" t="s">
        <v>1455</v>
      </c>
      <c r="T284" s="2" t="s">
        <v>844</v>
      </c>
      <c r="U284" s="2" t="s">
        <v>460</v>
      </c>
      <c r="V284" s="2" t="s">
        <v>401</v>
      </c>
      <c r="W284" s="2" t="s">
        <v>104</v>
      </c>
      <c r="X284" s="2" t="s">
        <v>305</v>
      </c>
      <c r="Y284" s="2" t="s">
        <v>1456</v>
      </c>
      <c r="Z284" s="4">
        <v>255</v>
      </c>
      <c r="AA284" s="4">
        <f>=ROUNDDOWN(28.3333333333333,0)</f>
      </c>
      <c r="AB284" s="5">
        <v>9</v>
      </c>
      <c r="AC284" s="2" t="s">
        <v>312</v>
      </c>
      <c r="AD284" s="4">
        <v>100</v>
      </c>
      <c r="AE284" s="4">
        <v>220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/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/>
      <c r="BJ284" s="4">
        <v>29</v>
      </c>
      <c r="BK284" s="8">
        <v>2044.76</v>
      </c>
      <c r="BL284" s="2" t="s">
        <v>1349</v>
      </c>
      <c r="BM284" s="7"/>
      <c r="BN284" s="7"/>
      <c r="BO284" s="4"/>
      <c r="BP284" s="8"/>
      <c r="BQ284" s="4"/>
      <c r="BR284" s="8"/>
      <c r="BS284" s="7"/>
      <c r="BT284" s="7"/>
      <c r="BU284" s="2" t="s">
        <v>171</v>
      </c>
      <c r="BV284" s="2" t="s">
        <v>97</v>
      </c>
      <c r="BW284" s="2" t="s">
        <v>100</v>
      </c>
      <c r="BX284" s="2" t="s">
        <v>100</v>
      </c>
      <c r="BY284" s="2" t="s">
        <v>112</v>
      </c>
      <c r="BZ284" s="2" t="s">
        <v>100</v>
      </c>
    </row>
    <row r="285">
      <c r="A285" s="2" t="s">
        <v>1457</v>
      </c>
      <c r="B285" s="2" t="s">
        <v>87</v>
      </c>
      <c r="C285" s="2" t="s">
        <v>88</v>
      </c>
      <c r="D285" s="2" t="s">
        <v>963</v>
      </c>
      <c r="E285" s="2" t="s">
        <v>1409</v>
      </c>
      <c r="F285" s="2" t="s">
        <v>812</v>
      </c>
      <c r="G285" s="2" t="s">
        <v>813</v>
      </c>
      <c r="H285" s="2" t="s">
        <v>814</v>
      </c>
      <c r="I285" s="2" t="s">
        <v>1454</v>
      </c>
      <c r="J285" s="2" t="s">
        <v>114</v>
      </c>
      <c r="K285" s="2" t="s">
        <v>165</v>
      </c>
      <c r="L285" s="3">
        <v>75</v>
      </c>
      <c r="M285" s="3">
        <v>78.74</v>
      </c>
      <c r="N285" s="3">
        <v>159.99</v>
      </c>
      <c r="O285" s="2" t="s">
        <v>97</v>
      </c>
      <c r="P285" s="2" t="s">
        <v>98</v>
      </c>
      <c r="Q285" s="2" t="s">
        <v>99</v>
      </c>
      <c r="R285" s="2" t="s">
        <v>100</v>
      </c>
      <c r="S285" s="2" t="s">
        <v>1455</v>
      </c>
      <c r="T285" s="2" t="s">
        <v>844</v>
      </c>
      <c r="U285" s="2" t="s">
        <v>460</v>
      </c>
      <c r="V285" s="2" t="s">
        <v>401</v>
      </c>
      <c r="W285" s="2" t="s">
        <v>104</v>
      </c>
      <c r="X285" s="2" t="s">
        <v>305</v>
      </c>
      <c r="Y285" s="2" t="s">
        <v>1456</v>
      </c>
      <c r="Z285" s="4">
        <v>255</v>
      </c>
      <c r="AA285" s="4">
        <f>=ROUNDDOWN(12.1428571428571,0)</f>
      </c>
      <c r="AB285" s="5">
        <v>21</v>
      </c>
      <c r="AC285" s="2" t="s">
        <v>312</v>
      </c>
      <c r="AD285" s="4">
        <v>100</v>
      </c>
      <c r="AE285" s="4">
        <v>450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/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/>
      <c r="BJ285" s="4">
        <v>37</v>
      </c>
      <c r="BK285" s="8">
        <v>3070.21</v>
      </c>
      <c r="BL285" s="2" t="s">
        <v>1458</v>
      </c>
      <c r="BM285" s="7"/>
      <c r="BN285" s="7"/>
      <c r="BO285" s="4"/>
      <c r="BP285" s="8"/>
      <c r="BQ285" s="4"/>
      <c r="BR285" s="8"/>
      <c r="BS285" s="7"/>
      <c r="BT285" s="7"/>
      <c r="BU285" s="2" t="s">
        <v>171</v>
      </c>
      <c r="BV285" s="2" t="s">
        <v>97</v>
      </c>
      <c r="BW285" s="2" t="s">
        <v>100</v>
      </c>
      <c r="BX285" s="2" t="s">
        <v>100</v>
      </c>
      <c r="BY285" s="2" t="s">
        <v>112</v>
      </c>
      <c r="BZ285" s="2" t="s">
        <v>100</v>
      </c>
    </row>
    <row r="286">
      <c r="A286" s="2" t="s">
        <v>1459</v>
      </c>
      <c r="B286" s="2" t="s">
        <v>87</v>
      </c>
      <c r="C286" s="2" t="s">
        <v>88</v>
      </c>
      <c r="D286" s="2" t="s">
        <v>963</v>
      </c>
      <c r="E286" s="2" t="s">
        <v>1409</v>
      </c>
      <c r="F286" s="2" t="s">
        <v>812</v>
      </c>
      <c r="G286" s="2" t="s">
        <v>813</v>
      </c>
      <c r="H286" s="2" t="s">
        <v>814</v>
      </c>
      <c r="I286" s="2" t="s">
        <v>1454</v>
      </c>
      <c r="J286" s="2" t="s">
        <v>95</v>
      </c>
      <c r="K286" s="2" t="s">
        <v>1460</v>
      </c>
      <c r="L286" s="3">
        <v>63.7</v>
      </c>
      <c r="M286" s="3">
        <v>66.88</v>
      </c>
      <c r="N286" s="3">
        <v>139.99</v>
      </c>
      <c r="O286" s="2" t="s">
        <v>97</v>
      </c>
      <c r="P286" s="2" t="s">
        <v>98</v>
      </c>
      <c r="Q286" s="2" t="s">
        <v>99</v>
      </c>
      <c r="R286" s="2" t="s">
        <v>100</v>
      </c>
      <c r="S286" s="2" t="s">
        <v>1461</v>
      </c>
      <c r="T286" s="2" t="s">
        <v>844</v>
      </c>
      <c r="U286" s="2" t="s">
        <v>460</v>
      </c>
      <c r="V286" s="2" t="s">
        <v>401</v>
      </c>
      <c r="W286" s="2" t="s">
        <v>104</v>
      </c>
      <c r="X286" s="2" t="s">
        <v>305</v>
      </c>
      <c r="Y286" s="2" t="s">
        <v>1462</v>
      </c>
      <c r="Z286" s="4">
        <v>250</v>
      </c>
      <c r="AA286" s="4">
        <f>=ROUNDDOWN(19.2307692307692,0)</f>
      </c>
      <c r="AB286" s="5">
        <v>13</v>
      </c>
      <c r="AC286" s="2" t="s">
        <v>1094</v>
      </c>
      <c r="AD286" s="4">
        <v>90</v>
      </c>
      <c r="AE286" s="4">
        <v>270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/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/>
      <c r="BJ286" s="4">
        <v>31</v>
      </c>
      <c r="BK286" s="8">
        <v>2223.09</v>
      </c>
      <c r="BL286" s="2" t="s">
        <v>1463</v>
      </c>
      <c r="BM286" s="7"/>
      <c r="BN286" s="7"/>
      <c r="BO286" s="4"/>
      <c r="BP286" s="8"/>
      <c r="BQ286" s="4"/>
      <c r="BR286" s="8"/>
      <c r="BS286" s="7"/>
      <c r="BT286" s="7"/>
      <c r="BU286" s="2" t="s">
        <v>171</v>
      </c>
      <c r="BV286" s="2" t="s">
        <v>97</v>
      </c>
      <c r="BW286" s="2" t="s">
        <v>100</v>
      </c>
      <c r="BX286" s="2" t="s">
        <v>100</v>
      </c>
      <c r="BY286" s="2" t="s">
        <v>112</v>
      </c>
      <c r="BZ286" s="2" t="s">
        <v>100</v>
      </c>
    </row>
    <row r="287">
      <c r="A287" s="2" t="s">
        <v>1464</v>
      </c>
      <c r="B287" s="2" t="s">
        <v>87</v>
      </c>
      <c r="C287" s="2" t="s">
        <v>88</v>
      </c>
      <c r="D287" s="2" t="s">
        <v>963</v>
      </c>
      <c r="E287" s="2" t="s">
        <v>1409</v>
      </c>
      <c r="F287" s="2" t="s">
        <v>812</v>
      </c>
      <c r="G287" s="2" t="s">
        <v>813</v>
      </c>
      <c r="H287" s="2" t="s">
        <v>814</v>
      </c>
      <c r="I287" s="2" t="s">
        <v>1454</v>
      </c>
      <c r="J287" s="2" t="s">
        <v>114</v>
      </c>
      <c r="K287" s="2" t="s">
        <v>1460</v>
      </c>
      <c r="L287" s="3">
        <v>75</v>
      </c>
      <c r="M287" s="3">
        <v>78.74</v>
      </c>
      <c r="N287" s="3">
        <v>159.99</v>
      </c>
      <c r="O287" s="2" t="s">
        <v>97</v>
      </c>
      <c r="P287" s="2" t="s">
        <v>98</v>
      </c>
      <c r="Q287" s="2" t="s">
        <v>99</v>
      </c>
      <c r="R287" s="2" t="s">
        <v>100</v>
      </c>
      <c r="S287" s="2" t="s">
        <v>1461</v>
      </c>
      <c r="T287" s="2" t="s">
        <v>844</v>
      </c>
      <c r="U287" s="2" t="s">
        <v>460</v>
      </c>
      <c r="V287" s="2" t="s">
        <v>401</v>
      </c>
      <c r="W287" s="2" t="s">
        <v>104</v>
      </c>
      <c r="X287" s="2" t="s">
        <v>305</v>
      </c>
      <c r="Y287" s="2" t="s">
        <v>1465</v>
      </c>
      <c r="Z287" s="4">
        <v>123</v>
      </c>
      <c r="AA287" s="4">
        <f>=ROUNDDOWN(9.46153846153846,0)</f>
      </c>
      <c r="AB287" s="5">
        <v>13</v>
      </c>
      <c r="AC287" s="2" t="s">
        <v>1094</v>
      </c>
      <c r="AD287" s="4">
        <v>190</v>
      </c>
      <c r="AE287" s="4">
        <v>450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/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/>
      <c r="BJ287" s="4">
        <v>32</v>
      </c>
      <c r="BK287" s="8">
        <v>2708.29</v>
      </c>
      <c r="BL287" s="2" t="s">
        <v>1463</v>
      </c>
      <c r="BM287" s="7"/>
      <c r="BN287" s="7"/>
      <c r="BO287" s="4"/>
      <c r="BP287" s="8"/>
      <c r="BQ287" s="4"/>
      <c r="BR287" s="8"/>
      <c r="BS287" s="7"/>
      <c r="BT287" s="7"/>
      <c r="BU287" s="2" t="s">
        <v>171</v>
      </c>
      <c r="BV287" s="2" t="s">
        <v>97</v>
      </c>
      <c r="BW287" s="2" t="s">
        <v>100</v>
      </c>
      <c r="BX287" s="2" t="s">
        <v>100</v>
      </c>
      <c r="BY287" s="2" t="s">
        <v>112</v>
      </c>
      <c r="BZ287" s="2" t="s">
        <v>100</v>
      </c>
    </row>
    <row r="288">
      <c r="A288" s="2" t="s">
        <v>1466</v>
      </c>
      <c r="B288" s="2" t="s">
        <v>87</v>
      </c>
      <c r="C288" s="2" t="s">
        <v>88</v>
      </c>
      <c r="D288" s="2" t="s">
        <v>963</v>
      </c>
      <c r="E288" s="2" t="s">
        <v>1409</v>
      </c>
      <c r="F288" s="2" t="s">
        <v>812</v>
      </c>
      <c r="G288" s="2" t="s">
        <v>813</v>
      </c>
      <c r="H288" s="2" t="s">
        <v>814</v>
      </c>
      <c r="I288" s="2" t="s">
        <v>1454</v>
      </c>
      <c r="J288" s="2" t="s">
        <v>95</v>
      </c>
      <c r="K288" s="2" t="s">
        <v>223</v>
      </c>
      <c r="L288" s="3">
        <v>63.7</v>
      </c>
      <c r="M288" s="3">
        <v>66.88</v>
      </c>
      <c r="N288" s="3">
        <v>139.99</v>
      </c>
      <c r="O288" s="2" t="s">
        <v>97</v>
      </c>
      <c r="P288" s="2" t="s">
        <v>156</v>
      </c>
      <c r="Q288" s="2" t="s">
        <v>99</v>
      </c>
      <c r="R288" s="2" t="s">
        <v>100</v>
      </c>
      <c r="S288" s="2" t="s">
        <v>1467</v>
      </c>
      <c r="T288" s="2" t="s">
        <v>844</v>
      </c>
      <c r="U288" s="2" t="s">
        <v>460</v>
      </c>
      <c r="V288" s="2" t="s">
        <v>401</v>
      </c>
      <c r="W288" s="2" t="s">
        <v>104</v>
      </c>
      <c r="X288" s="2" t="s">
        <v>305</v>
      </c>
      <c r="Y288" s="2" t="s">
        <v>1462</v>
      </c>
      <c r="Z288" s="4">
        <v>367</v>
      </c>
      <c r="AA288" s="4">
        <f>=ROUNDDOWN(28.2307692307692,0)</f>
      </c>
      <c r="AB288" s="5">
        <v>13</v>
      </c>
      <c r="AC288" s="2" t="s">
        <v>1468</v>
      </c>
      <c r="AD288" s="4">
        <v>100</v>
      </c>
      <c r="AE288" s="4">
        <v>200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/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/>
      <c r="BJ288" s="4">
        <v>41</v>
      </c>
      <c r="BK288" s="8">
        <v>2899.18</v>
      </c>
      <c r="BL288" s="2" t="s">
        <v>1458</v>
      </c>
      <c r="BM288" s="7"/>
      <c r="BN288" s="7"/>
      <c r="BO288" s="4"/>
      <c r="BP288" s="8"/>
      <c r="BQ288" s="4"/>
      <c r="BR288" s="8"/>
      <c r="BS288" s="7"/>
      <c r="BT288" s="7"/>
      <c r="BU288" s="2" t="s">
        <v>171</v>
      </c>
      <c r="BV288" s="2" t="s">
        <v>97</v>
      </c>
      <c r="BW288" s="2" t="s">
        <v>100</v>
      </c>
      <c r="BX288" s="2" t="s">
        <v>100</v>
      </c>
      <c r="BY288" s="2" t="s">
        <v>112</v>
      </c>
      <c r="BZ288" s="2" t="s">
        <v>100</v>
      </c>
    </row>
    <row r="289">
      <c r="A289" s="2" t="s">
        <v>1469</v>
      </c>
      <c r="B289" s="2" t="s">
        <v>87</v>
      </c>
      <c r="C289" s="2" t="s">
        <v>88</v>
      </c>
      <c r="D289" s="2" t="s">
        <v>963</v>
      </c>
      <c r="E289" s="2" t="s">
        <v>1409</v>
      </c>
      <c r="F289" s="2" t="s">
        <v>812</v>
      </c>
      <c r="G289" s="2" t="s">
        <v>813</v>
      </c>
      <c r="H289" s="2" t="s">
        <v>814</v>
      </c>
      <c r="I289" s="2" t="s">
        <v>1454</v>
      </c>
      <c r="J289" s="2" t="s">
        <v>114</v>
      </c>
      <c r="K289" s="2" t="s">
        <v>223</v>
      </c>
      <c r="L289" s="3">
        <v>75</v>
      </c>
      <c r="M289" s="3">
        <v>78.74</v>
      </c>
      <c r="N289" s="3">
        <v>159.99</v>
      </c>
      <c r="O289" s="2" t="s">
        <v>97</v>
      </c>
      <c r="P289" s="2" t="s">
        <v>156</v>
      </c>
      <c r="Q289" s="2" t="s">
        <v>99</v>
      </c>
      <c r="R289" s="2" t="s">
        <v>100</v>
      </c>
      <c r="S289" s="2" t="s">
        <v>1467</v>
      </c>
      <c r="T289" s="2" t="s">
        <v>844</v>
      </c>
      <c r="U289" s="2" t="s">
        <v>460</v>
      </c>
      <c r="V289" s="2" t="s">
        <v>401</v>
      </c>
      <c r="W289" s="2" t="s">
        <v>104</v>
      </c>
      <c r="X289" s="2" t="s">
        <v>305</v>
      </c>
      <c r="Y289" s="2" t="s">
        <v>1465</v>
      </c>
      <c r="Z289" s="4">
        <v>571</v>
      </c>
      <c r="AA289" s="4">
        <f>=ROUNDDOWN(22.84,0)</f>
      </c>
      <c r="AB289" s="5">
        <v>25</v>
      </c>
      <c r="AC289" s="2" t="s">
        <v>1468</v>
      </c>
      <c r="AD289" s="4">
        <v>270</v>
      </c>
      <c r="AE289" s="4">
        <v>540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/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/>
      <c r="BJ289" s="4">
        <v>67</v>
      </c>
      <c r="BK289" s="8">
        <v>5460.07</v>
      </c>
      <c r="BL289" s="2" t="s">
        <v>1458</v>
      </c>
      <c r="BM289" s="7"/>
      <c r="BN289" s="7"/>
      <c r="BO289" s="4"/>
      <c r="BP289" s="8"/>
      <c r="BQ289" s="4"/>
      <c r="BR289" s="8"/>
      <c r="BS289" s="7"/>
      <c r="BT289" s="7"/>
      <c r="BU289" s="2" t="s">
        <v>171</v>
      </c>
      <c r="BV289" s="2" t="s">
        <v>97</v>
      </c>
      <c r="BW289" s="2" t="s">
        <v>100</v>
      </c>
      <c r="BX289" s="2" t="s">
        <v>100</v>
      </c>
      <c r="BY289" s="2" t="s">
        <v>112</v>
      </c>
      <c r="BZ289" s="2" t="s">
        <v>100</v>
      </c>
    </row>
    <row r="290">
      <c r="A290" s="2" t="s">
        <v>1470</v>
      </c>
      <c r="B290" s="2" t="s">
        <v>87</v>
      </c>
      <c r="C290" s="2" t="s">
        <v>88</v>
      </c>
      <c r="D290" s="2" t="s">
        <v>963</v>
      </c>
      <c r="E290" s="2" t="s">
        <v>1409</v>
      </c>
      <c r="F290" s="2" t="s">
        <v>812</v>
      </c>
      <c r="G290" s="2" t="s">
        <v>813</v>
      </c>
      <c r="H290" s="2" t="s">
        <v>814</v>
      </c>
      <c r="I290" s="2" t="s">
        <v>1454</v>
      </c>
      <c r="J290" s="2" t="s">
        <v>95</v>
      </c>
      <c r="K290" s="2" t="s">
        <v>842</v>
      </c>
      <c r="L290" s="3">
        <v>63.7</v>
      </c>
      <c r="M290" s="3">
        <v>66.89</v>
      </c>
      <c r="N290" s="3">
        <v>139.99</v>
      </c>
      <c r="O290" s="2" t="s">
        <v>97</v>
      </c>
      <c r="P290" s="2" t="s">
        <v>98</v>
      </c>
      <c r="Q290" s="2" t="s">
        <v>99</v>
      </c>
      <c r="R290" s="2" t="s">
        <v>100</v>
      </c>
      <c r="S290" s="2" t="s">
        <v>843</v>
      </c>
      <c r="T290" s="2" t="s">
        <v>844</v>
      </c>
      <c r="U290" s="2" t="s">
        <v>460</v>
      </c>
      <c r="V290" s="2" t="s">
        <v>401</v>
      </c>
      <c r="W290" s="2" t="s">
        <v>104</v>
      </c>
      <c r="X290" s="2" t="s">
        <v>100</v>
      </c>
      <c r="Y290" s="2" t="s">
        <v>845</v>
      </c>
      <c r="Z290" s="4"/>
      <c r="AA290" s="4">
        <f>=ROUNDDOWN({0},0)</f>
      </c>
      <c r="AB290" s="5">
        <v>6</v>
      </c>
      <c r="AC290" s="2" t="s">
        <v>1471</v>
      </c>
      <c r="AD290" s="4">
        <v>40</v>
      </c>
      <c r="AE290" s="4">
        <v>290</v>
      </c>
      <c r="AF290" s="6">
        <v>65</v>
      </c>
      <c r="AG290" s="6"/>
      <c r="AH290" s="7">
        <v>0.5806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/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/>
      <c r="BJ290" s="4">
        <v>9</v>
      </c>
      <c r="BK290" s="8">
        <v>612.53</v>
      </c>
      <c r="BL290" s="2" t="s">
        <v>1472</v>
      </c>
      <c r="BM290" s="7"/>
      <c r="BN290" s="7"/>
      <c r="BO290" s="4"/>
      <c r="BP290" s="8"/>
      <c r="BQ290" s="4"/>
      <c r="BR290" s="8"/>
      <c r="BS290" s="7"/>
      <c r="BT290" s="7"/>
      <c r="BU290" s="2" t="s">
        <v>171</v>
      </c>
      <c r="BV290" s="2" t="s">
        <v>97</v>
      </c>
      <c r="BW290" s="2" t="s">
        <v>100</v>
      </c>
      <c r="BX290" s="2" t="s">
        <v>100</v>
      </c>
      <c r="BY290" s="2" t="s">
        <v>112</v>
      </c>
      <c r="BZ290" s="2" t="s">
        <v>100</v>
      </c>
    </row>
    <row r="291">
      <c r="A291" s="2" t="s">
        <v>1473</v>
      </c>
      <c r="B291" s="2" t="s">
        <v>87</v>
      </c>
      <c r="C291" s="2" t="s">
        <v>88</v>
      </c>
      <c r="D291" s="2" t="s">
        <v>963</v>
      </c>
      <c r="E291" s="2" t="s">
        <v>1409</v>
      </c>
      <c r="F291" s="2" t="s">
        <v>812</v>
      </c>
      <c r="G291" s="2" t="s">
        <v>813</v>
      </c>
      <c r="H291" s="2" t="s">
        <v>814</v>
      </c>
      <c r="I291" s="2" t="s">
        <v>1454</v>
      </c>
      <c r="J291" s="2" t="s">
        <v>114</v>
      </c>
      <c r="K291" s="2" t="s">
        <v>842</v>
      </c>
      <c r="L291" s="3">
        <v>75</v>
      </c>
      <c r="M291" s="3">
        <v>78.75</v>
      </c>
      <c r="N291" s="3">
        <v>159.99</v>
      </c>
      <c r="O291" s="2" t="s">
        <v>97</v>
      </c>
      <c r="P291" s="2" t="s">
        <v>98</v>
      </c>
      <c r="Q291" s="2" t="s">
        <v>99</v>
      </c>
      <c r="R291" s="2" t="s">
        <v>100</v>
      </c>
      <c r="S291" s="2" t="s">
        <v>843</v>
      </c>
      <c r="T291" s="2" t="s">
        <v>844</v>
      </c>
      <c r="U291" s="2" t="s">
        <v>460</v>
      </c>
      <c r="V291" s="2" t="s">
        <v>401</v>
      </c>
      <c r="W291" s="2" t="s">
        <v>104</v>
      </c>
      <c r="X291" s="2" t="s">
        <v>100</v>
      </c>
      <c r="Y291" s="2" t="s">
        <v>845</v>
      </c>
      <c r="Z291" s="4">
        <v>42</v>
      </c>
      <c r="AA291" s="4">
        <f>=ROUNDDOWN(4.2,0)</f>
      </c>
      <c r="AB291" s="5">
        <v>10</v>
      </c>
      <c r="AC291" s="2" t="s">
        <v>1471</v>
      </c>
      <c r="AD291" s="4">
        <v>30</v>
      </c>
      <c r="AE291" s="4">
        <v>490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/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/>
      <c r="BJ291" s="4">
        <v>32</v>
      </c>
      <c r="BK291" s="8">
        <v>2585.77</v>
      </c>
      <c r="BL291" s="2" t="s">
        <v>1332</v>
      </c>
      <c r="BM291" s="7"/>
      <c r="BN291" s="7"/>
      <c r="BO291" s="4"/>
      <c r="BP291" s="8"/>
      <c r="BQ291" s="4"/>
      <c r="BR291" s="8"/>
      <c r="BS291" s="7"/>
      <c r="BT291" s="7"/>
      <c r="BU291" s="2" t="s">
        <v>171</v>
      </c>
      <c r="BV291" s="2" t="s">
        <v>97</v>
      </c>
      <c r="BW291" s="2" t="s">
        <v>100</v>
      </c>
      <c r="BX291" s="2" t="s">
        <v>100</v>
      </c>
      <c r="BY291" s="2" t="s">
        <v>112</v>
      </c>
      <c r="BZ291" s="2" t="s">
        <v>100</v>
      </c>
    </row>
    <row r="292">
      <c r="A292" s="2" t="s">
        <v>1474</v>
      </c>
      <c r="B292" s="2" t="s">
        <v>87</v>
      </c>
      <c r="C292" s="2" t="s">
        <v>88</v>
      </c>
      <c r="D292" s="2" t="s">
        <v>963</v>
      </c>
      <c r="E292" s="2" t="s">
        <v>1409</v>
      </c>
      <c r="F292" s="2" t="s">
        <v>1475</v>
      </c>
      <c r="G292" s="2" t="s">
        <v>1476</v>
      </c>
      <c r="H292" s="2" t="s">
        <v>1477</v>
      </c>
      <c r="I292" s="2" t="s">
        <v>1478</v>
      </c>
      <c r="J292" s="2" t="s">
        <v>95</v>
      </c>
      <c r="K292" s="2" t="s">
        <v>179</v>
      </c>
      <c r="L292" s="3">
        <v>63.7</v>
      </c>
      <c r="M292" s="3">
        <v>66.88</v>
      </c>
      <c r="N292" s="3">
        <v>129.99</v>
      </c>
      <c r="O292" s="2" t="s">
        <v>97</v>
      </c>
      <c r="P292" s="2" t="s">
        <v>98</v>
      </c>
      <c r="Q292" s="2" t="s">
        <v>99</v>
      </c>
      <c r="R292" s="2" t="s">
        <v>100</v>
      </c>
      <c r="S292" s="2" t="s">
        <v>1479</v>
      </c>
      <c r="T292" s="2" t="s">
        <v>100</v>
      </c>
      <c r="U292" s="2" t="s">
        <v>460</v>
      </c>
      <c r="V292" s="2" t="s">
        <v>304</v>
      </c>
      <c r="W292" s="2" t="s">
        <v>104</v>
      </c>
      <c r="X292" s="2" t="s">
        <v>305</v>
      </c>
      <c r="Y292" s="2" t="s">
        <v>1456</v>
      </c>
      <c r="Z292" s="4">
        <v>154</v>
      </c>
      <c r="AA292" s="4">
        <f>=ROUNDDOWN(10.2666666666667,0)</f>
      </c>
      <c r="AB292" s="5">
        <v>15</v>
      </c>
      <c r="AC292" s="2" t="s">
        <v>130</v>
      </c>
      <c r="AD292" s="4">
        <v>196</v>
      </c>
      <c r="AE292" s="4">
        <v>316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/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/>
      <c r="BJ292" s="4">
        <v>53</v>
      </c>
      <c r="BK292" s="8">
        <v>3201.16</v>
      </c>
      <c r="BL292" s="2" t="s">
        <v>328</v>
      </c>
      <c r="BM292" s="7"/>
      <c r="BN292" s="7"/>
      <c r="BO292" s="4"/>
      <c r="BP292" s="8"/>
      <c r="BQ292" s="4"/>
      <c r="BR292" s="8"/>
      <c r="BS292" s="7"/>
      <c r="BT292" s="7"/>
      <c r="BU292" s="2" t="s">
        <v>171</v>
      </c>
      <c r="BV292" s="2" t="s">
        <v>97</v>
      </c>
      <c r="BW292" s="2" t="s">
        <v>100</v>
      </c>
      <c r="BX292" s="2" t="s">
        <v>100</v>
      </c>
      <c r="BY292" s="2" t="s">
        <v>112</v>
      </c>
      <c r="BZ292" s="2" t="s">
        <v>100</v>
      </c>
    </row>
    <row r="293">
      <c r="A293" s="2" t="s">
        <v>1480</v>
      </c>
      <c r="B293" s="2" t="s">
        <v>87</v>
      </c>
      <c r="C293" s="2" t="s">
        <v>88</v>
      </c>
      <c r="D293" s="2" t="s">
        <v>963</v>
      </c>
      <c r="E293" s="2" t="s">
        <v>1409</v>
      </c>
      <c r="F293" s="2" t="s">
        <v>1475</v>
      </c>
      <c r="G293" s="2" t="s">
        <v>1476</v>
      </c>
      <c r="H293" s="2" t="s">
        <v>1477</v>
      </c>
      <c r="I293" s="2" t="s">
        <v>1478</v>
      </c>
      <c r="J293" s="2" t="s">
        <v>114</v>
      </c>
      <c r="K293" s="2" t="s">
        <v>179</v>
      </c>
      <c r="L293" s="3">
        <v>75</v>
      </c>
      <c r="M293" s="3">
        <v>78.74</v>
      </c>
      <c r="N293" s="3">
        <v>149.99</v>
      </c>
      <c r="O293" s="2" t="s">
        <v>97</v>
      </c>
      <c r="P293" s="2" t="s">
        <v>98</v>
      </c>
      <c r="Q293" s="2" t="s">
        <v>99</v>
      </c>
      <c r="R293" s="2" t="s">
        <v>100</v>
      </c>
      <c r="S293" s="2" t="s">
        <v>1479</v>
      </c>
      <c r="T293" s="2" t="s">
        <v>100</v>
      </c>
      <c r="U293" s="2" t="s">
        <v>460</v>
      </c>
      <c r="V293" s="2" t="s">
        <v>304</v>
      </c>
      <c r="W293" s="2" t="s">
        <v>104</v>
      </c>
      <c r="X293" s="2" t="s">
        <v>305</v>
      </c>
      <c r="Y293" s="2" t="s">
        <v>1456</v>
      </c>
      <c r="Z293" s="4">
        <v>173</v>
      </c>
      <c r="AA293" s="4">
        <f>=ROUNDDOWN(10.1764705882353,0)</f>
      </c>
      <c r="AB293" s="5">
        <v>17</v>
      </c>
      <c r="AC293" s="2" t="s">
        <v>130</v>
      </c>
      <c r="AD293" s="4">
        <v>190</v>
      </c>
      <c r="AE293" s="4">
        <v>320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/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/>
      <c r="BJ293" s="4">
        <v>62</v>
      </c>
      <c r="BK293" s="8">
        <v>4332.94</v>
      </c>
      <c r="BL293" s="2" t="s">
        <v>328</v>
      </c>
      <c r="BM293" s="7"/>
      <c r="BN293" s="7"/>
      <c r="BO293" s="4"/>
      <c r="BP293" s="8"/>
      <c r="BQ293" s="4"/>
      <c r="BR293" s="8"/>
      <c r="BS293" s="7"/>
      <c r="BT293" s="7"/>
      <c r="BU293" s="2" t="s">
        <v>171</v>
      </c>
      <c r="BV293" s="2" t="s">
        <v>97</v>
      </c>
      <c r="BW293" s="2" t="s">
        <v>100</v>
      </c>
      <c r="BX293" s="2" t="s">
        <v>100</v>
      </c>
      <c r="BY293" s="2" t="s">
        <v>112</v>
      </c>
      <c r="BZ293" s="2" t="s">
        <v>100</v>
      </c>
    </row>
    <row r="294">
      <c r="A294" s="2" t="s">
        <v>1481</v>
      </c>
      <c r="B294" s="2" t="s">
        <v>87</v>
      </c>
      <c r="C294" s="2" t="s">
        <v>88</v>
      </c>
      <c r="D294" s="2" t="s">
        <v>963</v>
      </c>
      <c r="E294" s="2" t="s">
        <v>1409</v>
      </c>
      <c r="F294" s="2" t="s">
        <v>1475</v>
      </c>
      <c r="G294" s="2" t="s">
        <v>1476</v>
      </c>
      <c r="H294" s="2" t="s">
        <v>1477</v>
      </c>
      <c r="I294" s="2" t="s">
        <v>1478</v>
      </c>
      <c r="J294" s="2" t="s">
        <v>114</v>
      </c>
      <c r="K294" s="2" t="s">
        <v>236</v>
      </c>
      <c r="L294" s="3">
        <v>75</v>
      </c>
      <c r="M294" s="3">
        <v>78.74</v>
      </c>
      <c r="N294" s="3">
        <v>149.99</v>
      </c>
      <c r="O294" s="2" t="s">
        <v>97</v>
      </c>
      <c r="P294" s="2" t="s">
        <v>156</v>
      </c>
      <c r="Q294" s="2" t="s">
        <v>99</v>
      </c>
      <c r="R294" s="2" t="s">
        <v>100</v>
      </c>
      <c r="S294" s="2" t="s">
        <v>1482</v>
      </c>
      <c r="T294" s="2" t="s">
        <v>100</v>
      </c>
      <c r="U294" s="2" t="s">
        <v>460</v>
      </c>
      <c r="V294" s="2" t="s">
        <v>304</v>
      </c>
      <c r="W294" s="2" t="s">
        <v>104</v>
      </c>
      <c r="X294" s="2" t="s">
        <v>105</v>
      </c>
      <c r="Y294" s="2" t="s">
        <v>1483</v>
      </c>
      <c r="Z294" s="4">
        <v>915</v>
      </c>
      <c r="AA294" s="4">
        <f>=ROUNDDOWN(33.8888888888889,0)</f>
      </c>
      <c r="AB294" s="5">
        <v>27</v>
      </c>
      <c r="AC294" s="2" t="s">
        <v>655</v>
      </c>
      <c r="AD294" s="4">
        <v>190</v>
      </c>
      <c r="AE294" s="4">
        <v>500</v>
      </c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/>
      <c r="BJ294" s="4">
        <v>73</v>
      </c>
      <c r="BK294" s="8">
        <v>4799.43</v>
      </c>
      <c r="BL294" s="2" t="s">
        <v>1436</v>
      </c>
      <c r="BM294" s="7"/>
      <c r="BN294" s="7"/>
      <c r="BO294" s="4"/>
      <c r="BP294" s="8"/>
      <c r="BQ294" s="4"/>
      <c r="BR294" s="8"/>
      <c r="BS294" s="7"/>
      <c r="BT294" s="7"/>
      <c r="BU294" s="2" t="s">
        <v>109</v>
      </c>
      <c r="BV294" s="2" t="s">
        <v>97</v>
      </c>
      <c r="BW294" s="2" t="s">
        <v>404</v>
      </c>
      <c r="BX294" s="2" t="s">
        <v>1484</v>
      </c>
      <c r="BY294" s="2" t="s">
        <v>112</v>
      </c>
      <c r="BZ294" s="2" t="s">
        <v>149</v>
      </c>
    </row>
    <row r="295">
      <c r="A295" s="2" t="s">
        <v>1485</v>
      </c>
      <c r="B295" s="2" t="s">
        <v>87</v>
      </c>
      <c r="C295" s="2" t="s">
        <v>88</v>
      </c>
      <c r="D295" s="2" t="s">
        <v>963</v>
      </c>
      <c r="E295" s="2" t="s">
        <v>1486</v>
      </c>
      <c r="F295" s="2" t="s">
        <v>589</v>
      </c>
      <c r="G295" s="2" t="s">
        <v>590</v>
      </c>
      <c r="H295" s="2" t="s">
        <v>591</v>
      </c>
      <c r="I295" s="2" t="s">
        <v>1487</v>
      </c>
      <c r="J295" s="2" t="s">
        <v>522</v>
      </c>
      <c r="K295" s="2" t="s">
        <v>471</v>
      </c>
      <c r="L295" s="3">
        <v>28.57</v>
      </c>
      <c r="M295" s="3">
        <v>30</v>
      </c>
      <c r="N295" s="3">
        <v>59.99</v>
      </c>
      <c r="O295" s="2" t="s">
        <v>97</v>
      </c>
      <c r="P295" s="2" t="s">
        <v>98</v>
      </c>
      <c r="Q295" s="2" t="s">
        <v>99</v>
      </c>
      <c r="R295" s="2" t="s">
        <v>100</v>
      </c>
      <c r="S295" s="2" t="s">
        <v>593</v>
      </c>
      <c r="T295" s="2" t="s">
        <v>438</v>
      </c>
      <c r="U295" s="2" t="s">
        <v>1228</v>
      </c>
      <c r="V295" s="2" t="s">
        <v>192</v>
      </c>
      <c r="W295" s="2" t="s">
        <v>193</v>
      </c>
      <c r="X295" s="2" t="s">
        <v>594</v>
      </c>
      <c r="Y295" s="2" t="s">
        <v>1488</v>
      </c>
      <c r="Z295" s="4">
        <v>517</v>
      </c>
      <c r="AA295" s="4">
        <f>=ROUNDDOWN(4.0390625,0)</f>
      </c>
      <c r="AB295" s="5">
        <v>128</v>
      </c>
      <c r="AC295" s="2" t="s">
        <v>145</v>
      </c>
      <c r="AD295" s="4">
        <v>500</v>
      </c>
      <c r="AE295" s="4">
        <v>2550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/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/>
      <c r="BJ295" s="4">
        <v>458</v>
      </c>
      <c r="BK295" s="8">
        <v>14299.48</v>
      </c>
      <c r="BL295" s="2" t="s">
        <v>1436</v>
      </c>
      <c r="BM295" s="7"/>
      <c r="BN295" s="7"/>
      <c r="BO295" s="4"/>
      <c r="BP295" s="8"/>
      <c r="BQ295" s="4"/>
      <c r="BR295" s="8"/>
      <c r="BS295" s="7"/>
      <c r="BT295" s="7"/>
      <c r="BU295" s="2" t="s">
        <v>171</v>
      </c>
      <c r="BV295" s="2" t="s">
        <v>97</v>
      </c>
      <c r="BW295" s="2" t="s">
        <v>100</v>
      </c>
      <c r="BX295" s="2" t="s">
        <v>100</v>
      </c>
      <c r="BY295" s="2" t="s">
        <v>112</v>
      </c>
      <c r="BZ295" s="2" t="s">
        <v>100</v>
      </c>
    </row>
    <row r="296">
      <c r="A296" s="2" t="s">
        <v>1489</v>
      </c>
      <c r="B296" s="2" t="s">
        <v>87</v>
      </c>
      <c r="C296" s="2" t="s">
        <v>88</v>
      </c>
      <c r="D296" s="2" t="s">
        <v>963</v>
      </c>
      <c r="E296" s="2" t="s">
        <v>1486</v>
      </c>
      <c r="F296" s="2" t="s">
        <v>589</v>
      </c>
      <c r="G296" s="2" t="s">
        <v>590</v>
      </c>
      <c r="H296" s="2" t="s">
        <v>591</v>
      </c>
      <c r="I296" s="2" t="s">
        <v>1487</v>
      </c>
      <c r="J296" s="2" t="s">
        <v>529</v>
      </c>
      <c r="K296" s="2" t="s">
        <v>471</v>
      </c>
      <c r="L296" s="3">
        <v>33.33</v>
      </c>
      <c r="M296" s="3">
        <v>35</v>
      </c>
      <c r="N296" s="3">
        <v>69.99</v>
      </c>
      <c r="O296" s="2" t="s">
        <v>97</v>
      </c>
      <c r="P296" s="2" t="s">
        <v>98</v>
      </c>
      <c r="Q296" s="2" t="s">
        <v>99</v>
      </c>
      <c r="R296" s="2" t="s">
        <v>100</v>
      </c>
      <c r="S296" s="2" t="s">
        <v>593</v>
      </c>
      <c r="T296" s="2" t="s">
        <v>438</v>
      </c>
      <c r="U296" s="2" t="s">
        <v>1228</v>
      </c>
      <c r="V296" s="2" t="s">
        <v>192</v>
      </c>
      <c r="W296" s="2" t="s">
        <v>193</v>
      </c>
      <c r="X296" s="2" t="s">
        <v>594</v>
      </c>
      <c r="Y296" s="2" t="s">
        <v>1488</v>
      </c>
      <c r="Z296" s="4">
        <v>158</v>
      </c>
      <c r="AA296" s="4">
        <f>=ROUNDDOWN(1.59919028340081,0)</f>
      </c>
      <c r="AB296" s="5">
        <v>98.8</v>
      </c>
      <c r="AC296" s="2" t="s">
        <v>145</v>
      </c>
      <c r="AD296" s="4">
        <v>310</v>
      </c>
      <c r="AE296" s="4">
        <v>2060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/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/>
      <c r="BJ296" s="4">
        <v>407</v>
      </c>
      <c r="BK296" s="8">
        <v>14919.04</v>
      </c>
      <c r="BL296" s="2" t="s">
        <v>1490</v>
      </c>
      <c r="BM296" s="7"/>
      <c r="BN296" s="7"/>
      <c r="BO296" s="4"/>
      <c r="BP296" s="8"/>
      <c r="BQ296" s="4"/>
      <c r="BR296" s="8"/>
      <c r="BS296" s="7"/>
      <c r="BT296" s="7"/>
      <c r="BU296" s="2" t="s">
        <v>171</v>
      </c>
      <c r="BV296" s="2" t="s">
        <v>97</v>
      </c>
      <c r="BW296" s="2" t="s">
        <v>100</v>
      </c>
      <c r="BX296" s="2" t="s">
        <v>100</v>
      </c>
      <c r="BY296" s="2" t="s">
        <v>112</v>
      </c>
      <c r="BZ296" s="2" t="s">
        <v>100</v>
      </c>
    </row>
    <row r="297">
      <c r="A297" s="2" t="s">
        <v>1491</v>
      </c>
      <c r="B297" s="2" t="s">
        <v>87</v>
      </c>
      <c r="C297" s="2" t="s">
        <v>88</v>
      </c>
      <c r="D297" s="2" t="s">
        <v>963</v>
      </c>
      <c r="E297" s="2" t="s">
        <v>1486</v>
      </c>
      <c r="F297" s="2" t="s">
        <v>589</v>
      </c>
      <c r="G297" s="2" t="s">
        <v>590</v>
      </c>
      <c r="H297" s="2" t="s">
        <v>591</v>
      </c>
      <c r="I297" s="2" t="s">
        <v>1487</v>
      </c>
      <c r="J297" s="2" t="s">
        <v>522</v>
      </c>
      <c r="K297" s="2" t="s">
        <v>256</v>
      </c>
      <c r="L297" s="3">
        <v>28.57</v>
      </c>
      <c r="M297" s="3">
        <v>30</v>
      </c>
      <c r="N297" s="3">
        <v>59.99</v>
      </c>
      <c r="O297" s="2" t="s">
        <v>97</v>
      </c>
      <c r="P297" s="2" t="s">
        <v>98</v>
      </c>
      <c r="Q297" s="2" t="s">
        <v>99</v>
      </c>
      <c r="R297" s="2" t="s">
        <v>100</v>
      </c>
      <c r="S297" s="2" t="s">
        <v>1492</v>
      </c>
      <c r="T297" s="2" t="s">
        <v>438</v>
      </c>
      <c r="U297" s="2" t="s">
        <v>1228</v>
      </c>
      <c r="V297" s="2" t="s">
        <v>192</v>
      </c>
      <c r="W297" s="2" t="s">
        <v>193</v>
      </c>
      <c r="X297" s="2" t="s">
        <v>594</v>
      </c>
      <c r="Y297" s="2" t="s">
        <v>600</v>
      </c>
      <c r="Z297" s="4">
        <v>522</v>
      </c>
      <c r="AA297" s="4">
        <f>=ROUNDDOWN(3.86666666666667,0)</f>
      </c>
      <c r="AB297" s="5">
        <v>135</v>
      </c>
      <c r="AC297" s="2" t="s">
        <v>145</v>
      </c>
      <c r="AD297" s="4">
        <v>560</v>
      </c>
      <c r="AE297" s="4">
        <v>2440</v>
      </c>
      <c r="AF297" s="6">
        <v>64</v>
      </c>
      <c r="AG297" s="6"/>
      <c r="AH297" s="7">
        <v>0.8387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/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/>
      <c r="BJ297" s="4">
        <v>320</v>
      </c>
      <c r="BK297" s="8">
        <v>10298.64</v>
      </c>
      <c r="BL297" s="2" t="s">
        <v>1204</v>
      </c>
      <c r="BM297" s="7"/>
      <c r="BN297" s="7"/>
      <c r="BO297" s="4"/>
      <c r="BP297" s="8"/>
      <c r="BQ297" s="4"/>
      <c r="BR297" s="8"/>
      <c r="BS297" s="7"/>
      <c r="BT297" s="7"/>
      <c r="BU297" s="2" t="s">
        <v>171</v>
      </c>
      <c r="BV297" s="2" t="s">
        <v>97</v>
      </c>
      <c r="BW297" s="2" t="s">
        <v>100</v>
      </c>
      <c r="BX297" s="2" t="s">
        <v>100</v>
      </c>
      <c r="BY297" s="2" t="s">
        <v>112</v>
      </c>
      <c r="BZ297" s="2" t="s">
        <v>100</v>
      </c>
    </row>
    <row r="298">
      <c r="A298" s="2" t="s">
        <v>1493</v>
      </c>
      <c r="B298" s="2" t="s">
        <v>87</v>
      </c>
      <c r="C298" s="2" t="s">
        <v>88</v>
      </c>
      <c r="D298" s="2" t="s">
        <v>963</v>
      </c>
      <c r="E298" s="2" t="s">
        <v>1486</v>
      </c>
      <c r="F298" s="2" t="s">
        <v>589</v>
      </c>
      <c r="G298" s="2" t="s">
        <v>590</v>
      </c>
      <c r="H298" s="2" t="s">
        <v>591</v>
      </c>
      <c r="I298" s="2" t="s">
        <v>1487</v>
      </c>
      <c r="J298" s="2" t="s">
        <v>529</v>
      </c>
      <c r="K298" s="2" t="s">
        <v>256</v>
      </c>
      <c r="L298" s="3">
        <v>33.33</v>
      </c>
      <c r="M298" s="3">
        <v>35</v>
      </c>
      <c r="N298" s="3">
        <v>69.99</v>
      </c>
      <c r="O298" s="2" t="s">
        <v>97</v>
      </c>
      <c r="P298" s="2" t="s">
        <v>98</v>
      </c>
      <c r="Q298" s="2" t="s">
        <v>99</v>
      </c>
      <c r="R298" s="2" t="s">
        <v>100</v>
      </c>
      <c r="S298" s="2" t="s">
        <v>1492</v>
      </c>
      <c r="T298" s="2" t="s">
        <v>438</v>
      </c>
      <c r="U298" s="2" t="s">
        <v>1228</v>
      </c>
      <c r="V298" s="2" t="s">
        <v>192</v>
      </c>
      <c r="W298" s="2" t="s">
        <v>193</v>
      </c>
      <c r="X298" s="2" t="s">
        <v>594</v>
      </c>
      <c r="Y298" s="2" t="s">
        <v>600</v>
      </c>
      <c r="Z298" s="4">
        <v>151</v>
      </c>
      <c r="AA298" s="4">
        <f>=ROUNDDOWN(1.61152614727855,0)</f>
      </c>
      <c r="AB298" s="5">
        <v>93.7</v>
      </c>
      <c r="AC298" s="2" t="s">
        <v>145</v>
      </c>
      <c r="AD298" s="4">
        <v>370</v>
      </c>
      <c r="AE298" s="4">
        <v>1990</v>
      </c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/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/>
      <c r="BJ298" s="4">
        <v>290</v>
      </c>
      <c r="BK298" s="8">
        <v>10924.08</v>
      </c>
      <c r="BL298" s="2" t="s">
        <v>1494</v>
      </c>
      <c r="BM298" s="7"/>
      <c r="BN298" s="7"/>
      <c r="BO298" s="4"/>
      <c r="BP298" s="8"/>
      <c r="BQ298" s="4"/>
      <c r="BR298" s="8"/>
      <c r="BS298" s="7"/>
      <c r="BT298" s="7"/>
      <c r="BU298" s="2" t="s">
        <v>171</v>
      </c>
      <c r="BV298" s="2" t="s">
        <v>97</v>
      </c>
      <c r="BW298" s="2" t="s">
        <v>100</v>
      </c>
      <c r="BX298" s="2" t="s">
        <v>100</v>
      </c>
      <c r="BY298" s="2" t="s">
        <v>112</v>
      </c>
      <c r="BZ298" s="2" t="s">
        <v>100</v>
      </c>
    </row>
    <row r="299">
      <c r="A299" s="2" t="s">
        <v>1495</v>
      </c>
      <c r="B299" s="2" t="s">
        <v>87</v>
      </c>
      <c r="C299" s="2" t="s">
        <v>88</v>
      </c>
      <c r="D299" s="2" t="s">
        <v>1496</v>
      </c>
      <c r="E299" s="2" t="s">
        <v>1497</v>
      </c>
      <c r="F299" s="2" t="s">
        <v>888</v>
      </c>
      <c r="G299" s="2" t="s">
        <v>889</v>
      </c>
      <c r="H299" s="2" t="s">
        <v>890</v>
      </c>
      <c r="I299" s="2" t="s">
        <v>1498</v>
      </c>
      <c r="J299" s="2" t="s">
        <v>522</v>
      </c>
      <c r="K299" s="2" t="s">
        <v>188</v>
      </c>
      <c r="L299" s="3">
        <v>53.9</v>
      </c>
      <c r="M299" s="3">
        <v>56.59</v>
      </c>
      <c r="N299" s="3">
        <v>109.99</v>
      </c>
      <c r="O299" s="2" t="s">
        <v>97</v>
      </c>
      <c r="P299" s="2" t="s">
        <v>98</v>
      </c>
      <c r="Q299" s="2" t="s">
        <v>99</v>
      </c>
      <c r="R299" s="2" t="s">
        <v>100</v>
      </c>
      <c r="S299" s="2" t="s">
        <v>1048</v>
      </c>
      <c r="T299" s="2" t="s">
        <v>190</v>
      </c>
      <c r="U299" s="2" t="s">
        <v>901</v>
      </c>
      <c r="V299" s="2" t="s">
        <v>103</v>
      </c>
      <c r="W299" s="2" t="s">
        <v>193</v>
      </c>
      <c r="X299" s="2" t="s">
        <v>895</v>
      </c>
      <c r="Y299" s="2" t="s">
        <v>902</v>
      </c>
      <c r="Z299" s="4">
        <v>323</v>
      </c>
      <c r="AA299" s="4">
        <f>=ROUNDDOWN(40.375,0)</f>
      </c>
      <c r="AB299" s="5">
        <v>8</v>
      </c>
      <c r="AC299" s="2" t="s">
        <v>1499</v>
      </c>
      <c r="AD299" s="4">
        <v>50</v>
      </c>
      <c r="AE299" s="4">
        <v>160</v>
      </c>
      <c r="AF299" s="6">
        <v>69</v>
      </c>
      <c r="AG299" s="6">
        <v>77</v>
      </c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2</v>
      </c>
      <c r="AQ299" s="8">
        <v>110.88</v>
      </c>
      <c r="AR299" s="4"/>
      <c r="AS299" s="8"/>
      <c r="AT299" s="7"/>
      <c r="AU299" s="7"/>
      <c r="AV299" s="4">
        <v>2</v>
      </c>
      <c r="AW299" s="8">
        <v>110.88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1</v>
      </c>
      <c r="BC299" s="4">
        <v>6</v>
      </c>
      <c r="BD299" s="8">
        <v>332.64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>
        <v>0.3333</v>
      </c>
      <c r="BJ299" s="4">
        <v>20</v>
      </c>
      <c r="BK299" s="8">
        <v>1135.5</v>
      </c>
      <c r="BL299" s="2" t="s">
        <v>1500</v>
      </c>
      <c r="BM299" s="7">
        <v>0.1</v>
      </c>
      <c r="BN299" s="7">
        <v>0.0976</v>
      </c>
      <c r="BO299" s="4">
        <v>2</v>
      </c>
      <c r="BP299" s="8">
        <v>110.88</v>
      </c>
      <c r="BQ299" s="4"/>
      <c r="BR299" s="8"/>
      <c r="BS299" s="7"/>
      <c r="BT299" s="7"/>
      <c r="BU299" s="2" t="s">
        <v>109</v>
      </c>
      <c r="BV299" s="2" t="s">
        <v>97</v>
      </c>
      <c r="BW299" s="2" t="s">
        <v>905</v>
      </c>
      <c r="BX299" s="2" t="s">
        <v>1501</v>
      </c>
      <c r="BY299" s="2" t="s">
        <v>112</v>
      </c>
      <c r="BZ299" s="2" t="s">
        <v>100</v>
      </c>
    </row>
    <row r="300">
      <c r="A300" s="2" t="s">
        <v>1502</v>
      </c>
      <c r="B300" s="2" t="s">
        <v>87</v>
      </c>
      <c r="C300" s="2" t="s">
        <v>88</v>
      </c>
      <c r="D300" s="2" t="s">
        <v>1496</v>
      </c>
      <c r="E300" s="2" t="s">
        <v>1497</v>
      </c>
      <c r="F300" s="2" t="s">
        <v>888</v>
      </c>
      <c r="G300" s="2" t="s">
        <v>889</v>
      </c>
      <c r="H300" s="2" t="s">
        <v>890</v>
      </c>
      <c r="I300" s="2" t="s">
        <v>1498</v>
      </c>
      <c r="J300" s="2" t="s">
        <v>529</v>
      </c>
      <c r="K300" s="2" t="s">
        <v>188</v>
      </c>
      <c r="L300" s="3">
        <v>63.7</v>
      </c>
      <c r="M300" s="3">
        <v>66.88</v>
      </c>
      <c r="N300" s="3">
        <v>129.99</v>
      </c>
      <c r="O300" s="2" t="s">
        <v>97</v>
      </c>
      <c r="P300" s="2" t="s">
        <v>98</v>
      </c>
      <c r="Q300" s="2" t="s">
        <v>99</v>
      </c>
      <c r="R300" s="2" t="s">
        <v>100</v>
      </c>
      <c r="S300" s="2" t="s">
        <v>1048</v>
      </c>
      <c r="T300" s="2" t="s">
        <v>190</v>
      </c>
      <c r="U300" s="2" t="s">
        <v>901</v>
      </c>
      <c r="V300" s="2" t="s">
        <v>103</v>
      </c>
      <c r="W300" s="2" t="s">
        <v>193</v>
      </c>
      <c r="X300" s="2" t="s">
        <v>895</v>
      </c>
      <c r="Y300" s="2" t="s">
        <v>902</v>
      </c>
      <c r="Z300" s="4">
        <v>326</v>
      </c>
      <c r="AA300" s="4">
        <f>=ROUNDDOWN(65.2,0)</f>
      </c>
      <c r="AB300" s="5">
        <v>5</v>
      </c>
      <c r="AC300" s="2" t="s">
        <v>100</v>
      </c>
      <c r="AD300" s="4"/>
      <c r="AE300" s="4"/>
      <c r="AF300" s="6">
        <v>69</v>
      </c>
      <c r="AG300" s="6">
        <v>77</v>
      </c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/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 t="s">
        <v>100</v>
      </c>
      <c r="BJ300" s="4">
        <v>7</v>
      </c>
      <c r="BK300" s="8">
        <v>478.26</v>
      </c>
      <c r="BL300" s="2" t="s">
        <v>1503</v>
      </c>
      <c r="BM300" s="7"/>
      <c r="BN300" s="7"/>
      <c r="BO300" s="4"/>
      <c r="BP300" s="8"/>
      <c r="BQ300" s="4"/>
      <c r="BR300" s="8"/>
      <c r="BS300" s="7"/>
      <c r="BT300" s="7"/>
      <c r="BU300" s="2" t="s">
        <v>109</v>
      </c>
      <c r="BV300" s="2" t="s">
        <v>97</v>
      </c>
      <c r="BW300" s="2" t="s">
        <v>905</v>
      </c>
      <c r="BX300" s="2" t="s">
        <v>1504</v>
      </c>
      <c r="BY300" s="2" t="s">
        <v>112</v>
      </c>
      <c r="BZ300" s="2" t="s">
        <v>100</v>
      </c>
    </row>
    <row r="301">
      <c r="A301" s="2" t="s">
        <v>1505</v>
      </c>
      <c r="B301" s="2" t="s">
        <v>87</v>
      </c>
      <c r="C301" s="2" t="s">
        <v>88</v>
      </c>
      <c r="D301" s="2" t="s">
        <v>1496</v>
      </c>
      <c r="E301" s="2" t="s">
        <v>1497</v>
      </c>
      <c r="F301" s="2" t="s">
        <v>888</v>
      </c>
      <c r="G301" s="2" t="s">
        <v>889</v>
      </c>
      <c r="H301" s="2" t="s">
        <v>890</v>
      </c>
      <c r="I301" s="2" t="s">
        <v>1498</v>
      </c>
      <c r="J301" s="2" t="s">
        <v>522</v>
      </c>
      <c r="K301" s="2" t="s">
        <v>96</v>
      </c>
      <c r="L301" s="3">
        <v>53.9</v>
      </c>
      <c r="M301" s="3">
        <v>56.59</v>
      </c>
      <c r="N301" s="3">
        <v>109.99</v>
      </c>
      <c r="O301" s="2" t="s">
        <v>97</v>
      </c>
      <c r="P301" s="2" t="s">
        <v>98</v>
      </c>
      <c r="Q301" s="2" t="s">
        <v>99</v>
      </c>
      <c r="R301" s="2" t="s">
        <v>100</v>
      </c>
      <c r="S301" s="2" t="s">
        <v>1506</v>
      </c>
      <c r="T301" s="2" t="s">
        <v>190</v>
      </c>
      <c r="U301" s="2" t="s">
        <v>901</v>
      </c>
      <c r="V301" s="2" t="s">
        <v>103</v>
      </c>
      <c r="W301" s="2" t="s">
        <v>193</v>
      </c>
      <c r="X301" s="2" t="s">
        <v>895</v>
      </c>
      <c r="Y301" s="2" t="s">
        <v>902</v>
      </c>
      <c r="Z301" s="4">
        <v>315</v>
      </c>
      <c r="AA301" s="4">
        <f>=ROUNDDOWN(52.5,0)</f>
      </c>
      <c r="AB301" s="5">
        <v>6</v>
      </c>
      <c r="AC301" s="2" t="s">
        <v>100</v>
      </c>
      <c r="AD301" s="4"/>
      <c r="AE301" s="4"/>
      <c r="AF301" s="6">
        <v>69</v>
      </c>
      <c r="AG301" s="6">
        <v>77</v>
      </c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2</v>
      </c>
      <c r="AQ301" s="8">
        <v>110.88</v>
      </c>
      <c r="AR301" s="4"/>
      <c r="AS301" s="8"/>
      <c r="AT301" s="7"/>
      <c r="AU301" s="7"/>
      <c r="AV301" s="4">
        <v>2</v>
      </c>
      <c r="AW301" s="8">
        <v>110.88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1</v>
      </c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>
        <v>0.3333</v>
      </c>
      <c r="BJ301" s="4">
        <v>16</v>
      </c>
      <c r="BK301" s="8">
        <v>877.49</v>
      </c>
      <c r="BL301" s="2" t="s">
        <v>1507</v>
      </c>
      <c r="BM301" s="7">
        <v>0.125</v>
      </c>
      <c r="BN301" s="7">
        <v>0.1264</v>
      </c>
      <c r="BO301" s="4">
        <v>2</v>
      </c>
      <c r="BP301" s="8">
        <v>110.88</v>
      </c>
      <c r="BQ301" s="4"/>
      <c r="BR301" s="8"/>
      <c r="BS301" s="7"/>
      <c r="BT301" s="7"/>
      <c r="BU301" s="2" t="s">
        <v>109</v>
      </c>
      <c r="BV301" s="2" t="s">
        <v>97</v>
      </c>
      <c r="BW301" s="2" t="s">
        <v>905</v>
      </c>
      <c r="BX301" s="2" t="s">
        <v>306</v>
      </c>
      <c r="BY301" s="2" t="s">
        <v>112</v>
      </c>
      <c r="BZ301" s="2" t="s">
        <v>100</v>
      </c>
    </row>
    <row r="302">
      <c r="A302" s="2" t="s">
        <v>1508</v>
      </c>
      <c r="B302" s="2" t="s">
        <v>87</v>
      </c>
      <c r="C302" s="2" t="s">
        <v>88</v>
      </c>
      <c r="D302" s="2" t="s">
        <v>1496</v>
      </c>
      <c r="E302" s="2" t="s">
        <v>1497</v>
      </c>
      <c r="F302" s="2" t="s">
        <v>888</v>
      </c>
      <c r="G302" s="2" t="s">
        <v>889</v>
      </c>
      <c r="H302" s="2" t="s">
        <v>890</v>
      </c>
      <c r="I302" s="2" t="s">
        <v>1498</v>
      </c>
      <c r="J302" s="2" t="s">
        <v>529</v>
      </c>
      <c r="K302" s="2" t="s">
        <v>96</v>
      </c>
      <c r="L302" s="3">
        <v>63.7</v>
      </c>
      <c r="M302" s="3">
        <v>66.88</v>
      </c>
      <c r="N302" s="3">
        <v>129.99</v>
      </c>
      <c r="O302" s="2" t="s">
        <v>97</v>
      </c>
      <c r="P302" s="2" t="s">
        <v>98</v>
      </c>
      <c r="Q302" s="2" t="s">
        <v>99</v>
      </c>
      <c r="R302" s="2" t="s">
        <v>100</v>
      </c>
      <c r="S302" s="2" t="s">
        <v>1506</v>
      </c>
      <c r="T302" s="2" t="s">
        <v>190</v>
      </c>
      <c r="U302" s="2" t="s">
        <v>901</v>
      </c>
      <c r="V302" s="2" t="s">
        <v>103</v>
      </c>
      <c r="W302" s="2" t="s">
        <v>193</v>
      </c>
      <c r="X302" s="2" t="s">
        <v>895</v>
      </c>
      <c r="Y302" s="2" t="s">
        <v>902</v>
      </c>
      <c r="Z302" s="4">
        <v>485</v>
      </c>
      <c r="AA302" s="4">
        <f>=ROUNDDOWN(60.625,0)</f>
      </c>
      <c r="AB302" s="5">
        <v>8</v>
      </c>
      <c r="AC302" s="2" t="s">
        <v>1499</v>
      </c>
      <c r="AD302" s="4">
        <v>30</v>
      </c>
      <c r="AE302" s="4">
        <v>30</v>
      </c>
      <c r="AF302" s="6">
        <v>69</v>
      </c>
      <c r="AG302" s="6">
        <v>77</v>
      </c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/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 t="s">
        <v>100</v>
      </c>
      <c r="BJ302" s="4">
        <v>17</v>
      </c>
      <c r="BK302" s="8">
        <v>1121.51</v>
      </c>
      <c r="BL302" s="2" t="s">
        <v>1509</v>
      </c>
      <c r="BM302" s="7"/>
      <c r="BN302" s="7"/>
      <c r="BO302" s="4"/>
      <c r="BP302" s="8"/>
      <c r="BQ302" s="4"/>
      <c r="BR302" s="8"/>
      <c r="BS302" s="7"/>
      <c r="BT302" s="7"/>
      <c r="BU302" s="2" t="s">
        <v>109</v>
      </c>
      <c r="BV302" s="2" t="s">
        <v>97</v>
      </c>
      <c r="BW302" s="2" t="s">
        <v>905</v>
      </c>
      <c r="BX302" s="2" t="s">
        <v>203</v>
      </c>
      <c r="BY302" s="2" t="s">
        <v>112</v>
      </c>
      <c r="BZ302" s="2" t="s">
        <v>100</v>
      </c>
    </row>
    <row r="303">
      <c r="A303" s="2" t="s">
        <v>1510</v>
      </c>
      <c r="B303" s="2" t="s">
        <v>87</v>
      </c>
      <c r="C303" s="2" t="s">
        <v>88</v>
      </c>
      <c r="D303" s="2" t="s">
        <v>1496</v>
      </c>
      <c r="E303" s="2" t="s">
        <v>1497</v>
      </c>
      <c r="F303" s="2" t="s">
        <v>888</v>
      </c>
      <c r="G303" s="2" t="s">
        <v>889</v>
      </c>
      <c r="H303" s="2" t="s">
        <v>890</v>
      </c>
      <c r="I303" s="2" t="s">
        <v>1498</v>
      </c>
      <c r="J303" s="2" t="s">
        <v>522</v>
      </c>
      <c r="K303" s="2" t="s">
        <v>892</v>
      </c>
      <c r="L303" s="3">
        <v>53.9</v>
      </c>
      <c r="M303" s="3">
        <v>56.59</v>
      </c>
      <c r="N303" s="3">
        <v>109.99</v>
      </c>
      <c r="O303" s="2" t="s">
        <v>97</v>
      </c>
      <c r="P303" s="2" t="s">
        <v>123</v>
      </c>
      <c r="Q303" s="2" t="s">
        <v>99</v>
      </c>
      <c r="R303" s="2" t="s">
        <v>100</v>
      </c>
      <c r="S303" s="2" t="s">
        <v>893</v>
      </c>
      <c r="T303" s="2" t="s">
        <v>190</v>
      </c>
      <c r="U303" s="2" t="s">
        <v>901</v>
      </c>
      <c r="V303" s="2" t="s">
        <v>103</v>
      </c>
      <c r="W303" s="2" t="s">
        <v>193</v>
      </c>
      <c r="X303" s="2" t="s">
        <v>895</v>
      </c>
      <c r="Y303" s="2" t="s">
        <v>902</v>
      </c>
      <c r="Z303" s="4">
        <v>817</v>
      </c>
      <c r="AA303" s="4">
        <f>=ROUNDDOWN(74.2727272727273,0)</f>
      </c>
      <c r="AB303" s="5">
        <v>11</v>
      </c>
      <c r="AC303" s="2" t="s">
        <v>897</v>
      </c>
      <c r="AD303" s="4">
        <v>20</v>
      </c>
      <c r="AE303" s="4">
        <v>20</v>
      </c>
      <c r="AF303" s="6">
        <v>69</v>
      </c>
      <c r="AG303" s="6">
        <v>77</v>
      </c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2</v>
      </c>
      <c r="AQ303" s="8">
        <v>110.88</v>
      </c>
      <c r="AR303" s="4"/>
      <c r="AS303" s="8"/>
      <c r="AT303" s="7"/>
      <c r="AU303" s="7"/>
      <c r="AV303" s="4">
        <v>2</v>
      </c>
      <c r="AW303" s="8">
        <v>110.88</v>
      </c>
      <c r="AX303" s="4"/>
      <c r="AY303" s="8"/>
      <c r="AZ303" s="7"/>
      <c r="BA303" s="7"/>
      <c r="BB303" s="7">
        <v>1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>
        <v>0.3333</v>
      </c>
      <c r="BJ303" s="4">
        <v>21</v>
      </c>
      <c r="BK303" s="8">
        <v>1179.14</v>
      </c>
      <c r="BL303" s="2" t="s">
        <v>1511</v>
      </c>
      <c r="BM303" s="7">
        <v>0.0952</v>
      </c>
      <c r="BN303" s="7">
        <v>0.094</v>
      </c>
      <c r="BO303" s="4">
        <v>2</v>
      </c>
      <c r="BP303" s="8">
        <v>110.88</v>
      </c>
      <c r="BQ303" s="4"/>
      <c r="BR303" s="8"/>
      <c r="BS303" s="7"/>
      <c r="BT303" s="7"/>
      <c r="BU303" s="2" t="s">
        <v>109</v>
      </c>
      <c r="BV303" s="2" t="s">
        <v>97</v>
      </c>
      <c r="BW303" s="2" t="s">
        <v>1512</v>
      </c>
      <c r="BX303" s="2" t="s">
        <v>1513</v>
      </c>
      <c r="BY303" s="2" t="s">
        <v>112</v>
      </c>
      <c r="BZ303" s="2" t="s">
        <v>100</v>
      </c>
    </row>
    <row r="304">
      <c r="A304" s="2" t="s">
        <v>1514</v>
      </c>
      <c r="B304" s="2" t="s">
        <v>87</v>
      </c>
      <c r="C304" s="2" t="s">
        <v>88</v>
      </c>
      <c r="D304" s="2" t="s">
        <v>1496</v>
      </c>
      <c r="E304" s="2" t="s">
        <v>1497</v>
      </c>
      <c r="F304" s="2" t="s">
        <v>888</v>
      </c>
      <c r="G304" s="2" t="s">
        <v>889</v>
      </c>
      <c r="H304" s="2" t="s">
        <v>890</v>
      </c>
      <c r="I304" s="2" t="s">
        <v>1515</v>
      </c>
      <c r="J304" s="2" t="s">
        <v>522</v>
      </c>
      <c r="K304" s="2" t="s">
        <v>673</v>
      </c>
      <c r="L304" s="3">
        <v>53.9</v>
      </c>
      <c r="M304" s="3">
        <v>56.59</v>
      </c>
      <c r="N304" s="3">
        <v>109.99</v>
      </c>
      <c r="O304" s="2" t="s">
        <v>97</v>
      </c>
      <c r="P304" s="2" t="s">
        <v>98</v>
      </c>
      <c r="Q304" s="2" t="s">
        <v>99</v>
      </c>
      <c r="R304" s="2" t="s">
        <v>100</v>
      </c>
      <c r="S304" s="2" t="s">
        <v>909</v>
      </c>
      <c r="T304" s="2" t="s">
        <v>100</v>
      </c>
      <c r="U304" s="2" t="s">
        <v>901</v>
      </c>
      <c r="V304" s="2" t="s">
        <v>103</v>
      </c>
      <c r="W304" s="2" t="s">
        <v>193</v>
      </c>
      <c r="X304" s="2" t="s">
        <v>895</v>
      </c>
      <c r="Y304" s="2" t="s">
        <v>1516</v>
      </c>
      <c r="Z304" s="4">
        <v>267</v>
      </c>
      <c r="AA304" s="4">
        <f>=ROUNDDOWN(38.1428571428571,0)</f>
      </c>
      <c r="AB304" s="5">
        <v>7</v>
      </c>
      <c r="AC304" s="2" t="s">
        <v>1060</v>
      </c>
      <c r="AD304" s="4">
        <v>120</v>
      </c>
      <c r="AE304" s="4">
        <v>120</v>
      </c>
      <c r="AF304" s="6">
        <v>69</v>
      </c>
      <c r="AG304" s="6">
        <v>77</v>
      </c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/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 t="s">
        <v>100</v>
      </c>
      <c r="BJ304" s="4">
        <v>19</v>
      </c>
      <c r="BK304" s="8">
        <v>1092.61</v>
      </c>
      <c r="BL304" s="2" t="s">
        <v>1517</v>
      </c>
      <c r="BM304" s="7"/>
      <c r="BN304" s="7"/>
      <c r="BO304" s="4"/>
      <c r="BP304" s="8"/>
      <c r="BQ304" s="4"/>
      <c r="BR304" s="8"/>
      <c r="BS304" s="7"/>
      <c r="BT304" s="7"/>
      <c r="BU304" s="2" t="s">
        <v>171</v>
      </c>
      <c r="BV304" s="2" t="s">
        <v>97</v>
      </c>
      <c r="BW304" s="2" t="s">
        <v>100</v>
      </c>
      <c r="BX304" s="2" t="s">
        <v>100</v>
      </c>
      <c r="BY304" s="2" t="s">
        <v>112</v>
      </c>
      <c r="BZ304" s="2" t="s">
        <v>100</v>
      </c>
    </row>
    <row r="305">
      <c r="A305" s="2" t="s">
        <v>1518</v>
      </c>
      <c r="B305" s="2" t="s">
        <v>87</v>
      </c>
      <c r="C305" s="2" t="s">
        <v>88</v>
      </c>
      <c r="D305" s="2" t="s">
        <v>1496</v>
      </c>
      <c r="E305" s="2" t="s">
        <v>1497</v>
      </c>
      <c r="F305" s="2" t="s">
        <v>888</v>
      </c>
      <c r="G305" s="2" t="s">
        <v>889</v>
      </c>
      <c r="H305" s="2" t="s">
        <v>890</v>
      </c>
      <c r="I305" s="2" t="s">
        <v>1515</v>
      </c>
      <c r="J305" s="2" t="s">
        <v>529</v>
      </c>
      <c r="K305" s="2" t="s">
        <v>673</v>
      </c>
      <c r="L305" s="3">
        <v>63.7</v>
      </c>
      <c r="M305" s="3">
        <v>66.88</v>
      </c>
      <c r="N305" s="3">
        <v>129.99</v>
      </c>
      <c r="O305" s="2" t="s">
        <v>97</v>
      </c>
      <c r="P305" s="2" t="s">
        <v>98</v>
      </c>
      <c r="Q305" s="2" t="s">
        <v>99</v>
      </c>
      <c r="R305" s="2" t="s">
        <v>100</v>
      </c>
      <c r="S305" s="2" t="s">
        <v>909</v>
      </c>
      <c r="T305" s="2" t="s">
        <v>100</v>
      </c>
      <c r="U305" s="2" t="s">
        <v>901</v>
      </c>
      <c r="V305" s="2" t="s">
        <v>103</v>
      </c>
      <c r="W305" s="2" t="s">
        <v>193</v>
      </c>
      <c r="X305" s="2" t="s">
        <v>895</v>
      </c>
      <c r="Y305" s="2" t="s">
        <v>1057</v>
      </c>
      <c r="Z305" s="4">
        <v>468</v>
      </c>
      <c r="AA305" s="4">
        <f>=ROUNDDOWN(46.8,0)</f>
      </c>
      <c r="AB305" s="5">
        <v>10</v>
      </c>
      <c r="AC305" s="2" t="s">
        <v>911</v>
      </c>
      <c r="AD305" s="4">
        <v>20</v>
      </c>
      <c r="AE305" s="4">
        <v>120</v>
      </c>
      <c r="AF305" s="6">
        <v>69</v>
      </c>
      <c r="AG305" s="6">
        <v>77</v>
      </c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/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 t="s">
        <v>100</v>
      </c>
      <c r="BJ305" s="4">
        <v>25</v>
      </c>
      <c r="BK305" s="8">
        <v>1656.56</v>
      </c>
      <c r="BL305" s="2" t="s">
        <v>1519</v>
      </c>
      <c r="BM305" s="7"/>
      <c r="BN305" s="7"/>
      <c r="BO305" s="4"/>
      <c r="BP305" s="8"/>
      <c r="BQ305" s="4"/>
      <c r="BR305" s="8"/>
      <c r="BS305" s="7"/>
      <c r="BT305" s="7"/>
      <c r="BU305" s="2" t="s">
        <v>171</v>
      </c>
      <c r="BV305" s="2" t="s">
        <v>97</v>
      </c>
      <c r="BW305" s="2" t="s">
        <v>100</v>
      </c>
      <c r="BX305" s="2" t="s">
        <v>100</v>
      </c>
      <c r="BY305" s="2" t="s">
        <v>112</v>
      </c>
      <c r="BZ305" s="2" t="s">
        <v>100</v>
      </c>
    </row>
    <row r="306">
      <c r="A306" s="2" t="s">
        <v>1520</v>
      </c>
      <c r="B306" s="2" t="s">
        <v>87</v>
      </c>
      <c r="C306" s="2" t="s">
        <v>88</v>
      </c>
      <c r="D306" s="2" t="s">
        <v>1496</v>
      </c>
      <c r="E306" s="2" t="s">
        <v>1497</v>
      </c>
      <c r="F306" s="2" t="s">
        <v>702</v>
      </c>
      <c r="G306" s="2" t="s">
        <v>703</v>
      </c>
      <c r="H306" s="2" t="s">
        <v>704</v>
      </c>
      <c r="I306" s="2" t="s">
        <v>1521</v>
      </c>
      <c r="J306" s="2" t="s">
        <v>522</v>
      </c>
      <c r="K306" s="2" t="s">
        <v>706</v>
      </c>
      <c r="L306" s="3">
        <v>32.2</v>
      </c>
      <c r="M306" s="3">
        <v>33.81</v>
      </c>
      <c r="N306" s="3">
        <v>69.99</v>
      </c>
      <c r="O306" s="2" t="s">
        <v>97</v>
      </c>
      <c r="P306" s="2" t="s">
        <v>98</v>
      </c>
      <c r="Q306" s="2" t="s">
        <v>99</v>
      </c>
      <c r="R306" s="2" t="s">
        <v>100</v>
      </c>
      <c r="S306" s="2" t="s">
        <v>708</v>
      </c>
      <c r="T306" s="2" t="s">
        <v>100</v>
      </c>
      <c r="U306" s="2" t="s">
        <v>901</v>
      </c>
      <c r="V306" s="2" t="s">
        <v>192</v>
      </c>
      <c r="W306" s="2" t="s">
        <v>142</v>
      </c>
      <c r="X306" s="2" t="s">
        <v>194</v>
      </c>
      <c r="Y306" s="2" t="s">
        <v>709</v>
      </c>
      <c r="Z306" s="4">
        <v>158</v>
      </c>
      <c r="AA306" s="4">
        <f>=ROUNDDOWN(12.34375,0)</f>
      </c>
      <c r="AB306" s="5">
        <v>12.8</v>
      </c>
      <c r="AC306" s="2" t="s">
        <v>262</v>
      </c>
      <c r="AD306" s="4">
        <v>100</v>
      </c>
      <c r="AE306" s="4">
        <v>310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3</v>
      </c>
      <c r="AQ306" s="8">
        <v>99.78</v>
      </c>
      <c r="AR306" s="4"/>
      <c r="AS306" s="8"/>
      <c r="AT306" s="7"/>
      <c r="AU306" s="7"/>
      <c r="AV306" s="4">
        <v>5</v>
      </c>
      <c r="AW306" s="8">
        <v>177.4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0.5625</v>
      </c>
      <c r="BC306" s="4">
        <v>5</v>
      </c>
      <c r="BD306" s="8">
        <v>177.4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>
        <v>1</v>
      </c>
      <c r="BJ306" s="4">
        <v>39</v>
      </c>
      <c r="BK306" s="8">
        <v>1341.92</v>
      </c>
      <c r="BL306" s="2" t="s">
        <v>1522</v>
      </c>
      <c r="BM306" s="7">
        <v>0.0769</v>
      </c>
      <c r="BN306" s="7">
        <v>0.0744</v>
      </c>
      <c r="BO306" s="4">
        <v>3</v>
      </c>
      <c r="BP306" s="8">
        <v>99.78</v>
      </c>
      <c r="BQ306" s="4"/>
      <c r="BR306" s="8"/>
      <c r="BS306" s="7"/>
      <c r="BT306" s="7"/>
      <c r="BU306" s="2" t="s">
        <v>109</v>
      </c>
      <c r="BV306" s="2" t="s">
        <v>97</v>
      </c>
      <c r="BW306" s="2" t="s">
        <v>1413</v>
      </c>
      <c r="BX306" s="2" t="s">
        <v>1523</v>
      </c>
      <c r="BY306" s="2" t="s">
        <v>112</v>
      </c>
      <c r="BZ306" s="2" t="s">
        <v>100</v>
      </c>
    </row>
    <row r="307">
      <c r="A307" s="2" t="s">
        <v>1524</v>
      </c>
      <c r="B307" s="2" t="s">
        <v>87</v>
      </c>
      <c r="C307" s="2" t="s">
        <v>88</v>
      </c>
      <c r="D307" s="2" t="s">
        <v>1496</v>
      </c>
      <c r="E307" s="2" t="s">
        <v>1497</v>
      </c>
      <c r="F307" s="2" t="s">
        <v>702</v>
      </c>
      <c r="G307" s="2" t="s">
        <v>703</v>
      </c>
      <c r="H307" s="2" t="s">
        <v>704</v>
      </c>
      <c r="I307" s="2" t="s">
        <v>1521</v>
      </c>
      <c r="J307" s="2" t="s">
        <v>529</v>
      </c>
      <c r="K307" s="2" t="s">
        <v>706</v>
      </c>
      <c r="L307" s="3">
        <v>36.8</v>
      </c>
      <c r="M307" s="3">
        <v>38.64</v>
      </c>
      <c r="N307" s="3">
        <v>79.99</v>
      </c>
      <c r="O307" s="2" t="s">
        <v>97</v>
      </c>
      <c r="P307" s="2" t="s">
        <v>98</v>
      </c>
      <c r="Q307" s="2" t="s">
        <v>99</v>
      </c>
      <c r="R307" s="2" t="s">
        <v>100</v>
      </c>
      <c r="S307" s="2" t="s">
        <v>708</v>
      </c>
      <c r="T307" s="2" t="s">
        <v>100</v>
      </c>
      <c r="U307" s="2" t="s">
        <v>901</v>
      </c>
      <c r="V307" s="2" t="s">
        <v>192</v>
      </c>
      <c r="W307" s="2" t="s">
        <v>142</v>
      </c>
      <c r="X307" s="2" t="s">
        <v>194</v>
      </c>
      <c r="Y307" s="2" t="s">
        <v>709</v>
      </c>
      <c r="Z307" s="4">
        <v>182</v>
      </c>
      <c r="AA307" s="4">
        <f>=ROUNDDOWN(22.75,0)</f>
      </c>
      <c r="AB307" s="5">
        <v>8</v>
      </c>
      <c r="AC307" s="2" t="s">
        <v>262</v>
      </c>
      <c r="AD307" s="4">
        <v>100</v>
      </c>
      <c r="AE307" s="4">
        <v>380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2</v>
      </c>
      <c r="AQ307" s="8">
        <v>77.62</v>
      </c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0.4375</v>
      </c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 t="s">
        <v>100</v>
      </c>
      <c r="BJ307" s="4">
        <v>24</v>
      </c>
      <c r="BK307" s="8">
        <v>957.01</v>
      </c>
      <c r="BL307" s="2" t="s">
        <v>1525</v>
      </c>
      <c r="BM307" s="7">
        <v>0.0833</v>
      </c>
      <c r="BN307" s="7">
        <v>0.0811</v>
      </c>
      <c r="BO307" s="4">
        <v>2</v>
      </c>
      <c r="BP307" s="8">
        <v>77.62</v>
      </c>
      <c r="BQ307" s="4"/>
      <c r="BR307" s="8"/>
      <c r="BS307" s="7"/>
      <c r="BT307" s="7"/>
      <c r="BU307" s="2" t="s">
        <v>109</v>
      </c>
      <c r="BV307" s="2" t="s">
        <v>97</v>
      </c>
      <c r="BW307" s="2" t="s">
        <v>1413</v>
      </c>
      <c r="BX307" s="2" t="s">
        <v>1526</v>
      </c>
      <c r="BY307" s="2" t="s">
        <v>112</v>
      </c>
      <c r="BZ307" s="2" t="s">
        <v>100</v>
      </c>
    </row>
    <row r="308">
      <c r="A308" s="2" t="s">
        <v>1527</v>
      </c>
      <c r="B308" s="2" t="s">
        <v>87</v>
      </c>
      <c r="C308" s="2" t="s">
        <v>88</v>
      </c>
      <c r="D308" s="2" t="s">
        <v>1496</v>
      </c>
      <c r="E308" s="2" t="s">
        <v>1497</v>
      </c>
      <c r="F308" s="2" t="s">
        <v>937</v>
      </c>
      <c r="G308" s="2" t="s">
        <v>938</v>
      </c>
      <c r="H308" s="2" t="s">
        <v>939</v>
      </c>
      <c r="I308" s="2" t="s">
        <v>1528</v>
      </c>
      <c r="J308" s="2" t="s">
        <v>522</v>
      </c>
      <c r="K308" s="2" t="s">
        <v>892</v>
      </c>
      <c r="L308" s="3">
        <v>51.2</v>
      </c>
      <c r="M308" s="3">
        <v>53.76</v>
      </c>
      <c r="N308" s="3">
        <v>99.99</v>
      </c>
      <c r="O308" s="2" t="s">
        <v>97</v>
      </c>
      <c r="P308" s="2" t="s">
        <v>317</v>
      </c>
      <c r="Q308" s="2" t="s">
        <v>99</v>
      </c>
      <c r="R308" s="2" t="s">
        <v>100</v>
      </c>
      <c r="S308" s="2" t="s">
        <v>941</v>
      </c>
      <c r="T308" s="2" t="s">
        <v>190</v>
      </c>
      <c r="U308" s="2" t="s">
        <v>901</v>
      </c>
      <c r="V308" s="2" t="s">
        <v>304</v>
      </c>
      <c r="W308" s="2" t="s">
        <v>193</v>
      </c>
      <c r="X308" s="2" t="s">
        <v>462</v>
      </c>
      <c r="Y308" s="2" t="s">
        <v>1529</v>
      </c>
      <c r="Z308" s="4">
        <v>595</v>
      </c>
      <c r="AA308" s="4">
        <f>=ROUNDDOWN(22.8846153846154,0)</f>
      </c>
      <c r="AB308" s="5">
        <v>26</v>
      </c>
      <c r="AC308" s="2" t="s">
        <v>897</v>
      </c>
      <c r="AD308" s="4">
        <v>190</v>
      </c>
      <c r="AE308" s="4">
        <v>1920</v>
      </c>
      <c r="AF308" s="6">
        <v>69</v>
      </c>
      <c r="AG308" s="6">
        <v>77</v>
      </c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3</v>
      </c>
      <c r="AQ308" s="8">
        <v>166.32</v>
      </c>
      <c r="AR308" s="4"/>
      <c r="AS308" s="8"/>
      <c r="AT308" s="7"/>
      <c r="AU308" s="7"/>
      <c r="AV308" s="4">
        <v>3</v>
      </c>
      <c r="AW308" s="8">
        <v>166.32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1</v>
      </c>
      <c r="BC308" s="4">
        <v>3</v>
      </c>
      <c r="BD308" s="8">
        <v>166.32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>
        <v>1</v>
      </c>
      <c r="BJ308" s="4">
        <v>180</v>
      </c>
      <c r="BK308" s="8">
        <v>9937.14</v>
      </c>
      <c r="BL308" s="2" t="s">
        <v>1530</v>
      </c>
      <c r="BM308" s="7">
        <v>0.0167</v>
      </c>
      <c r="BN308" s="7">
        <v>0.0167</v>
      </c>
      <c r="BO308" s="4">
        <v>3</v>
      </c>
      <c r="BP308" s="8">
        <v>166.32</v>
      </c>
      <c r="BQ308" s="4"/>
      <c r="BR308" s="8"/>
      <c r="BS308" s="7"/>
      <c r="BT308" s="7"/>
      <c r="BU308" s="2" t="s">
        <v>109</v>
      </c>
      <c r="BV308" s="2" t="s">
        <v>97</v>
      </c>
      <c r="BW308" s="2" t="s">
        <v>1531</v>
      </c>
      <c r="BX308" s="2" t="s">
        <v>1532</v>
      </c>
      <c r="BY308" s="2" t="s">
        <v>112</v>
      </c>
      <c r="BZ308" s="2" t="s">
        <v>100</v>
      </c>
    </row>
    <row r="309">
      <c r="A309" s="2" t="s">
        <v>1533</v>
      </c>
      <c r="B309" s="2" t="s">
        <v>87</v>
      </c>
      <c r="C309" s="2" t="s">
        <v>88</v>
      </c>
      <c r="D309" s="2" t="s">
        <v>1496</v>
      </c>
      <c r="E309" s="2" t="s">
        <v>1497</v>
      </c>
      <c r="F309" s="2" t="s">
        <v>937</v>
      </c>
      <c r="G309" s="2" t="s">
        <v>938</v>
      </c>
      <c r="H309" s="2" t="s">
        <v>939</v>
      </c>
      <c r="I309" s="2" t="s">
        <v>1528</v>
      </c>
      <c r="J309" s="2" t="s">
        <v>529</v>
      </c>
      <c r="K309" s="2" t="s">
        <v>892</v>
      </c>
      <c r="L309" s="3">
        <v>60.51</v>
      </c>
      <c r="M309" s="3">
        <v>63.54</v>
      </c>
      <c r="N309" s="3">
        <v>119.99</v>
      </c>
      <c r="O309" s="2" t="s">
        <v>97</v>
      </c>
      <c r="P309" s="2" t="s">
        <v>317</v>
      </c>
      <c r="Q309" s="2" t="s">
        <v>99</v>
      </c>
      <c r="R309" s="2" t="s">
        <v>100</v>
      </c>
      <c r="S309" s="2" t="s">
        <v>941</v>
      </c>
      <c r="T309" s="2" t="s">
        <v>190</v>
      </c>
      <c r="U309" s="2" t="s">
        <v>901</v>
      </c>
      <c r="V309" s="2" t="s">
        <v>304</v>
      </c>
      <c r="W309" s="2" t="s">
        <v>193</v>
      </c>
      <c r="X309" s="2" t="s">
        <v>462</v>
      </c>
      <c r="Y309" s="2" t="s">
        <v>1529</v>
      </c>
      <c r="Z309" s="4">
        <v>1406</v>
      </c>
      <c r="AA309" s="4">
        <f>=ROUNDDOWN(41.3529411764706,0)</f>
      </c>
      <c r="AB309" s="5">
        <v>34</v>
      </c>
      <c r="AC309" s="2" t="s">
        <v>897</v>
      </c>
      <c r="AD309" s="4">
        <v>300</v>
      </c>
      <c r="AE309" s="4">
        <v>2330</v>
      </c>
      <c r="AF309" s="6">
        <v>69</v>
      </c>
      <c r="AG309" s="6">
        <v>77</v>
      </c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/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 t="s">
        <v>100</v>
      </c>
      <c r="BJ309" s="4">
        <v>130</v>
      </c>
      <c r="BK309" s="8">
        <v>8788.12</v>
      </c>
      <c r="BL309" s="2" t="s">
        <v>1534</v>
      </c>
      <c r="BM309" s="7"/>
      <c r="BN309" s="7"/>
      <c r="BO309" s="4"/>
      <c r="BP309" s="8"/>
      <c r="BQ309" s="4"/>
      <c r="BR309" s="8"/>
      <c r="BS309" s="7"/>
      <c r="BT309" s="7"/>
      <c r="BU309" s="2" t="s">
        <v>109</v>
      </c>
      <c r="BV309" s="2" t="s">
        <v>97</v>
      </c>
      <c r="BW309" s="2" t="s">
        <v>1531</v>
      </c>
      <c r="BX309" s="2" t="s">
        <v>1535</v>
      </c>
      <c r="BY309" s="2" t="s">
        <v>112</v>
      </c>
      <c r="BZ309" s="2" t="s">
        <v>100</v>
      </c>
    </row>
    <row r="310">
      <c r="A310" s="2" t="s">
        <v>1536</v>
      </c>
      <c r="B310" s="2" t="s">
        <v>87</v>
      </c>
      <c r="C310" s="2" t="s">
        <v>88</v>
      </c>
      <c r="D310" s="2" t="s">
        <v>1496</v>
      </c>
      <c r="E310" s="2" t="s">
        <v>1497</v>
      </c>
      <c r="F310" s="2" t="s">
        <v>937</v>
      </c>
      <c r="G310" s="2" t="s">
        <v>938</v>
      </c>
      <c r="H310" s="2" t="s">
        <v>939</v>
      </c>
      <c r="I310" s="2" t="s">
        <v>1537</v>
      </c>
      <c r="J310" s="2" t="s">
        <v>522</v>
      </c>
      <c r="K310" s="2" t="s">
        <v>673</v>
      </c>
      <c r="L310" s="3">
        <v>51.2</v>
      </c>
      <c r="M310" s="3">
        <v>53.76</v>
      </c>
      <c r="N310" s="3">
        <v>99.99</v>
      </c>
      <c r="O310" s="2" t="s">
        <v>97</v>
      </c>
      <c r="P310" s="2" t="s">
        <v>139</v>
      </c>
      <c r="Q310" s="2" t="s">
        <v>99</v>
      </c>
      <c r="R310" s="2" t="s">
        <v>100</v>
      </c>
      <c r="S310" s="2" t="s">
        <v>948</v>
      </c>
      <c r="T310" s="2" t="s">
        <v>100</v>
      </c>
      <c r="U310" s="2" t="s">
        <v>901</v>
      </c>
      <c r="V310" s="2" t="s">
        <v>304</v>
      </c>
      <c r="W310" s="2" t="s">
        <v>193</v>
      </c>
      <c r="X310" s="2" t="s">
        <v>462</v>
      </c>
      <c r="Y310" s="2" t="s">
        <v>1538</v>
      </c>
      <c r="Z310" s="4">
        <v>415</v>
      </c>
      <c r="AA310" s="4">
        <f>=ROUNDDOWN(37.7272727272727,0)</f>
      </c>
      <c r="AB310" s="5">
        <v>11</v>
      </c>
      <c r="AC310" s="2" t="s">
        <v>911</v>
      </c>
      <c r="AD310" s="4">
        <v>290</v>
      </c>
      <c r="AE310" s="4">
        <v>450</v>
      </c>
      <c r="AF310" s="6">
        <v>69</v>
      </c>
      <c r="AG310" s="6">
        <v>77</v>
      </c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/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 t="s">
        <v>100</v>
      </c>
      <c r="BJ310" s="4">
        <v>28</v>
      </c>
      <c r="BK310" s="8">
        <v>1596.2</v>
      </c>
      <c r="BL310" s="2" t="s">
        <v>1539</v>
      </c>
      <c r="BM310" s="7"/>
      <c r="BN310" s="7"/>
      <c r="BO310" s="4"/>
      <c r="BP310" s="8"/>
      <c r="BQ310" s="4"/>
      <c r="BR310" s="8"/>
      <c r="BS310" s="7"/>
      <c r="BT310" s="7"/>
      <c r="BU310" s="2" t="s">
        <v>569</v>
      </c>
      <c r="BV310" s="2" t="s">
        <v>97</v>
      </c>
      <c r="BW310" s="2" t="s">
        <v>100</v>
      </c>
      <c r="BX310" s="2" t="s">
        <v>100</v>
      </c>
      <c r="BY310" s="2" t="s">
        <v>112</v>
      </c>
      <c r="BZ310" s="2" t="s">
        <v>100</v>
      </c>
    </row>
    <row r="311">
      <c r="A311" s="2" t="s">
        <v>1540</v>
      </c>
      <c r="B311" s="2" t="s">
        <v>87</v>
      </c>
      <c r="C311" s="2" t="s">
        <v>88</v>
      </c>
      <c r="D311" s="2" t="s">
        <v>1496</v>
      </c>
      <c r="E311" s="2" t="s">
        <v>1497</v>
      </c>
      <c r="F311" s="2" t="s">
        <v>937</v>
      </c>
      <c r="G311" s="2" t="s">
        <v>938</v>
      </c>
      <c r="H311" s="2" t="s">
        <v>939</v>
      </c>
      <c r="I311" s="2" t="s">
        <v>1537</v>
      </c>
      <c r="J311" s="2" t="s">
        <v>529</v>
      </c>
      <c r="K311" s="2" t="s">
        <v>673</v>
      </c>
      <c r="L311" s="3">
        <v>60.51</v>
      </c>
      <c r="M311" s="3">
        <v>63.54</v>
      </c>
      <c r="N311" s="3">
        <v>119.99</v>
      </c>
      <c r="O311" s="2" t="s">
        <v>97</v>
      </c>
      <c r="P311" s="2" t="s">
        <v>139</v>
      </c>
      <c r="Q311" s="2" t="s">
        <v>99</v>
      </c>
      <c r="R311" s="2" t="s">
        <v>100</v>
      </c>
      <c r="S311" s="2" t="s">
        <v>948</v>
      </c>
      <c r="T311" s="2" t="s">
        <v>100</v>
      </c>
      <c r="U311" s="2" t="s">
        <v>901</v>
      </c>
      <c r="V311" s="2" t="s">
        <v>304</v>
      </c>
      <c r="W311" s="2" t="s">
        <v>193</v>
      </c>
      <c r="X311" s="2" t="s">
        <v>462</v>
      </c>
      <c r="Y311" s="2" t="s">
        <v>1538</v>
      </c>
      <c r="Z311" s="4">
        <v>627</v>
      </c>
      <c r="AA311" s="4">
        <f>=ROUNDDOWN(39.1875,0)</f>
      </c>
      <c r="AB311" s="5">
        <v>16</v>
      </c>
      <c r="AC311" s="2" t="s">
        <v>911</v>
      </c>
      <c r="AD311" s="4">
        <v>330</v>
      </c>
      <c r="AE311" s="4">
        <v>900</v>
      </c>
      <c r="AF311" s="6">
        <v>69</v>
      </c>
      <c r="AG311" s="6">
        <v>77</v>
      </c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/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 t="s">
        <v>100</v>
      </c>
      <c r="BJ311" s="4">
        <v>59</v>
      </c>
      <c r="BK311" s="8">
        <v>4154.21</v>
      </c>
      <c r="BL311" s="2" t="s">
        <v>1541</v>
      </c>
      <c r="BM311" s="7"/>
      <c r="BN311" s="7"/>
      <c r="BO311" s="4"/>
      <c r="BP311" s="8"/>
      <c r="BQ311" s="4"/>
      <c r="BR311" s="8"/>
      <c r="BS311" s="7"/>
      <c r="BT311" s="7"/>
      <c r="BU311" s="2" t="s">
        <v>569</v>
      </c>
      <c r="BV311" s="2" t="s">
        <v>97</v>
      </c>
      <c r="BW311" s="2" t="s">
        <v>100</v>
      </c>
      <c r="BX311" s="2" t="s">
        <v>100</v>
      </c>
      <c r="BY311" s="2" t="s">
        <v>112</v>
      </c>
      <c r="BZ311" s="2" t="s">
        <v>100</v>
      </c>
    </row>
    <row r="312">
      <c r="A312" s="2" t="s">
        <v>1542</v>
      </c>
      <c r="B312" s="2" t="s">
        <v>87</v>
      </c>
      <c r="C312" s="2" t="s">
        <v>88</v>
      </c>
      <c r="D312" s="2" t="s">
        <v>1496</v>
      </c>
      <c r="E312" s="2" t="s">
        <v>1497</v>
      </c>
      <c r="F312" s="2" t="s">
        <v>184</v>
      </c>
      <c r="G312" s="2" t="s">
        <v>185</v>
      </c>
      <c r="H312" s="2" t="s">
        <v>186</v>
      </c>
      <c r="I312" s="2" t="s">
        <v>1543</v>
      </c>
      <c r="J312" s="2" t="s">
        <v>522</v>
      </c>
      <c r="K312" s="2" t="s">
        <v>188</v>
      </c>
      <c r="L312" s="3">
        <v>32.2</v>
      </c>
      <c r="M312" s="3">
        <v>33.81</v>
      </c>
      <c r="N312" s="3">
        <v>69.99</v>
      </c>
      <c r="O312" s="2" t="s">
        <v>97</v>
      </c>
      <c r="P312" s="2" t="s">
        <v>156</v>
      </c>
      <c r="Q312" s="2" t="s">
        <v>99</v>
      </c>
      <c r="R312" s="2" t="s">
        <v>100</v>
      </c>
      <c r="S312" s="2" t="s">
        <v>189</v>
      </c>
      <c r="T312" s="2" t="s">
        <v>190</v>
      </c>
      <c r="U312" s="2" t="s">
        <v>901</v>
      </c>
      <c r="V312" s="2" t="s">
        <v>192</v>
      </c>
      <c r="W312" s="2" t="s">
        <v>193</v>
      </c>
      <c r="X312" s="2" t="s">
        <v>194</v>
      </c>
      <c r="Y312" s="2" t="s">
        <v>1544</v>
      </c>
      <c r="Z312" s="4">
        <v>381</v>
      </c>
      <c r="AA312" s="4">
        <f>=ROUNDDOWN(14.1111111111111,0)</f>
      </c>
      <c r="AB312" s="5">
        <v>27</v>
      </c>
      <c r="AC312" s="2" t="s">
        <v>201</v>
      </c>
      <c r="AD312" s="4">
        <v>30</v>
      </c>
      <c r="AE312" s="4">
        <v>460</v>
      </c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4</v>
      </c>
      <c r="AQ312" s="8">
        <v>133.04</v>
      </c>
      <c r="AR312" s="4"/>
      <c r="AS312" s="8"/>
      <c r="AT312" s="7"/>
      <c r="AU312" s="7"/>
      <c r="AV312" s="4">
        <v>4</v>
      </c>
      <c r="AW312" s="8">
        <v>133.04</v>
      </c>
      <c r="AX312" s="4"/>
      <c r="AY312" s="8"/>
      <c r="AZ312" s="7"/>
      <c r="BA312" s="7"/>
      <c r="BB312" s="7">
        <v>1</v>
      </c>
      <c r="BC312" s="4">
        <v>4</v>
      </c>
      <c r="BD312" s="8">
        <v>133.04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>
        <v>1</v>
      </c>
      <c r="BJ312" s="4">
        <v>87</v>
      </c>
      <c r="BK312" s="8">
        <v>3035.28</v>
      </c>
      <c r="BL312" s="2" t="s">
        <v>1545</v>
      </c>
      <c r="BM312" s="7">
        <v>0.046</v>
      </c>
      <c r="BN312" s="7">
        <v>0.0438</v>
      </c>
      <c r="BO312" s="4">
        <v>4</v>
      </c>
      <c r="BP312" s="8">
        <v>133.04</v>
      </c>
      <c r="BQ312" s="4"/>
      <c r="BR312" s="8"/>
      <c r="BS312" s="7"/>
      <c r="BT312" s="7"/>
      <c r="BU312" s="2" t="s">
        <v>109</v>
      </c>
      <c r="BV312" s="2" t="s">
        <v>97</v>
      </c>
      <c r="BW312" s="2" t="s">
        <v>198</v>
      </c>
      <c r="BX312" s="2" t="s">
        <v>208</v>
      </c>
      <c r="BY312" s="2" t="s">
        <v>112</v>
      </c>
      <c r="BZ312" s="2" t="s">
        <v>100</v>
      </c>
    </row>
    <row r="313">
      <c r="A313" s="2" t="s">
        <v>1546</v>
      </c>
      <c r="B313" s="2" t="s">
        <v>87</v>
      </c>
      <c r="C313" s="2" t="s">
        <v>88</v>
      </c>
      <c r="D313" s="2" t="s">
        <v>1496</v>
      </c>
      <c r="E313" s="2" t="s">
        <v>1497</v>
      </c>
      <c r="F313" s="2" t="s">
        <v>184</v>
      </c>
      <c r="G313" s="2" t="s">
        <v>185</v>
      </c>
      <c r="H313" s="2" t="s">
        <v>186</v>
      </c>
      <c r="I313" s="2" t="s">
        <v>1543</v>
      </c>
      <c r="J313" s="2" t="s">
        <v>522</v>
      </c>
      <c r="K313" s="2" t="s">
        <v>179</v>
      </c>
      <c r="L313" s="3">
        <v>32.2</v>
      </c>
      <c r="M313" s="3">
        <v>33.81</v>
      </c>
      <c r="N313" s="3">
        <v>69.99</v>
      </c>
      <c r="O313" s="2" t="s">
        <v>97</v>
      </c>
      <c r="P313" s="2" t="s">
        <v>98</v>
      </c>
      <c r="Q313" s="2" t="s">
        <v>99</v>
      </c>
      <c r="R313" s="2" t="s">
        <v>100</v>
      </c>
      <c r="S313" s="2" t="s">
        <v>1547</v>
      </c>
      <c r="T313" s="2" t="s">
        <v>190</v>
      </c>
      <c r="U313" s="2" t="s">
        <v>901</v>
      </c>
      <c r="V313" s="2" t="s">
        <v>192</v>
      </c>
      <c r="W313" s="2" t="s">
        <v>193</v>
      </c>
      <c r="X313" s="2" t="s">
        <v>194</v>
      </c>
      <c r="Y313" s="2" t="s">
        <v>1548</v>
      </c>
      <c r="Z313" s="4">
        <v>54</v>
      </c>
      <c r="AA313" s="4">
        <f>=ROUNDDOWN(6,0)</f>
      </c>
      <c r="AB313" s="5">
        <v>9</v>
      </c>
      <c r="AC313" s="2" t="s">
        <v>206</v>
      </c>
      <c r="AD313" s="4">
        <v>100</v>
      </c>
      <c r="AE313" s="4">
        <v>240</v>
      </c>
      <c r="AF313" s="6">
        <v>65</v>
      </c>
      <c r="AG313" s="6">
        <v>73</v>
      </c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/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 t="s">
        <v>100</v>
      </c>
      <c r="BJ313" s="4">
        <v>26</v>
      </c>
      <c r="BK313" s="8">
        <v>872.31</v>
      </c>
      <c r="BL313" s="2" t="s">
        <v>1549</v>
      </c>
      <c r="BM313" s="7"/>
      <c r="BN313" s="7"/>
      <c r="BO313" s="4"/>
      <c r="BP313" s="8"/>
      <c r="BQ313" s="4"/>
      <c r="BR313" s="8"/>
      <c r="BS313" s="7"/>
      <c r="BT313" s="7"/>
      <c r="BU313" s="2" t="s">
        <v>171</v>
      </c>
      <c r="BV313" s="2" t="s">
        <v>97</v>
      </c>
      <c r="BW313" s="2" t="s">
        <v>100</v>
      </c>
      <c r="BX313" s="2" t="s">
        <v>100</v>
      </c>
      <c r="BY313" s="2" t="s">
        <v>112</v>
      </c>
      <c r="BZ313" s="2" t="s">
        <v>100</v>
      </c>
    </row>
    <row r="314">
      <c r="A314" s="2" t="s">
        <v>1550</v>
      </c>
      <c r="B314" s="2" t="s">
        <v>87</v>
      </c>
      <c r="C314" s="2" t="s">
        <v>88</v>
      </c>
      <c r="D314" s="2" t="s">
        <v>1496</v>
      </c>
      <c r="E314" s="2" t="s">
        <v>1497</v>
      </c>
      <c r="F314" s="2" t="s">
        <v>184</v>
      </c>
      <c r="G314" s="2" t="s">
        <v>185</v>
      </c>
      <c r="H314" s="2" t="s">
        <v>186</v>
      </c>
      <c r="I314" s="2" t="s">
        <v>1543</v>
      </c>
      <c r="J314" s="2" t="s">
        <v>529</v>
      </c>
      <c r="K314" s="2" t="s">
        <v>179</v>
      </c>
      <c r="L314" s="3">
        <v>36.8</v>
      </c>
      <c r="M314" s="3">
        <v>38.64</v>
      </c>
      <c r="N314" s="3">
        <v>79.99</v>
      </c>
      <c r="O314" s="2" t="s">
        <v>97</v>
      </c>
      <c r="P314" s="2" t="s">
        <v>98</v>
      </c>
      <c r="Q314" s="2" t="s">
        <v>99</v>
      </c>
      <c r="R314" s="2" t="s">
        <v>100</v>
      </c>
      <c r="S314" s="2" t="s">
        <v>1547</v>
      </c>
      <c r="T314" s="2" t="s">
        <v>190</v>
      </c>
      <c r="U314" s="2" t="s">
        <v>901</v>
      </c>
      <c r="V314" s="2" t="s">
        <v>192</v>
      </c>
      <c r="W314" s="2" t="s">
        <v>193</v>
      </c>
      <c r="X314" s="2" t="s">
        <v>194</v>
      </c>
      <c r="Y314" s="2" t="s">
        <v>1548</v>
      </c>
      <c r="Z314" s="4">
        <v>34</v>
      </c>
      <c r="AA314" s="4">
        <f>=ROUNDDOWN(4.25,0)</f>
      </c>
      <c r="AB314" s="5">
        <v>8</v>
      </c>
      <c r="AC314" s="2" t="s">
        <v>206</v>
      </c>
      <c r="AD314" s="4">
        <v>50</v>
      </c>
      <c r="AE314" s="4">
        <v>150</v>
      </c>
      <c r="AF314" s="6">
        <v>65</v>
      </c>
      <c r="AG314" s="6">
        <v>73</v>
      </c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/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 t="s">
        <v>100</v>
      </c>
      <c r="BJ314" s="4">
        <v>29</v>
      </c>
      <c r="BK314" s="8">
        <v>1127.67</v>
      </c>
      <c r="BL314" s="2" t="s">
        <v>1349</v>
      </c>
      <c r="BM314" s="7"/>
      <c r="BN314" s="7"/>
      <c r="BO314" s="4"/>
      <c r="BP314" s="8"/>
      <c r="BQ314" s="4"/>
      <c r="BR314" s="8"/>
      <c r="BS314" s="7"/>
      <c r="BT314" s="7"/>
      <c r="BU314" s="2" t="s">
        <v>171</v>
      </c>
      <c r="BV314" s="2" t="s">
        <v>97</v>
      </c>
      <c r="BW314" s="2" t="s">
        <v>100</v>
      </c>
      <c r="BX314" s="2" t="s">
        <v>100</v>
      </c>
      <c r="BY314" s="2" t="s">
        <v>112</v>
      </c>
      <c r="BZ314" s="2" t="s">
        <v>100</v>
      </c>
    </row>
    <row r="315">
      <c r="A315" s="2" t="s">
        <v>1551</v>
      </c>
      <c r="B315" s="2" t="s">
        <v>87</v>
      </c>
      <c r="C315" s="2" t="s">
        <v>88</v>
      </c>
      <c r="D315" s="2" t="s">
        <v>1496</v>
      </c>
      <c r="E315" s="2" t="s">
        <v>1497</v>
      </c>
      <c r="F315" s="2" t="s">
        <v>951</v>
      </c>
      <c r="G315" s="2" t="s">
        <v>952</v>
      </c>
      <c r="H315" s="2" t="s">
        <v>953</v>
      </c>
      <c r="I315" s="2" t="s">
        <v>1552</v>
      </c>
      <c r="J315" s="2" t="s">
        <v>522</v>
      </c>
      <c r="K315" s="2" t="s">
        <v>955</v>
      </c>
      <c r="L315" s="3">
        <v>53.9</v>
      </c>
      <c r="M315" s="3">
        <v>56.59</v>
      </c>
      <c r="N315" s="3">
        <v>109.99</v>
      </c>
      <c r="O315" s="2" t="s">
        <v>97</v>
      </c>
      <c r="P315" s="2" t="s">
        <v>98</v>
      </c>
      <c r="Q315" s="2" t="s">
        <v>99</v>
      </c>
      <c r="R315" s="2" t="s">
        <v>100</v>
      </c>
      <c r="S315" s="2" t="s">
        <v>1553</v>
      </c>
      <c r="T315" s="2" t="s">
        <v>190</v>
      </c>
      <c r="U315" s="2" t="s">
        <v>901</v>
      </c>
      <c r="V315" s="2" t="s">
        <v>103</v>
      </c>
      <c r="W315" s="2" t="s">
        <v>686</v>
      </c>
      <c r="X315" s="2" t="s">
        <v>271</v>
      </c>
      <c r="Y315" s="2" t="s">
        <v>1124</v>
      </c>
      <c r="Z315" s="4">
        <v>208</v>
      </c>
      <c r="AA315" s="4">
        <f>=ROUNDDOWN(34.6666666666667,0)</f>
      </c>
      <c r="AB315" s="5">
        <v>6</v>
      </c>
      <c r="AC315" s="2" t="s">
        <v>911</v>
      </c>
      <c r="AD315" s="4">
        <v>30</v>
      </c>
      <c r="AE315" s="4">
        <v>60</v>
      </c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1</v>
      </c>
      <c r="AQ315" s="8">
        <v>55.44</v>
      </c>
      <c r="AR315" s="4"/>
      <c r="AS315" s="8"/>
      <c r="AT315" s="7"/>
      <c r="AU315" s="7"/>
      <c r="AV315" s="4">
        <v>2</v>
      </c>
      <c r="AW315" s="8">
        <v>121.97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0.4545</v>
      </c>
      <c r="BC315" s="4">
        <v>2</v>
      </c>
      <c r="BD315" s="8">
        <v>121.97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>
        <v>1</v>
      </c>
      <c r="BJ315" s="4">
        <v>21</v>
      </c>
      <c r="BK315" s="8">
        <v>1298.39</v>
      </c>
      <c r="BL315" s="2" t="s">
        <v>1554</v>
      </c>
      <c r="BM315" s="7">
        <v>0.0476</v>
      </c>
      <c r="BN315" s="7">
        <v>0.0427</v>
      </c>
      <c r="BO315" s="4">
        <v>1</v>
      </c>
      <c r="BP315" s="8">
        <v>55.44</v>
      </c>
      <c r="BQ315" s="4"/>
      <c r="BR315" s="8"/>
      <c r="BS315" s="7"/>
      <c r="BT315" s="7"/>
      <c r="BU315" s="2" t="s">
        <v>109</v>
      </c>
      <c r="BV315" s="2" t="s">
        <v>97</v>
      </c>
      <c r="BW315" s="2" t="s">
        <v>496</v>
      </c>
      <c r="BX315" s="2" t="s">
        <v>1555</v>
      </c>
      <c r="BY315" s="2" t="s">
        <v>112</v>
      </c>
      <c r="BZ315" s="2" t="s">
        <v>100</v>
      </c>
    </row>
    <row r="316">
      <c r="A316" s="2" t="s">
        <v>1556</v>
      </c>
      <c r="B316" s="2" t="s">
        <v>87</v>
      </c>
      <c r="C316" s="2" t="s">
        <v>88</v>
      </c>
      <c r="D316" s="2" t="s">
        <v>1496</v>
      </c>
      <c r="E316" s="2" t="s">
        <v>1497</v>
      </c>
      <c r="F316" s="2" t="s">
        <v>951</v>
      </c>
      <c r="G316" s="2" t="s">
        <v>952</v>
      </c>
      <c r="H316" s="2" t="s">
        <v>953</v>
      </c>
      <c r="I316" s="2" t="s">
        <v>1552</v>
      </c>
      <c r="J316" s="2" t="s">
        <v>529</v>
      </c>
      <c r="K316" s="2" t="s">
        <v>955</v>
      </c>
      <c r="L316" s="3">
        <v>63.7</v>
      </c>
      <c r="M316" s="3">
        <v>66.88</v>
      </c>
      <c r="N316" s="3">
        <v>129.99</v>
      </c>
      <c r="O316" s="2" t="s">
        <v>97</v>
      </c>
      <c r="P316" s="2" t="s">
        <v>98</v>
      </c>
      <c r="Q316" s="2" t="s">
        <v>99</v>
      </c>
      <c r="R316" s="2" t="s">
        <v>100</v>
      </c>
      <c r="S316" s="2" t="s">
        <v>1553</v>
      </c>
      <c r="T316" s="2" t="s">
        <v>190</v>
      </c>
      <c r="U316" s="2" t="s">
        <v>901</v>
      </c>
      <c r="V316" s="2" t="s">
        <v>103</v>
      </c>
      <c r="W316" s="2" t="s">
        <v>686</v>
      </c>
      <c r="X316" s="2" t="s">
        <v>271</v>
      </c>
      <c r="Y316" s="2" t="s">
        <v>1124</v>
      </c>
      <c r="Z316" s="4">
        <v>296</v>
      </c>
      <c r="AA316" s="4">
        <f>=ROUNDDOWN(29.6,0)</f>
      </c>
      <c r="AB316" s="5">
        <v>10</v>
      </c>
      <c r="AC316" s="2" t="s">
        <v>958</v>
      </c>
      <c r="AD316" s="4">
        <v>30</v>
      </c>
      <c r="AE316" s="4">
        <v>30</v>
      </c>
      <c r="AF316" s="6">
        <v>69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1</v>
      </c>
      <c r="AQ316" s="8">
        <v>66.53</v>
      </c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0.5455</v>
      </c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 t="s">
        <v>100</v>
      </c>
      <c r="BJ316" s="4">
        <v>28</v>
      </c>
      <c r="BK316" s="8">
        <v>1973.23</v>
      </c>
      <c r="BL316" s="2" t="s">
        <v>1557</v>
      </c>
      <c r="BM316" s="7">
        <v>0.0357</v>
      </c>
      <c r="BN316" s="7">
        <v>0.0337</v>
      </c>
      <c r="BO316" s="4">
        <v>1</v>
      </c>
      <c r="BP316" s="8">
        <v>66.53</v>
      </c>
      <c r="BQ316" s="4"/>
      <c r="BR316" s="8"/>
      <c r="BS316" s="7"/>
      <c r="BT316" s="7"/>
      <c r="BU316" s="2" t="s">
        <v>109</v>
      </c>
      <c r="BV316" s="2" t="s">
        <v>97</v>
      </c>
      <c r="BW316" s="2" t="s">
        <v>496</v>
      </c>
      <c r="BX316" s="2" t="s">
        <v>1558</v>
      </c>
      <c r="BY316" s="2" t="s">
        <v>112</v>
      </c>
      <c r="BZ316" s="2" t="s">
        <v>100</v>
      </c>
    </row>
    <row r="317">
      <c r="A317" s="2" t="s">
        <v>1559</v>
      </c>
      <c r="B317" s="2" t="s">
        <v>87</v>
      </c>
      <c r="C317" s="2" t="s">
        <v>88</v>
      </c>
      <c r="D317" s="2" t="s">
        <v>1496</v>
      </c>
      <c r="E317" s="2" t="s">
        <v>1497</v>
      </c>
      <c r="F317" s="2" t="s">
        <v>1560</v>
      </c>
      <c r="G317" s="2" t="s">
        <v>1561</v>
      </c>
      <c r="H317" s="2" t="s">
        <v>1562</v>
      </c>
      <c r="I317" s="2" t="s">
        <v>1563</v>
      </c>
      <c r="J317" s="2" t="s">
        <v>522</v>
      </c>
      <c r="K317" s="2" t="s">
        <v>892</v>
      </c>
      <c r="L317" s="3">
        <v>53.9</v>
      </c>
      <c r="M317" s="3">
        <v>56.59</v>
      </c>
      <c r="N317" s="3">
        <v>109.99</v>
      </c>
      <c r="O317" s="2" t="s">
        <v>97</v>
      </c>
      <c r="P317" s="2" t="s">
        <v>98</v>
      </c>
      <c r="Q317" s="2" t="s">
        <v>99</v>
      </c>
      <c r="R317" s="2" t="s">
        <v>100</v>
      </c>
      <c r="S317" s="2" t="s">
        <v>1564</v>
      </c>
      <c r="T317" s="2" t="s">
        <v>100</v>
      </c>
      <c r="U317" s="2" t="s">
        <v>901</v>
      </c>
      <c r="V317" s="2" t="s">
        <v>473</v>
      </c>
      <c r="W317" s="2" t="s">
        <v>193</v>
      </c>
      <c r="X317" s="2" t="s">
        <v>462</v>
      </c>
      <c r="Y317" s="2" t="s">
        <v>1565</v>
      </c>
      <c r="Z317" s="4">
        <v>179</v>
      </c>
      <c r="AA317" s="4">
        <f>=ROUNDDOWN(17.9,0)</f>
      </c>
      <c r="AB317" s="5">
        <v>10</v>
      </c>
      <c r="AC317" s="2" t="s">
        <v>312</v>
      </c>
      <c r="AD317" s="4">
        <v>100</v>
      </c>
      <c r="AE317" s="4">
        <v>100</v>
      </c>
      <c r="AF317" s="6">
        <v>69</v>
      </c>
      <c r="AG317" s="6">
        <v>77</v>
      </c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2</v>
      </c>
      <c r="AQ317" s="8">
        <v>110.88</v>
      </c>
      <c r="AR317" s="4"/>
      <c r="AS317" s="8"/>
      <c r="AT317" s="7"/>
      <c r="AU317" s="7"/>
      <c r="AV317" s="4">
        <v>2</v>
      </c>
      <c r="AW317" s="8">
        <v>110.88</v>
      </c>
      <c r="AX317" s="4"/>
      <c r="AY317" s="8"/>
      <c r="AZ317" s="7"/>
      <c r="BA317" s="7"/>
      <c r="BB317" s="7">
        <v>1</v>
      </c>
      <c r="BC317" s="4">
        <v>2</v>
      </c>
      <c r="BD317" s="8">
        <v>110.88</v>
      </c>
      <c r="BE317" s="4"/>
      <c r="BF317" s="8"/>
      <c r="BG317" s="7"/>
      <c r="BH317" s="7"/>
      <c r="BI317" s="7">
        <v>1</v>
      </c>
      <c r="BJ317" s="4">
        <v>35</v>
      </c>
      <c r="BK317" s="8">
        <v>1996.93</v>
      </c>
      <c r="BL317" s="2" t="s">
        <v>1566</v>
      </c>
      <c r="BM317" s="7">
        <v>0.0571</v>
      </c>
      <c r="BN317" s="7">
        <v>0.0555</v>
      </c>
      <c r="BO317" s="4">
        <v>2</v>
      </c>
      <c r="BP317" s="8">
        <v>110.88</v>
      </c>
      <c r="BQ317" s="4"/>
      <c r="BR317" s="8"/>
      <c r="BS317" s="7"/>
      <c r="BT317" s="7"/>
      <c r="BU317" s="2" t="s">
        <v>109</v>
      </c>
      <c r="BV317" s="2" t="s">
        <v>97</v>
      </c>
      <c r="BW317" s="2" t="s">
        <v>905</v>
      </c>
      <c r="BX317" s="2" t="s">
        <v>1567</v>
      </c>
      <c r="BY317" s="2" t="s">
        <v>112</v>
      </c>
      <c r="BZ317" s="2" t="s">
        <v>100</v>
      </c>
    </row>
    <row r="318">
      <c r="A318" s="2" t="s">
        <v>1568</v>
      </c>
      <c r="B318" s="2" t="s">
        <v>87</v>
      </c>
      <c r="C318" s="2" t="s">
        <v>88</v>
      </c>
      <c r="D318" s="2" t="s">
        <v>1496</v>
      </c>
      <c r="E318" s="2" t="s">
        <v>1497</v>
      </c>
      <c r="F318" s="2" t="s">
        <v>1569</v>
      </c>
      <c r="G318" s="2" t="s">
        <v>1570</v>
      </c>
      <c r="H318" s="2" t="s">
        <v>1571</v>
      </c>
      <c r="I318" s="2" t="s">
        <v>1572</v>
      </c>
      <c r="J318" s="2" t="s">
        <v>522</v>
      </c>
      <c r="K318" s="2" t="s">
        <v>458</v>
      </c>
      <c r="L318" s="3">
        <v>58.8</v>
      </c>
      <c r="M318" s="3">
        <v>61.73</v>
      </c>
      <c r="N318" s="3">
        <v>119.99</v>
      </c>
      <c r="O318" s="2" t="s">
        <v>97</v>
      </c>
      <c r="P318" s="2" t="s">
        <v>98</v>
      </c>
      <c r="Q318" s="2" t="s">
        <v>99</v>
      </c>
      <c r="R318" s="2" t="s">
        <v>100</v>
      </c>
      <c r="S318" s="2" t="s">
        <v>1573</v>
      </c>
      <c r="T318" s="2" t="s">
        <v>100</v>
      </c>
      <c r="U318" s="2" t="s">
        <v>901</v>
      </c>
      <c r="V318" s="2" t="s">
        <v>461</v>
      </c>
      <c r="W318" s="2" t="s">
        <v>609</v>
      </c>
      <c r="X318" s="2" t="s">
        <v>1574</v>
      </c>
      <c r="Y318" s="2" t="s">
        <v>1575</v>
      </c>
      <c r="Z318" s="4">
        <v>172</v>
      </c>
      <c r="AA318" s="4">
        <f>=ROUNDDOWN(24.5714285714286,0)</f>
      </c>
      <c r="AB318" s="5">
        <v>7</v>
      </c>
      <c r="AC318" s="2" t="s">
        <v>1142</v>
      </c>
      <c r="AD318" s="4">
        <v>60</v>
      </c>
      <c r="AE318" s="4">
        <v>60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>
        <v>1</v>
      </c>
      <c r="AW318" s="8">
        <v>72.07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/>
      <c r="BC318" s="4">
        <v>1</v>
      </c>
      <c r="BD318" s="8">
        <v>72.07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>
        <v>1</v>
      </c>
      <c r="BJ318" s="4">
        <v>14</v>
      </c>
      <c r="BK318" s="8">
        <v>844.74</v>
      </c>
      <c r="BL318" s="2" t="s">
        <v>1576</v>
      </c>
      <c r="BM318" s="7"/>
      <c r="BN318" s="7"/>
      <c r="BO318" s="4"/>
      <c r="BP318" s="8"/>
      <c r="BQ318" s="4"/>
      <c r="BR318" s="8"/>
      <c r="BS318" s="7"/>
      <c r="BT318" s="7"/>
      <c r="BU318" s="2" t="s">
        <v>109</v>
      </c>
      <c r="BV318" s="2" t="s">
        <v>97</v>
      </c>
      <c r="BW318" s="2" t="s">
        <v>1069</v>
      </c>
      <c r="BX318" s="2" t="s">
        <v>1577</v>
      </c>
      <c r="BY318" s="2" t="s">
        <v>112</v>
      </c>
      <c r="BZ318" s="2" t="s">
        <v>100</v>
      </c>
    </row>
    <row r="319">
      <c r="A319" s="2" t="s">
        <v>1578</v>
      </c>
      <c r="B319" s="2" t="s">
        <v>87</v>
      </c>
      <c r="C319" s="2" t="s">
        <v>88</v>
      </c>
      <c r="D319" s="2" t="s">
        <v>1496</v>
      </c>
      <c r="E319" s="2" t="s">
        <v>1497</v>
      </c>
      <c r="F319" s="2" t="s">
        <v>1569</v>
      </c>
      <c r="G319" s="2" t="s">
        <v>1570</v>
      </c>
      <c r="H319" s="2" t="s">
        <v>1571</v>
      </c>
      <c r="I319" s="2" t="s">
        <v>1572</v>
      </c>
      <c r="J319" s="2" t="s">
        <v>529</v>
      </c>
      <c r="K319" s="2" t="s">
        <v>458</v>
      </c>
      <c r="L319" s="3">
        <v>68.6</v>
      </c>
      <c r="M319" s="3">
        <v>72.02</v>
      </c>
      <c r="N319" s="3">
        <v>139.99</v>
      </c>
      <c r="O319" s="2" t="s">
        <v>97</v>
      </c>
      <c r="P319" s="2" t="s">
        <v>98</v>
      </c>
      <c r="Q319" s="2" t="s">
        <v>99</v>
      </c>
      <c r="R319" s="2" t="s">
        <v>100</v>
      </c>
      <c r="S319" s="2" t="s">
        <v>1573</v>
      </c>
      <c r="T319" s="2" t="s">
        <v>100</v>
      </c>
      <c r="U319" s="2" t="s">
        <v>901</v>
      </c>
      <c r="V319" s="2" t="s">
        <v>461</v>
      </c>
      <c r="W319" s="2" t="s">
        <v>609</v>
      </c>
      <c r="X319" s="2" t="s">
        <v>1574</v>
      </c>
      <c r="Y319" s="2" t="s">
        <v>1575</v>
      </c>
      <c r="Z319" s="4">
        <v>45</v>
      </c>
      <c r="AA319" s="4">
        <f>=ROUNDDOWN(9,0)</f>
      </c>
      <c r="AB319" s="5">
        <v>5</v>
      </c>
      <c r="AC319" s="2" t="s">
        <v>196</v>
      </c>
      <c r="AD319" s="4">
        <v>80</v>
      </c>
      <c r="AE319" s="4">
        <v>160</v>
      </c>
      <c r="AF319" s="6">
        <v>65</v>
      </c>
      <c r="AG319" s="6"/>
      <c r="AH319" s="7">
        <v>0.6452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1</v>
      </c>
      <c r="AQ319" s="8">
        <v>72.07</v>
      </c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1</v>
      </c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 t="s">
        <v>100</v>
      </c>
      <c r="BJ319" s="4">
        <v>17</v>
      </c>
      <c r="BK319" s="8">
        <v>1175.91</v>
      </c>
      <c r="BL319" s="2" t="s">
        <v>1579</v>
      </c>
      <c r="BM319" s="7">
        <v>0.0588</v>
      </c>
      <c r="BN319" s="7">
        <v>0.0613</v>
      </c>
      <c r="BO319" s="4">
        <v>1</v>
      </c>
      <c r="BP319" s="8">
        <v>72.07</v>
      </c>
      <c r="BQ319" s="4"/>
      <c r="BR319" s="8"/>
      <c r="BS319" s="7"/>
      <c r="BT319" s="7"/>
      <c r="BU319" s="2" t="s">
        <v>109</v>
      </c>
      <c r="BV319" s="2" t="s">
        <v>97</v>
      </c>
      <c r="BW319" s="2" t="s">
        <v>1071</v>
      </c>
      <c r="BX319" s="2" t="s">
        <v>1580</v>
      </c>
      <c r="BY319" s="2" t="s">
        <v>112</v>
      </c>
      <c r="BZ319" s="2" t="s">
        <v>100</v>
      </c>
    </row>
    <row r="320">
      <c r="A320" s="2" t="s">
        <v>1581</v>
      </c>
      <c r="B320" s="2" t="s">
        <v>87</v>
      </c>
      <c r="C320" s="2" t="s">
        <v>88</v>
      </c>
      <c r="D320" s="2" t="s">
        <v>1496</v>
      </c>
      <c r="E320" s="2" t="s">
        <v>1497</v>
      </c>
      <c r="F320" s="2" t="s">
        <v>1582</v>
      </c>
      <c r="G320" s="2" t="s">
        <v>1583</v>
      </c>
      <c r="H320" s="2" t="s">
        <v>1584</v>
      </c>
      <c r="I320" s="2" t="s">
        <v>1585</v>
      </c>
      <c r="J320" s="2" t="s">
        <v>522</v>
      </c>
      <c r="K320" s="2" t="s">
        <v>1373</v>
      </c>
      <c r="L320" s="3">
        <v>48</v>
      </c>
      <c r="M320" s="3">
        <v>50.39</v>
      </c>
      <c r="N320" s="3">
        <v>99.99</v>
      </c>
      <c r="O320" s="2" t="s">
        <v>97</v>
      </c>
      <c r="P320" s="2" t="s">
        <v>98</v>
      </c>
      <c r="Q320" s="2" t="s">
        <v>99</v>
      </c>
      <c r="R320" s="2" t="s">
        <v>100</v>
      </c>
      <c r="S320" s="2" t="s">
        <v>1586</v>
      </c>
      <c r="T320" s="2" t="s">
        <v>100</v>
      </c>
      <c r="U320" s="2" t="s">
        <v>901</v>
      </c>
      <c r="V320" s="2" t="s">
        <v>461</v>
      </c>
      <c r="W320" s="2" t="s">
        <v>609</v>
      </c>
      <c r="X320" s="2" t="s">
        <v>1587</v>
      </c>
      <c r="Y320" s="2" t="s">
        <v>1588</v>
      </c>
      <c r="Z320" s="4">
        <v>351</v>
      </c>
      <c r="AA320" s="4">
        <f>=ROUNDDOWN(184.736842105263,0)</f>
      </c>
      <c r="AB320" s="5">
        <v>1.9</v>
      </c>
      <c r="AC320" s="2" t="s">
        <v>958</v>
      </c>
      <c r="AD320" s="4">
        <v>100</v>
      </c>
      <c r="AE320" s="4">
        <v>100</v>
      </c>
      <c r="AF320" s="6">
        <v>65</v>
      </c>
      <c r="AG320" s="6">
        <v>73</v>
      </c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/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/>
      <c r="BJ320" s="4">
        <v>12</v>
      </c>
      <c r="BK320" s="8">
        <v>607.27</v>
      </c>
      <c r="BL320" s="2" t="s">
        <v>1589</v>
      </c>
      <c r="BM320" s="7"/>
      <c r="BN320" s="7"/>
      <c r="BO320" s="4"/>
      <c r="BP320" s="8"/>
      <c r="BQ320" s="4"/>
      <c r="BR320" s="8"/>
      <c r="BS320" s="7"/>
      <c r="BT320" s="7"/>
      <c r="BU320" s="2" t="s">
        <v>109</v>
      </c>
      <c r="BV320" s="2" t="s">
        <v>97</v>
      </c>
      <c r="BW320" s="2" t="s">
        <v>1076</v>
      </c>
      <c r="BX320" s="2" t="s">
        <v>1535</v>
      </c>
      <c r="BY320" s="2" t="s">
        <v>112</v>
      </c>
      <c r="BZ320" s="2" t="s">
        <v>100</v>
      </c>
    </row>
    <row r="321">
      <c r="A321" s="2" t="s">
        <v>1590</v>
      </c>
      <c r="B321" s="2" t="s">
        <v>87</v>
      </c>
      <c r="C321" s="2" t="s">
        <v>88</v>
      </c>
      <c r="D321" s="2" t="s">
        <v>1496</v>
      </c>
      <c r="E321" s="2" t="s">
        <v>1497</v>
      </c>
      <c r="F321" s="2" t="s">
        <v>1582</v>
      </c>
      <c r="G321" s="2" t="s">
        <v>1583</v>
      </c>
      <c r="H321" s="2" t="s">
        <v>1584</v>
      </c>
      <c r="I321" s="2" t="s">
        <v>1585</v>
      </c>
      <c r="J321" s="2" t="s">
        <v>529</v>
      </c>
      <c r="K321" s="2" t="s">
        <v>1373</v>
      </c>
      <c r="L321" s="3">
        <v>53.9</v>
      </c>
      <c r="M321" s="3">
        <v>56.59</v>
      </c>
      <c r="N321" s="3">
        <v>109.99</v>
      </c>
      <c r="O321" s="2" t="s">
        <v>97</v>
      </c>
      <c r="P321" s="2" t="s">
        <v>98</v>
      </c>
      <c r="Q321" s="2" t="s">
        <v>99</v>
      </c>
      <c r="R321" s="2" t="s">
        <v>100</v>
      </c>
      <c r="S321" s="2" t="s">
        <v>1586</v>
      </c>
      <c r="T321" s="2" t="s">
        <v>100</v>
      </c>
      <c r="U321" s="2" t="s">
        <v>901</v>
      </c>
      <c r="V321" s="2" t="s">
        <v>461</v>
      </c>
      <c r="W321" s="2" t="s">
        <v>609</v>
      </c>
      <c r="X321" s="2" t="s">
        <v>1587</v>
      </c>
      <c r="Y321" s="2" t="s">
        <v>1588</v>
      </c>
      <c r="Z321" s="4">
        <v>185</v>
      </c>
      <c r="AA321" s="4">
        <f>=ROUNDDOWN(50,0)</f>
      </c>
      <c r="AB321" s="5">
        <v>3.7</v>
      </c>
      <c r="AC321" s="2" t="s">
        <v>958</v>
      </c>
      <c r="AD321" s="4">
        <v>60</v>
      </c>
      <c r="AE321" s="4">
        <v>90</v>
      </c>
      <c r="AF321" s="6">
        <v>65</v>
      </c>
      <c r="AG321" s="6">
        <v>73</v>
      </c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/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/>
      <c r="BJ321" s="4">
        <v>21</v>
      </c>
      <c r="BK321" s="8">
        <v>1221.13</v>
      </c>
      <c r="BL321" s="2" t="s">
        <v>1591</v>
      </c>
      <c r="BM321" s="7"/>
      <c r="BN321" s="7"/>
      <c r="BO321" s="4"/>
      <c r="BP321" s="8"/>
      <c r="BQ321" s="4"/>
      <c r="BR321" s="8"/>
      <c r="BS321" s="7"/>
      <c r="BT321" s="7"/>
      <c r="BU321" s="2" t="s">
        <v>109</v>
      </c>
      <c r="BV321" s="2" t="s">
        <v>97</v>
      </c>
      <c r="BW321" s="2" t="s">
        <v>1076</v>
      </c>
      <c r="BX321" s="2" t="s">
        <v>1592</v>
      </c>
      <c r="BY321" s="2" t="s">
        <v>112</v>
      </c>
      <c r="BZ321" s="2" t="s">
        <v>100</v>
      </c>
    </row>
    <row r="322">
      <c r="A322" s="2" t="s">
        <v>1593</v>
      </c>
      <c r="B322" s="2" t="s">
        <v>87</v>
      </c>
      <c r="C322" s="2" t="s">
        <v>88</v>
      </c>
      <c r="D322" s="2" t="s">
        <v>1496</v>
      </c>
      <c r="E322" s="2" t="s">
        <v>1497</v>
      </c>
      <c r="F322" s="2" t="s">
        <v>518</v>
      </c>
      <c r="G322" s="2" t="s">
        <v>519</v>
      </c>
      <c r="H322" s="2" t="s">
        <v>520</v>
      </c>
      <c r="I322" s="2" t="s">
        <v>1594</v>
      </c>
      <c r="J322" s="2" t="s">
        <v>522</v>
      </c>
      <c r="K322" s="2" t="s">
        <v>523</v>
      </c>
      <c r="L322" s="3">
        <v>33.33</v>
      </c>
      <c r="M322" s="3">
        <v>35</v>
      </c>
      <c r="N322" s="3">
        <v>69.99</v>
      </c>
      <c r="O322" s="2" t="s">
        <v>97</v>
      </c>
      <c r="P322" s="2" t="s">
        <v>98</v>
      </c>
      <c r="Q322" s="2" t="s">
        <v>99</v>
      </c>
      <c r="R322" s="2" t="s">
        <v>100</v>
      </c>
      <c r="S322" s="2" t="s">
        <v>1595</v>
      </c>
      <c r="T322" s="2" t="s">
        <v>100</v>
      </c>
      <c r="U322" s="2" t="s">
        <v>901</v>
      </c>
      <c r="V322" s="2" t="s">
        <v>461</v>
      </c>
      <c r="W322" s="2" t="s">
        <v>142</v>
      </c>
      <c r="X322" s="2" t="s">
        <v>525</v>
      </c>
      <c r="Y322" s="2" t="s">
        <v>526</v>
      </c>
      <c r="Z322" s="4">
        <v>147</v>
      </c>
      <c r="AA322" s="4">
        <f>=ROUNDDOWN(21,0)</f>
      </c>
      <c r="AB322" s="5">
        <v>7</v>
      </c>
      <c r="AC322" s="2" t="s">
        <v>130</v>
      </c>
      <c r="AD322" s="4">
        <v>170</v>
      </c>
      <c r="AE322" s="4">
        <v>170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/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/>
      <c r="BJ322" s="4">
        <v>28</v>
      </c>
      <c r="BK322" s="8">
        <v>927.85</v>
      </c>
      <c r="BL322" s="2" t="s">
        <v>1596</v>
      </c>
      <c r="BM322" s="7"/>
      <c r="BN322" s="7"/>
      <c r="BO322" s="4"/>
      <c r="BP322" s="8"/>
      <c r="BQ322" s="4"/>
      <c r="BR322" s="8"/>
      <c r="BS322" s="7"/>
      <c r="BT322" s="7"/>
      <c r="BU322" s="2" t="s">
        <v>171</v>
      </c>
      <c r="BV322" s="2" t="s">
        <v>97</v>
      </c>
      <c r="BW322" s="2" t="s">
        <v>100</v>
      </c>
      <c r="BX322" s="2" t="s">
        <v>100</v>
      </c>
      <c r="BY322" s="2" t="s">
        <v>112</v>
      </c>
      <c r="BZ322" s="2" t="s">
        <v>100</v>
      </c>
    </row>
    <row r="323">
      <c r="A323" s="2" t="s">
        <v>1597</v>
      </c>
      <c r="B323" s="2" t="s">
        <v>87</v>
      </c>
      <c r="C323" s="2" t="s">
        <v>88</v>
      </c>
      <c r="D323" s="2" t="s">
        <v>1496</v>
      </c>
      <c r="E323" s="2" t="s">
        <v>1497</v>
      </c>
      <c r="F323" s="2" t="s">
        <v>518</v>
      </c>
      <c r="G323" s="2" t="s">
        <v>519</v>
      </c>
      <c r="H323" s="2" t="s">
        <v>520</v>
      </c>
      <c r="I323" s="2" t="s">
        <v>1594</v>
      </c>
      <c r="J323" s="2" t="s">
        <v>529</v>
      </c>
      <c r="K323" s="2" t="s">
        <v>523</v>
      </c>
      <c r="L323" s="3">
        <v>38.09</v>
      </c>
      <c r="M323" s="3">
        <v>39.99</v>
      </c>
      <c r="N323" s="3">
        <v>79.99</v>
      </c>
      <c r="O323" s="2" t="s">
        <v>97</v>
      </c>
      <c r="P323" s="2" t="s">
        <v>98</v>
      </c>
      <c r="Q323" s="2" t="s">
        <v>99</v>
      </c>
      <c r="R323" s="2" t="s">
        <v>100</v>
      </c>
      <c r="S323" s="2" t="s">
        <v>1595</v>
      </c>
      <c r="T323" s="2" t="s">
        <v>100</v>
      </c>
      <c r="U323" s="2" t="s">
        <v>901</v>
      </c>
      <c r="V323" s="2" t="s">
        <v>461</v>
      </c>
      <c r="W323" s="2" t="s">
        <v>142</v>
      </c>
      <c r="X323" s="2" t="s">
        <v>525</v>
      </c>
      <c r="Y323" s="2" t="s">
        <v>526</v>
      </c>
      <c r="Z323" s="4">
        <v>42</v>
      </c>
      <c r="AA323" s="4">
        <f>=ROUNDDOWN(4.2,0)</f>
      </c>
      <c r="AB323" s="5">
        <v>10</v>
      </c>
      <c r="AC323" s="2" t="s">
        <v>130</v>
      </c>
      <c r="AD323" s="4">
        <v>130</v>
      </c>
      <c r="AE323" s="4">
        <v>360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/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/>
      <c r="BJ323" s="4">
        <v>49</v>
      </c>
      <c r="BK323" s="8">
        <v>1797.91</v>
      </c>
      <c r="BL323" s="2" t="s">
        <v>1598</v>
      </c>
      <c r="BM323" s="7"/>
      <c r="BN323" s="7"/>
      <c r="BO323" s="4"/>
      <c r="BP323" s="8"/>
      <c r="BQ323" s="4"/>
      <c r="BR323" s="8"/>
      <c r="BS323" s="7"/>
      <c r="BT323" s="7"/>
      <c r="BU323" s="2" t="s">
        <v>171</v>
      </c>
      <c r="BV323" s="2" t="s">
        <v>97</v>
      </c>
      <c r="BW323" s="2" t="s">
        <v>100</v>
      </c>
      <c r="BX323" s="2" t="s">
        <v>100</v>
      </c>
      <c r="BY323" s="2" t="s">
        <v>112</v>
      </c>
      <c r="BZ323" s="2" t="s">
        <v>100</v>
      </c>
    </row>
    <row r="324">
      <c r="A324" s="2" t="s">
        <v>1599</v>
      </c>
      <c r="B324" s="2" t="s">
        <v>87</v>
      </c>
      <c r="C324" s="2" t="s">
        <v>88</v>
      </c>
      <c r="D324" s="2" t="s">
        <v>1496</v>
      </c>
      <c r="E324" s="2" t="s">
        <v>1497</v>
      </c>
      <c r="F324" s="2" t="s">
        <v>1600</v>
      </c>
      <c r="G324" s="2" t="s">
        <v>1601</v>
      </c>
      <c r="H324" s="2" t="s">
        <v>1602</v>
      </c>
      <c r="I324" s="2" t="s">
        <v>1603</v>
      </c>
      <c r="J324" s="2" t="s">
        <v>529</v>
      </c>
      <c r="K324" s="2" t="s">
        <v>892</v>
      </c>
      <c r="L324" s="3">
        <v>63.7</v>
      </c>
      <c r="M324" s="3">
        <v>66.88</v>
      </c>
      <c r="N324" s="3">
        <v>129.99</v>
      </c>
      <c r="O324" s="2" t="s">
        <v>97</v>
      </c>
      <c r="P324" s="2" t="s">
        <v>98</v>
      </c>
      <c r="Q324" s="2" t="s">
        <v>99</v>
      </c>
      <c r="R324" s="2" t="s">
        <v>100</v>
      </c>
      <c r="S324" s="2" t="s">
        <v>1604</v>
      </c>
      <c r="T324" s="2" t="s">
        <v>100</v>
      </c>
      <c r="U324" s="2" t="s">
        <v>901</v>
      </c>
      <c r="V324" s="2" t="s">
        <v>717</v>
      </c>
      <c r="W324" s="2" t="s">
        <v>717</v>
      </c>
      <c r="X324" s="2" t="s">
        <v>271</v>
      </c>
      <c r="Y324" s="2" t="s">
        <v>1544</v>
      </c>
      <c r="Z324" s="4">
        <v>281</v>
      </c>
      <c r="AA324" s="4">
        <f>=ROUNDDOWN(28.1,0)</f>
      </c>
      <c r="AB324" s="5">
        <v>10</v>
      </c>
      <c r="AC324" s="2" t="s">
        <v>990</v>
      </c>
      <c r="AD324" s="4">
        <v>60</v>
      </c>
      <c r="AE324" s="4">
        <v>110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>
        <v>36</v>
      </c>
      <c r="BK324" s="8">
        <v>2395.7</v>
      </c>
      <c r="BL324" s="2" t="s">
        <v>1605</v>
      </c>
      <c r="BM324" s="7"/>
      <c r="BN324" s="7"/>
      <c r="BO324" s="4"/>
      <c r="BP324" s="8"/>
      <c r="BQ324" s="4"/>
      <c r="BR324" s="8"/>
      <c r="BS324" s="7"/>
      <c r="BT324" s="7"/>
      <c r="BU324" s="2" t="s">
        <v>109</v>
      </c>
      <c r="BV324" s="2" t="s">
        <v>97</v>
      </c>
      <c r="BW324" s="2" t="s">
        <v>198</v>
      </c>
      <c r="BX324" s="2" t="s">
        <v>1606</v>
      </c>
      <c r="BY324" s="2" t="s">
        <v>112</v>
      </c>
      <c r="BZ324" s="2" t="s">
        <v>100</v>
      </c>
    </row>
    <row r="325">
      <c r="A325" s="2" t="s">
        <v>1607</v>
      </c>
      <c r="B325" s="2" t="s">
        <v>87</v>
      </c>
      <c r="C325" s="2" t="s">
        <v>88</v>
      </c>
      <c r="D325" s="2" t="s">
        <v>1496</v>
      </c>
      <c r="E325" s="2" t="s">
        <v>1497</v>
      </c>
      <c r="F325" s="2" t="s">
        <v>575</v>
      </c>
      <c r="G325" s="2" t="s">
        <v>576</v>
      </c>
      <c r="H325" s="2" t="s">
        <v>577</v>
      </c>
      <c r="I325" s="2" t="s">
        <v>1608</v>
      </c>
      <c r="J325" s="2" t="s">
        <v>522</v>
      </c>
      <c r="K325" s="2" t="s">
        <v>223</v>
      </c>
      <c r="L325" s="3">
        <v>32.2</v>
      </c>
      <c r="M325" s="3">
        <v>33.81</v>
      </c>
      <c r="N325" s="3">
        <v>69.99</v>
      </c>
      <c r="O325" s="2" t="s">
        <v>97</v>
      </c>
      <c r="P325" s="2" t="s">
        <v>98</v>
      </c>
      <c r="Q325" s="2" t="s">
        <v>99</v>
      </c>
      <c r="R325" s="2" t="s">
        <v>100</v>
      </c>
      <c r="S325" s="2" t="s">
        <v>1609</v>
      </c>
      <c r="T325" s="2" t="s">
        <v>190</v>
      </c>
      <c r="U325" s="2" t="s">
        <v>901</v>
      </c>
      <c r="V325" s="2" t="s">
        <v>192</v>
      </c>
      <c r="W325" s="2" t="s">
        <v>193</v>
      </c>
      <c r="X325" s="2" t="s">
        <v>580</v>
      </c>
      <c r="Y325" s="2" t="s">
        <v>581</v>
      </c>
      <c r="Z325" s="4">
        <v>162</v>
      </c>
      <c r="AA325" s="4">
        <f>=ROUNDDOWN(16.2,0)</f>
      </c>
      <c r="AB325" s="5">
        <v>10</v>
      </c>
      <c r="AC325" s="2" t="s">
        <v>1094</v>
      </c>
      <c r="AD325" s="4">
        <v>100</v>
      </c>
      <c r="AE325" s="4">
        <v>200</v>
      </c>
      <c r="AF325" s="6">
        <v>65</v>
      </c>
      <c r="AG325" s="6">
        <v>73</v>
      </c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/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/>
      <c r="BJ325" s="4">
        <v>25</v>
      </c>
      <c r="BK325" s="8">
        <v>814.82</v>
      </c>
      <c r="BL325" s="2" t="s">
        <v>1610</v>
      </c>
      <c r="BM325" s="7"/>
      <c r="BN325" s="7"/>
      <c r="BO325" s="4"/>
      <c r="BP325" s="8"/>
      <c r="BQ325" s="4"/>
      <c r="BR325" s="8"/>
      <c r="BS325" s="7"/>
      <c r="BT325" s="7"/>
      <c r="BU325" s="2" t="s">
        <v>171</v>
      </c>
      <c r="BV325" s="2" t="s">
        <v>97</v>
      </c>
      <c r="BW325" s="2" t="s">
        <v>100</v>
      </c>
      <c r="BX325" s="2" t="s">
        <v>100</v>
      </c>
      <c r="BY325" s="2" t="s">
        <v>112</v>
      </c>
      <c r="BZ325" s="2" t="s">
        <v>100</v>
      </c>
    </row>
    <row r="326">
      <c r="A326" s="2" t="s">
        <v>1611</v>
      </c>
      <c r="B326" s="2" t="s">
        <v>87</v>
      </c>
      <c r="C326" s="2" t="s">
        <v>88</v>
      </c>
      <c r="D326" s="2" t="s">
        <v>1496</v>
      </c>
      <c r="E326" s="2" t="s">
        <v>1497</v>
      </c>
      <c r="F326" s="2" t="s">
        <v>575</v>
      </c>
      <c r="G326" s="2" t="s">
        <v>576</v>
      </c>
      <c r="H326" s="2" t="s">
        <v>577</v>
      </c>
      <c r="I326" s="2" t="s">
        <v>1608</v>
      </c>
      <c r="J326" s="2" t="s">
        <v>529</v>
      </c>
      <c r="K326" s="2" t="s">
        <v>223</v>
      </c>
      <c r="L326" s="3">
        <v>36.8</v>
      </c>
      <c r="M326" s="3">
        <v>38.64</v>
      </c>
      <c r="N326" s="3">
        <v>79.99</v>
      </c>
      <c r="O326" s="2" t="s">
        <v>97</v>
      </c>
      <c r="P326" s="2" t="s">
        <v>98</v>
      </c>
      <c r="Q326" s="2" t="s">
        <v>99</v>
      </c>
      <c r="R326" s="2" t="s">
        <v>100</v>
      </c>
      <c r="S326" s="2" t="s">
        <v>1609</v>
      </c>
      <c r="T326" s="2" t="s">
        <v>190</v>
      </c>
      <c r="U326" s="2" t="s">
        <v>901</v>
      </c>
      <c r="V326" s="2" t="s">
        <v>192</v>
      </c>
      <c r="W326" s="2" t="s">
        <v>193</v>
      </c>
      <c r="X326" s="2" t="s">
        <v>580</v>
      </c>
      <c r="Y326" s="2" t="s">
        <v>581</v>
      </c>
      <c r="Z326" s="4">
        <v>161</v>
      </c>
      <c r="AA326" s="4">
        <f>=ROUNDDOWN(17.8888888888889,0)</f>
      </c>
      <c r="AB326" s="5">
        <v>9</v>
      </c>
      <c r="AC326" s="2" t="s">
        <v>582</v>
      </c>
      <c r="AD326" s="4">
        <v>30</v>
      </c>
      <c r="AE326" s="4">
        <v>130</v>
      </c>
      <c r="AF326" s="6">
        <v>65</v>
      </c>
      <c r="AG326" s="6">
        <v>73</v>
      </c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/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/>
      <c r="BJ326" s="4">
        <v>26</v>
      </c>
      <c r="BK326" s="8">
        <v>1004.06</v>
      </c>
      <c r="BL326" s="2" t="s">
        <v>1612</v>
      </c>
      <c r="BM326" s="7"/>
      <c r="BN326" s="7"/>
      <c r="BO326" s="4"/>
      <c r="BP326" s="8"/>
      <c r="BQ326" s="4"/>
      <c r="BR326" s="8"/>
      <c r="BS326" s="7"/>
      <c r="BT326" s="7"/>
      <c r="BU326" s="2" t="s">
        <v>171</v>
      </c>
      <c r="BV326" s="2" t="s">
        <v>97</v>
      </c>
      <c r="BW326" s="2" t="s">
        <v>100</v>
      </c>
      <c r="BX326" s="2" t="s">
        <v>100</v>
      </c>
      <c r="BY326" s="2" t="s">
        <v>112</v>
      </c>
      <c r="BZ326" s="2" t="s">
        <v>100</v>
      </c>
    </row>
    <row r="327">
      <c r="A327" s="2" t="s">
        <v>1613</v>
      </c>
      <c r="B327" s="2" t="s">
        <v>87</v>
      </c>
      <c r="C327" s="2" t="s">
        <v>88</v>
      </c>
      <c r="D327" s="2" t="s">
        <v>1496</v>
      </c>
      <c r="E327" s="2" t="s">
        <v>1497</v>
      </c>
      <c r="F327" s="2" t="s">
        <v>681</v>
      </c>
      <c r="G327" s="2" t="s">
        <v>682</v>
      </c>
      <c r="H327" s="2" t="s">
        <v>683</v>
      </c>
      <c r="I327" s="2" t="s">
        <v>1614</v>
      </c>
      <c r="J327" s="2" t="s">
        <v>522</v>
      </c>
      <c r="K327" s="2" t="s">
        <v>626</v>
      </c>
      <c r="L327" s="3">
        <v>32.2</v>
      </c>
      <c r="M327" s="3">
        <v>33.81</v>
      </c>
      <c r="N327" s="3">
        <v>69.99</v>
      </c>
      <c r="O327" s="2" t="s">
        <v>97</v>
      </c>
      <c r="P327" s="2" t="s">
        <v>98</v>
      </c>
      <c r="Q327" s="2" t="s">
        <v>99</v>
      </c>
      <c r="R327" s="2" t="s">
        <v>100</v>
      </c>
      <c r="S327" s="2" t="s">
        <v>1615</v>
      </c>
      <c r="T327" s="2" t="s">
        <v>100</v>
      </c>
      <c r="U327" s="2" t="s">
        <v>901</v>
      </c>
      <c r="V327" s="2" t="s">
        <v>192</v>
      </c>
      <c r="W327" s="2" t="s">
        <v>686</v>
      </c>
      <c r="X327" s="2" t="s">
        <v>193</v>
      </c>
      <c r="Y327" s="2" t="s">
        <v>687</v>
      </c>
      <c r="Z327" s="4">
        <v>185</v>
      </c>
      <c r="AA327" s="4">
        <f>=ROUNDDOWN(26.4285714285714,0)</f>
      </c>
      <c r="AB327" s="5">
        <v>7</v>
      </c>
      <c r="AC327" s="2" t="s">
        <v>100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/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/>
      <c r="BJ327" s="4">
        <v>16</v>
      </c>
      <c r="BK327" s="8">
        <v>528.11</v>
      </c>
      <c r="BL327" s="2" t="s">
        <v>480</v>
      </c>
      <c r="BM327" s="7"/>
      <c r="BN327" s="7"/>
      <c r="BO327" s="4"/>
      <c r="BP327" s="8"/>
      <c r="BQ327" s="4"/>
      <c r="BR327" s="8"/>
      <c r="BS327" s="7"/>
      <c r="BT327" s="7"/>
      <c r="BU327" s="2" t="s">
        <v>171</v>
      </c>
      <c r="BV327" s="2" t="s">
        <v>97</v>
      </c>
      <c r="BW327" s="2" t="s">
        <v>100</v>
      </c>
      <c r="BX327" s="2" t="s">
        <v>100</v>
      </c>
      <c r="BY327" s="2" t="s">
        <v>112</v>
      </c>
      <c r="BZ327" s="2" t="s">
        <v>100</v>
      </c>
    </row>
    <row r="328">
      <c r="A328" s="2" t="s">
        <v>1616</v>
      </c>
      <c r="B328" s="2" t="s">
        <v>87</v>
      </c>
      <c r="C328" s="2" t="s">
        <v>88</v>
      </c>
      <c r="D328" s="2" t="s">
        <v>1496</v>
      </c>
      <c r="E328" s="2" t="s">
        <v>1497</v>
      </c>
      <c r="F328" s="2" t="s">
        <v>681</v>
      </c>
      <c r="G328" s="2" t="s">
        <v>682</v>
      </c>
      <c r="H328" s="2" t="s">
        <v>683</v>
      </c>
      <c r="I328" s="2" t="s">
        <v>1614</v>
      </c>
      <c r="J328" s="2" t="s">
        <v>529</v>
      </c>
      <c r="K328" s="2" t="s">
        <v>626</v>
      </c>
      <c r="L328" s="3">
        <v>36.8</v>
      </c>
      <c r="M328" s="3">
        <v>38.64</v>
      </c>
      <c r="N328" s="3">
        <v>79.99</v>
      </c>
      <c r="O328" s="2" t="s">
        <v>97</v>
      </c>
      <c r="P328" s="2" t="s">
        <v>98</v>
      </c>
      <c r="Q328" s="2" t="s">
        <v>99</v>
      </c>
      <c r="R328" s="2" t="s">
        <v>100</v>
      </c>
      <c r="S328" s="2" t="s">
        <v>1615</v>
      </c>
      <c r="T328" s="2" t="s">
        <v>100</v>
      </c>
      <c r="U328" s="2" t="s">
        <v>901</v>
      </c>
      <c r="V328" s="2" t="s">
        <v>192</v>
      </c>
      <c r="W328" s="2" t="s">
        <v>686</v>
      </c>
      <c r="X328" s="2" t="s">
        <v>193</v>
      </c>
      <c r="Y328" s="2" t="s">
        <v>687</v>
      </c>
      <c r="Z328" s="4">
        <v>197</v>
      </c>
      <c r="AA328" s="4">
        <f>=ROUNDDOWN(28.1428571428571,0)</f>
      </c>
      <c r="AB328" s="5">
        <v>7</v>
      </c>
      <c r="AC328" s="2" t="s">
        <v>100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/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/>
      <c r="BJ328" s="4">
        <v>16</v>
      </c>
      <c r="BK328" s="8">
        <v>658.6</v>
      </c>
      <c r="BL328" s="2" t="s">
        <v>1617</v>
      </c>
      <c r="BM328" s="7"/>
      <c r="BN328" s="7"/>
      <c r="BO328" s="4"/>
      <c r="BP328" s="8"/>
      <c r="BQ328" s="4"/>
      <c r="BR328" s="8"/>
      <c r="BS328" s="7"/>
      <c r="BT328" s="7"/>
      <c r="BU328" s="2" t="s">
        <v>171</v>
      </c>
      <c r="BV328" s="2" t="s">
        <v>97</v>
      </c>
      <c r="BW328" s="2" t="s">
        <v>100</v>
      </c>
      <c r="BX328" s="2" t="s">
        <v>100</v>
      </c>
      <c r="BY328" s="2" t="s">
        <v>112</v>
      </c>
      <c r="BZ328" s="2" t="s">
        <v>100</v>
      </c>
    </row>
    <row r="329">
      <c r="A329" s="2" t="s">
        <v>1618</v>
      </c>
      <c r="B329" s="2" t="s">
        <v>87</v>
      </c>
      <c r="C329" s="2" t="s">
        <v>88</v>
      </c>
      <c r="D329" s="2" t="s">
        <v>1496</v>
      </c>
      <c r="E329" s="2" t="s">
        <v>1497</v>
      </c>
      <c r="F329" s="2" t="s">
        <v>916</v>
      </c>
      <c r="G329" s="2" t="s">
        <v>917</v>
      </c>
      <c r="H329" s="2" t="s">
        <v>348</v>
      </c>
      <c r="I329" s="2" t="s">
        <v>1608</v>
      </c>
      <c r="J329" s="2" t="s">
        <v>522</v>
      </c>
      <c r="K329" s="2" t="s">
        <v>892</v>
      </c>
      <c r="L329" s="3">
        <v>55.78</v>
      </c>
      <c r="M329" s="3">
        <v>58.57</v>
      </c>
      <c r="N329" s="3">
        <v>124.99</v>
      </c>
      <c r="O329" s="2" t="s">
        <v>97</v>
      </c>
      <c r="P329" s="2" t="s">
        <v>98</v>
      </c>
      <c r="Q329" s="2" t="s">
        <v>99</v>
      </c>
      <c r="R329" s="2" t="s">
        <v>100</v>
      </c>
      <c r="S329" s="2" t="s">
        <v>1619</v>
      </c>
      <c r="T329" s="2" t="s">
        <v>190</v>
      </c>
      <c r="U329" s="2" t="s">
        <v>901</v>
      </c>
      <c r="V329" s="2" t="s">
        <v>461</v>
      </c>
      <c r="W329" s="2" t="s">
        <v>193</v>
      </c>
      <c r="X329" s="2" t="s">
        <v>580</v>
      </c>
      <c r="Y329" s="2" t="s">
        <v>920</v>
      </c>
      <c r="Z329" s="4">
        <v>227</v>
      </c>
      <c r="AA329" s="4">
        <f>=ROUNDDOWN(75.6666666666667,0)</f>
      </c>
      <c r="AB329" s="5">
        <v>3</v>
      </c>
      <c r="AC329" s="2" t="s">
        <v>100</v>
      </c>
      <c r="AD329" s="4"/>
      <c r="AE329" s="4"/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/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/>
      <c r="BJ329" s="4">
        <v>8</v>
      </c>
      <c r="BK329" s="8">
        <v>494.9</v>
      </c>
      <c r="BL329" s="2" t="s">
        <v>1620</v>
      </c>
      <c r="BM329" s="7"/>
      <c r="BN329" s="7"/>
      <c r="BO329" s="4"/>
      <c r="BP329" s="8"/>
      <c r="BQ329" s="4"/>
      <c r="BR329" s="8"/>
      <c r="BS329" s="7"/>
      <c r="BT329" s="7"/>
      <c r="BU329" s="2" t="s">
        <v>171</v>
      </c>
      <c r="BV329" s="2" t="s">
        <v>97</v>
      </c>
      <c r="BW329" s="2" t="s">
        <v>100</v>
      </c>
      <c r="BX329" s="2" t="s">
        <v>100</v>
      </c>
      <c r="BY329" s="2" t="s">
        <v>112</v>
      </c>
      <c r="BZ329" s="2" t="s">
        <v>100</v>
      </c>
    </row>
    <row r="330">
      <c r="A330" s="2" t="s">
        <v>1621</v>
      </c>
      <c r="B330" s="2" t="s">
        <v>87</v>
      </c>
      <c r="C330" s="2" t="s">
        <v>88</v>
      </c>
      <c r="D330" s="2" t="s">
        <v>1496</v>
      </c>
      <c r="E330" s="2" t="s">
        <v>1497</v>
      </c>
      <c r="F330" s="2" t="s">
        <v>916</v>
      </c>
      <c r="G330" s="2" t="s">
        <v>917</v>
      </c>
      <c r="H330" s="2" t="s">
        <v>348</v>
      </c>
      <c r="I330" s="2" t="s">
        <v>1608</v>
      </c>
      <c r="J330" s="2" t="s">
        <v>529</v>
      </c>
      <c r="K330" s="2" t="s">
        <v>892</v>
      </c>
      <c r="L330" s="3">
        <v>60.85</v>
      </c>
      <c r="M330" s="3">
        <v>63.9</v>
      </c>
      <c r="N330" s="3">
        <v>134.99</v>
      </c>
      <c r="O330" s="2" t="s">
        <v>97</v>
      </c>
      <c r="P330" s="2" t="s">
        <v>98</v>
      </c>
      <c r="Q330" s="2" t="s">
        <v>99</v>
      </c>
      <c r="R330" s="2" t="s">
        <v>100</v>
      </c>
      <c r="S330" s="2" t="s">
        <v>1619</v>
      </c>
      <c r="T330" s="2" t="s">
        <v>190</v>
      </c>
      <c r="U330" s="2" t="s">
        <v>901</v>
      </c>
      <c r="V330" s="2" t="s">
        <v>461</v>
      </c>
      <c r="W330" s="2" t="s">
        <v>193</v>
      </c>
      <c r="X330" s="2" t="s">
        <v>580</v>
      </c>
      <c r="Y330" s="2" t="s">
        <v>920</v>
      </c>
      <c r="Z330" s="4">
        <v>169</v>
      </c>
      <c r="AA330" s="4">
        <f>=ROUNDDOWN(56.3333333333333,0)</f>
      </c>
      <c r="AB330" s="5">
        <v>3</v>
      </c>
      <c r="AC330" s="2" t="s">
        <v>100</v>
      </c>
      <c r="AD330" s="4"/>
      <c r="AE330" s="4"/>
      <c r="AF330" s="6">
        <v>69</v>
      </c>
      <c r="AG330" s="6"/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/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/>
      <c r="BJ330" s="4">
        <v>7</v>
      </c>
      <c r="BK330" s="8">
        <v>524.88</v>
      </c>
      <c r="BL330" s="2" t="s">
        <v>1622</v>
      </c>
      <c r="BM330" s="7"/>
      <c r="BN330" s="7"/>
      <c r="BO330" s="4"/>
      <c r="BP330" s="8"/>
      <c r="BQ330" s="4"/>
      <c r="BR330" s="8"/>
      <c r="BS330" s="7"/>
      <c r="BT330" s="7"/>
      <c r="BU330" s="2" t="s">
        <v>171</v>
      </c>
      <c r="BV330" s="2" t="s">
        <v>97</v>
      </c>
      <c r="BW330" s="2" t="s">
        <v>100</v>
      </c>
      <c r="BX330" s="2" t="s">
        <v>100</v>
      </c>
      <c r="BY330" s="2" t="s">
        <v>112</v>
      </c>
      <c r="BZ330" s="2" t="s">
        <v>100</v>
      </c>
    </row>
    <row r="331">
      <c r="A331" s="2" t="s">
        <v>1623</v>
      </c>
      <c r="B331" s="2" t="s">
        <v>87</v>
      </c>
      <c r="C331" s="2" t="s">
        <v>88</v>
      </c>
      <c r="D331" s="2" t="s">
        <v>1496</v>
      </c>
      <c r="E331" s="2" t="s">
        <v>1497</v>
      </c>
      <c r="F331" s="2" t="s">
        <v>1024</v>
      </c>
      <c r="G331" s="2" t="s">
        <v>1025</v>
      </c>
      <c r="H331" s="2" t="s">
        <v>1026</v>
      </c>
      <c r="I331" s="2" t="s">
        <v>1552</v>
      </c>
      <c r="J331" s="2" t="s">
        <v>522</v>
      </c>
      <c r="K331" s="2" t="s">
        <v>892</v>
      </c>
      <c r="L331" s="3">
        <v>53.9</v>
      </c>
      <c r="M331" s="3">
        <v>56.59</v>
      </c>
      <c r="N331" s="3">
        <v>109.99</v>
      </c>
      <c r="O331" s="2" t="s">
        <v>97</v>
      </c>
      <c r="P331" s="2" t="s">
        <v>98</v>
      </c>
      <c r="Q331" s="2" t="s">
        <v>99</v>
      </c>
      <c r="R331" s="2" t="s">
        <v>100</v>
      </c>
      <c r="S331" s="2" t="s">
        <v>1028</v>
      </c>
      <c r="T331" s="2" t="s">
        <v>100</v>
      </c>
      <c r="U331" s="2" t="s">
        <v>901</v>
      </c>
      <c r="V331" s="2" t="s">
        <v>103</v>
      </c>
      <c r="W331" s="2" t="s">
        <v>193</v>
      </c>
      <c r="X331" s="2" t="s">
        <v>462</v>
      </c>
      <c r="Y331" s="2" t="s">
        <v>1624</v>
      </c>
      <c r="Z331" s="4">
        <v>112</v>
      </c>
      <c r="AA331" s="4">
        <f>=ROUNDDOWN(37.3333333333333,0)</f>
      </c>
      <c r="AB331" s="5">
        <v>3</v>
      </c>
      <c r="AC331" s="2" t="s">
        <v>990</v>
      </c>
      <c r="AD331" s="4">
        <v>30</v>
      </c>
      <c r="AE331" s="4">
        <v>30</v>
      </c>
      <c r="AF331" s="6">
        <v>69</v>
      </c>
      <c r="AG331" s="6"/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/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/>
      <c r="BJ331" s="4">
        <v>7</v>
      </c>
      <c r="BK331" s="8">
        <v>404.97</v>
      </c>
      <c r="BL331" s="2" t="s">
        <v>1625</v>
      </c>
      <c r="BM331" s="7"/>
      <c r="BN331" s="7"/>
      <c r="BO331" s="4"/>
      <c r="BP331" s="8"/>
      <c r="BQ331" s="4"/>
      <c r="BR331" s="8"/>
      <c r="BS331" s="7"/>
      <c r="BT331" s="7"/>
      <c r="BU331" s="2" t="s">
        <v>109</v>
      </c>
      <c r="BV331" s="2" t="s">
        <v>97</v>
      </c>
      <c r="BW331" s="2" t="s">
        <v>1626</v>
      </c>
      <c r="BX331" s="2" t="s">
        <v>203</v>
      </c>
      <c r="BY331" s="2" t="s">
        <v>112</v>
      </c>
      <c r="BZ331" s="2" t="s">
        <v>100</v>
      </c>
    </row>
    <row r="332">
      <c r="A332" s="2" t="s">
        <v>1627</v>
      </c>
      <c r="B332" s="2" t="s">
        <v>87</v>
      </c>
      <c r="C332" s="2" t="s">
        <v>88</v>
      </c>
      <c r="D332" s="2" t="s">
        <v>1496</v>
      </c>
      <c r="E332" s="2" t="s">
        <v>1497</v>
      </c>
      <c r="F332" s="2" t="s">
        <v>1024</v>
      </c>
      <c r="G332" s="2" t="s">
        <v>1025</v>
      </c>
      <c r="H332" s="2" t="s">
        <v>1026</v>
      </c>
      <c r="I332" s="2" t="s">
        <v>1552</v>
      </c>
      <c r="J332" s="2" t="s">
        <v>529</v>
      </c>
      <c r="K332" s="2" t="s">
        <v>892</v>
      </c>
      <c r="L332" s="3">
        <v>63.7</v>
      </c>
      <c r="M332" s="3">
        <v>66.88</v>
      </c>
      <c r="N332" s="3">
        <v>129.99</v>
      </c>
      <c r="O332" s="2" t="s">
        <v>97</v>
      </c>
      <c r="P332" s="2" t="s">
        <v>98</v>
      </c>
      <c r="Q332" s="2" t="s">
        <v>99</v>
      </c>
      <c r="R332" s="2" t="s">
        <v>100</v>
      </c>
      <c r="S332" s="2" t="s">
        <v>1028</v>
      </c>
      <c r="T332" s="2" t="s">
        <v>100</v>
      </c>
      <c r="U332" s="2" t="s">
        <v>901</v>
      </c>
      <c r="V332" s="2" t="s">
        <v>103</v>
      </c>
      <c r="W332" s="2" t="s">
        <v>193</v>
      </c>
      <c r="X332" s="2" t="s">
        <v>462</v>
      </c>
      <c r="Y332" s="2" t="s">
        <v>1624</v>
      </c>
      <c r="Z332" s="4">
        <v>110</v>
      </c>
      <c r="AA332" s="4">
        <f>=ROUNDDOWN(36.6666666666667,0)</f>
      </c>
      <c r="AB332" s="5">
        <v>3</v>
      </c>
      <c r="AC332" s="2" t="s">
        <v>958</v>
      </c>
      <c r="AD332" s="4">
        <v>30</v>
      </c>
      <c r="AE332" s="4">
        <v>30</v>
      </c>
      <c r="AF332" s="6">
        <v>69</v>
      </c>
      <c r="AG332" s="6"/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/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/>
      <c r="BJ332" s="4">
        <v>12</v>
      </c>
      <c r="BK332" s="8">
        <v>793.58</v>
      </c>
      <c r="BL332" s="2" t="s">
        <v>1628</v>
      </c>
      <c r="BM332" s="7"/>
      <c r="BN332" s="7"/>
      <c r="BO332" s="4"/>
      <c r="BP332" s="8"/>
      <c r="BQ332" s="4"/>
      <c r="BR332" s="8"/>
      <c r="BS332" s="7"/>
      <c r="BT332" s="7"/>
      <c r="BU332" s="2" t="s">
        <v>109</v>
      </c>
      <c r="BV332" s="2" t="s">
        <v>97</v>
      </c>
      <c r="BW332" s="2" t="s">
        <v>1626</v>
      </c>
      <c r="BX332" s="2" t="s">
        <v>199</v>
      </c>
      <c r="BY332" s="2" t="s">
        <v>112</v>
      </c>
      <c r="BZ332" s="2" t="s">
        <v>100</v>
      </c>
    </row>
    <row r="333">
      <c r="A333" s="2" t="s">
        <v>1629</v>
      </c>
      <c r="B333" s="2" t="s">
        <v>87</v>
      </c>
      <c r="C333" s="2" t="s">
        <v>88</v>
      </c>
      <c r="D333" s="2" t="s">
        <v>1496</v>
      </c>
      <c r="E333" s="2" t="s">
        <v>1497</v>
      </c>
      <c r="F333" s="2" t="s">
        <v>760</v>
      </c>
      <c r="G333" s="2" t="s">
        <v>761</v>
      </c>
      <c r="H333" s="2" t="s">
        <v>762</v>
      </c>
      <c r="I333" s="2" t="s">
        <v>1630</v>
      </c>
      <c r="J333" s="2" t="s">
        <v>522</v>
      </c>
      <c r="K333" s="2" t="s">
        <v>446</v>
      </c>
      <c r="L333" s="3">
        <v>23.8</v>
      </c>
      <c r="M333" s="3">
        <v>24.99</v>
      </c>
      <c r="N333" s="3">
        <v>49.99</v>
      </c>
      <c r="O333" s="2" t="s">
        <v>97</v>
      </c>
      <c r="P333" s="2" t="s">
        <v>98</v>
      </c>
      <c r="Q333" s="2" t="s">
        <v>99</v>
      </c>
      <c r="R333" s="2" t="s">
        <v>100</v>
      </c>
      <c r="S333" s="2" t="s">
        <v>1631</v>
      </c>
      <c r="T333" s="2" t="s">
        <v>100</v>
      </c>
      <c r="U333" s="2" t="s">
        <v>901</v>
      </c>
      <c r="V333" s="2" t="s">
        <v>367</v>
      </c>
      <c r="W333" s="2" t="s">
        <v>594</v>
      </c>
      <c r="X333" s="2" t="s">
        <v>609</v>
      </c>
      <c r="Y333" s="2" t="s">
        <v>765</v>
      </c>
      <c r="Z333" s="4">
        <v>111</v>
      </c>
      <c r="AA333" s="4">
        <f>=ROUNDDOWN(37,0)</f>
      </c>
      <c r="AB333" s="5">
        <v>3</v>
      </c>
      <c r="AC333" s="2" t="s">
        <v>145</v>
      </c>
      <c r="AD333" s="4">
        <v>60</v>
      </c>
      <c r="AE333" s="4">
        <v>60</v>
      </c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/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/>
      <c r="BJ333" s="4">
        <v>8</v>
      </c>
      <c r="BK333" s="8">
        <v>218.42</v>
      </c>
      <c r="BL333" s="2" t="s">
        <v>666</v>
      </c>
      <c r="BM333" s="7"/>
      <c r="BN333" s="7"/>
      <c r="BO333" s="4"/>
      <c r="BP333" s="8"/>
      <c r="BQ333" s="4"/>
      <c r="BR333" s="8"/>
      <c r="BS333" s="7"/>
      <c r="BT333" s="7"/>
      <c r="BU333" s="2" t="s">
        <v>171</v>
      </c>
      <c r="BV333" s="2" t="s">
        <v>97</v>
      </c>
      <c r="BW333" s="2" t="s">
        <v>100</v>
      </c>
      <c r="BX333" s="2" t="s">
        <v>100</v>
      </c>
      <c r="BY333" s="2" t="s">
        <v>112</v>
      </c>
      <c r="BZ333" s="2" t="s">
        <v>100</v>
      </c>
    </row>
    <row r="334">
      <c r="A334" s="2" t="s">
        <v>1632</v>
      </c>
      <c r="B334" s="2" t="s">
        <v>87</v>
      </c>
      <c r="C334" s="2" t="s">
        <v>88</v>
      </c>
      <c r="D334" s="2" t="s">
        <v>1496</v>
      </c>
      <c r="E334" s="2" t="s">
        <v>1497</v>
      </c>
      <c r="F334" s="2" t="s">
        <v>760</v>
      </c>
      <c r="G334" s="2" t="s">
        <v>761</v>
      </c>
      <c r="H334" s="2" t="s">
        <v>762</v>
      </c>
      <c r="I334" s="2" t="s">
        <v>1630</v>
      </c>
      <c r="J334" s="2" t="s">
        <v>529</v>
      </c>
      <c r="K334" s="2" t="s">
        <v>446</v>
      </c>
      <c r="L334" s="3">
        <v>28.57</v>
      </c>
      <c r="M334" s="3">
        <v>30</v>
      </c>
      <c r="N334" s="3">
        <v>59.99</v>
      </c>
      <c r="O334" s="2" t="s">
        <v>97</v>
      </c>
      <c r="P334" s="2" t="s">
        <v>98</v>
      </c>
      <c r="Q334" s="2" t="s">
        <v>99</v>
      </c>
      <c r="R334" s="2" t="s">
        <v>100</v>
      </c>
      <c r="S334" s="2" t="s">
        <v>1631</v>
      </c>
      <c r="T334" s="2" t="s">
        <v>100</v>
      </c>
      <c r="U334" s="2" t="s">
        <v>901</v>
      </c>
      <c r="V334" s="2" t="s">
        <v>367</v>
      </c>
      <c r="W334" s="2" t="s">
        <v>594</v>
      </c>
      <c r="X334" s="2" t="s">
        <v>609</v>
      </c>
      <c r="Y334" s="2" t="s">
        <v>765</v>
      </c>
      <c r="Z334" s="4">
        <v>250</v>
      </c>
      <c r="AA334" s="4">
        <f>=ROUNDDOWN(62.5,0)</f>
      </c>
      <c r="AB334" s="5">
        <v>4</v>
      </c>
      <c r="AC334" s="2" t="s">
        <v>100</v>
      </c>
      <c r="AD334" s="4"/>
      <c r="AE334" s="4"/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/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/>
      <c r="BJ334" s="4">
        <v>10</v>
      </c>
      <c r="BK334" s="8">
        <v>302.4</v>
      </c>
      <c r="BL334" s="2" t="s">
        <v>1503</v>
      </c>
      <c r="BM334" s="7"/>
      <c r="BN334" s="7"/>
      <c r="BO334" s="4"/>
      <c r="BP334" s="8"/>
      <c r="BQ334" s="4"/>
      <c r="BR334" s="8"/>
      <c r="BS334" s="7"/>
      <c r="BT334" s="7"/>
      <c r="BU334" s="2" t="s">
        <v>171</v>
      </c>
      <c r="BV334" s="2" t="s">
        <v>97</v>
      </c>
      <c r="BW334" s="2" t="s">
        <v>100</v>
      </c>
      <c r="BX334" s="2" t="s">
        <v>100</v>
      </c>
      <c r="BY334" s="2" t="s">
        <v>112</v>
      </c>
      <c r="BZ334" s="2" t="s">
        <v>100</v>
      </c>
    </row>
    <row r="335">
      <c r="A335" s="2" t="s">
        <v>1633</v>
      </c>
      <c r="B335" s="2" t="s">
        <v>87</v>
      </c>
      <c r="C335" s="2" t="s">
        <v>88</v>
      </c>
      <c r="D335" s="2" t="s">
        <v>1496</v>
      </c>
      <c r="E335" s="2" t="s">
        <v>1497</v>
      </c>
      <c r="F335" s="2" t="s">
        <v>925</v>
      </c>
      <c r="G335" s="2" t="s">
        <v>926</v>
      </c>
      <c r="H335" s="2" t="s">
        <v>927</v>
      </c>
      <c r="I335" s="2" t="s">
        <v>1634</v>
      </c>
      <c r="J335" s="2" t="s">
        <v>522</v>
      </c>
      <c r="K335" s="2" t="s">
        <v>892</v>
      </c>
      <c r="L335" s="3">
        <v>53.9</v>
      </c>
      <c r="M335" s="3">
        <v>56.6</v>
      </c>
      <c r="N335" s="3">
        <v>109.99</v>
      </c>
      <c r="O335" s="2" t="s">
        <v>97</v>
      </c>
      <c r="P335" s="2" t="s">
        <v>98</v>
      </c>
      <c r="Q335" s="2" t="s">
        <v>99</v>
      </c>
      <c r="R335" s="2" t="s">
        <v>100</v>
      </c>
      <c r="S335" s="2" t="s">
        <v>1635</v>
      </c>
      <c r="T335" s="2" t="s">
        <v>190</v>
      </c>
      <c r="U335" s="2" t="s">
        <v>901</v>
      </c>
      <c r="V335" s="2" t="s">
        <v>192</v>
      </c>
      <c r="W335" s="2" t="s">
        <v>193</v>
      </c>
      <c r="X335" s="2" t="s">
        <v>930</v>
      </c>
      <c r="Y335" s="2" t="s">
        <v>931</v>
      </c>
      <c r="Z335" s="4">
        <v>56</v>
      </c>
      <c r="AA335" s="4">
        <f>=ROUNDDOWN(6.22222222222222,0)</f>
      </c>
      <c r="AB335" s="5">
        <v>9</v>
      </c>
      <c r="AC335" s="2" t="s">
        <v>932</v>
      </c>
      <c r="AD335" s="4">
        <v>95</v>
      </c>
      <c r="AE335" s="4">
        <v>95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/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/>
      <c r="BJ335" s="4">
        <v>52</v>
      </c>
      <c r="BK335" s="8">
        <v>2999.7</v>
      </c>
      <c r="BL335" s="2" t="s">
        <v>1636</v>
      </c>
      <c r="BM335" s="7"/>
      <c r="BN335" s="7"/>
      <c r="BO335" s="4"/>
      <c r="BP335" s="8"/>
      <c r="BQ335" s="4"/>
      <c r="BR335" s="8"/>
      <c r="BS335" s="7"/>
      <c r="BT335" s="7"/>
      <c r="BU335" s="2" t="s">
        <v>171</v>
      </c>
      <c r="BV335" s="2" t="s">
        <v>97</v>
      </c>
      <c r="BW335" s="2" t="s">
        <v>100</v>
      </c>
      <c r="BX335" s="2" t="s">
        <v>100</v>
      </c>
      <c r="BY335" s="2" t="s">
        <v>112</v>
      </c>
      <c r="BZ335" s="2" t="s">
        <v>100</v>
      </c>
    </row>
    <row r="336">
      <c r="A336" s="2" t="s">
        <v>1637</v>
      </c>
      <c r="B336" s="2" t="s">
        <v>87</v>
      </c>
      <c r="C336" s="2" t="s">
        <v>88</v>
      </c>
      <c r="D336" s="2" t="s">
        <v>1496</v>
      </c>
      <c r="E336" s="2" t="s">
        <v>1497</v>
      </c>
      <c r="F336" s="2" t="s">
        <v>925</v>
      </c>
      <c r="G336" s="2" t="s">
        <v>926</v>
      </c>
      <c r="H336" s="2" t="s">
        <v>927</v>
      </c>
      <c r="I336" s="2" t="s">
        <v>1634</v>
      </c>
      <c r="J336" s="2" t="s">
        <v>529</v>
      </c>
      <c r="K336" s="2" t="s">
        <v>892</v>
      </c>
      <c r="L336" s="3">
        <v>63.7</v>
      </c>
      <c r="M336" s="3">
        <v>66.89</v>
      </c>
      <c r="N336" s="3">
        <v>129.99</v>
      </c>
      <c r="O336" s="2" t="s">
        <v>97</v>
      </c>
      <c r="P336" s="2" t="s">
        <v>98</v>
      </c>
      <c r="Q336" s="2" t="s">
        <v>99</v>
      </c>
      <c r="R336" s="2" t="s">
        <v>100</v>
      </c>
      <c r="S336" s="2" t="s">
        <v>1635</v>
      </c>
      <c r="T336" s="2" t="s">
        <v>190</v>
      </c>
      <c r="U336" s="2" t="s">
        <v>901</v>
      </c>
      <c r="V336" s="2" t="s">
        <v>192</v>
      </c>
      <c r="W336" s="2" t="s">
        <v>193</v>
      </c>
      <c r="X336" s="2" t="s">
        <v>930</v>
      </c>
      <c r="Y336" s="2" t="s">
        <v>931</v>
      </c>
      <c r="Z336" s="4">
        <v>71</v>
      </c>
      <c r="AA336" s="4">
        <f>=ROUNDDOWN(7.88888888888889,0)</f>
      </c>
      <c r="AB336" s="5">
        <v>9</v>
      </c>
      <c r="AC336" s="2" t="s">
        <v>932</v>
      </c>
      <c r="AD336" s="4">
        <v>80</v>
      </c>
      <c r="AE336" s="4">
        <v>80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/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/>
      <c r="BJ336" s="4">
        <v>36</v>
      </c>
      <c r="BK336" s="8">
        <v>2514.27</v>
      </c>
      <c r="BL336" s="2" t="s">
        <v>1638</v>
      </c>
      <c r="BM336" s="7"/>
      <c r="BN336" s="7"/>
      <c r="BO336" s="4"/>
      <c r="BP336" s="8"/>
      <c r="BQ336" s="4"/>
      <c r="BR336" s="8"/>
      <c r="BS336" s="7"/>
      <c r="BT336" s="7"/>
      <c r="BU336" s="2" t="s">
        <v>171</v>
      </c>
      <c r="BV336" s="2" t="s">
        <v>97</v>
      </c>
      <c r="BW336" s="2" t="s">
        <v>100</v>
      </c>
      <c r="BX336" s="2" t="s">
        <v>100</v>
      </c>
      <c r="BY336" s="2" t="s">
        <v>112</v>
      </c>
      <c r="BZ336" s="2" t="s">
        <v>100</v>
      </c>
    </row>
    <row r="337">
      <c r="A337" s="2" t="s">
        <v>1639</v>
      </c>
      <c r="B337" s="2" t="s">
        <v>87</v>
      </c>
      <c r="C337" s="2" t="s">
        <v>88</v>
      </c>
      <c r="D337" s="2" t="s">
        <v>1496</v>
      </c>
      <c r="E337" s="2" t="s">
        <v>1497</v>
      </c>
      <c r="F337" s="2" t="s">
        <v>925</v>
      </c>
      <c r="G337" s="2" t="s">
        <v>926</v>
      </c>
      <c r="H337" s="2" t="s">
        <v>927</v>
      </c>
      <c r="I337" s="2" t="s">
        <v>1634</v>
      </c>
      <c r="J337" s="2" t="s">
        <v>522</v>
      </c>
      <c r="K337" s="2" t="s">
        <v>1640</v>
      </c>
      <c r="L337" s="3">
        <v>53.9</v>
      </c>
      <c r="M337" s="3">
        <v>56.59</v>
      </c>
      <c r="N337" s="3">
        <v>109.99</v>
      </c>
      <c r="O337" s="2" t="s">
        <v>97</v>
      </c>
      <c r="P337" s="2" t="s">
        <v>98</v>
      </c>
      <c r="Q337" s="2" t="s">
        <v>99</v>
      </c>
      <c r="R337" s="2" t="s">
        <v>100</v>
      </c>
      <c r="S337" s="2" t="s">
        <v>1641</v>
      </c>
      <c r="T337" s="2" t="s">
        <v>190</v>
      </c>
      <c r="U337" s="2" t="s">
        <v>901</v>
      </c>
      <c r="V337" s="2" t="s">
        <v>192</v>
      </c>
      <c r="W337" s="2" t="s">
        <v>193</v>
      </c>
      <c r="X337" s="2" t="s">
        <v>930</v>
      </c>
      <c r="Y337" s="2" t="s">
        <v>1642</v>
      </c>
      <c r="Z337" s="4">
        <v>308</v>
      </c>
      <c r="AA337" s="4">
        <f>=ROUNDDOWN(38.5,0)</f>
      </c>
      <c r="AB337" s="5">
        <v>8</v>
      </c>
      <c r="AC337" s="2" t="s">
        <v>100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/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/>
      <c r="BJ337" s="4">
        <v>25</v>
      </c>
      <c r="BK337" s="8">
        <v>1398.41</v>
      </c>
      <c r="BL337" s="2" t="s">
        <v>1503</v>
      </c>
      <c r="BM337" s="7"/>
      <c r="BN337" s="7"/>
      <c r="BO337" s="4"/>
      <c r="BP337" s="8"/>
      <c r="BQ337" s="4"/>
      <c r="BR337" s="8"/>
      <c r="BS337" s="7"/>
      <c r="BT337" s="7"/>
      <c r="BU337" s="2" t="s">
        <v>109</v>
      </c>
      <c r="BV337" s="2" t="s">
        <v>97</v>
      </c>
      <c r="BW337" s="2" t="s">
        <v>1215</v>
      </c>
      <c r="BX337" s="2" t="s">
        <v>1643</v>
      </c>
      <c r="BY337" s="2" t="s">
        <v>112</v>
      </c>
      <c r="BZ337" s="2" t="s">
        <v>100</v>
      </c>
    </row>
    <row r="338">
      <c r="A338" s="2" t="s">
        <v>1644</v>
      </c>
      <c r="B338" s="2" t="s">
        <v>87</v>
      </c>
      <c r="C338" s="2" t="s">
        <v>88</v>
      </c>
      <c r="D338" s="2" t="s">
        <v>1496</v>
      </c>
      <c r="E338" s="2" t="s">
        <v>1497</v>
      </c>
      <c r="F338" s="2" t="s">
        <v>925</v>
      </c>
      <c r="G338" s="2" t="s">
        <v>926</v>
      </c>
      <c r="H338" s="2" t="s">
        <v>927</v>
      </c>
      <c r="I338" s="2" t="s">
        <v>1634</v>
      </c>
      <c r="J338" s="2" t="s">
        <v>529</v>
      </c>
      <c r="K338" s="2" t="s">
        <v>1640</v>
      </c>
      <c r="L338" s="3">
        <v>63.7</v>
      </c>
      <c r="M338" s="3">
        <v>66.88</v>
      </c>
      <c r="N338" s="3">
        <v>129.99</v>
      </c>
      <c r="O338" s="2" t="s">
        <v>97</v>
      </c>
      <c r="P338" s="2" t="s">
        <v>98</v>
      </c>
      <c r="Q338" s="2" t="s">
        <v>99</v>
      </c>
      <c r="R338" s="2" t="s">
        <v>100</v>
      </c>
      <c r="S338" s="2" t="s">
        <v>1641</v>
      </c>
      <c r="T338" s="2" t="s">
        <v>190</v>
      </c>
      <c r="U338" s="2" t="s">
        <v>901</v>
      </c>
      <c r="V338" s="2" t="s">
        <v>192</v>
      </c>
      <c r="W338" s="2" t="s">
        <v>193</v>
      </c>
      <c r="X338" s="2" t="s">
        <v>930</v>
      </c>
      <c r="Y338" s="2" t="s">
        <v>1642</v>
      </c>
      <c r="Z338" s="4">
        <v>205</v>
      </c>
      <c r="AA338" s="4">
        <f>=ROUNDDOWN(20.5,0)</f>
      </c>
      <c r="AB338" s="5">
        <v>10</v>
      </c>
      <c r="AC338" s="2" t="s">
        <v>100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/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/>
      <c r="BJ338" s="4">
        <v>41</v>
      </c>
      <c r="BK338" s="8">
        <v>2731.96</v>
      </c>
      <c r="BL338" s="2" t="s">
        <v>1645</v>
      </c>
      <c r="BM338" s="7"/>
      <c r="BN338" s="7"/>
      <c r="BO338" s="4"/>
      <c r="BP338" s="8"/>
      <c r="BQ338" s="4"/>
      <c r="BR338" s="8"/>
      <c r="BS338" s="7"/>
      <c r="BT338" s="7"/>
      <c r="BU338" s="2" t="s">
        <v>109</v>
      </c>
      <c r="BV338" s="2" t="s">
        <v>97</v>
      </c>
      <c r="BW338" s="2" t="s">
        <v>1215</v>
      </c>
      <c r="BX338" s="2" t="s">
        <v>1646</v>
      </c>
      <c r="BY338" s="2" t="s">
        <v>112</v>
      </c>
      <c r="BZ338" s="2" t="s">
        <v>100</v>
      </c>
    </row>
    <row r="339">
      <c r="A339" s="2" t="s">
        <v>1647</v>
      </c>
      <c r="B339" s="2" t="s">
        <v>87</v>
      </c>
      <c r="C339" s="2" t="s">
        <v>88</v>
      </c>
      <c r="D339" s="2" t="s">
        <v>1496</v>
      </c>
      <c r="E339" s="2" t="s">
        <v>1648</v>
      </c>
      <c r="F339" s="2" t="s">
        <v>778</v>
      </c>
      <c r="G339" s="2" t="s">
        <v>779</v>
      </c>
      <c r="H339" s="2" t="s">
        <v>780</v>
      </c>
      <c r="I339" s="2" t="s">
        <v>1649</v>
      </c>
      <c r="J339" s="2" t="s">
        <v>522</v>
      </c>
      <c r="K339" s="2" t="s">
        <v>96</v>
      </c>
      <c r="L339" s="3">
        <v>48.5</v>
      </c>
      <c r="M339" s="3">
        <v>50.92</v>
      </c>
      <c r="N339" s="3">
        <v>99.99</v>
      </c>
      <c r="O339" s="2" t="s">
        <v>97</v>
      </c>
      <c r="P339" s="2" t="s">
        <v>98</v>
      </c>
      <c r="Q339" s="2" t="s">
        <v>99</v>
      </c>
      <c r="R339" s="2" t="s">
        <v>100</v>
      </c>
      <c r="S339" s="2" t="s">
        <v>1650</v>
      </c>
      <c r="T339" s="2" t="s">
        <v>100</v>
      </c>
      <c r="U339" s="2" t="s">
        <v>355</v>
      </c>
      <c r="V339" s="2" t="s">
        <v>304</v>
      </c>
      <c r="W339" s="2" t="s">
        <v>142</v>
      </c>
      <c r="X339" s="2" t="s">
        <v>143</v>
      </c>
      <c r="Y339" s="2" t="s">
        <v>144</v>
      </c>
      <c r="Z339" s="4">
        <v>72</v>
      </c>
      <c r="AA339" s="4">
        <f>=ROUNDDOWN(8,0)</f>
      </c>
      <c r="AB339" s="5">
        <v>9</v>
      </c>
      <c r="AC339" s="2" t="s">
        <v>1094</v>
      </c>
      <c r="AD339" s="4">
        <v>120</v>
      </c>
      <c r="AE339" s="4">
        <v>220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1</v>
      </c>
      <c r="AQ339" s="8">
        <v>60.64</v>
      </c>
      <c r="AR339" s="4"/>
      <c r="AS339" s="8"/>
      <c r="AT339" s="7"/>
      <c r="AU339" s="7"/>
      <c r="AV339" s="4">
        <v>1</v>
      </c>
      <c r="AW339" s="8">
        <v>60.64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1</v>
      </c>
      <c r="BC339" s="4">
        <v>1</v>
      </c>
      <c r="BD339" s="8">
        <v>60.64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>
        <v>1</v>
      </c>
      <c r="BJ339" s="4">
        <v>5</v>
      </c>
      <c r="BK339" s="8">
        <v>303.5</v>
      </c>
      <c r="BL339" s="2" t="s">
        <v>1651</v>
      </c>
      <c r="BM339" s="7">
        <v>0.2</v>
      </c>
      <c r="BN339" s="7">
        <v>0.1998</v>
      </c>
      <c r="BO339" s="4">
        <v>1</v>
      </c>
      <c r="BP339" s="8">
        <v>60.64</v>
      </c>
      <c r="BQ339" s="4"/>
      <c r="BR339" s="8"/>
      <c r="BS339" s="7"/>
      <c r="BT339" s="7"/>
      <c r="BU339" s="2" t="s">
        <v>109</v>
      </c>
      <c r="BV339" s="2" t="s">
        <v>97</v>
      </c>
      <c r="BW339" s="2" t="s">
        <v>159</v>
      </c>
      <c r="BX339" s="2" t="s">
        <v>1083</v>
      </c>
      <c r="BY339" s="2" t="s">
        <v>112</v>
      </c>
      <c r="BZ339" s="2" t="s">
        <v>100</v>
      </c>
    </row>
    <row r="340">
      <c r="A340" s="2" t="s">
        <v>1652</v>
      </c>
      <c r="B340" s="2" t="s">
        <v>87</v>
      </c>
      <c r="C340" s="2" t="s">
        <v>88</v>
      </c>
      <c r="D340" s="2" t="s">
        <v>1496</v>
      </c>
      <c r="E340" s="2" t="s">
        <v>1648</v>
      </c>
      <c r="F340" s="2" t="s">
        <v>778</v>
      </c>
      <c r="G340" s="2" t="s">
        <v>779</v>
      </c>
      <c r="H340" s="2" t="s">
        <v>780</v>
      </c>
      <c r="I340" s="2" t="s">
        <v>1649</v>
      </c>
      <c r="J340" s="2" t="s">
        <v>529</v>
      </c>
      <c r="K340" s="2" t="s">
        <v>96</v>
      </c>
      <c r="L340" s="3">
        <v>52.91</v>
      </c>
      <c r="M340" s="3">
        <v>55.56</v>
      </c>
      <c r="N340" s="3">
        <v>109.99</v>
      </c>
      <c r="O340" s="2" t="s">
        <v>97</v>
      </c>
      <c r="P340" s="2" t="s">
        <v>98</v>
      </c>
      <c r="Q340" s="2" t="s">
        <v>99</v>
      </c>
      <c r="R340" s="2" t="s">
        <v>100</v>
      </c>
      <c r="S340" s="2" t="s">
        <v>1650</v>
      </c>
      <c r="T340" s="2" t="s">
        <v>100</v>
      </c>
      <c r="U340" s="2" t="s">
        <v>355</v>
      </c>
      <c r="V340" s="2" t="s">
        <v>304</v>
      </c>
      <c r="W340" s="2" t="s">
        <v>142</v>
      </c>
      <c r="X340" s="2" t="s">
        <v>143</v>
      </c>
      <c r="Y340" s="2" t="s">
        <v>144</v>
      </c>
      <c r="Z340" s="4">
        <v>120</v>
      </c>
      <c r="AA340" s="4">
        <f>=ROUNDDOWN(17.1428571428571,0)</f>
      </c>
      <c r="AB340" s="5">
        <v>7</v>
      </c>
      <c r="AC340" s="2" t="s">
        <v>783</v>
      </c>
      <c r="AD340" s="4">
        <v>35</v>
      </c>
      <c r="AE340" s="4">
        <v>135</v>
      </c>
      <c r="AF340" s="6">
        <v>65</v>
      </c>
      <c r="AG340" s="6"/>
      <c r="AH340" s="7">
        <v>0.7742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/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 t="s">
        <v>100</v>
      </c>
      <c r="BJ340" s="4">
        <v>6</v>
      </c>
      <c r="BK340" s="8">
        <v>341.35</v>
      </c>
      <c r="BL340" s="2" t="s">
        <v>692</v>
      </c>
      <c r="BM340" s="7"/>
      <c r="BN340" s="7"/>
      <c r="BO340" s="4"/>
      <c r="BP340" s="8"/>
      <c r="BQ340" s="4"/>
      <c r="BR340" s="8"/>
      <c r="BS340" s="7"/>
      <c r="BT340" s="7"/>
      <c r="BU340" s="2" t="s">
        <v>109</v>
      </c>
      <c r="BV340" s="2" t="s">
        <v>97</v>
      </c>
      <c r="BW340" s="2" t="s">
        <v>159</v>
      </c>
      <c r="BX340" s="2" t="s">
        <v>358</v>
      </c>
      <c r="BY340" s="2" t="s">
        <v>112</v>
      </c>
      <c r="BZ340" s="2" t="s">
        <v>100</v>
      </c>
    </row>
    <row r="341">
      <c r="A341" s="2" t="s">
        <v>1653</v>
      </c>
      <c r="B341" s="2" t="s">
        <v>87</v>
      </c>
      <c r="C341" s="2" t="s">
        <v>88</v>
      </c>
      <c r="D341" s="2" t="s">
        <v>1496</v>
      </c>
      <c r="E341" s="2" t="s">
        <v>1648</v>
      </c>
      <c r="F341" s="2" t="s">
        <v>778</v>
      </c>
      <c r="G341" s="2" t="s">
        <v>779</v>
      </c>
      <c r="H341" s="2" t="s">
        <v>780</v>
      </c>
      <c r="I341" s="2" t="s">
        <v>1649</v>
      </c>
      <c r="J341" s="2" t="s">
        <v>522</v>
      </c>
      <c r="K341" s="2" t="s">
        <v>165</v>
      </c>
      <c r="L341" s="3">
        <v>48.5</v>
      </c>
      <c r="M341" s="3">
        <v>50.92</v>
      </c>
      <c r="N341" s="3">
        <v>99.99</v>
      </c>
      <c r="O341" s="2" t="s">
        <v>97</v>
      </c>
      <c r="P341" s="2" t="s">
        <v>98</v>
      </c>
      <c r="Q341" s="2" t="s">
        <v>99</v>
      </c>
      <c r="R341" s="2" t="s">
        <v>100</v>
      </c>
      <c r="S341" s="2" t="s">
        <v>1654</v>
      </c>
      <c r="T341" s="2" t="s">
        <v>190</v>
      </c>
      <c r="U341" s="2" t="s">
        <v>355</v>
      </c>
      <c r="V341" s="2" t="s">
        <v>304</v>
      </c>
      <c r="W341" s="2" t="s">
        <v>142</v>
      </c>
      <c r="X341" s="2" t="s">
        <v>168</v>
      </c>
      <c r="Y341" s="2" t="s">
        <v>741</v>
      </c>
      <c r="Z341" s="4">
        <v>120</v>
      </c>
      <c r="AA341" s="4">
        <f>=ROUNDDOWN(30,0)</f>
      </c>
      <c r="AB341" s="5">
        <v>4</v>
      </c>
      <c r="AC341" s="2" t="s">
        <v>783</v>
      </c>
      <c r="AD341" s="4">
        <v>30</v>
      </c>
      <c r="AE341" s="4">
        <v>30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/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 t="s">
        <v>100</v>
      </c>
      <c r="BJ341" s="4">
        <v>2</v>
      </c>
      <c r="BK341" s="8">
        <v>124.5</v>
      </c>
      <c r="BL341" s="2" t="s">
        <v>1655</v>
      </c>
      <c r="BM341" s="7"/>
      <c r="BN341" s="7"/>
      <c r="BO341" s="4"/>
      <c r="BP341" s="8"/>
      <c r="BQ341" s="4"/>
      <c r="BR341" s="8"/>
      <c r="BS341" s="7"/>
      <c r="BT341" s="7"/>
      <c r="BU341" s="2" t="s">
        <v>171</v>
      </c>
      <c r="BV341" s="2" t="s">
        <v>97</v>
      </c>
      <c r="BW341" s="2" t="s">
        <v>100</v>
      </c>
      <c r="BX341" s="2" t="s">
        <v>100</v>
      </c>
      <c r="BY341" s="2" t="s">
        <v>112</v>
      </c>
      <c r="BZ341" s="2" t="s">
        <v>100</v>
      </c>
    </row>
    <row r="342">
      <c r="A342" s="2" t="s">
        <v>1656</v>
      </c>
      <c r="B342" s="2" t="s">
        <v>87</v>
      </c>
      <c r="C342" s="2" t="s">
        <v>88</v>
      </c>
      <c r="D342" s="2" t="s">
        <v>1496</v>
      </c>
      <c r="E342" s="2" t="s">
        <v>1648</v>
      </c>
      <c r="F342" s="2" t="s">
        <v>778</v>
      </c>
      <c r="G342" s="2" t="s">
        <v>779</v>
      </c>
      <c r="H342" s="2" t="s">
        <v>780</v>
      </c>
      <c r="I342" s="2" t="s">
        <v>1649</v>
      </c>
      <c r="J342" s="2" t="s">
        <v>529</v>
      </c>
      <c r="K342" s="2" t="s">
        <v>165</v>
      </c>
      <c r="L342" s="3">
        <v>52.91</v>
      </c>
      <c r="M342" s="3">
        <v>55.56</v>
      </c>
      <c r="N342" s="3">
        <v>109.99</v>
      </c>
      <c r="O342" s="2" t="s">
        <v>97</v>
      </c>
      <c r="P342" s="2" t="s">
        <v>98</v>
      </c>
      <c r="Q342" s="2" t="s">
        <v>99</v>
      </c>
      <c r="R342" s="2" t="s">
        <v>100</v>
      </c>
      <c r="S342" s="2" t="s">
        <v>1654</v>
      </c>
      <c r="T342" s="2" t="s">
        <v>190</v>
      </c>
      <c r="U342" s="2" t="s">
        <v>355</v>
      </c>
      <c r="V342" s="2" t="s">
        <v>304</v>
      </c>
      <c r="W342" s="2" t="s">
        <v>142</v>
      </c>
      <c r="X342" s="2" t="s">
        <v>168</v>
      </c>
      <c r="Y342" s="2" t="s">
        <v>741</v>
      </c>
      <c r="Z342" s="4">
        <v>86</v>
      </c>
      <c r="AA342" s="4">
        <f>=ROUNDDOWN(61.4285714285714,0)</f>
      </c>
      <c r="AB342" s="5">
        <v>1.4</v>
      </c>
      <c r="AC342" s="2" t="s">
        <v>783</v>
      </c>
      <c r="AD342" s="4">
        <v>50</v>
      </c>
      <c r="AE342" s="4">
        <v>50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/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 t="s">
        <v>100</v>
      </c>
      <c r="BJ342" s="4">
        <v>14</v>
      </c>
      <c r="BK342" s="8">
        <v>819.78</v>
      </c>
      <c r="BL342" s="2" t="s">
        <v>1657</v>
      </c>
      <c r="BM342" s="7"/>
      <c r="BN342" s="7"/>
      <c r="BO342" s="4"/>
      <c r="BP342" s="8"/>
      <c r="BQ342" s="4"/>
      <c r="BR342" s="8"/>
      <c r="BS342" s="7"/>
      <c r="BT342" s="7"/>
      <c r="BU342" s="2" t="s">
        <v>171</v>
      </c>
      <c r="BV342" s="2" t="s">
        <v>97</v>
      </c>
      <c r="BW342" s="2" t="s">
        <v>100</v>
      </c>
      <c r="BX342" s="2" t="s">
        <v>100</v>
      </c>
      <c r="BY342" s="2" t="s">
        <v>112</v>
      </c>
      <c r="BZ342" s="2" t="s">
        <v>100</v>
      </c>
    </row>
    <row r="343">
      <c r="A343" s="2" t="s">
        <v>1658</v>
      </c>
      <c r="B343" s="2" t="s">
        <v>87</v>
      </c>
      <c r="C343" s="2" t="s">
        <v>88</v>
      </c>
      <c r="D343" s="2" t="s">
        <v>1496</v>
      </c>
      <c r="E343" s="2" t="s">
        <v>1648</v>
      </c>
      <c r="F343" s="2" t="s">
        <v>778</v>
      </c>
      <c r="G343" s="2" t="s">
        <v>779</v>
      </c>
      <c r="H343" s="2" t="s">
        <v>780</v>
      </c>
      <c r="I343" s="2" t="s">
        <v>1649</v>
      </c>
      <c r="J343" s="2" t="s">
        <v>522</v>
      </c>
      <c r="K343" s="2" t="s">
        <v>1384</v>
      </c>
      <c r="L343" s="3">
        <v>48.5</v>
      </c>
      <c r="M343" s="3">
        <v>50.92</v>
      </c>
      <c r="N343" s="3">
        <v>99.99</v>
      </c>
      <c r="O343" s="2" t="s">
        <v>97</v>
      </c>
      <c r="P343" s="2" t="s">
        <v>156</v>
      </c>
      <c r="Q343" s="2" t="s">
        <v>99</v>
      </c>
      <c r="R343" s="2" t="s">
        <v>100</v>
      </c>
      <c r="S343" s="2" t="s">
        <v>1659</v>
      </c>
      <c r="T343" s="2" t="s">
        <v>100</v>
      </c>
      <c r="U343" s="2" t="s">
        <v>355</v>
      </c>
      <c r="V343" s="2" t="s">
        <v>304</v>
      </c>
      <c r="W343" s="2" t="s">
        <v>142</v>
      </c>
      <c r="X343" s="2" t="s">
        <v>143</v>
      </c>
      <c r="Y343" s="2" t="s">
        <v>144</v>
      </c>
      <c r="Z343" s="4">
        <v>212</v>
      </c>
      <c r="AA343" s="4">
        <f>=ROUNDDOWN(23.5555555555556,0)</f>
      </c>
      <c r="AB343" s="5">
        <v>9</v>
      </c>
      <c r="AC343" s="2" t="s">
        <v>824</v>
      </c>
      <c r="AD343" s="4">
        <v>80</v>
      </c>
      <c r="AE343" s="4">
        <v>170</v>
      </c>
      <c r="AF343" s="6">
        <v>65</v>
      </c>
      <c r="AG343" s="6">
        <v>73</v>
      </c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/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 t="s">
        <v>100</v>
      </c>
      <c r="BJ343" s="4">
        <v>17</v>
      </c>
      <c r="BK343" s="8">
        <v>948.88</v>
      </c>
      <c r="BL343" s="2" t="s">
        <v>1494</v>
      </c>
      <c r="BM343" s="7"/>
      <c r="BN343" s="7"/>
      <c r="BO343" s="4"/>
      <c r="BP343" s="8"/>
      <c r="BQ343" s="4"/>
      <c r="BR343" s="8"/>
      <c r="BS343" s="7"/>
      <c r="BT343" s="7"/>
      <c r="BU343" s="2" t="s">
        <v>109</v>
      </c>
      <c r="BV343" s="2" t="s">
        <v>97</v>
      </c>
      <c r="BW343" s="2" t="s">
        <v>147</v>
      </c>
      <c r="BX343" s="2" t="s">
        <v>1660</v>
      </c>
      <c r="BY343" s="2" t="s">
        <v>112</v>
      </c>
      <c r="BZ343" s="2" t="s">
        <v>100</v>
      </c>
    </row>
    <row r="344">
      <c r="A344" s="2" t="s">
        <v>1661</v>
      </c>
      <c r="B344" s="2" t="s">
        <v>87</v>
      </c>
      <c r="C344" s="2" t="s">
        <v>88</v>
      </c>
      <c r="D344" s="2" t="s">
        <v>1496</v>
      </c>
      <c r="E344" s="2" t="s">
        <v>1648</v>
      </c>
      <c r="F344" s="2" t="s">
        <v>778</v>
      </c>
      <c r="G344" s="2" t="s">
        <v>779</v>
      </c>
      <c r="H344" s="2" t="s">
        <v>780</v>
      </c>
      <c r="I344" s="2" t="s">
        <v>1649</v>
      </c>
      <c r="J344" s="2" t="s">
        <v>529</v>
      </c>
      <c r="K344" s="2" t="s">
        <v>1384</v>
      </c>
      <c r="L344" s="3">
        <v>52.91</v>
      </c>
      <c r="M344" s="3">
        <v>55.56</v>
      </c>
      <c r="N344" s="3">
        <v>109.99</v>
      </c>
      <c r="O344" s="2" t="s">
        <v>97</v>
      </c>
      <c r="P344" s="2" t="s">
        <v>156</v>
      </c>
      <c r="Q344" s="2" t="s">
        <v>99</v>
      </c>
      <c r="R344" s="2" t="s">
        <v>100</v>
      </c>
      <c r="S344" s="2" t="s">
        <v>1659</v>
      </c>
      <c r="T344" s="2" t="s">
        <v>100</v>
      </c>
      <c r="U344" s="2" t="s">
        <v>355</v>
      </c>
      <c r="V344" s="2" t="s">
        <v>304</v>
      </c>
      <c r="W344" s="2" t="s">
        <v>142</v>
      </c>
      <c r="X344" s="2" t="s">
        <v>143</v>
      </c>
      <c r="Y344" s="2" t="s">
        <v>1662</v>
      </c>
      <c r="Z344" s="4">
        <v>399</v>
      </c>
      <c r="AA344" s="4">
        <f>=ROUNDDOWN(44.3333333333333,0)</f>
      </c>
      <c r="AB344" s="5">
        <v>9</v>
      </c>
      <c r="AC344" s="2" t="s">
        <v>582</v>
      </c>
      <c r="AD344" s="4">
        <v>30</v>
      </c>
      <c r="AE344" s="4">
        <v>60</v>
      </c>
      <c r="AF344" s="6">
        <v>65</v>
      </c>
      <c r="AG344" s="6">
        <v>73</v>
      </c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/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 t="s">
        <v>100</v>
      </c>
      <c r="BJ344" s="4">
        <v>23</v>
      </c>
      <c r="BK344" s="8">
        <v>1378.64</v>
      </c>
      <c r="BL344" s="2" t="s">
        <v>788</v>
      </c>
      <c r="BM344" s="7"/>
      <c r="BN344" s="7"/>
      <c r="BO344" s="4"/>
      <c r="BP344" s="8"/>
      <c r="BQ344" s="4"/>
      <c r="BR344" s="8"/>
      <c r="BS344" s="7"/>
      <c r="BT344" s="7"/>
      <c r="BU344" s="2" t="s">
        <v>109</v>
      </c>
      <c r="BV344" s="2" t="s">
        <v>97</v>
      </c>
      <c r="BW344" s="2" t="s">
        <v>147</v>
      </c>
      <c r="BX344" s="2" t="s">
        <v>1663</v>
      </c>
      <c r="BY344" s="2" t="s">
        <v>112</v>
      </c>
      <c r="BZ344" s="2" t="s">
        <v>100</v>
      </c>
    </row>
    <row r="345">
      <c r="A345" s="2" t="s">
        <v>1664</v>
      </c>
      <c r="B345" s="2" t="s">
        <v>87</v>
      </c>
      <c r="C345" s="2" t="s">
        <v>88</v>
      </c>
      <c r="D345" s="2" t="s">
        <v>1496</v>
      </c>
      <c r="E345" s="2" t="s">
        <v>1648</v>
      </c>
      <c r="F345" s="2" t="s">
        <v>1665</v>
      </c>
      <c r="G345" s="2" t="s">
        <v>1666</v>
      </c>
      <c r="H345" s="2" t="s">
        <v>1667</v>
      </c>
      <c r="I345" s="2" t="s">
        <v>1668</v>
      </c>
      <c r="J345" s="2" t="s">
        <v>522</v>
      </c>
      <c r="K345" s="2" t="s">
        <v>458</v>
      </c>
      <c r="L345" s="3">
        <v>57.02</v>
      </c>
      <c r="M345" s="3">
        <v>59.87</v>
      </c>
      <c r="N345" s="3">
        <v>119.99</v>
      </c>
      <c r="O345" s="2" t="s">
        <v>97</v>
      </c>
      <c r="P345" s="2" t="s">
        <v>156</v>
      </c>
      <c r="Q345" s="2" t="s">
        <v>99</v>
      </c>
      <c r="R345" s="2" t="s">
        <v>100</v>
      </c>
      <c r="S345" s="2" t="s">
        <v>1669</v>
      </c>
      <c r="T345" s="2" t="s">
        <v>100</v>
      </c>
      <c r="U345" s="2" t="s">
        <v>1228</v>
      </c>
      <c r="V345" s="2" t="s">
        <v>461</v>
      </c>
      <c r="W345" s="2" t="s">
        <v>609</v>
      </c>
      <c r="X345" s="2" t="s">
        <v>795</v>
      </c>
      <c r="Y345" s="2" t="s">
        <v>1670</v>
      </c>
      <c r="Z345" s="4">
        <v>251</v>
      </c>
      <c r="AA345" s="4">
        <f>=ROUNDDOWN(35.8571428571429,0)</f>
      </c>
      <c r="AB345" s="5">
        <v>7</v>
      </c>
      <c r="AC345" s="2" t="s">
        <v>725</v>
      </c>
      <c r="AD345" s="4">
        <v>130</v>
      </c>
      <c r="AE345" s="4">
        <v>130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1</v>
      </c>
      <c r="AQ345" s="8">
        <v>49.9</v>
      </c>
      <c r="AR345" s="4"/>
      <c r="AS345" s="8"/>
      <c r="AT345" s="7"/>
      <c r="AU345" s="7"/>
      <c r="AV345" s="4">
        <v>1</v>
      </c>
      <c r="AW345" s="8">
        <v>49.9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1</v>
      </c>
      <c r="BC345" s="4">
        <v>1</v>
      </c>
      <c r="BD345" s="8">
        <v>49.9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>
        <v>1</v>
      </c>
      <c r="BJ345" s="4">
        <v>18</v>
      </c>
      <c r="BK345" s="8">
        <v>1030.08</v>
      </c>
      <c r="BL345" s="2" t="s">
        <v>1085</v>
      </c>
      <c r="BM345" s="7">
        <v>0.0556</v>
      </c>
      <c r="BN345" s="7">
        <v>0.0484</v>
      </c>
      <c r="BO345" s="4">
        <v>1</v>
      </c>
      <c r="BP345" s="8">
        <v>49.9</v>
      </c>
      <c r="BQ345" s="4"/>
      <c r="BR345" s="8"/>
      <c r="BS345" s="7"/>
      <c r="BT345" s="7"/>
      <c r="BU345" s="2" t="s">
        <v>109</v>
      </c>
      <c r="BV345" s="2" t="s">
        <v>97</v>
      </c>
      <c r="BW345" s="2" t="s">
        <v>127</v>
      </c>
      <c r="BX345" s="2" t="s">
        <v>1671</v>
      </c>
      <c r="BY345" s="2" t="s">
        <v>112</v>
      </c>
      <c r="BZ345" s="2" t="s">
        <v>100</v>
      </c>
    </row>
    <row r="346">
      <c r="A346" s="2" t="s">
        <v>1672</v>
      </c>
      <c r="B346" s="2" t="s">
        <v>87</v>
      </c>
      <c r="C346" s="2" t="s">
        <v>88</v>
      </c>
      <c r="D346" s="2" t="s">
        <v>1496</v>
      </c>
      <c r="E346" s="2" t="s">
        <v>1648</v>
      </c>
      <c r="F346" s="2" t="s">
        <v>1665</v>
      </c>
      <c r="G346" s="2" t="s">
        <v>1666</v>
      </c>
      <c r="H346" s="2" t="s">
        <v>1667</v>
      </c>
      <c r="I346" s="2" t="s">
        <v>1668</v>
      </c>
      <c r="J346" s="2" t="s">
        <v>529</v>
      </c>
      <c r="K346" s="2" t="s">
        <v>458</v>
      </c>
      <c r="L346" s="3">
        <v>68.79</v>
      </c>
      <c r="M346" s="3">
        <v>72.23</v>
      </c>
      <c r="N346" s="3">
        <v>139.99</v>
      </c>
      <c r="O346" s="2" t="s">
        <v>97</v>
      </c>
      <c r="P346" s="2" t="s">
        <v>156</v>
      </c>
      <c r="Q346" s="2" t="s">
        <v>99</v>
      </c>
      <c r="R346" s="2" t="s">
        <v>100</v>
      </c>
      <c r="S346" s="2" t="s">
        <v>1669</v>
      </c>
      <c r="T346" s="2" t="s">
        <v>100</v>
      </c>
      <c r="U346" s="2" t="s">
        <v>1228</v>
      </c>
      <c r="V346" s="2" t="s">
        <v>461</v>
      </c>
      <c r="W346" s="2" t="s">
        <v>609</v>
      </c>
      <c r="X346" s="2" t="s">
        <v>795</v>
      </c>
      <c r="Y346" s="2" t="s">
        <v>1670</v>
      </c>
      <c r="Z346" s="4">
        <v>249</v>
      </c>
      <c r="AA346" s="4">
        <f>=ROUNDDOWN(31.125,0)</f>
      </c>
      <c r="AB346" s="5">
        <v>8</v>
      </c>
      <c r="AC346" s="2" t="s">
        <v>725</v>
      </c>
      <c r="AD346" s="4">
        <v>200</v>
      </c>
      <c r="AE346" s="4">
        <v>200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/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 t="s">
        <v>100</v>
      </c>
      <c r="BJ346" s="4">
        <v>25</v>
      </c>
      <c r="BK346" s="8">
        <v>1716.47</v>
      </c>
      <c r="BL346" s="2" t="s">
        <v>1503</v>
      </c>
      <c r="BM346" s="7"/>
      <c r="BN346" s="7"/>
      <c r="BO346" s="4"/>
      <c r="BP346" s="8"/>
      <c r="BQ346" s="4"/>
      <c r="BR346" s="8"/>
      <c r="BS346" s="7"/>
      <c r="BT346" s="7"/>
      <c r="BU346" s="2" t="s">
        <v>109</v>
      </c>
      <c r="BV346" s="2" t="s">
        <v>97</v>
      </c>
      <c r="BW346" s="2" t="s">
        <v>127</v>
      </c>
      <c r="BX346" s="2" t="s">
        <v>1673</v>
      </c>
      <c r="BY346" s="2" t="s">
        <v>112</v>
      </c>
      <c r="BZ346" s="2" t="s">
        <v>100</v>
      </c>
    </row>
    <row r="347">
      <c r="A347" s="2" t="s">
        <v>1674</v>
      </c>
      <c r="B347" s="2" t="s">
        <v>87</v>
      </c>
      <c r="C347" s="2" t="s">
        <v>88</v>
      </c>
      <c r="D347" s="2" t="s">
        <v>1496</v>
      </c>
      <c r="E347" s="2" t="s">
        <v>1648</v>
      </c>
      <c r="F347" s="2" t="s">
        <v>812</v>
      </c>
      <c r="G347" s="2" t="s">
        <v>813</v>
      </c>
      <c r="H347" s="2" t="s">
        <v>814</v>
      </c>
      <c r="I347" s="2" t="s">
        <v>1675</v>
      </c>
      <c r="J347" s="2" t="s">
        <v>522</v>
      </c>
      <c r="K347" s="2" t="s">
        <v>1676</v>
      </c>
      <c r="L347" s="3">
        <v>54.99</v>
      </c>
      <c r="M347" s="3">
        <v>57.74</v>
      </c>
      <c r="N347" s="3">
        <v>109.99</v>
      </c>
      <c r="O347" s="2" t="s">
        <v>97</v>
      </c>
      <c r="P347" s="2" t="s">
        <v>98</v>
      </c>
      <c r="Q347" s="2" t="s">
        <v>99</v>
      </c>
      <c r="R347" s="2" t="s">
        <v>100</v>
      </c>
      <c r="S347" s="2" t="s">
        <v>1677</v>
      </c>
      <c r="T347" s="2" t="s">
        <v>100</v>
      </c>
      <c r="U347" s="2" t="s">
        <v>355</v>
      </c>
      <c r="V347" s="2" t="s">
        <v>401</v>
      </c>
      <c r="W347" s="2" t="s">
        <v>104</v>
      </c>
      <c r="X347" s="2" t="s">
        <v>105</v>
      </c>
      <c r="Y347" s="2" t="s">
        <v>144</v>
      </c>
      <c r="Z347" s="4">
        <v>165</v>
      </c>
      <c r="AA347" s="4">
        <f>=ROUNDDOWN(27.5,0)</f>
      </c>
      <c r="AB347" s="5">
        <v>6</v>
      </c>
      <c r="AC347" s="2" t="s">
        <v>1468</v>
      </c>
      <c r="AD347" s="4">
        <v>30</v>
      </c>
      <c r="AE347" s="4">
        <v>70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/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/>
      <c r="BJ347" s="4">
        <v>15</v>
      </c>
      <c r="BK347" s="8">
        <v>829.51</v>
      </c>
      <c r="BL347" s="2" t="s">
        <v>1678</v>
      </c>
      <c r="BM347" s="7"/>
      <c r="BN347" s="7"/>
      <c r="BO347" s="4"/>
      <c r="BP347" s="8"/>
      <c r="BQ347" s="4"/>
      <c r="BR347" s="8"/>
      <c r="BS347" s="7"/>
      <c r="BT347" s="7"/>
      <c r="BU347" s="2" t="s">
        <v>109</v>
      </c>
      <c r="BV347" s="2" t="s">
        <v>97</v>
      </c>
      <c r="BW347" s="2" t="s">
        <v>159</v>
      </c>
      <c r="BX347" s="2" t="s">
        <v>358</v>
      </c>
      <c r="BY347" s="2" t="s">
        <v>112</v>
      </c>
      <c r="BZ347" s="2" t="s">
        <v>100</v>
      </c>
    </row>
    <row r="348">
      <c r="A348" s="2" t="s">
        <v>1679</v>
      </c>
      <c r="B348" s="2" t="s">
        <v>87</v>
      </c>
      <c r="C348" s="2" t="s">
        <v>88</v>
      </c>
      <c r="D348" s="2" t="s">
        <v>1496</v>
      </c>
      <c r="E348" s="2" t="s">
        <v>1648</v>
      </c>
      <c r="F348" s="2" t="s">
        <v>812</v>
      </c>
      <c r="G348" s="2" t="s">
        <v>813</v>
      </c>
      <c r="H348" s="2" t="s">
        <v>814</v>
      </c>
      <c r="I348" s="2" t="s">
        <v>1675</v>
      </c>
      <c r="J348" s="2" t="s">
        <v>529</v>
      </c>
      <c r="K348" s="2" t="s">
        <v>1676</v>
      </c>
      <c r="L348" s="3">
        <v>59.99</v>
      </c>
      <c r="M348" s="3">
        <v>62.99</v>
      </c>
      <c r="N348" s="3">
        <v>119.99</v>
      </c>
      <c r="O348" s="2" t="s">
        <v>97</v>
      </c>
      <c r="P348" s="2" t="s">
        <v>98</v>
      </c>
      <c r="Q348" s="2" t="s">
        <v>99</v>
      </c>
      <c r="R348" s="2" t="s">
        <v>100</v>
      </c>
      <c r="S348" s="2" t="s">
        <v>1677</v>
      </c>
      <c r="T348" s="2" t="s">
        <v>100</v>
      </c>
      <c r="U348" s="2" t="s">
        <v>355</v>
      </c>
      <c r="V348" s="2" t="s">
        <v>401</v>
      </c>
      <c r="W348" s="2" t="s">
        <v>104</v>
      </c>
      <c r="X348" s="2" t="s">
        <v>105</v>
      </c>
      <c r="Y348" s="2" t="s">
        <v>144</v>
      </c>
      <c r="Z348" s="4">
        <v>195</v>
      </c>
      <c r="AA348" s="4">
        <f>=ROUNDDOWN(15,0)</f>
      </c>
      <c r="AB348" s="5">
        <v>13</v>
      </c>
      <c r="AC348" s="2" t="s">
        <v>1468</v>
      </c>
      <c r="AD348" s="4">
        <v>150</v>
      </c>
      <c r="AE348" s="4">
        <v>210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/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/>
      <c r="BJ348" s="4">
        <v>26</v>
      </c>
      <c r="BK348" s="8">
        <v>1599.39</v>
      </c>
      <c r="BL348" s="2" t="s">
        <v>379</v>
      </c>
      <c r="BM348" s="7"/>
      <c r="BN348" s="7"/>
      <c r="BO348" s="4"/>
      <c r="BP348" s="8"/>
      <c r="BQ348" s="4"/>
      <c r="BR348" s="8"/>
      <c r="BS348" s="7"/>
      <c r="BT348" s="7"/>
      <c r="BU348" s="2" t="s">
        <v>109</v>
      </c>
      <c r="BV348" s="2" t="s">
        <v>97</v>
      </c>
      <c r="BW348" s="2" t="s">
        <v>159</v>
      </c>
      <c r="BX348" s="2" t="s">
        <v>358</v>
      </c>
      <c r="BY348" s="2" t="s">
        <v>112</v>
      </c>
      <c r="BZ348" s="2" t="s">
        <v>100</v>
      </c>
    </row>
    <row r="349">
      <c r="A349" s="2" t="s">
        <v>1680</v>
      </c>
      <c r="B349" s="2" t="s">
        <v>87</v>
      </c>
      <c r="C349" s="2" t="s">
        <v>88</v>
      </c>
      <c r="D349" s="2" t="s">
        <v>1496</v>
      </c>
      <c r="E349" s="2" t="s">
        <v>1648</v>
      </c>
      <c r="F349" s="2" t="s">
        <v>1681</v>
      </c>
      <c r="G349" s="2" t="s">
        <v>1682</v>
      </c>
      <c r="H349" s="2" t="s">
        <v>1683</v>
      </c>
      <c r="I349" s="2" t="s">
        <v>1684</v>
      </c>
      <c r="J349" s="2" t="s">
        <v>522</v>
      </c>
      <c r="K349" s="2" t="s">
        <v>223</v>
      </c>
      <c r="L349" s="3">
        <v>53.9</v>
      </c>
      <c r="M349" s="3">
        <v>56.59</v>
      </c>
      <c r="N349" s="3">
        <v>109.99</v>
      </c>
      <c r="O349" s="2" t="s">
        <v>97</v>
      </c>
      <c r="P349" s="2" t="s">
        <v>98</v>
      </c>
      <c r="Q349" s="2" t="s">
        <v>99</v>
      </c>
      <c r="R349" s="2" t="s">
        <v>100</v>
      </c>
      <c r="S349" s="2" t="s">
        <v>1685</v>
      </c>
      <c r="T349" s="2" t="s">
        <v>100</v>
      </c>
      <c r="U349" s="2" t="s">
        <v>355</v>
      </c>
      <c r="V349" s="2" t="s">
        <v>473</v>
      </c>
      <c r="W349" s="2" t="s">
        <v>142</v>
      </c>
      <c r="X349" s="2" t="s">
        <v>1686</v>
      </c>
      <c r="Y349" s="2" t="s">
        <v>144</v>
      </c>
      <c r="Z349" s="4">
        <v>117</v>
      </c>
      <c r="AA349" s="4">
        <f>=ROUNDDOWN(23.4,0)</f>
      </c>
      <c r="AB349" s="5">
        <v>5</v>
      </c>
      <c r="AC349" s="2" t="s">
        <v>676</v>
      </c>
      <c r="AD349" s="4">
        <v>60</v>
      </c>
      <c r="AE349" s="4">
        <v>60</v>
      </c>
      <c r="AF349" s="6">
        <v>64</v>
      </c>
      <c r="AG349" s="6">
        <v>47</v>
      </c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/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/>
      <c r="BJ349" s="4">
        <v>13</v>
      </c>
      <c r="BK349" s="8">
        <v>626.91</v>
      </c>
      <c r="BL349" s="2" t="s">
        <v>1687</v>
      </c>
      <c r="BM349" s="7"/>
      <c r="BN349" s="7"/>
      <c r="BO349" s="4"/>
      <c r="BP349" s="8"/>
      <c r="BQ349" s="4"/>
      <c r="BR349" s="8"/>
      <c r="BS349" s="7"/>
      <c r="BT349" s="7"/>
      <c r="BU349" s="2" t="s">
        <v>109</v>
      </c>
      <c r="BV349" s="2" t="s">
        <v>97</v>
      </c>
      <c r="BW349" s="2" t="s">
        <v>1688</v>
      </c>
      <c r="BX349" s="2" t="s">
        <v>100</v>
      </c>
      <c r="BY349" s="2" t="s">
        <v>112</v>
      </c>
      <c r="BZ349" s="2" t="s">
        <v>100</v>
      </c>
    </row>
    <row r="350">
      <c r="A350" s="2" t="s">
        <v>1689</v>
      </c>
      <c r="B350" s="2" t="s">
        <v>87</v>
      </c>
      <c r="C350" s="2" t="s">
        <v>88</v>
      </c>
      <c r="D350" s="2" t="s">
        <v>1496</v>
      </c>
      <c r="E350" s="2" t="s">
        <v>1648</v>
      </c>
      <c r="F350" s="2" t="s">
        <v>1681</v>
      </c>
      <c r="G350" s="2" t="s">
        <v>1682</v>
      </c>
      <c r="H350" s="2" t="s">
        <v>1683</v>
      </c>
      <c r="I350" s="2" t="s">
        <v>1684</v>
      </c>
      <c r="J350" s="2" t="s">
        <v>529</v>
      </c>
      <c r="K350" s="2" t="s">
        <v>223</v>
      </c>
      <c r="L350" s="3">
        <v>59.99</v>
      </c>
      <c r="M350" s="3">
        <v>62.99</v>
      </c>
      <c r="N350" s="3">
        <v>119.99</v>
      </c>
      <c r="O350" s="2" t="s">
        <v>97</v>
      </c>
      <c r="P350" s="2" t="s">
        <v>98</v>
      </c>
      <c r="Q350" s="2" t="s">
        <v>99</v>
      </c>
      <c r="R350" s="2" t="s">
        <v>100</v>
      </c>
      <c r="S350" s="2" t="s">
        <v>1685</v>
      </c>
      <c r="T350" s="2" t="s">
        <v>100</v>
      </c>
      <c r="U350" s="2" t="s">
        <v>355</v>
      </c>
      <c r="V350" s="2" t="s">
        <v>473</v>
      </c>
      <c r="W350" s="2" t="s">
        <v>142</v>
      </c>
      <c r="X350" s="2" t="s">
        <v>1686</v>
      </c>
      <c r="Y350" s="2" t="s">
        <v>144</v>
      </c>
      <c r="Z350" s="4">
        <v>85</v>
      </c>
      <c r="AA350" s="4">
        <f>=ROUNDDOWN(14.1666666666667,0)</f>
      </c>
      <c r="AB350" s="5">
        <v>6</v>
      </c>
      <c r="AC350" s="2" t="s">
        <v>676</v>
      </c>
      <c r="AD350" s="4">
        <v>50</v>
      </c>
      <c r="AE350" s="4">
        <v>50</v>
      </c>
      <c r="AF350" s="6">
        <v>64</v>
      </c>
      <c r="AG350" s="6">
        <v>47</v>
      </c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/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/>
      <c r="BJ350" s="4">
        <v>23</v>
      </c>
      <c r="BK350" s="8">
        <v>1366.78</v>
      </c>
      <c r="BL350" s="2" t="s">
        <v>1690</v>
      </c>
      <c r="BM350" s="7"/>
      <c r="BN350" s="7"/>
      <c r="BO350" s="4"/>
      <c r="BP350" s="8"/>
      <c r="BQ350" s="4"/>
      <c r="BR350" s="8"/>
      <c r="BS350" s="7"/>
      <c r="BT350" s="7"/>
      <c r="BU350" s="2" t="s">
        <v>109</v>
      </c>
      <c r="BV350" s="2" t="s">
        <v>97</v>
      </c>
      <c r="BW350" s="2" t="s">
        <v>1688</v>
      </c>
      <c r="BX350" s="2" t="s">
        <v>1691</v>
      </c>
      <c r="BY350" s="2" t="s">
        <v>112</v>
      </c>
      <c r="BZ350" s="2" t="s">
        <v>100</v>
      </c>
    </row>
    <row r="351">
      <c r="A351" s="2" t="s">
        <v>1692</v>
      </c>
      <c r="B351" s="2" t="s">
        <v>87</v>
      </c>
      <c r="C351" s="2" t="s">
        <v>88</v>
      </c>
      <c r="D351" s="2" t="s">
        <v>1496</v>
      </c>
      <c r="E351" s="2" t="s">
        <v>1648</v>
      </c>
      <c r="F351" s="2" t="s">
        <v>1681</v>
      </c>
      <c r="G351" s="2" t="s">
        <v>1682</v>
      </c>
      <c r="H351" s="2" t="s">
        <v>1683</v>
      </c>
      <c r="I351" s="2" t="s">
        <v>1684</v>
      </c>
      <c r="J351" s="2" t="s">
        <v>522</v>
      </c>
      <c r="K351" s="2" t="s">
        <v>386</v>
      </c>
      <c r="L351" s="3">
        <v>53.9</v>
      </c>
      <c r="M351" s="3">
        <v>56.59</v>
      </c>
      <c r="N351" s="3">
        <v>109.99</v>
      </c>
      <c r="O351" s="2" t="s">
        <v>97</v>
      </c>
      <c r="P351" s="2" t="s">
        <v>98</v>
      </c>
      <c r="Q351" s="2" t="s">
        <v>99</v>
      </c>
      <c r="R351" s="2" t="s">
        <v>100</v>
      </c>
      <c r="S351" s="2" t="s">
        <v>1693</v>
      </c>
      <c r="T351" s="2" t="s">
        <v>100</v>
      </c>
      <c r="U351" s="2" t="s">
        <v>355</v>
      </c>
      <c r="V351" s="2" t="s">
        <v>473</v>
      </c>
      <c r="W351" s="2" t="s">
        <v>142</v>
      </c>
      <c r="X351" s="2" t="s">
        <v>1686</v>
      </c>
      <c r="Y351" s="2" t="s">
        <v>144</v>
      </c>
      <c r="Z351" s="4">
        <v>112</v>
      </c>
      <c r="AA351" s="4">
        <f>=ROUNDDOWN(22.4,0)</f>
      </c>
      <c r="AB351" s="5">
        <v>5</v>
      </c>
      <c r="AC351" s="2" t="s">
        <v>307</v>
      </c>
      <c r="AD351" s="4">
        <v>40</v>
      </c>
      <c r="AE351" s="4">
        <v>100</v>
      </c>
      <c r="AF351" s="6">
        <v>64</v>
      </c>
      <c r="AG351" s="6">
        <v>47</v>
      </c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/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/>
      <c r="BJ351" s="4">
        <v>10</v>
      </c>
      <c r="BK351" s="8">
        <v>509.22</v>
      </c>
      <c r="BL351" s="2" t="s">
        <v>1694</v>
      </c>
      <c r="BM351" s="7"/>
      <c r="BN351" s="7"/>
      <c r="BO351" s="4"/>
      <c r="BP351" s="8"/>
      <c r="BQ351" s="4"/>
      <c r="BR351" s="8"/>
      <c r="BS351" s="7"/>
      <c r="BT351" s="7"/>
      <c r="BU351" s="2" t="s">
        <v>109</v>
      </c>
      <c r="BV351" s="2" t="s">
        <v>97</v>
      </c>
      <c r="BW351" s="2" t="s">
        <v>1335</v>
      </c>
      <c r="BX351" s="2" t="s">
        <v>1695</v>
      </c>
      <c r="BY351" s="2" t="s">
        <v>112</v>
      </c>
      <c r="BZ351" s="2" t="s">
        <v>100</v>
      </c>
    </row>
    <row r="352">
      <c r="A352" s="2" t="s">
        <v>1696</v>
      </c>
      <c r="B352" s="2" t="s">
        <v>87</v>
      </c>
      <c r="C352" s="2" t="s">
        <v>88</v>
      </c>
      <c r="D352" s="2" t="s">
        <v>1496</v>
      </c>
      <c r="E352" s="2" t="s">
        <v>1648</v>
      </c>
      <c r="F352" s="2" t="s">
        <v>1681</v>
      </c>
      <c r="G352" s="2" t="s">
        <v>1682</v>
      </c>
      <c r="H352" s="2" t="s">
        <v>1683</v>
      </c>
      <c r="I352" s="2" t="s">
        <v>1684</v>
      </c>
      <c r="J352" s="2" t="s">
        <v>529</v>
      </c>
      <c r="K352" s="2" t="s">
        <v>386</v>
      </c>
      <c r="L352" s="3">
        <v>59.99</v>
      </c>
      <c r="M352" s="3">
        <v>62.99</v>
      </c>
      <c r="N352" s="3">
        <v>119.99</v>
      </c>
      <c r="O352" s="2" t="s">
        <v>97</v>
      </c>
      <c r="P352" s="2" t="s">
        <v>98</v>
      </c>
      <c r="Q352" s="2" t="s">
        <v>99</v>
      </c>
      <c r="R352" s="2" t="s">
        <v>100</v>
      </c>
      <c r="S352" s="2" t="s">
        <v>1693</v>
      </c>
      <c r="T352" s="2" t="s">
        <v>100</v>
      </c>
      <c r="U352" s="2" t="s">
        <v>355</v>
      </c>
      <c r="V352" s="2" t="s">
        <v>473</v>
      </c>
      <c r="W352" s="2" t="s">
        <v>142</v>
      </c>
      <c r="X352" s="2" t="s">
        <v>1686</v>
      </c>
      <c r="Y352" s="2" t="s">
        <v>144</v>
      </c>
      <c r="Z352" s="4">
        <v>180</v>
      </c>
      <c r="AA352" s="4">
        <f>=ROUNDDOWN(25.7142857142857,0)</f>
      </c>
      <c r="AB352" s="5">
        <v>7</v>
      </c>
      <c r="AC352" s="2" t="s">
        <v>307</v>
      </c>
      <c r="AD352" s="4">
        <v>50</v>
      </c>
      <c r="AE352" s="4">
        <v>110</v>
      </c>
      <c r="AF352" s="6">
        <v>64</v>
      </c>
      <c r="AG352" s="6">
        <v>47</v>
      </c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100</v>
      </c>
      <c r="AW352" s="8" t="s">
        <v>100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/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/>
      <c r="BJ352" s="4">
        <v>15</v>
      </c>
      <c r="BK352" s="8">
        <v>925.33</v>
      </c>
      <c r="BL352" s="2" t="s">
        <v>539</v>
      </c>
      <c r="BM352" s="7"/>
      <c r="BN352" s="7"/>
      <c r="BO352" s="4"/>
      <c r="BP352" s="8"/>
      <c r="BQ352" s="4"/>
      <c r="BR352" s="8"/>
      <c r="BS352" s="7"/>
      <c r="BT352" s="7"/>
      <c r="BU352" s="2" t="s">
        <v>109</v>
      </c>
      <c r="BV352" s="2" t="s">
        <v>97</v>
      </c>
      <c r="BW352" s="2" t="s">
        <v>1335</v>
      </c>
      <c r="BX352" s="2" t="s">
        <v>1662</v>
      </c>
      <c r="BY352" s="2" t="s">
        <v>112</v>
      </c>
      <c r="BZ352" s="2" t="s">
        <v>100</v>
      </c>
    </row>
    <row r="353">
      <c r="A353" s="2" t="s">
        <v>1697</v>
      </c>
      <c r="B353" s="2" t="s">
        <v>87</v>
      </c>
      <c r="C353" s="2" t="s">
        <v>88</v>
      </c>
      <c r="D353" s="2" t="s">
        <v>1496</v>
      </c>
      <c r="E353" s="2" t="s">
        <v>1648</v>
      </c>
      <c r="F353" s="2" t="s">
        <v>454</v>
      </c>
      <c r="G353" s="2" t="s">
        <v>455</v>
      </c>
      <c r="H353" s="2" t="s">
        <v>456</v>
      </c>
      <c r="I353" s="2" t="s">
        <v>1698</v>
      </c>
      <c r="J353" s="2" t="s">
        <v>522</v>
      </c>
      <c r="K353" s="2" t="s">
        <v>458</v>
      </c>
      <c r="L353" s="3">
        <v>47</v>
      </c>
      <c r="M353" s="3">
        <v>49.35</v>
      </c>
      <c r="N353" s="3">
        <v>99.99</v>
      </c>
      <c r="O353" s="2" t="s">
        <v>97</v>
      </c>
      <c r="P353" s="2" t="s">
        <v>98</v>
      </c>
      <c r="Q353" s="2" t="s">
        <v>99</v>
      </c>
      <c r="R353" s="2" t="s">
        <v>100</v>
      </c>
      <c r="S353" s="2" t="s">
        <v>459</v>
      </c>
      <c r="T353" s="2" t="s">
        <v>100</v>
      </c>
      <c r="U353" s="2" t="s">
        <v>1228</v>
      </c>
      <c r="V353" s="2" t="s">
        <v>461</v>
      </c>
      <c r="W353" s="2" t="s">
        <v>193</v>
      </c>
      <c r="X353" s="2" t="s">
        <v>462</v>
      </c>
      <c r="Y353" s="2" t="s">
        <v>144</v>
      </c>
      <c r="Z353" s="4">
        <v>214</v>
      </c>
      <c r="AA353" s="4">
        <f>=ROUNDDOWN(26.75,0)</f>
      </c>
      <c r="AB353" s="5">
        <v>8</v>
      </c>
      <c r="AC353" s="2" t="s">
        <v>307</v>
      </c>
      <c r="AD353" s="4">
        <v>40</v>
      </c>
      <c r="AE353" s="4">
        <v>140</v>
      </c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/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/>
      <c r="BJ353" s="4">
        <v>25</v>
      </c>
      <c r="BK353" s="8">
        <v>1217.88</v>
      </c>
      <c r="BL353" s="2" t="s">
        <v>1699</v>
      </c>
      <c r="BM353" s="7"/>
      <c r="BN353" s="7"/>
      <c r="BO353" s="4"/>
      <c r="BP353" s="8"/>
      <c r="BQ353" s="4"/>
      <c r="BR353" s="8"/>
      <c r="BS353" s="7"/>
      <c r="BT353" s="7"/>
      <c r="BU353" s="2" t="s">
        <v>109</v>
      </c>
      <c r="BV353" s="2" t="s">
        <v>97</v>
      </c>
      <c r="BW353" s="2" t="s">
        <v>464</v>
      </c>
      <c r="BX353" s="2" t="s">
        <v>1700</v>
      </c>
      <c r="BY353" s="2" t="s">
        <v>112</v>
      </c>
      <c r="BZ353" s="2" t="s">
        <v>100</v>
      </c>
    </row>
    <row r="354">
      <c r="A354" s="2" t="s">
        <v>1701</v>
      </c>
      <c r="B354" s="2" t="s">
        <v>87</v>
      </c>
      <c r="C354" s="2" t="s">
        <v>88</v>
      </c>
      <c r="D354" s="2" t="s">
        <v>1496</v>
      </c>
      <c r="E354" s="2" t="s">
        <v>1648</v>
      </c>
      <c r="F354" s="2" t="s">
        <v>454</v>
      </c>
      <c r="G354" s="2" t="s">
        <v>455</v>
      </c>
      <c r="H354" s="2" t="s">
        <v>456</v>
      </c>
      <c r="I354" s="2" t="s">
        <v>1698</v>
      </c>
      <c r="J354" s="2" t="s">
        <v>529</v>
      </c>
      <c r="K354" s="2" t="s">
        <v>458</v>
      </c>
      <c r="L354" s="3">
        <v>53.9</v>
      </c>
      <c r="M354" s="3">
        <v>56.59</v>
      </c>
      <c r="N354" s="3">
        <v>109.99</v>
      </c>
      <c r="O354" s="2" t="s">
        <v>97</v>
      </c>
      <c r="P354" s="2" t="s">
        <v>98</v>
      </c>
      <c r="Q354" s="2" t="s">
        <v>99</v>
      </c>
      <c r="R354" s="2" t="s">
        <v>100</v>
      </c>
      <c r="S354" s="2" t="s">
        <v>459</v>
      </c>
      <c r="T354" s="2" t="s">
        <v>100</v>
      </c>
      <c r="U354" s="2" t="s">
        <v>1228</v>
      </c>
      <c r="V354" s="2" t="s">
        <v>461</v>
      </c>
      <c r="W354" s="2" t="s">
        <v>193</v>
      </c>
      <c r="X354" s="2" t="s">
        <v>462</v>
      </c>
      <c r="Y354" s="2" t="s">
        <v>144</v>
      </c>
      <c r="Z354" s="4">
        <v>149</v>
      </c>
      <c r="AA354" s="4">
        <f>=ROUNDDOWN(24.8333333333333,0)</f>
      </c>
      <c r="AB354" s="5">
        <v>6</v>
      </c>
      <c r="AC354" s="2" t="s">
        <v>130</v>
      </c>
      <c r="AD354" s="4">
        <v>40</v>
      </c>
      <c r="AE354" s="4">
        <v>90</v>
      </c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/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/>
      <c r="BJ354" s="4">
        <v>11</v>
      </c>
      <c r="BK354" s="8">
        <v>604.77</v>
      </c>
      <c r="BL354" s="2" t="s">
        <v>1082</v>
      </c>
      <c r="BM354" s="7"/>
      <c r="BN354" s="7"/>
      <c r="BO354" s="4"/>
      <c r="BP354" s="8"/>
      <c r="BQ354" s="4"/>
      <c r="BR354" s="8"/>
      <c r="BS354" s="7"/>
      <c r="BT354" s="7"/>
      <c r="BU354" s="2" t="s">
        <v>109</v>
      </c>
      <c r="BV354" s="2" t="s">
        <v>97</v>
      </c>
      <c r="BW354" s="2" t="s">
        <v>464</v>
      </c>
      <c r="BX354" s="2" t="s">
        <v>1702</v>
      </c>
      <c r="BY354" s="2" t="s">
        <v>112</v>
      </c>
      <c r="BZ354" s="2" t="s">
        <v>100</v>
      </c>
    </row>
    <row r="355">
      <c r="A355" s="2" t="s">
        <v>1703</v>
      </c>
      <c r="B355" s="2" t="s">
        <v>87</v>
      </c>
      <c r="C355" s="2" t="s">
        <v>88</v>
      </c>
      <c r="D355" s="2" t="s">
        <v>1496</v>
      </c>
      <c r="E355" s="2" t="s">
        <v>1648</v>
      </c>
      <c r="F355" s="2" t="s">
        <v>1704</v>
      </c>
      <c r="G355" s="2" t="s">
        <v>455</v>
      </c>
      <c r="H355" s="2" t="s">
        <v>1705</v>
      </c>
      <c r="I355" s="2" t="s">
        <v>1706</v>
      </c>
      <c r="J355" s="2" t="s">
        <v>522</v>
      </c>
      <c r="K355" s="2" t="s">
        <v>1707</v>
      </c>
      <c r="L355" s="3">
        <v>55.2</v>
      </c>
      <c r="M355" s="3">
        <v>57.96</v>
      </c>
      <c r="N355" s="3">
        <v>119.99</v>
      </c>
      <c r="O355" s="2" t="s">
        <v>97</v>
      </c>
      <c r="P355" s="2" t="s">
        <v>98</v>
      </c>
      <c r="Q355" s="2" t="s">
        <v>99</v>
      </c>
      <c r="R355" s="2" t="s">
        <v>100</v>
      </c>
      <c r="S355" s="2" t="s">
        <v>1708</v>
      </c>
      <c r="T355" s="2" t="s">
        <v>100</v>
      </c>
      <c r="U355" s="2" t="s">
        <v>102</v>
      </c>
      <c r="V355" s="2" t="s">
        <v>192</v>
      </c>
      <c r="W355" s="2" t="s">
        <v>142</v>
      </c>
      <c r="X355" s="2" t="s">
        <v>211</v>
      </c>
      <c r="Y355" s="2" t="s">
        <v>144</v>
      </c>
      <c r="Z355" s="4">
        <v>131</v>
      </c>
      <c r="AA355" s="4">
        <f>=ROUNDDOWN(32.75,0)</f>
      </c>
      <c r="AB355" s="5">
        <v>4</v>
      </c>
      <c r="AC355" s="2" t="s">
        <v>1468</v>
      </c>
      <c r="AD355" s="4">
        <v>80</v>
      </c>
      <c r="AE355" s="4">
        <v>80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/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/>
      <c r="BJ355" s="4">
        <v>9</v>
      </c>
      <c r="BK355" s="8">
        <v>522.36</v>
      </c>
      <c r="BL355" s="2" t="s">
        <v>1387</v>
      </c>
      <c r="BM355" s="7"/>
      <c r="BN355" s="7"/>
      <c r="BO355" s="4"/>
      <c r="BP355" s="8"/>
      <c r="BQ355" s="4"/>
      <c r="BR355" s="8"/>
      <c r="BS355" s="7"/>
      <c r="BT355" s="7"/>
      <c r="BU355" s="2" t="s">
        <v>109</v>
      </c>
      <c r="BV355" s="2" t="s">
        <v>97</v>
      </c>
      <c r="BW355" s="2" t="s">
        <v>404</v>
      </c>
      <c r="BX355" s="2" t="s">
        <v>1709</v>
      </c>
      <c r="BY355" s="2" t="s">
        <v>112</v>
      </c>
      <c r="BZ355" s="2" t="s">
        <v>100</v>
      </c>
    </row>
    <row r="356">
      <c r="A356" s="2" t="s">
        <v>1710</v>
      </c>
      <c r="B356" s="2" t="s">
        <v>87</v>
      </c>
      <c r="C356" s="2" t="s">
        <v>88</v>
      </c>
      <c r="D356" s="2" t="s">
        <v>1496</v>
      </c>
      <c r="E356" s="2" t="s">
        <v>1648</v>
      </c>
      <c r="F356" s="2" t="s">
        <v>1704</v>
      </c>
      <c r="G356" s="2" t="s">
        <v>455</v>
      </c>
      <c r="H356" s="2" t="s">
        <v>1705</v>
      </c>
      <c r="I356" s="2" t="s">
        <v>1706</v>
      </c>
      <c r="J356" s="2" t="s">
        <v>529</v>
      </c>
      <c r="K356" s="2" t="s">
        <v>1707</v>
      </c>
      <c r="L356" s="3">
        <v>59.8</v>
      </c>
      <c r="M356" s="3">
        <v>62.79</v>
      </c>
      <c r="N356" s="3">
        <v>129.99</v>
      </c>
      <c r="O356" s="2" t="s">
        <v>97</v>
      </c>
      <c r="P356" s="2" t="s">
        <v>98</v>
      </c>
      <c r="Q356" s="2" t="s">
        <v>99</v>
      </c>
      <c r="R356" s="2" t="s">
        <v>100</v>
      </c>
      <c r="S356" s="2" t="s">
        <v>1708</v>
      </c>
      <c r="T356" s="2" t="s">
        <v>100</v>
      </c>
      <c r="U356" s="2" t="s">
        <v>102</v>
      </c>
      <c r="V356" s="2" t="s">
        <v>192</v>
      </c>
      <c r="W356" s="2" t="s">
        <v>142</v>
      </c>
      <c r="X356" s="2" t="s">
        <v>211</v>
      </c>
      <c r="Y356" s="2" t="s">
        <v>144</v>
      </c>
      <c r="Z356" s="4">
        <v>82</v>
      </c>
      <c r="AA356" s="4">
        <f>=ROUNDDOWN(27.3333333333333,0)</f>
      </c>
      <c r="AB356" s="5">
        <v>3</v>
      </c>
      <c r="AC356" s="2" t="s">
        <v>1711</v>
      </c>
      <c r="AD356" s="4">
        <v>50</v>
      </c>
      <c r="AE356" s="4">
        <v>140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/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/>
      <c r="BJ356" s="4">
        <v>10</v>
      </c>
      <c r="BK356" s="8">
        <v>618.07</v>
      </c>
      <c r="BL356" s="2" t="s">
        <v>1712</v>
      </c>
      <c r="BM356" s="7"/>
      <c r="BN356" s="7"/>
      <c r="BO356" s="4"/>
      <c r="BP356" s="8"/>
      <c r="BQ356" s="4"/>
      <c r="BR356" s="8"/>
      <c r="BS356" s="7"/>
      <c r="BT356" s="7"/>
      <c r="BU356" s="2" t="s">
        <v>109</v>
      </c>
      <c r="BV356" s="2" t="s">
        <v>97</v>
      </c>
      <c r="BW356" s="2" t="s">
        <v>404</v>
      </c>
      <c r="BX356" s="2" t="s">
        <v>111</v>
      </c>
      <c r="BY356" s="2" t="s">
        <v>112</v>
      </c>
      <c r="BZ356" s="2" t="s">
        <v>100</v>
      </c>
    </row>
    <row r="357">
      <c r="A357" s="2" t="s">
        <v>1713</v>
      </c>
      <c r="B357" s="2" t="s">
        <v>87</v>
      </c>
      <c r="C357" s="2" t="s">
        <v>88</v>
      </c>
      <c r="D357" s="2" t="s">
        <v>1496</v>
      </c>
      <c r="E357" s="2" t="s">
        <v>1648</v>
      </c>
      <c r="F357" s="2" t="s">
        <v>348</v>
      </c>
      <c r="G357" s="2" t="s">
        <v>349</v>
      </c>
      <c r="H357" s="2" t="s">
        <v>350</v>
      </c>
      <c r="I357" s="2" t="s">
        <v>1649</v>
      </c>
      <c r="J357" s="2" t="s">
        <v>522</v>
      </c>
      <c r="K357" s="2" t="s">
        <v>353</v>
      </c>
      <c r="L357" s="3">
        <v>54.99</v>
      </c>
      <c r="M357" s="3">
        <v>57.74</v>
      </c>
      <c r="N357" s="3">
        <v>109.99</v>
      </c>
      <c r="O357" s="2" t="s">
        <v>97</v>
      </c>
      <c r="P357" s="2" t="s">
        <v>98</v>
      </c>
      <c r="Q357" s="2" t="s">
        <v>99</v>
      </c>
      <c r="R357" s="2" t="s">
        <v>100</v>
      </c>
      <c r="S357" s="2" t="s">
        <v>354</v>
      </c>
      <c r="T357" s="2" t="s">
        <v>100</v>
      </c>
      <c r="U357" s="2" t="s">
        <v>355</v>
      </c>
      <c r="V357" s="2" t="s">
        <v>192</v>
      </c>
      <c r="W357" s="2" t="s">
        <v>142</v>
      </c>
      <c r="X357" s="2" t="s">
        <v>356</v>
      </c>
      <c r="Y357" s="2" t="s">
        <v>144</v>
      </c>
      <c r="Z357" s="4">
        <v>55</v>
      </c>
      <c r="AA357" s="4">
        <f>=ROUNDDOWN(9.16666666666667,0)</f>
      </c>
      <c r="AB357" s="5">
        <v>6</v>
      </c>
      <c r="AC357" s="2" t="s">
        <v>262</v>
      </c>
      <c r="AD357" s="4">
        <v>30</v>
      </c>
      <c r="AE357" s="4">
        <v>160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/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/>
      <c r="BJ357" s="4">
        <v>17</v>
      </c>
      <c r="BK357" s="8">
        <v>956.44</v>
      </c>
      <c r="BL357" s="2" t="s">
        <v>632</v>
      </c>
      <c r="BM357" s="7"/>
      <c r="BN357" s="7"/>
      <c r="BO357" s="4"/>
      <c r="BP357" s="8"/>
      <c r="BQ357" s="4"/>
      <c r="BR357" s="8"/>
      <c r="BS357" s="7"/>
      <c r="BT357" s="7"/>
      <c r="BU357" s="2" t="s">
        <v>109</v>
      </c>
      <c r="BV357" s="2" t="s">
        <v>97</v>
      </c>
      <c r="BW357" s="2" t="s">
        <v>159</v>
      </c>
      <c r="BX357" s="2" t="s">
        <v>358</v>
      </c>
      <c r="BY357" s="2" t="s">
        <v>112</v>
      </c>
      <c r="BZ357" s="2" t="s">
        <v>100</v>
      </c>
    </row>
    <row r="358">
      <c r="A358" s="2" t="s">
        <v>1714</v>
      </c>
      <c r="B358" s="2" t="s">
        <v>87</v>
      </c>
      <c r="C358" s="2" t="s">
        <v>88</v>
      </c>
      <c r="D358" s="2" t="s">
        <v>1496</v>
      </c>
      <c r="E358" s="2" t="s">
        <v>1648</v>
      </c>
      <c r="F358" s="2" t="s">
        <v>348</v>
      </c>
      <c r="G358" s="2" t="s">
        <v>349</v>
      </c>
      <c r="H358" s="2" t="s">
        <v>350</v>
      </c>
      <c r="I358" s="2" t="s">
        <v>1649</v>
      </c>
      <c r="J358" s="2" t="s">
        <v>529</v>
      </c>
      <c r="K358" s="2" t="s">
        <v>353</v>
      </c>
      <c r="L358" s="3">
        <v>59.99</v>
      </c>
      <c r="M358" s="3">
        <v>62.99</v>
      </c>
      <c r="N358" s="3">
        <v>119.99</v>
      </c>
      <c r="O358" s="2" t="s">
        <v>97</v>
      </c>
      <c r="P358" s="2" t="s">
        <v>98</v>
      </c>
      <c r="Q358" s="2" t="s">
        <v>99</v>
      </c>
      <c r="R358" s="2" t="s">
        <v>100</v>
      </c>
      <c r="S358" s="2" t="s">
        <v>354</v>
      </c>
      <c r="T358" s="2" t="s">
        <v>100</v>
      </c>
      <c r="U358" s="2" t="s">
        <v>355</v>
      </c>
      <c r="V358" s="2" t="s">
        <v>192</v>
      </c>
      <c r="W358" s="2" t="s">
        <v>142</v>
      </c>
      <c r="X358" s="2" t="s">
        <v>356</v>
      </c>
      <c r="Y358" s="2" t="s">
        <v>144</v>
      </c>
      <c r="Z358" s="4">
        <v>44</v>
      </c>
      <c r="AA358" s="4">
        <f>=ROUNDDOWN(7.33333333333333,0)</f>
      </c>
      <c r="AB358" s="5">
        <v>6</v>
      </c>
      <c r="AC358" s="2" t="s">
        <v>262</v>
      </c>
      <c r="AD358" s="4">
        <v>50</v>
      </c>
      <c r="AE358" s="4">
        <v>130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/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/>
      <c r="BJ358" s="4">
        <v>14</v>
      </c>
      <c r="BK358" s="8">
        <v>869.72</v>
      </c>
      <c r="BL358" s="2" t="s">
        <v>444</v>
      </c>
      <c r="BM358" s="7"/>
      <c r="BN358" s="7"/>
      <c r="BO358" s="4"/>
      <c r="BP358" s="8"/>
      <c r="BQ358" s="4"/>
      <c r="BR358" s="8"/>
      <c r="BS358" s="7"/>
      <c r="BT358" s="7"/>
      <c r="BU358" s="2" t="s">
        <v>109</v>
      </c>
      <c r="BV358" s="2" t="s">
        <v>97</v>
      </c>
      <c r="BW358" s="2" t="s">
        <v>159</v>
      </c>
      <c r="BX358" s="2" t="s">
        <v>426</v>
      </c>
      <c r="BY358" s="2" t="s">
        <v>112</v>
      </c>
      <c r="BZ358" s="2" t="s">
        <v>100</v>
      </c>
    </row>
    <row r="359">
      <c r="A359" s="2" t="s">
        <v>1715</v>
      </c>
      <c r="B359" s="2" t="s">
        <v>87</v>
      </c>
      <c r="C359" s="2" t="s">
        <v>88</v>
      </c>
      <c r="D359" s="2" t="s">
        <v>1496</v>
      </c>
      <c r="E359" s="2" t="s">
        <v>1648</v>
      </c>
      <c r="F359" s="2" t="s">
        <v>1257</v>
      </c>
      <c r="G359" s="2" t="s">
        <v>1258</v>
      </c>
      <c r="H359" s="2" t="s">
        <v>1259</v>
      </c>
      <c r="I359" s="2" t="s">
        <v>1716</v>
      </c>
      <c r="J359" s="2" t="s">
        <v>95</v>
      </c>
      <c r="K359" s="2" t="s">
        <v>236</v>
      </c>
      <c r="L359" s="3">
        <v>65.8</v>
      </c>
      <c r="M359" s="3">
        <v>69.09</v>
      </c>
      <c r="N359" s="3">
        <v>139.99</v>
      </c>
      <c r="O359" s="2" t="s">
        <v>97</v>
      </c>
      <c r="P359" s="2" t="s">
        <v>98</v>
      </c>
      <c r="Q359" s="2" t="s">
        <v>99</v>
      </c>
      <c r="R359" s="2" t="s">
        <v>100</v>
      </c>
      <c r="S359" s="2" t="s">
        <v>1261</v>
      </c>
      <c r="T359" s="2" t="s">
        <v>100</v>
      </c>
      <c r="U359" s="2" t="s">
        <v>618</v>
      </c>
      <c r="V359" s="2" t="s">
        <v>192</v>
      </c>
      <c r="W359" s="2" t="s">
        <v>142</v>
      </c>
      <c r="X359" s="2" t="s">
        <v>462</v>
      </c>
      <c r="Y359" s="2" t="s">
        <v>144</v>
      </c>
      <c r="Z359" s="4">
        <v>95</v>
      </c>
      <c r="AA359" s="4">
        <f>=ROUNDDOWN(19,0)</f>
      </c>
      <c r="AB359" s="5">
        <v>5</v>
      </c>
      <c r="AC359" s="2" t="s">
        <v>911</v>
      </c>
      <c r="AD359" s="4">
        <v>40</v>
      </c>
      <c r="AE359" s="4">
        <v>40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/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/>
      <c r="BJ359" s="4">
        <v>14</v>
      </c>
      <c r="BK359" s="8">
        <v>970.36</v>
      </c>
      <c r="BL359" s="2" t="s">
        <v>1717</v>
      </c>
      <c r="BM359" s="7"/>
      <c r="BN359" s="7"/>
      <c r="BO359" s="4"/>
      <c r="BP359" s="8"/>
      <c r="BQ359" s="4"/>
      <c r="BR359" s="8"/>
      <c r="BS359" s="7"/>
      <c r="BT359" s="7"/>
      <c r="BU359" s="2" t="s">
        <v>109</v>
      </c>
      <c r="BV359" s="2" t="s">
        <v>97</v>
      </c>
      <c r="BW359" s="2" t="s">
        <v>147</v>
      </c>
      <c r="BX359" s="2" t="s">
        <v>1718</v>
      </c>
      <c r="BY359" s="2" t="s">
        <v>112</v>
      </c>
      <c r="BZ359" s="2" t="s">
        <v>100</v>
      </c>
    </row>
    <row r="360">
      <c r="A360" s="2" t="s">
        <v>1719</v>
      </c>
      <c r="B360" s="2" t="s">
        <v>87</v>
      </c>
      <c r="C360" s="2" t="s">
        <v>88</v>
      </c>
      <c r="D360" s="2" t="s">
        <v>1496</v>
      </c>
      <c r="E360" s="2" t="s">
        <v>1648</v>
      </c>
      <c r="F360" s="2" t="s">
        <v>1257</v>
      </c>
      <c r="G360" s="2" t="s">
        <v>1258</v>
      </c>
      <c r="H360" s="2" t="s">
        <v>1259</v>
      </c>
      <c r="I360" s="2" t="s">
        <v>1716</v>
      </c>
      <c r="J360" s="2" t="s">
        <v>114</v>
      </c>
      <c r="K360" s="2" t="s">
        <v>236</v>
      </c>
      <c r="L360" s="3">
        <v>75.2</v>
      </c>
      <c r="M360" s="3">
        <v>78.96</v>
      </c>
      <c r="N360" s="3">
        <v>159.99</v>
      </c>
      <c r="O360" s="2" t="s">
        <v>97</v>
      </c>
      <c r="P360" s="2" t="s">
        <v>98</v>
      </c>
      <c r="Q360" s="2" t="s">
        <v>99</v>
      </c>
      <c r="R360" s="2" t="s">
        <v>100</v>
      </c>
      <c r="S360" s="2" t="s">
        <v>1261</v>
      </c>
      <c r="T360" s="2" t="s">
        <v>100</v>
      </c>
      <c r="U360" s="2" t="s">
        <v>618</v>
      </c>
      <c r="V360" s="2" t="s">
        <v>192</v>
      </c>
      <c r="W360" s="2" t="s">
        <v>142</v>
      </c>
      <c r="X360" s="2" t="s">
        <v>462</v>
      </c>
      <c r="Y360" s="2" t="s">
        <v>1720</v>
      </c>
      <c r="Z360" s="4">
        <v>133</v>
      </c>
      <c r="AA360" s="4">
        <f>=ROUNDDOWN(44.3333333333333,0)</f>
      </c>
      <c r="AB360" s="5">
        <v>3</v>
      </c>
      <c r="AC360" s="2" t="s">
        <v>100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/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/>
      <c r="BJ360" s="4">
        <v>9</v>
      </c>
      <c r="BK360" s="8">
        <v>692.23</v>
      </c>
      <c r="BL360" s="2" t="s">
        <v>1721</v>
      </c>
      <c r="BM360" s="7"/>
      <c r="BN360" s="7"/>
      <c r="BO360" s="4"/>
      <c r="BP360" s="8"/>
      <c r="BQ360" s="4"/>
      <c r="BR360" s="8"/>
      <c r="BS360" s="7"/>
      <c r="BT360" s="7"/>
      <c r="BU360" s="2" t="s">
        <v>109</v>
      </c>
      <c r="BV360" s="2" t="s">
        <v>97</v>
      </c>
      <c r="BW360" s="2" t="s">
        <v>147</v>
      </c>
      <c r="BX360" s="2" t="s">
        <v>1722</v>
      </c>
      <c r="BY360" s="2" t="s">
        <v>112</v>
      </c>
      <c r="BZ360" s="2" t="s">
        <v>100</v>
      </c>
    </row>
    <row r="361">
      <c r="A361" s="2" t="s">
        <v>1723</v>
      </c>
      <c r="B361" s="2" t="s">
        <v>87</v>
      </c>
      <c r="C361" s="2" t="s">
        <v>88</v>
      </c>
      <c r="D361" s="2" t="s">
        <v>1496</v>
      </c>
      <c r="E361" s="2" t="s">
        <v>1648</v>
      </c>
      <c r="F361" s="2" t="s">
        <v>1257</v>
      </c>
      <c r="G361" s="2" t="s">
        <v>1258</v>
      </c>
      <c r="H361" s="2" t="s">
        <v>1259</v>
      </c>
      <c r="I361" s="2" t="s">
        <v>1716</v>
      </c>
      <c r="J361" s="2" t="s">
        <v>118</v>
      </c>
      <c r="K361" s="2" t="s">
        <v>236</v>
      </c>
      <c r="L361" s="3">
        <v>75.2</v>
      </c>
      <c r="M361" s="3">
        <v>78.96</v>
      </c>
      <c r="N361" s="3">
        <v>159.99</v>
      </c>
      <c r="O361" s="2" t="s">
        <v>97</v>
      </c>
      <c r="P361" s="2" t="s">
        <v>98</v>
      </c>
      <c r="Q361" s="2" t="s">
        <v>99</v>
      </c>
      <c r="R361" s="2" t="s">
        <v>100</v>
      </c>
      <c r="S361" s="2" t="s">
        <v>1261</v>
      </c>
      <c r="T361" s="2" t="s">
        <v>100</v>
      </c>
      <c r="U361" s="2" t="s">
        <v>618</v>
      </c>
      <c r="V361" s="2" t="s">
        <v>192</v>
      </c>
      <c r="W361" s="2" t="s">
        <v>142</v>
      </c>
      <c r="X361" s="2" t="s">
        <v>462</v>
      </c>
      <c r="Y361" s="2" t="s">
        <v>1724</v>
      </c>
      <c r="Z361" s="4">
        <v>16</v>
      </c>
      <c r="AA361" s="4">
        <f>=ROUNDDOWN(8,0)</f>
      </c>
      <c r="AB361" s="5">
        <v>2</v>
      </c>
      <c r="AC361" s="2" t="s">
        <v>206</v>
      </c>
      <c r="AD361" s="4">
        <v>48</v>
      </c>
      <c r="AE361" s="4">
        <v>48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/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/>
      <c r="BJ361" s="4">
        <v>4</v>
      </c>
      <c r="BK361" s="8">
        <v>288.21</v>
      </c>
      <c r="BL361" s="2" t="s">
        <v>250</v>
      </c>
      <c r="BM361" s="7"/>
      <c r="BN361" s="7"/>
      <c r="BO361" s="4"/>
      <c r="BP361" s="8"/>
      <c r="BQ361" s="4"/>
      <c r="BR361" s="8"/>
      <c r="BS361" s="7"/>
      <c r="BT361" s="7"/>
      <c r="BU361" s="2" t="s">
        <v>109</v>
      </c>
      <c r="BV361" s="2" t="s">
        <v>97</v>
      </c>
      <c r="BW361" s="2" t="s">
        <v>147</v>
      </c>
      <c r="BX361" s="2" t="s">
        <v>1725</v>
      </c>
      <c r="BY361" s="2" t="s">
        <v>112</v>
      </c>
      <c r="BZ361" s="2" t="s">
        <v>100</v>
      </c>
    </row>
    <row r="362">
      <c r="A362" s="2" t="s">
        <v>1726</v>
      </c>
      <c r="B362" s="2" t="s">
        <v>87</v>
      </c>
      <c r="C362" s="2" t="s">
        <v>88</v>
      </c>
      <c r="D362" s="2" t="s">
        <v>1496</v>
      </c>
      <c r="E362" s="2" t="s">
        <v>1648</v>
      </c>
      <c r="F362" s="2" t="s">
        <v>1727</v>
      </c>
      <c r="G362" s="2" t="s">
        <v>1728</v>
      </c>
      <c r="H362" s="2" t="s">
        <v>1729</v>
      </c>
      <c r="I362" s="2" t="s">
        <v>1730</v>
      </c>
      <c r="J362" s="2" t="s">
        <v>522</v>
      </c>
      <c r="K362" s="2" t="s">
        <v>1373</v>
      </c>
      <c r="L362" s="3">
        <v>53.9</v>
      </c>
      <c r="M362" s="3">
        <v>56.59</v>
      </c>
      <c r="N362" s="3">
        <v>109.99</v>
      </c>
      <c r="O362" s="2" t="s">
        <v>97</v>
      </c>
      <c r="P362" s="2" t="s">
        <v>156</v>
      </c>
      <c r="Q362" s="2" t="s">
        <v>99</v>
      </c>
      <c r="R362" s="2" t="s">
        <v>100</v>
      </c>
      <c r="S362" s="2" t="s">
        <v>1731</v>
      </c>
      <c r="T362" s="2" t="s">
        <v>100</v>
      </c>
      <c r="U362" s="2" t="s">
        <v>1228</v>
      </c>
      <c r="V362" s="2" t="s">
        <v>461</v>
      </c>
      <c r="W362" s="2" t="s">
        <v>193</v>
      </c>
      <c r="X362" s="2" t="s">
        <v>1732</v>
      </c>
      <c r="Y362" s="2" t="s">
        <v>1733</v>
      </c>
      <c r="Z362" s="4">
        <v>265</v>
      </c>
      <c r="AA362" s="4">
        <f>=ROUNDDOWN(73.6111111111111,0)</f>
      </c>
      <c r="AB362" s="5">
        <v>3.6</v>
      </c>
      <c r="AC362" s="2" t="s">
        <v>1201</v>
      </c>
      <c r="AD362" s="4">
        <v>100</v>
      </c>
      <c r="AE362" s="4">
        <v>200</v>
      </c>
      <c r="AF362" s="6">
        <v>66</v>
      </c>
      <c r="AG362" s="6">
        <v>49</v>
      </c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/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/>
      <c r="BJ362" s="4">
        <v>20</v>
      </c>
      <c r="BK362" s="8">
        <v>1189.12</v>
      </c>
      <c r="BL362" s="2" t="s">
        <v>1734</v>
      </c>
      <c r="BM362" s="7"/>
      <c r="BN362" s="7"/>
      <c r="BO362" s="4"/>
      <c r="BP362" s="8"/>
      <c r="BQ362" s="4"/>
      <c r="BR362" s="8"/>
      <c r="BS362" s="7"/>
      <c r="BT362" s="7"/>
      <c r="BU362" s="2" t="s">
        <v>109</v>
      </c>
      <c r="BV362" s="2" t="s">
        <v>97</v>
      </c>
      <c r="BW362" s="2" t="s">
        <v>1538</v>
      </c>
      <c r="BX362" s="2" t="s">
        <v>1735</v>
      </c>
      <c r="BY362" s="2" t="s">
        <v>112</v>
      </c>
      <c r="BZ362" s="2" t="s">
        <v>100</v>
      </c>
    </row>
    <row r="363">
      <c r="A363" s="2" t="s">
        <v>1736</v>
      </c>
      <c r="B363" s="2" t="s">
        <v>87</v>
      </c>
      <c r="C363" s="2" t="s">
        <v>88</v>
      </c>
      <c r="D363" s="2" t="s">
        <v>1496</v>
      </c>
      <c r="E363" s="2" t="s">
        <v>1648</v>
      </c>
      <c r="F363" s="2" t="s">
        <v>1727</v>
      </c>
      <c r="G363" s="2" t="s">
        <v>1728</v>
      </c>
      <c r="H363" s="2" t="s">
        <v>1729</v>
      </c>
      <c r="I363" s="2" t="s">
        <v>1730</v>
      </c>
      <c r="J363" s="2" t="s">
        <v>529</v>
      </c>
      <c r="K363" s="2" t="s">
        <v>1373</v>
      </c>
      <c r="L363" s="3">
        <v>58.8</v>
      </c>
      <c r="M363" s="3">
        <v>61.73</v>
      </c>
      <c r="N363" s="3">
        <v>119.99</v>
      </c>
      <c r="O363" s="2" t="s">
        <v>97</v>
      </c>
      <c r="P363" s="2" t="s">
        <v>156</v>
      </c>
      <c r="Q363" s="2" t="s">
        <v>99</v>
      </c>
      <c r="R363" s="2" t="s">
        <v>100</v>
      </c>
      <c r="S363" s="2" t="s">
        <v>1731</v>
      </c>
      <c r="T363" s="2" t="s">
        <v>100</v>
      </c>
      <c r="U363" s="2" t="s">
        <v>1228</v>
      </c>
      <c r="V363" s="2" t="s">
        <v>461</v>
      </c>
      <c r="W363" s="2" t="s">
        <v>193</v>
      </c>
      <c r="X363" s="2" t="s">
        <v>1732</v>
      </c>
      <c r="Y363" s="2" t="s">
        <v>1733</v>
      </c>
      <c r="Z363" s="4">
        <v>297</v>
      </c>
      <c r="AA363" s="4">
        <f>=ROUNDDOWN(67.5,0)</f>
      </c>
      <c r="AB363" s="5">
        <v>4.4</v>
      </c>
      <c r="AC363" s="2" t="s">
        <v>1201</v>
      </c>
      <c r="AD363" s="4">
        <v>120</v>
      </c>
      <c r="AE363" s="4">
        <v>290</v>
      </c>
      <c r="AF363" s="6">
        <v>66</v>
      </c>
      <c r="AG363" s="6">
        <v>49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/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/>
      <c r="BJ363" s="4">
        <v>15</v>
      </c>
      <c r="BK363" s="8">
        <v>969.47</v>
      </c>
      <c r="BL363" s="2" t="s">
        <v>1737</v>
      </c>
      <c r="BM363" s="7"/>
      <c r="BN363" s="7"/>
      <c r="BO363" s="4"/>
      <c r="BP363" s="8"/>
      <c r="BQ363" s="4"/>
      <c r="BR363" s="8"/>
      <c r="BS363" s="7"/>
      <c r="BT363" s="7"/>
      <c r="BU363" s="2" t="s">
        <v>109</v>
      </c>
      <c r="BV363" s="2" t="s">
        <v>97</v>
      </c>
      <c r="BW363" s="2" t="s">
        <v>1538</v>
      </c>
      <c r="BX363" s="2" t="s">
        <v>1738</v>
      </c>
      <c r="BY363" s="2" t="s">
        <v>112</v>
      </c>
      <c r="BZ363" s="2" t="s">
        <v>100</v>
      </c>
    </row>
    <row r="364">
      <c r="A364" s="2" t="s">
        <v>1739</v>
      </c>
      <c r="B364" s="2" t="s">
        <v>87</v>
      </c>
      <c r="C364" s="2" t="s">
        <v>88</v>
      </c>
      <c r="D364" s="2" t="s">
        <v>1496</v>
      </c>
      <c r="E364" s="2" t="s">
        <v>1648</v>
      </c>
      <c r="F364" s="2" t="s">
        <v>736</v>
      </c>
      <c r="G364" s="2" t="s">
        <v>737</v>
      </c>
      <c r="H364" s="2" t="s">
        <v>738</v>
      </c>
      <c r="I364" s="2" t="s">
        <v>1740</v>
      </c>
      <c r="J364" s="2" t="s">
        <v>522</v>
      </c>
      <c r="K364" s="2" t="s">
        <v>471</v>
      </c>
      <c r="L364" s="3">
        <v>58.8</v>
      </c>
      <c r="M364" s="3">
        <v>61.74</v>
      </c>
      <c r="N364" s="3">
        <v>119.99</v>
      </c>
      <c r="O364" s="2" t="s">
        <v>97</v>
      </c>
      <c r="P364" s="2" t="s">
        <v>98</v>
      </c>
      <c r="Q364" s="2" t="s">
        <v>99</v>
      </c>
      <c r="R364" s="2" t="s">
        <v>100</v>
      </c>
      <c r="S364" s="2" t="s">
        <v>1741</v>
      </c>
      <c r="T364" s="2" t="s">
        <v>190</v>
      </c>
      <c r="U364" s="2" t="s">
        <v>355</v>
      </c>
      <c r="V364" s="2" t="s">
        <v>717</v>
      </c>
      <c r="W364" s="2" t="s">
        <v>717</v>
      </c>
      <c r="X364" s="2" t="s">
        <v>271</v>
      </c>
      <c r="Y364" s="2" t="s">
        <v>741</v>
      </c>
      <c r="Z364" s="4">
        <v>217</v>
      </c>
      <c r="AA364" s="4">
        <f>=ROUNDDOWN(83.4615384615385,0)</f>
      </c>
      <c r="AB364" s="5">
        <v>2.6</v>
      </c>
      <c r="AC364" s="2" t="s">
        <v>100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/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/>
      <c r="BJ364" s="4">
        <v>18</v>
      </c>
      <c r="BK364" s="8">
        <v>1115.68</v>
      </c>
      <c r="BL364" s="2" t="s">
        <v>1742</v>
      </c>
      <c r="BM364" s="7"/>
      <c r="BN364" s="7"/>
      <c r="BO364" s="4"/>
      <c r="BP364" s="8"/>
      <c r="BQ364" s="4"/>
      <c r="BR364" s="8"/>
      <c r="BS364" s="7"/>
      <c r="BT364" s="7"/>
      <c r="BU364" s="2" t="s">
        <v>171</v>
      </c>
      <c r="BV364" s="2" t="s">
        <v>97</v>
      </c>
      <c r="BW364" s="2" t="s">
        <v>100</v>
      </c>
      <c r="BX364" s="2" t="s">
        <v>100</v>
      </c>
      <c r="BY364" s="2" t="s">
        <v>112</v>
      </c>
      <c r="BZ364" s="2" t="s">
        <v>100</v>
      </c>
    </row>
    <row r="365">
      <c r="A365" s="2" t="s">
        <v>1743</v>
      </c>
      <c r="B365" s="2" t="s">
        <v>87</v>
      </c>
      <c r="C365" s="2" t="s">
        <v>88</v>
      </c>
      <c r="D365" s="2" t="s">
        <v>1496</v>
      </c>
      <c r="E365" s="2" t="s">
        <v>1648</v>
      </c>
      <c r="F365" s="2" t="s">
        <v>736</v>
      </c>
      <c r="G365" s="2" t="s">
        <v>737</v>
      </c>
      <c r="H365" s="2" t="s">
        <v>738</v>
      </c>
      <c r="I365" s="2" t="s">
        <v>1740</v>
      </c>
      <c r="J365" s="2" t="s">
        <v>529</v>
      </c>
      <c r="K365" s="2" t="s">
        <v>471</v>
      </c>
      <c r="L365" s="3">
        <v>63.7</v>
      </c>
      <c r="M365" s="3">
        <v>66.89</v>
      </c>
      <c r="N365" s="3">
        <v>129.99</v>
      </c>
      <c r="O365" s="2" t="s">
        <v>97</v>
      </c>
      <c r="P365" s="2" t="s">
        <v>98</v>
      </c>
      <c r="Q365" s="2" t="s">
        <v>99</v>
      </c>
      <c r="R365" s="2" t="s">
        <v>100</v>
      </c>
      <c r="S365" s="2" t="s">
        <v>1741</v>
      </c>
      <c r="T365" s="2" t="s">
        <v>190</v>
      </c>
      <c r="U365" s="2" t="s">
        <v>355</v>
      </c>
      <c r="V365" s="2" t="s">
        <v>717</v>
      </c>
      <c r="W365" s="2" t="s">
        <v>717</v>
      </c>
      <c r="X365" s="2" t="s">
        <v>271</v>
      </c>
      <c r="Y365" s="2" t="s">
        <v>741</v>
      </c>
      <c r="Z365" s="4">
        <v>209</v>
      </c>
      <c r="AA365" s="4">
        <f>=ROUNDDOWN(41.8,0)</f>
      </c>
      <c r="AB365" s="5">
        <v>5</v>
      </c>
      <c r="AC365" s="2" t="s">
        <v>389</v>
      </c>
      <c r="AD365" s="4">
        <v>30</v>
      </c>
      <c r="AE365" s="4">
        <v>30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/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/>
      <c r="BJ365" s="4">
        <v>9</v>
      </c>
      <c r="BK365" s="8">
        <v>577.07</v>
      </c>
      <c r="BL365" s="2" t="s">
        <v>1744</v>
      </c>
      <c r="BM365" s="7"/>
      <c r="BN365" s="7"/>
      <c r="BO365" s="4"/>
      <c r="BP365" s="8"/>
      <c r="BQ365" s="4"/>
      <c r="BR365" s="8"/>
      <c r="BS365" s="7"/>
      <c r="BT365" s="7"/>
      <c r="BU365" s="2" t="s">
        <v>171</v>
      </c>
      <c r="BV365" s="2" t="s">
        <v>97</v>
      </c>
      <c r="BW365" s="2" t="s">
        <v>100</v>
      </c>
      <c r="BX365" s="2" t="s">
        <v>100</v>
      </c>
      <c r="BY365" s="2" t="s">
        <v>112</v>
      </c>
      <c r="BZ365" s="2" t="s">
        <v>100</v>
      </c>
    </row>
    <row r="366">
      <c r="A366" s="2" t="s">
        <v>1745</v>
      </c>
      <c r="B366" s="2" t="s">
        <v>87</v>
      </c>
      <c r="C366" s="2" t="s">
        <v>88</v>
      </c>
      <c r="D366" s="2" t="s">
        <v>1496</v>
      </c>
      <c r="E366" s="2" t="s">
        <v>1648</v>
      </c>
      <c r="F366" s="2" t="s">
        <v>736</v>
      </c>
      <c r="G366" s="2" t="s">
        <v>737</v>
      </c>
      <c r="H366" s="2" t="s">
        <v>738</v>
      </c>
      <c r="I366" s="2" t="s">
        <v>1740</v>
      </c>
      <c r="J366" s="2" t="s">
        <v>522</v>
      </c>
      <c r="K366" s="2" t="s">
        <v>155</v>
      </c>
      <c r="L366" s="3">
        <v>58.8</v>
      </c>
      <c r="M366" s="3">
        <v>61.73</v>
      </c>
      <c r="N366" s="3">
        <v>119.99</v>
      </c>
      <c r="O366" s="2" t="s">
        <v>97</v>
      </c>
      <c r="P366" s="2" t="s">
        <v>98</v>
      </c>
      <c r="Q366" s="2" t="s">
        <v>99</v>
      </c>
      <c r="R366" s="2" t="s">
        <v>100</v>
      </c>
      <c r="S366" s="2" t="s">
        <v>1746</v>
      </c>
      <c r="T366" s="2" t="s">
        <v>190</v>
      </c>
      <c r="U366" s="2" t="s">
        <v>355</v>
      </c>
      <c r="V366" s="2" t="s">
        <v>717</v>
      </c>
      <c r="W366" s="2" t="s">
        <v>717</v>
      </c>
      <c r="X366" s="2" t="s">
        <v>1248</v>
      </c>
      <c r="Y366" s="2" t="s">
        <v>144</v>
      </c>
      <c r="Z366" s="4">
        <v>126</v>
      </c>
      <c r="AA366" s="4">
        <f>=ROUNDDOWN(25.2,0)</f>
      </c>
      <c r="AB366" s="5">
        <v>5</v>
      </c>
      <c r="AC366" s="2" t="s">
        <v>389</v>
      </c>
      <c r="AD366" s="4">
        <v>40</v>
      </c>
      <c r="AE366" s="4">
        <v>40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/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/>
      <c r="BJ366" s="4">
        <v>16</v>
      </c>
      <c r="BK366" s="8">
        <v>992.05</v>
      </c>
      <c r="BL366" s="2" t="s">
        <v>1747</v>
      </c>
      <c r="BM366" s="7"/>
      <c r="BN366" s="7"/>
      <c r="BO366" s="4"/>
      <c r="BP366" s="8"/>
      <c r="BQ366" s="4"/>
      <c r="BR366" s="8"/>
      <c r="BS366" s="7"/>
      <c r="BT366" s="7"/>
      <c r="BU366" s="2" t="s">
        <v>109</v>
      </c>
      <c r="BV366" s="2" t="s">
        <v>97</v>
      </c>
      <c r="BW366" s="2" t="s">
        <v>464</v>
      </c>
      <c r="BX366" s="2" t="s">
        <v>870</v>
      </c>
      <c r="BY366" s="2" t="s">
        <v>112</v>
      </c>
      <c r="BZ366" s="2" t="s">
        <v>100</v>
      </c>
    </row>
    <row r="367">
      <c r="A367" s="2" t="s">
        <v>1748</v>
      </c>
      <c r="B367" s="2" t="s">
        <v>87</v>
      </c>
      <c r="C367" s="2" t="s">
        <v>88</v>
      </c>
      <c r="D367" s="2" t="s">
        <v>1496</v>
      </c>
      <c r="E367" s="2" t="s">
        <v>1648</v>
      </c>
      <c r="F367" s="2" t="s">
        <v>736</v>
      </c>
      <c r="G367" s="2" t="s">
        <v>737</v>
      </c>
      <c r="H367" s="2" t="s">
        <v>738</v>
      </c>
      <c r="I367" s="2" t="s">
        <v>1740</v>
      </c>
      <c r="J367" s="2" t="s">
        <v>529</v>
      </c>
      <c r="K367" s="2" t="s">
        <v>155</v>
      </c>
      <c r="L367" s="3">
        <v>63.7</v>
      </c>
      <c r="M367" s="3">
        <v>66.88</v>
      </c>
      <c r="N367" s="3">
        <v>129.99</v>
      </c>
      <c r="O367" s="2" t="s">
        <v>97</v>
      </c>
      <c r="P367" s="2" t="s">
        <v>98</v>
      </c>
      <c r="Q367" s="2" t="s">
        <v>99</v>
      </c>
      <c r="R367" s="2" t="s">
        <v>100</v>
      </c>
      <c r="S367" s="2" t="s">
        <v>1746</v>
      </c>
      <c r="T367" s="2" t="s">
        <v>190</v>
      </c>
      <c r="U367" s="2" t="s">
        <v>355</v>
      </c>
      <c r="V367" s="2" t="s">
        <v>717</v>
      </c>
      <c r="W367" s="2" t="s">
        <v>717</v>
      </c>
      <c r="X367" s="2" t="s">
        <v>1248</v>
      </c>
      <c r="Y367" s="2" t="s">
        <v>144</v>
      </c>
      <c r="Z367" s="4">
        <v>152</v>
      </c>
      <c r="AA367" s="4">
        <f>=ROUNDDOWN(38,0)</f>
      </c>
      <c r="AB367" s="5">
        <v>4</v>
      </c>
      <c r="AC367" s="2" t="s">
        <v>100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/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/>
      <c r="BJ367" s="4">
        <v>13</v>
      </c>
      <c r="BK367" s="8">
        <v>882.13</v>
      </c>
      <c r="BL367" s="2" t="s">
        <v>1749</v>
      </c>
      <c r="BM367" s="7"/>
      <c r="BN367" s="7"/>
      <c r="BO367" s="4"/>
      <c r="BP367" s="8"/>
      <c r="BQ367" s="4"/>
      <c r="BR367" s="8"/>
      <c r="BS367" s="7"/>
      <c r="BT367" s="7"/>
      <c r="BU367" s="2" t="s">
        <v>109</v>
      </c>
      <c r="BV367" s="2" t="s">
        <v>97</v>
      </c>
      <c r="BW367" s="2" t="s">
        <v>464</v>
      </c>
      <c r="BX367" s="2" t="s">
        <v>1750</v>
      </c>
      <c r="BY367" s="2" t="s">
        <v>112</v>
      </c>
      <c r="BZ367" s="2" t="s">
        <v>100</v>
      </c>
    </row>
    <row r="368">
      <c r="A368" s="2" t="s">
        <v>1751</v>
      </c>
      <c r="B368" s="2" t="s">
        <v>87</v>
      </c>
      <c r="C368" s="2" t="s">
        <v>88</v>
      </c>
      <c r="D368" s="2" t="s">
        <v>1496</v>
      </c>
      <c r="E368" s="2" t="s">
        <v>1648</v>
      </c>
      <c r="F368" s="2" t="s">
        <v>265</v>
      </c>
      <c r="G368" s="2" t="s">
        <v>266</v>
      </c>
      <c r="H368" s="2" t="s">
        <v>267</v>
      </c>
      <c r="I368" s="2" t="s">
        <v>1752</v>
      </c>
      <c r="J368" s="2" t="s">
        <v>522</v>
      </c>
      <c r="K368" s="2" t="s">
        <v>289</v>
      </c>
      <c r="L368" s="3">
        <v>53.9</v>
      </c>
      <c r="M368" s="3">
        <v>56.59</v>
      </c>
      <c r="N368" s="3">
        <v>109.99</v>
      </c>
      <c r="O368" s="2" t="s">
        <v>97</v>
      </c>
      <c r="P368" s="2" t="s">
        <v>156</v>
      </c>
      <c r="Q368" s="2" t="s">
        <v>99</v>
      </c>
      <c r="R368" s="2" t="s">
        <v>100</v>
      </c>
      <c r="S368" s="2" t="s">
        <v>1753</v>
      </c>
      <c r="T368" s="2" t="s">
        <v>100</v>
      </c>
      <c r="U368" s="2" t="s">
        <v>355</v>
      </c>
      <c r="V368" s="2" t="s">
        <v>269</v>
      </c>
      <c r="W368" s="2" t="s">
        <v>270</v>
      </c>
      <c r="X368" s="2" t="s">
        <v>271</v>
      </c>
      <c r="Y368" s="2" t="s">
        <v>291</v>
      </c>
      <c r="Z368" s="4">
        <v>244</v>
      </c>
      <c r="AA368" s="4">
        <f>=ROUNDDOWN(40.6666666666667,0)</f>
      </c>
      <c r="AB368" s="5">
        <v>6</v>
      </c>
      <c r="AC368" s="2" t="s">
        <v>130</v>
      </c>
      <c r="AD368" s="4">
        <v>60</v>
      </c>
      <c r="AE368" s="4">
        <v>60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/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/>
      <c r="BJ368" s="4">
        <v>19</v>
      </c>
      <c r="BK368" s="8">
        <v>964.68</v>
      </c>
      <c r="BL368" s="2" t="s">
        <v>719</v>
      </c>
      <c r="BM368" s="7"/>
      <c r="BN368" s="7"/>
      <c r="BO368" s="4"/>
      <c r="BP368" s="8"/>
      <c r="BQ368" s="4"/>
      <c r="BR368" s="8"/>
      <c r="BS368" s="7"/>
      <c r="BT368" s="7"/>
      <c r="BU368" s="2" t="s">
        <v>171</v>
      </c>
      <c r="BV368" s="2" t="s">
        <v>97</v>
      </c>
      <c r="BW368" s="2" t="s">
        <v>100</v>
      </c>
      <c r="BX368" s="2" t="s">
        <v>100</v>
      </c>
      <c r="BY368" s="2" t="s">
        <v>112</v>
      </c>
      <c r="BZ368" s="2" t="s">
        <v>100</v>
      </c>
    </row>
    <row r="369">
      <c r="A369" s="2" t="s">
        <v>1754</v>
      </c>
      <c r="B369" s="2" t="s">
        <v>87</v>
      </c>
      <c r="C369" s="2" t="s">
        <v>88</v>
      </c>
      <c r="D369" s="2" t="s">
        <v>1496</v>
      </c>
      <c r="E369" s="2" t="s">
        <v>1648</v>
      </c>
      <c r="F369" s="2" t="s">
        <v>265</v>
      </c>
      <c r="G369" s="2" t="s">
        <v>266</v>
      </c>
      <c r="H369" s="2" t="s">
        <v>267</v>
      </c>
      <c r="I369" s="2" t="s">
        <v>1752</v>
      </c>
      <c r="J369" s="2" t="s">
        <v>529</v>
      </c>
      <c r="K369" s="2" t="s">
        <v>289</v>
      </c>
      <c r="L369" s="3">
        <v>58.8</v>
      </c>
      <c r="M369" s="3">
        <v>61.73</v>
      </c>
      <c r="N369" s="3">
        <v>119.99</v>
      </c>
      <c r="O369" s="2" t="s">
        <v>97</v>
      </c>
      <c r="P369" s="2" t="s">
        <v>156</v>
      </c>
      <c r="Q369" s="2" t="s">
        <v>99</v>
      </c>
      <c r="R369" s="2" t="s">
        <v>100</v>
      </c>
      <c r="S369" s="2" t="s">
        <v>1753</v>
      </c>
      <c r="T369" s="2" t="s">
        <v>100</v>
      </c>
      <c r="U369" s="2" t="s">
        <v>355</v>
      </c>
      <c r="V369" s="2" t="s">
        <v>269</v>
      </c>
      <c r="W369" s="2" t="s">
        <v>270</v>
      </c>
      <c r="X369" s="2" t="s">
        <v>271</v>
      </c>
      <c r="Y369" s="2" t="s">
        <v>291</v>
      </c>
      <c r="Z369" s="4">
        <v>296</v>
      </c>
      <c r="AA369" s="4">
        <f>=ROUNDDOWN(37,0)</f>
      </c>
      <c r="AB369" s="5">
        <v>8</v>
      </c>
      <c r="AC369" s="2" t="s">
        <v>130</v>
      </c>
      <c r="AD369" s="4">
        <v>80</v>
      </c>
      <c r="AE369" s="4">
        <v>80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/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/>
      <c r="BJ369" s="4">
        <v>14</v>
      </c>
      <c r="BK369" s="8">
        <v>825.64</v>
      </c>
      <c r="BL369" s="2" t="s">
        <v>1271</v>
      </c>
      <c r="BM369" s="7"/>
      <c r="BN369" s="7"/>
      <c r="BO369" s="4"/>
      <c r="BP369" s="8"/>
      <c r="BQ369" s="4"/>
      <c r="BR369" s="8"/>
      <c r="BS369" s="7"/>
      <c r="BT369" s="7"/>
      <c r="BU369" s="2" t="s">
        <v>171</v>
      </c>
      <c r="BV369" s="2" t="s">
        <v>97</v>
      </c>
      <c r="BW369" s="2" t="s">
        <v>100</v>
      </c>
      <c r="BX369" s="2" t="s">
        <v>100</v>
      </c>
      <c r="BY369" s="2" t="s">
        <v>112</v>
      </c>
      <c r="BZ369" s="2" t="s">
        <v>100</v>
      </c>
    </row>
    <row r="370">
      <c r="A370" s="2" t="s">
        <v>1755</v>
      </c>
      <c r="B370" s="2" t="s">
        <v>87</v>
      </c>
      <c r="C370" s="2" t="s">
        <v>88</v>
      </c>
      <c r="D370" s="2" t="s">
        <v>1496</v>
      </c>
      <c r="E370" s="2" t="s">
        <v>1648</v>
      </c>
      <c r="F370" s="2" t="s">
        <v>265</v>
      </c>
      <c r="G370" s="2" t="s">
        <v>266</v>
      </c>
      <c r="H370" s="2" t="s">
        <v>267</v>
      </c>
      <c r="I370" s="2" t="s">
        <v>1752</v>
      </c>
      <c r="J370" s="2" t="s">
        <v>522</v>
      </c>
      <c r="K370" s="2" t="s">
        <v>236</v>
      </c>
      <c r="L370" s="3">
        <v>53.9</v>
      </c>
      <c r="M370" s="3">
        <v>56.59</v>
      </c>
      <c r="N370" s="3">
        <v>109.99</v>
      </c>
      <c r="O370" s="2" t="s">
        <v>97</v>
      </c>
      <c r="P370" s="2" t="s">
        <v>98</v>
      </c>
      <c r="Q370" s="2" t="s">
        <v>99</v>
      </c>
      <c r="R370" s="2" t="s">
        <v>100</v>
      </c>
      <c r="S370" s="2" t="s">
        <v>100</v>
      </c>
      <c r="T370" s="2" t="s">
        <v>100</v>
      </c>
      <c r="U370" s="2" t="s">
        <v>355</v>
      </c>
      <c r="V370" s="2" t="s">
        <v>269</v>
      </c>
      <c r="W370" s="2" t="s">
        <v>270</v>
      </c>
      <c r="X370" s="2" t="s">
        <v>271</v>
      </c>
      <c r="Y370" s="2" t="s">
        <v>153</v>
      </c>
      <c r="Z370" s="4">
        <v>74</v>
      </c>
      <c r="AA370" s="4">
        <f>=ROUNDDOWN(33.6363636363636,0)</f>
      </c>
      <c r="AB370" s="5">
        <v>2.2</v>
      </c>
      <c r="AC370" s="2" t="s">
        <v>130</v>
      </c>
      <c r="AD370" s="4">
        <v>60</v>
      </c>
      <c r="AE370" s="4">
        <v>60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/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/>
      <c r="BJ370" s="4">
        <v>12</v>
      </c>
      <c r="BK370" s="8">
        <v>587.75</v>
      </c>
      <c r="BL370" s="2" t="s">
        <v>1756</v>
      </c>
      <c r="BM370" s="7"/>
      <c r="BN370" s="7"/>
      <c r="BO370" s="4"/>
      <c r="BP370" s="8"/>
      <c r="BQ370" s="4"/>
      <c r="BR370" s="8"/>
      <c r="BS370" s="7"/>
      <c r="BT370" s="7"/>
      <c r="BU370" s="2" t="s">
        <v>109</v>
      </c>
      <c r="BV370" s="2" t="s">
        <v>97</v>
      </c>
      <c r="BW370" s="2" t="s">
        <v>274</v>
      </c>
      <c r="BX370" s="2" t="s">
        <v>281</v>
      </c>
      <c r="BY370" s="2" t="s">
        <v>112</v>
      </c>
      <c r="BZ370" s="2" t="s">
        <v>100</v>
      </c>
    </row>
    <row r="371">
      <c r="A371" s="2" t="s">
        <v>1757</v>
      </c>
      <c r="B371" s="2" t="s">
        <v>87</v>
      </c>
      <c r="C371" s="2" t="s">
        <v>88</v>
      </c>
      <c r="D371" s="2" t="s">
        <v>1496</v>
      </c>
      <c r="E371" s="2" t="s">
        <v>1648</v>
      </c>
      <c r="F371" s="2" t="s">
        <v>265</v>
      </c>
      <c r="G371" s="2" t="s">
        <v>266</v>
      </c>
      <c r="H371" s="2" t="s">
        <v>267</v>
      </c>
      <c r="I371" s="2" t="s">
        <v>1752</v>
      </c>
      <c r="J371" s="2" t="s">
        <v>529</v>
      </c>
      <c r="K371" s="2" t="s">
        <v>236</v>
      </c>
      <c r="L371" s="3">
        <v>58.8</v>
      </c>
      <c r="M371" s="3">
        <v>61.73</v>
      </c>
      <c r="N371" s="3">
        <v>119.99</v>
      </c>
      <c r="O371" s="2" t="s">
        <v>97</v>
      </c>
      <c r="P371" s="2" t="s">
        <v>98</v>
      </c>
      <c r="Q371" s="2" t="s">
        <v>99</v>
      </c>
      <c r="R371" s="2" t="s">
        <v>100</v>
      </c>
      <c r="S371" s="2" t="s">
        <v>100</v>
      </c>
      <c r="T371" s="2" t="s">
        <v>100</v>
      </c>
      <c r="U371" s="2" t="s">
        <v>355</v>
      </c>
      <c r="V371" s="2" t="s">
        <v>269</v>
      </c>
      <c r="W371" s="2" t="s">
        <v>270</v>
      </c>
      <c r="X371" s="2" t="s">
        <v>271</v>
      </c>
      <c r="Y371" s="2" t="s">
        <v>153</v>
      </c>
      <c r="Z371" s="4">
        <v>101</v>
      </c>
      <c r="AA371" s="4">
        <f>=ROUNDDOWN(33.6666666666667,0)</f>
      </c>
      <c r="AB371" s="5">
        <v>3</v>
      </c>
      <c r="AC371" s="2" t="s">
        <v>130</v>
      </c>
      <c r="AD371" s="4">
        <v>60</v>
      </c>
      <c r="AE371" s="4">
        <v>60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/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/>
      <c r="BJ371" s="4">
        <v>10</v>
      </c>
      <c r="BK371" s="8">
        <v>534.21</v>
      </c>
      <c r="BL371" s="2" t="s">
        <v>1758</v>
      </c>
      <c r="BM371" s="7"/>
      <c r="BN371" s="7"/>
      <c r="BO371" s="4"/>
      <c r="BP371" s="8"/>
      <c r="BQ371" s="4"/>
      <c r="BR371" s="8"/>
      <c r="BS371" s="7"/>
      <c r="BT371" s="7"/>
      <c r="BU371" s="2" t="s">
        <v>109</v>
      </c>
      <c r="BV371" s="2" t="s">
        <v>97</v>
      </c>
      <c r="BW371" s="2" t="s">
        <v>274</v>
      </c>
      <c r="BX371" s="2" t="s">
        <v>1759</v>
      </c>
      <c r="BY371" s="2" t="s">
        <v>112</v>
      </c>
      <c r="BZ371" s="2" t="s">
        <v>100</v>
      </c>
    </row>
    <row r="372">
      <c r="A372" s="2" t="s">
        <v>1760</v>
      </c>
      <c r="B372" s="2" t="s">
        <v>87</v>
      </c>
      <c r="C372" s="2" t="s">
        <v>88</v>
      </c>
      <c r="D372" s="2" t="s">
        <v>1496</v>
      </c>
      <c r="E372" s="2" t="s">
        <v>1648</v>
      </c>
      <c r="F372" s="2" t="s">
        <v>1761</v>
      </c>
      <c r="G372" s="2" t="s">
        <v>1729</v>
      </c>
      <c r="H372" s="2" t="s">
        <v>1762</v>
      </c>
      <c r="I372" s="2" t="s">
        <v>1649</v>
      </c>
      <c r="J372" s="2" t="s">
        <v>95</v>
      </c>
      <c r="K372" s="2" t="s">
        <v>96</v>
      </c>
      <c r="L372" s="3">
        <v>54.99</v>
      </c>
      <c r="M372" s="3">
        <v>57.74</v>
      </c>
      <c r="N372" s="3">
        <v>109.99</v>
      </c>
      <c r="O372" s="2" t="s">
        <v>97</v>
      </c>
      <c r="P372" s="2" t="s">
        <v>707</v>
      </c>
      <c r="Q372" s="2" t="s">
        <v>99</v>
      </c>
      <c r="R372" s="2" t="s">
        <v>100</v>
      </c>
      <c r="S372" s="2" t="s">
        <v>1763</v>
      </c>
      <c r="T372" s="2" t="s">
        <v>100</v>
      </c>
      <c r="U372" s="2" t="s">
        <v>355</v>
      </c>
      <c r="V372" s="2" t="s">
        <v>192</v>
      </c>
      <c r="W372" s="2" t="s">
        <v>142</v>
      </c>
      <c r="X372" s="2" t="s">
        <v>211</v>
      </c>
      <c r="Y372" s="2" t="s">
        <v>144</v>
      </c>
      <c r="Z372" s="4">
        <v>48</v>
      </c>
      <c r="AA372" s="4">
        <f>=ROUNDDOWN(12,0)</f>
      </c>
      <c r="AB372" s="5">
        <v>4</v>
      </c>
      <c r="AC372" s="2" t="s">
        <v>550</v>
      </c>
      <c r="AD372" s="4">
        <v>40</v>
      </c>
      <c r="AE372" s="4">
        <v>40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/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/>
      <c r="BJ372" s="4">
        <v>19</v>
      </c>
      <c r="BK372" s="8">
        <v>1082.08</v>
      </c>
      <c r="BL372" s="2" t="s">
        <v>1764</v>
      </c>
      <c r="BM372" s="7"/>
      <c r="BN372" s="7"/>
      <c r="BO372" s="4"/>
      <c r="BP372" s="8"/>
      <c r="BQ372" s="4"/>
      <c r="BR372" s="8"/>
      <c r="BS372" s="7"/>
      <c r="BT372" s="7"/>
      <c r="BU372" s="2" t="s">
        <v>109</v>
      </c>
      <c r="BV372" s="2" t="s">
        <v>97</v>
      </c>
      <c r="BW372" s="2" t="s">
        <v>159</v>
      </c>
      <c r="BX372" s="2" t="s">
        <v>1765</v>
      </c>
      <c r="BY372" s="2" t="s">
        <v>112</v>
      </c>
      <c r="BZ372" s="2" t="s">
        <v>100</v>
      </c>
    </row>
    <row r="373">
      <c r="A373" s="2" t="s">
        <v>1766</v>
      </c>
      <c r="B373" s="2" t="s">
        <v>87</v>
      </c>
      <c r="C373" s="2" t="s">
        <v>88</v>
      </c>
      <c r="D373" s="2" t="s">
        <v>1496</v>
      </c>
      <c r="E373" s="2" t="s">
        <v>1648</v>
      </c>
      <c r="F373" s="2" t="s">
        <v>1761</v>
      </c>
      <c r="G373" s="2" t="s">
        <v>1729</v>
      </c>
      <c r="H373" s="2" t="s">
        <v>1762</v>
      </c>
      <c r="I373" s="2" t="s">
        <v>1649</v>
      </c>
      <c r="J373" s="2" t="s">
        <v>114</v>
      </c>
      <c r="K373" s="2" t="s">
        <v>96</v>
      </c>
      <c r="L373" s="3">
        <v>59.99</v>
      </c>
      <c r="M373" s="3">
        <v>62.99</v>
      </c>
      <c r="N373" s="3">
        <v>119.99</v>
      </c>
      <c r="O373" s="2" t="s">
        <v>97</v>
      </c>
      <c r="P373" s="2" t="s">
        <v>707</v>
      </c>
      <c r="Q373" s="2" t="s">
        <v>99</v>
      </c>
      <c r="R373" s="2" t="s">
        <v>100</v>
      </c>
      <c r="S373" s="2" t="s">
        <v>1763</v>
      </c>
      <c r="T373" s="2" t="s">
        <v>100</v>
      </c>
      <c r="U373" s="2" t="s">
        <v>355</v>
      </c>
      <c r="V373" s="2" t="s">
        <v>192</v>
      </c>
      <c r="W373" s="2" t="s">
        <v>142</v>
      </c>
      <c r="X373" s="2" t="s">
        <v>211</v>
      </c>
      <c r="Y373" s="2" t="s">
        <v>144</v>
      </c>
      <c r="Z373" s="4">
        <v>8</v>
      </c>
      <c r="AA373" s="4">
        <f>=ROUNDDOWN(2.96296296296296,0)</f>
      </c>
      <c r="AB373" s="5">
        <v>2.7</v>
      </c>
      <c r="AC373" s="2" t="s">
        <v>1767</v>
      </c>
      <c r="AD373" s="4">
        <v>16</v>
      </c>
      <c r="AE373" s="4">
        <v>55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/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/>
      <c r="BJ373" s="4">
        <v>16</v>
      </c>
      <c r="BK373" s="8">
        <v>988.82</v>
      </c>
      <c r="BL373" s="2" t="s">
        <v>1768</v>
      </c>
      <c r="BM373" s="7"/>
      <c r="BN373" s="7"/>
      <c r="BO373" s="4"/>
      <c r="BP373" s="8"/>
      <c r="BQ373" s="4"/>
      <c r="BR373" s="8"/>
      <c r="BS373" s="7"/>
      <c r="BT373" s="7"/>
      <c r="BU373" s="2" t="s">
        <v>109</v>
      </c>
      <c r="BV373" s="2" t="s">
        <v>97</v>
      </c>
      <c r="BW373" s="2" t="s">
        <v>159</v>
      </c>
      <c r="BX373" s="2" t="s">
        <v>1769</v>
      </c>
      <c r="BY373" s="2" t="s">
        <v>112</v>
      </c>
      <c r="BZ373" s="2" t="s">
        <v>100</v>
      </c>
    </row>
    <row r="374">
      <c r="A374" s="2" t="s">
        <v>1770</v>
      </c>
      <c r="B374" s="2" t="s">
        <v>87</v>
      </c>
      <c r="C374" s="2" t="s">
        <v>88</v>
      </c>
      <c r="D374" s="2" t="s">
        <v>1771</v>
      </c>
      <c r="E374" s="2" t="s">
        <v>1772</v>
      </c>
      <c r="F374" s="2" t="s">
        <v>1195</v>
      </c>
      <c r="G374" s="2" t="s">
        <v>1196</v>
      </c>
      <c r="H374" s="2" t="s">
        <v>1197</v>
      </c>
      <c r="I374" s="2" t="s">
        <v>1773</v>
      </c>
      <c r="J374" s="2" t="s">
        <v>1774</v>
      </c>
      <c r="K374" s="2" t="s">
        <v>1173</v>
      </c>
      <c r="L374" s="3">
        <v>19.2</v>
      </c>
      <c r="M374" s="3">
        <v>20.15</v>
      </c>
      <c r="N374" s="3">
        <v>39.99</v>
      </c>
      <c r="O374" s="2" t="s">
        <v>97</v>
      </c>
      <c r="P374" s="2" t="s">
        <v>98</v>
      </c>
      <c r="Q374" s="2" t="s">
        <v>99</v>
      </c>
      <c r="R374" s="2" t="s">
        <v>100</v>
      </c>
      <c r="S374" s="2" t="s">
        <v>1775</v>
      </c>
      <c r="T374" s="2" t="s">
        <v>438</v>
      </c>
      <c r="U374" s="2" t="s">
        <v>1776</v>
      </c>
      <c r="V374" s="2" t="s">
        <v>192</v>
      </c>
      <c r="W374" s="2" t="s">
        <v>525</v>
      </c>
      <c r="X374" s="2" t="s">
        <v>609</v>
      </c>
      <c r="Y374" s="2" t="s">
        <v>144</v>
      </c>
      <c r="Z374" s="4">
        <v>258</v>
      </c>
      <c r="AA374" s="4">
        <f>=ROUNDDOWN(4.60714285714286,0)</f>
      </c>
      <c r="AB374" s="5">
        <v>56</v>
      </c>
      <c r="AC374" s="2" t="s">
        <v>312</v>
      </c>
      <c r="AD374" s="4">
        <v>200</v>
      </c>
      <c r="AE374" s="4">
        <v>1350</v>
      </c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22</v>
      </c>
      <c r="AQ374" s="8">
        <v>436.48</v>
      </c>
      <c r="AR374" s="4"/>
      <c r="AS374" s="8"/>
      <c r="AT374" s="7"/>
      <c r="AU374" s="7"/>
      <c r="AV374" s="4">
        <v>22</v>
      </c>
      <c r="AW374" s="8">
        <v>436.48</v>
      </c>
      <c r="AX374" s="4"/>
      <c r="AY374" s="8"/>
      <c r="AZ374" s="7"/>
      <c r="BA374" s="7"/>
      <c r="BB374" s="7">
        <v>1</v>
      </c>
      <c r="BC374" s="4">
        <v>22</v>
      </c>
      <c r="BD374" s="8">
        <v>436.48</v>
      </c>
      <c r="BE374" s="4"/>
      <c r="BF374" s="8"/>
      <c r="BG374" s="7"/>
      <c r="BH374" s="7"/>
      <c r="BI374" s="7">
        <v>1</v>
      </c>
      <c r="BJ374" s="4">
        <v>123</v>
      </c>
      <c r="BK374" s="8">
        <v>2509.49</v>
      </c>
      <c r="BL374" s="2" t="s">
        <v>1777</v>
      </c>
      <c r="BM374" s="7">
        <v>0.1789</v>
      </c>
      <c r="BN374" s="7">
        <v>0.1739</v>
      </c>
      <c r="BO374" s="4">
        <v>22</v>
      </c>
      <c r="BP374" s="8">
        <v>436.48</v>
      </c>
      <c r="BQ374" s="4"/>
      <c r="BR374" s="8"/>
      <c r="BS374" s="7"/>
      <c r="BT374" s="7"/>
      <c r="BU374" s="2" t="s">
        <v>109</v>
      </c>
      <c r="BV374" s="2" t="s">
        <v>97</v>
      </c>
      <c r="BW374" s="2" t="s">
        <v>404</v>
      </c>
      <c r="BX374" s="2" t="s">
        <v>1778</v>
      </c>
      <c r="BY374" s="2" t="s">
        <v>112</v>
      </c>
      <c r="BZ374" s="2" t="s">
        <v>100</v>
      </c>
    </row>
    <row r="375">
      <c r="A375" s="2" t="s">
        <v>1779</v>
      </c>
      <c r="B375" s="2" t="s">
        <v>87</v>
      </c>
      <c r="C375" s="2" t="s">
        <v>88</v>
      </c>
      <c r="D375" s="2" t="s">
        <v>1771</v>
      </c>
      <c r="E375" s="2" t="s">
        <v>1772</v>
      </c>
      <c r="F375" s="2" t="s">
        <v>736</v>
      </c>
      <c r="G375" s="2" t="s">
        <v>737</v>
      </c>
      <c r="H375" s="2" t="s">
        <v>738</v>
      </c>
      <c r="I375" s="2" t="s">
        <v>1780</v>
      </c>
      <c r="J375" s="2" t="s">
        <v>1781</v>
      </c>
      <c r="K375" s="2" t="s">
        <v>155</v>
      </c>
      <c r="L375" s="3">
        <v>19.2</v>
      </c>
      <c r="M375" s="3">
        <v>20.15</v>
      </c>
      <c r="N375" s="3">
        <v>39.99</v>
      </c>
      <c r="O375" s="2" t="s">
        <v>97</v>
      </c>
      <c r="P375" s="2" t="s">
        <v>98</v>
      </c>
      <c r="Q375" s="2" t="s">
        <v>99</v>
      </c>
      <c r="R375" s="2" t="s">
        <v>100</v>
      </c>
      <c r="S375" s="2" t="s">
        <v>1746</v>
      </c>
      <c r="T375" s="2" t="s">
        <v>100</v>
      </c>
      <c r="U375" s="2" t="s">
        <v>100</v>
      </c>
      <c r="V375" s="2" t="s">
        <v>717</v>
      </c>
      <c r="W375" s="2" t="s">
        <v>717</v>
      </c>
      <c r="X375" s="2" t="s">
        <v>100</v>
      </c>
      <c r="Y375" s="2" t="s">
        <v>144</v>
      </c>
      <c r="Z375" s="4">
        <v>1205</v>
      </c>
      <c r="AA375" s="4">
        <f>=ROUNDDOWN(36.5151515151515,0)</f>
      </c>
      <c r="AB375" s="5">
        <v>33</v>
      </c>
      <c r="AC375" s="2" t="s">
        <v>100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3</v>
      </c>
      <c r="AQ375" s="8">
        <v>59.55</v>
      </c>
      <c r="AR375" s="4"/>
      <c r="AS375" s="8"/>
      <c r="AT375" s="7"/>
      <c r="AU375" s="7"/>
      <c r="AV375" s="4">
        <v>3</v>
      </c>
      <c r="AW375" s="8">
        <v>59.55</v>
      </c>
      <c r="AX375" s="4"/>
      <c r="AY375" s="8"/>
      <c r="AZ375" s="7"/>
      <c r="BA375" s="7"/>
      <c r="BB375" s="7">
        <v>1</v>
      </c>
      <c r="BC375" s="4">
        <v>3</v>
      </c>
      <c r="BD375" s="8">
        <v>59.55</v>
      </c>
      <c r="BE375" s="4"/>
      <c r="BF375" s="8"/>
      <c r="BG375" s="7"/>
      <c r="BH375" s="7"/>
      <c r="BI375" s="7">
        <v>1</v>
      </c>
      <c r="BJ375" s="4">
        <v>77</v>
      </c>
      <c r="BK375" s="8">
        <v>1521.63</v>
      </c>
      <c r="BL375" s="2" t="s">
        <v>1782</v>
      </c>
      <c r="BM375" s="7">
        <v>0.039</v>
      </c>
      <c r="BN375" s="7">
        <v>0.0391</v>
      </c>
      <c r="BO375" s="4">
        <v>3</v>
      </c>
      <c r="BP375" s="8">
        <v>59.55</v>
      </c>
      <c r="BQ375" s="4"/>
      <c r="BR375" s="8"/>
      <c r="BS375" s="7"/>
      <c r="BT375" s="7"/>
      <c r="BU375" s="2" t="s">
        <v>109</v>
      </c>
      <c r="BV375" s="2" t="s">
        <v>97</v>
      </c>
      <c r="BW375" s="2" t="s">
        <v>1688</v>
      </c>
      <c r="BX375" s="2" t="s">
        <v>1783</v>
      </c>
      <c r="BY375" s="2" t="s">
        <v>112</v>
      </c>
      <c r="BZ375" s="2" t="s">
        <v>100</v>
      </c>
    </row>
    <row r="376">
      <c r="A376" s="2" t="s">
        <v>1784</v>
      </c>
      <c r="B376" s="2" t="s">
        <v>87</v>
      </c>
      <c r="C376" s="2" t="s">
        <v>88</v>
      </c>
      <c r="D376" s="2" t="s">
        <v>1785</v>
      </c>
      <c r="E376" s="2" t="s">
        <v>1786</v>
      </c>
      <c r="F376" s="2" t="s">
        <v>1787</v>
      </c>
      <c r="G376" s="2" t="s">
        <v>1787</v>
      </c>
      <c r="H376" s="2" t="s">
        <v>1787</v>
      </c>
      <c r="I376" s="2" t="s">
        <v>1788</v>
      </c>
      <c r="J376" s="2" t="s">
        <v>1789</v>
      </c>
      <c r="K376" s="2" t="s">
        <v>1373</v>
      </c>
      <c r="L376" s="3">
        <v>6.4</v>
      </c>
      <c r="M376" s="3">
        <v>6.72</v>
      </c>
      <c r="N376" s="3">
        <v>15.99</v>
      </c>
      <c r="O376" s="2" t="s">
        <v>97</v>
      </c>
      <c r="P376" s="2" t="s">
        <v>98</v>
      </c>
      <c r="Q376" s="2" t="s">
        <v>99</v>
      </c>
      <c r="R376" s="2" t="s">
        <v>100</v>
      </c>
      <c r="S376" s="2" t="s">
        <v>1790</v>
      </c>
      <c r="T376" s="2" t="s">
        <v>100</v>
      </c>
      <c r="U376" s="2" t="s">
        <v>1776</v>
      </c>
      <c r="V376" s="2" t="s">
        <v>461</v>
      </c>
      <c r="W376" s="2" t="s">
        <v>609</v>
      </c>
      <c r="X376" s="2" t="s">
        <v>1791</v>
      </c>
      <c r="Y376" s="2" t="s">
        <v>1792</v>
      </c>
      <c r="Z376" s="4">
        <v>898</v>
      </c>
      <c r="AA376" s="4">
        <f>=ROUNDDOWN(14.2539682539683,0)</f>
      </c>
      <c r="AB376" s="5">
        <v>63</v>
      </c>
      <c r="AC376" s="2" t="s">
        <v>312</v>
      </c>
      <c r="AD376" s="4">
        <v>120</v>
      </c>
      <c r="AE376" s="4">
        <v>1320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10</v>
      </c>
      <c r="AQ376" s="8">
        <v>69.3</v>
      </c>
      <c r="AR376" s="4"/>
      <c r="AS376" s="8"/>
      <c r="AT376" s="7"/>
      <c r="AU376" s="7"/>
      <c r="AV376" s="4">
        <v>10</v>
      </c>
      <c r="AW376" s="8">
        <v>69.3</v>
      </c>
      <c r="AX376" s="4"/>
      <c r="AY376" s="8"/>
      <c r="AZ376" s="7"/>
      <c r="BA376" s="7"/>
      <c r="BB376" s="7">
        <v>1</v>
      </c>
      <c r="BC376" s="4">
        <v>17</v>
      </c>
      <c r="BD376" s="8">
        <v>117.81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>
        <v>0.5882</v>
      </c>
      <c r="BJ376" s="4">
        <v>246</v>
      </c>
      <c r="BK376" s="8">
        <v>1707.13</v>
      </c>
      <c r="BL376" s="2" t="s">
        <v>1793</v>
      </c>
      <c r="BM376" s="7">
        <v>0.0407</v>
      </c>
      <c r="BN376" s="7">
        <v>0.0406</v>
      </c>
      <c r="BO376" s="4">
        <v>10</v>
      </c>
      <c r="BP376" s="8">
        <v>69.3</v>
      </c>
      <c r="BQ376" s="4"/>
      <c r="BR376" s="8"/>
      <c r="BS376" s="7"/>
      <c r="BT376" s="7"/>
      <c r="BU376" s="2" t="s">
        <v>109</v>
      </c>
      <c r="BV376" s="2" t="s">
        <v>97</v>
      </c>
      <c r="BW376" s="2" t="s">
        <v>501</v>
      </c>
      <c r="BX376" s="2" t="s">
        <v>278</v>
      </c>
      <c r="BY376" s="2" t="s">
        <v>112</v>
      </c>
      <c r="BZ376" s="2" t="s">
        <v>100</v>
      </c>
    </row>
    <row r="377">
      <c r="A377" s="2" t="s">
        <v>1794</v>
      </c>
      <c r="B377" s="2" t="s">
        <v>87</v>
      </c>
      <c r="C377" s="2" t="s">
        <v>88</v>
      </c>
      <c r="D377" s="2" t="s">
        <v>1785</v>
      </c>
      <c r="E377" s="2" t="s">
        <v>1786</v>
      </c>
      <c r="F377" s="2" t="s">
        <v>1787</v>
      </c>
      <c r="G377" s="2" t="s">
        <v>1787</v>
      </c>
      <c r="H377" s="2" t="s">
        <v>1787</v>
      </c>
      <c r="I377" s="2" t="s">
        <v>1788</v>
      </c>
      <c r="J377" s="2" t="s">
        <v>1789</v>
      </c>
      <c r="K377" s="2" t="s">
        <v>458</v>
      </c>
      <c r="L377" s="3">
        <v>6.4</v>
      </c>
      <c r="M377" s="3">
        <v>6.72</v>
      </c>
      <c r="N377" s="3">
        <v>15.99</v>
      </c>
      <c r="O377" s="2" t="s">
        <v>97</v>
      </c>
      <c r="P377" s="2" t="s">
        <v>98</v>
      </c>
      <c r="Q377" s="2" t="s">
        <v>99</v>
      </c>
      <c r="R377" s="2" t="s">
        <v>100</v>
      </c>
      <c r="S377" s="2" t="s">
        <v>1790</v>
      </c>
      <c r="T377" s="2" t="s">
        <v>100</v>
      </c>
      <c r="U377" s="2" t="s">
        <v>1776</v>
      </c>
      <c r="V377" s="2" t="s">
        <v>461</v>
      </c>
      <c r="W377" s="2" t="s">
        <v>609</v>
      </c>
      <c r="X377" s="2" t="s">
        <v>1791</v>
      </c>
      <c r="Y377" s="2" t="s">
        <v>1792</v>
      </c>
      <c r="Z377" s="4">
        <v>976</v>
      </c>
      <c r="AA377" s="4">
        <f>=ROUNDDOWN(17.1228070175439,0)</f>
      </c>
      <c r="AB377" s="5">
        <v>57</v>
      </c>
      <c r="AC377" s="2" t="s">
        <v>107</v>
      </c>
      <c r="AD377" s="4">
        <v>204</v>
      </c>
      <c r="AE377" s="4">
        <v>894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7</v>
      </c>
      <c r="AQ377" s="8">
        <v>48.51</v>
      </c>
      <c r="AR377" s="4"/>
      <c r="AS377" s="8"/>
      <c r="AT377" s="7"/>
      <c r="AU377" s="7"/>
      <c r="AV377" s="4">
        <v>7</v>
      </c>
      <c r="AW377" s="8">
        <v>48.51</v>
      </c>
      <c r="AX377" s="4"/>
      <c r="AY377" s="8"/>
      <c r="AZ377" s="7"/>
      <c r="BA377" s="7"/>
      <c r="BB377" s="7">
        <v>1</v>
      </c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>
        <v>0.4118</v>
      </c>
      <c r="BJ377" s="4">
        <v>283</v>
      </c>
      <c r="BK377" s="8">
        <v>1955.23</v>
      </c>
      <c r="BL377" s="2" t="s">
        <v>1793</v>
      </c>
      <c r="BM377" s="7">
        <v>0.0247</v>
      </c>
      <c r="BN377" s="7">
        <v>0.0248</v>
      </c>
      <c r="BO377" s="4">
        <v>7</v>
      </c>
      <c r="BP377" s="8">
        <v>48.51</v>
      </c>
      <c r="BQ377" s="4"/>
      <c r="BR377" s="8"/>
      <c r="BS377" s="7"/>
      <c r="BT377" s="7"/>
      <c r="BU377" s="2" t="s">
        <v>109</v>
      </c>
      <c r="BV377" s="2" t="s">
        <v>97</v>
      </c>
      <c r="BW377" s="2" t="s">
        <v>501</v>
      </c>
      <c r="BX377" s="2" t="s">
        <v>1795</v>
      </c>
      <c r="BY377" s="2" t="s">
        <v>112</v>
      </c>
      <c r="BZ377" s="2" t="s">
        <v>100</v>
      </c>
    </row>
    <row r="378">
      <c r="A378" s="2" t="s">
        <v>1796</v>
      </c>
      <c r="B378" s="2" t="s">
        <v>87</v>
      </c>
      <c r="C378" s="2" t="s">
        <v>1797</v>
      </c>
      <c r="D378" s="2" t="s">
        <v>89</v>
      </c>
      <c r="E378" s="2" t="s">
        <v>811</v>
      </c>
      <c r="F378" s="2" t="s">
        <v>1798</v>
      </c>
      <c r="G378" s="2" t="s">
        <v>1799</v>
      </c>
      <c r="H378" s="2" t="s">
        <v>1800</v>
      </c>
      <c r="I378" s="2" t="s">
        <v>1801</v>
      </c>
      <c r="J378" s="2" t="s">
        <v>1443</v>
      </c>
      <c r="K378" s="2" t="s">
        <v>155</v>
      </c>
      <c r="L378" s="3">
        <v>49.39</v>
      </c>
      <c r="M378" s="3">
        <v>51.86</v>
      </c>
      <c r="N378" s="3">
        <v>89.99</v>
      </c>
      <c r="O378" s="2" t="s">
        <v>97</v>
      </c>
      <c r="P378" s="2" t="s">
        <v>707</v>
      </c>
      <c r="Q378" s="2" t="s">
        <v>99</v>
      </c>
      <c r="R378" s="2" t="s">
        <v>100</v>
      </c>
      <c r="S378" s="2" t="s">
        <v>1802</v>
      </c>
      <c r="T378" s="2" t="s">
        <v>100</v>
      </c>
      <c r="U378" s="2" t="s">
        <v>102</v>
      </c>
      <c r="V378" s="2" t="s">
        <v>103</v>
      </c>
      <c r="W378" s="2" t="s">
        <v>686</v>
      </c>
      <c r="X378" s="2" t="s">
        <v>1248</v>
      </c>
      <c r="Y378" s="2" t="s">
        <v>144</v>
      </c>
      <c r="Z378" s="4">
        <v>107</v>
      </c>
      <c r="AA378" s="4">
        <f>=ROUNDDOWN(26.75,0)</f>
      </c>
      <c r="AB378" s="5">
        <v>4</v>
      </c>
      <c r="AC378" s="2" t="s">
        <v>911</v>
      </c>
      <c r="AD378" s="4">
        <v>50</v>
      </c>
      <c r="AE378" s="4">
        <v>50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2</v>
      </c>
      <c r="AQ378" s="8">
        <v>103.18</v>
      </c>
      <c r="AR378" s="4"/>
      <c r="AS378" s="8"/>
      <c r="AT378" s="7"/>
      <c r="AU378" s="7"/>
      <c r="AV378" s="4">
        <v>11</v>
      </c>
      <c r="AW378" s="8">
        <v>679.27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>
        <v>0.1519</v>
      </c>
      <c r="BC378" s="4">
        <v>13</v>
      </c>
      <c r="BD378" s="8">
        <v>816.85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>
        <v>0.8316</v>
      </c>
      <c r="BJ378" s="4">
        <v>12</v>
      </c>
      <c r="BK378" s="8">
        <v>646.67</v>
      </c>
      <c r="BL378" s="2" t="s">
        <v>1803</v>
      </c>
      <c r="BM378" s="7">
        <v>0.1667</v>
      </c>
      <c r="BN378" s="7">
        <v>0.1596</v>
      </c>
      <c r="BO378" s="4">
        <v>2</v>
      </c>
      <c r="BP378" s="8">
        <v>103.18</v>
      </c>
      <c r="BQ378" s="4"/>
      <c r="BR378" s="8"/>
      <c r="BS378" s="7"/>
      <c r="BT378" s="7"/>
      <c r="BU378" s="2" t="s">
        <v>109</v>
      </c>
      <c r="BV378" s="2" t="s">
        <v>97</v>
      </c>
      <c r="BW378" s="2" t="s">
        <v>475</v>
      </c>
      <c r="BX378" s="2" t="s">
        <v>1804</v>
      </c>
      <c r="BY378" s="2" t="s">
        <v>112</v>
      </c>
      <c r="BZ378" s="2" t="s">
        <v>100</v>
      </c>
    </row>
    <row r="379">
      <c r="A379" s="2" t="s">
        <v>1805</v>
      </c>
      <c r="B379" s="2" t="s">
        <v>87</v>
      </c>
      <c r="C379" s="2" t="s">
        <v>1797</v>
      </c>
      <c r="D379" s="2" t="s">
        <v>89</v>
      </c>
      <c r="E379" s="2" t="s">
        <v>811</v>
      </c>
      <c r="F379" s="2" t="s">
        <v>1798</v>
      </c>
      <c r="G379" s="2" t="s">
        <v>1799</v>
      </c>
      <c r="H379" s="2" t="s">
        <v>1800</v>
      </c>
      <c r="I379" s="2" t="s">
        <v>1801</v>
      </c>
      <c r="J379" s="2" t="s">
        <v>1806</v>
      </c>
      <c r="K379" s="2" t="s">
        <v>155</v>
      </c>
      <c r="L379" s="3">
        <v>51.86</v>
      </c>
      <c r="M379" s="3">
        <v>54.45</v>
      </c>
      <c r="N379" s="3">
        <v>94.99</v>
      </c>
      <c r="O379" s="2" t="s">
        <v>97</v>
      </c>
      <c r="P379" s="2" t="s">
        <v>707</v>
      </c>
      <c r="Q379" s="2" t="s">
        <v>99</v>
      </c>
      <c r="R379" s="2" t="s">
        <v>100</v>
      </c>
      <c r="S379" s="2" t="s">
        <v>1802</v>
      </c>
      <c r="T379" s="2" t="s">
        <v>100</v>
      </c>
      <c r="U379" s="2" t="s">
        <v>102</v>
      </c>
      <c r="V379" s="2" t="s">
        <v>103</v>
      </c>
      <c r="W379" s="2" t="s">
        <v>686</v>
      </c>
      <c r="X379" s="2" t="s">
        <v>1248</v>
      </c>
      <c r="Y379" s="2" t="s">
        <v>1807</v>
      </c>
      <c r="Z379" s="4">
        <v>149</v>
      </c>
      <c r="AA379" s="4">
        <f>=ROUNDDOWN(49.6666666666667,0)</f>
      </c>
      <c r="AB379" s="5">
        <v>3</v>
      </c>
      <c r="AC379" s="2" t="s">
        <v>911</v>
      </c>
      <c r="AD379" s="4">
        <v>20</v>
      </c>
      <c r="AE379" s="4">
        <v>20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3</v>
      </c>
      <c r="AQ379" s="8">
        <v>163.35</v>
      </c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>
        <v>0.2405</v>
      </c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 t="s">
        <v>100</v>
      </c>
      <c r="BJ379" s="4">
        <v>11</v>
      </c>
      <c r="BK379" s="8">
        <v>629.89</v>
      </c>
      <c r="BL379" s="2" t="s">
        <v>1808</v>
      </c>
      <c r="BM379" s="7">
        <v>0.2727</v>
      </c>
      <c r="BN379" s="7">
        <v>0.2593</v>
      </c>
      <c r="BO379" s="4">
        <v>3</v>
      </c>
      <c r="BP379" s="8">
        <v>163.35</v>
      </c>
      <c r="BQ379" s="4"/>
      <c r="BR379" s="8"/>
      <c r="BS379" s="7"/>
      <c r="BT379" s="7"/>
      <c r="BU379" s="2" t="s">
        <v>109</v>
      </c>
      <c r="BV379" s="2" t="s">
        <v>97</v>
      </c>
      <c r="BW379" s="2" t="s">
        <v>127</v>
      </c>
      <c r="BX379" s="2" t="s">
        <v>902</v>
      </c>
      <c r="BY379" s="2" t="s">
        <v>112</v>
      </c>
      <c r="BZ379" s="2" t="s">
        <v>100</v>
      </c>
    </row>
    <row r="380">
      <c r="A380" s="2" t="s">
        <v>1809</v>
      </c>
      <c r="B380" s="2" t="s">
        <v>87</v>
      </c>
      <c r="C380" s="2" t="s">
        <v>1797</v>
      </c>
      <c r="D380" s="2" t="s">
        <v>89</v>
      </c>
      <c r="E380" s="2" t="s">
        <v>811</v>
      </c>
      <c r="F380" s="2" t="s">
        <v>1798</v>
      </c>
      <c r="G380" s="2" t="s">
        <v>1799</v>
      </c>
      <c r="H380" s="2" t="s">
        <v>1800</v>
      </c>
      <c r="I380" s="2" t="s">
        <v>1810</v>
      </c>
      <c r="J380" s="2" t="s">
        <v>490</v>
      </c>
      <c r="K380" s="2" t="s">
        <v>155</v>
      </c>
      <c r="L380" s="3">
        <v>54.33</v>
      </c>
      <c r="M380" s="3">
        <v>57.05</v>
      </c>
      <c r="N380" s="3">
        <v>99.99</v>
      </c>
      <c r="O380" s="2" t="s">
        <v>97</v>
      </c>
      <c r="P380" s="2" t="s">
        <v>707</v>
      </c>
      <c r="Q380" s="2" t="s">
        <v>99</v>
      </c>
      <c r="R380" s="2" t="s">
        <v>100</v>
      </c>
      <c r="S380" s="2" t="s">
        <v>1802</v>
      </c>
      <c r="T380" s="2" t="s">
        <v>100</v>
      </c>
      <c r="U380" s="2" t="s">
        <v>618</v>
      </c>
      <c r="V380" s="2" t="s">
        <v>103</v>
      </c>
      <c r="W380" s="2" t="s">
        <v>686</v>
      </c>
      <c r="X380" s="2" t="s">
        <v>1248</v>
      </c>
      <c r="Y380" s="2" t="s">
        <v>144</v>
      </c>
      <c r="Z380" s="4">
        <v>91</v>
      </c>
      <c r="AA380" s="4">
        <f>=ROUNDDOWN(22.75,0)</f>
      </c>
      <c r="AB380" s="5">
        <v>4</v>
      </c>
      <c r="AC380" s="2" t="s">
        <v>911</v>
      </c>
      <c r="AD380" s="4">
        <v>50</v>
      </c>
      <c r="AE380" s="4">
        <v>50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/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 t="s">
        <v>100</v>
      </c>
      <c r="BJ380" s="4">
        <v>9</v>
      </c>
      <c r="BK380" s="8">
        <v>521.45</v>
      </c>
      <c r="BL380" s="2" t="s">
        <v>1811</v>
      </c>
      <c r="BM380" s="7"/>
      <c r="BN380" s="7"/>
      <c r="BO380" s="4"/>
      <c r="BP380" s="8"/>
      <c r="BQ380" s="4"/>
      <c r="BR380" s="8"/>
      <c r="BS380" s="7"/>
      <c r="BT380" s="7"/>
      <c r="BU380" s="2" t="s">
        <v>109</v>
      </c>
      <c r="BV380" s="2" t="s">
        <v>97</v>
      </c>
      <c r="BW380" s="2" t="s">
        <v>475</v>
      </c>
      <c r="BX380" s="2" t="s">
        <v>1812</v>
      </c>
      <c r="BY380" s="2" t="s">
        <v>112</v>
      </c>
      <c r="BZ380" s="2" t="s">
        <v>100</v>
      </c>
    </row>
    <row r="381">
      <c r="A381" s="2" t="s">
        <v>1813</v>
      </c>
      <c r="B381" s="2" t="s">
        <v>87</v>
      </c>
      <c r="C381" s="2" t="s">
        <v>1797</v>
      </c>
      <c r="D381" s="2" t="s">
        <v>89</v>
      </c>
      <c r="E381" s="2" t="s">
        <v>811</v>
      </c>
      <c r="F381" s="2" t="s">
        <v>1798</v>
      </c>
      <c r="G381" s="2" t="s">
        <v>1799</v>
      </c>
      <c r="H381" s="2" t="s">
        <v>1800</v>
      </c>
      <c r="I381" s="2" t="s">
        <v>1810</v>
      </c>
      <c r="J381" s="2" t="s">
        <v>114</v>
      </c>
      <c r="K381" s="2" t="s">
        <v>155</v>
      </c>
      <c r="L381" s="3">
        <v>64.21</v>
      </c>
      <c r="M381" s="3">
        <v>67.42</v>
      </c>
      <c r="N381" s="3">
        <v>119.99</v>
      </c>
      <c r="O381" s="2" t="s">
        <v>97</v>
      </c>
      <c r="P381" s="2" t="s">
        <v>707</v>
      </c>
      <c r="Q381" s="2" t="s">
        <v>99</v>
      </c>
      <c r="R381" s="2" t="s">
        <v>100</v>
      </c>
      <c r="S381" s="2" t="s">
        <v>1802</v>
      </c>
      <c r="T381" s="2" t="s">
        <v>100</v>
      </c>
      <c r="U381" s="2" t="s">
        <v>618</v>
      </c>
      <c r="V381" s="2" t="s">
        <v>103</v>
      </c>
      <c r="W381" s="2" t="s">
        <v>686</v>
      </c>
      <c r="X381" s="2" t="s">
        <v>1248</v>
      </c>
      <c r="Y381" s="2" t="s">
        <v>144</v>
      </c>
      <c r="Z381" s="4">
        <v>150</v>
      </c>
      <c r="AA381" s="4">
        <f>=ROUNDDOWN(13.6363636363636,0)</f>
      </c>
      <c r="AB381" s="5">
        <v>11</v>
      </c>
      <c r="AC381" s="2" t="s">
        <v>911</v>
      </c>
      <c r="AD381" s="4">
        <v>160</v>
      </c>
      <c r="AE381" s="4">
        <v>160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5</v>
      </c>
      <c r="AQ381" s="8">
        <v>343.95</v>
      </c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>
        <v>0.5064</v>
      </c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 t="s">
        <v>100</v>
      </c>
      <c r="BJ381" s="4">
        <v>36</v>
      </c>
      <c r="BK381" s="8">
        <v>2645.17</v>
      </c>
      <c r="BL381" s="2" t="s">
        <v>1814</v>
      </c>
      <c r="BM381" s="7">
        <v>0.1389</v>
      </c>
      <c r="BN381" s="7">
        <v>0.13</v>
      </c>
      <c r="BO381" s="4">
        <v>5</v>
      </c>
      <c r="BP381" s="8">
        <v>343.95</v>
      </c>
      <c r="BQ381" s="4"/>
      <c r="BR381" s="8"/>
      <c r="BS381" s="7"/>
      <c r="BT381" s="7"/>
      <c r="BU381" s="2" t="s">
        <v>109</v>
      </c>
      <c r="BV381" s="2" t="s">
        <v>97</v>
      </c>
      <c r="BW381" s="2" t="s">
        <v>475</v>
      </c>
      <c r="BX381" s="2" t="s">
        <v>1815</v>
      </c>
      <c r="BY381" s="2" t="s">
        <v>112</v>
      </c>
      <c r="BZ381" s="2" t="s">
        <v>100</v>
      </c>
    </row>
    <row r="382">
      <c r="A382" s="2" t="s">
        <v>1816</v>
      </c>
      <c r="B382" s="2" t="s">
        <v>87</v>
      </c>
      <c r="C382" s="2" t="s">
        <v>1797</v>
      </c>
      <c r="D382" s="2" t="s">
        <v>89</v>
      </c>
      <c r="E382" s="2" t="s">
        <v>811</v>
      </c>
      <c r="F382" s="2" t="s">
        <v>1798</v>
      </c>
      <c r="G382" s="2" t="s">
        <v>1799</v>
      </c>
      <c r="H382" s="2" t="s">
        <v>1800</v>
      </c>
      <c r="I382" s="2" t="s">
        <v>1810</v>
      </c>
      <c r="J382" s="2" t="s">
        <v>118</v>
      </c>
      <c r="K382" s="2" t="s">
        <v>155</v>
      </c>
      <c r="L382" s="3">
        <v>64.21</v>
      </c>
      <c r="M382" s="3">
        <v>67.42</v>
      </c>
      <c r="N382" s="3">
        <v>119.99</v>
      </c>
      <c r="O382" s="2" t="s">
        <v>97</v>
      </c>
      <c r="P382" s="2" t="s">
        <v>707</v>
      </c>
      <c r="Q382" s="2" t="s">
        <v>99</v>
      </c>
      <c r="R382" s="2" t="s">
        <v>100</v>
      </c>
      <c r="S382" s="2" t="s">
        <v>1802</v>
      </c>
      <c r="T382" s="2" t="s">
        <v>100</v>
      </c>
      <c r="U382" s="2" t="s">
        <v>618</v>
      </c>
      <c r="V382" s="2" t="s">
        <v>103</v>
      </c>
      <c r="W382" s="2" t="s">
        <v>686</v>
      </c>
      <c r="X382" s="2" t="s">
        <v>1248</v>
      </c>
      <c r="Y382" s="2" t="s">
        <v>144</v>
      </c>
      <c r="Z382" s="4">
        <v>109</v>
      </c>
      <c r="AA382" s="4">
        <f>=ROUNDDOWN(21.8,0)</f>
      </c>
      <c r="AB382" s="5">
        <v>5</v>
      </c>
      <c r="AC382" s="2" t="s">
        <v>911</v>
      </c>
      <c r="AD382" s="4">
        <v>70</v>
      </c>
      <c r="AE382" s="4">
        <v>70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1</v>
      </c>
      <c r="AQ382" s="8">
        <v>68.79</v>
      </c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>
        <v>0.1013</v>
      </c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 t="s">
        <v>100</v>
      </c>
      <c r="BJ382" s="4">
        <v>20</v>
      </c>
      <c r="BK382" s="8">
        <v>1479.85</v>
      </c>
      <c r="BL382" s="2" t="s">
        <v>1817</v>
      </c>
      <c r="BM382" s="7">
        <v>0.05</v>
      </c>
      <c r="BN382" s="7">
        <v>0.0465</v>
      </c>
      <c r="BO382" s="4">
        <v>1</v>
      </c>
      <c r="BP382" s="8">
        <v>68.79</v>
      </c>
      <c r="BQ382" s="4"/>
      <c r="BR382" s="8"/>
      <c r="BS382" s="7"/>
      <c r="BT382" s="7"/>
      <c r="BU382" s="2" t="s">
        <v>109</v>
      </c>
      <c r="BV382" s="2" t="s">
        <v>97</v>
      </c>
      <c r="BW382" s="2" t="s">
        <v>475</v>
      </c>
      <c r="BX382" s="2" t="s">
        <v>1818</v>
      </c>
      <c r="BY382" s="2" t="s">
        <v>112</v>
      </c>
      <c r="BZ382" s="2" t="s">
        <v>100</v>
      </c>
    </row>
    <row r="383">
      <c r="A383" s="2" t="s">
        <v>1819</v>
      </c>
      <c r="B383" s="2" t="s">
        <v>87</v>
      </c>
      <c r="C383" s="2" t="s">
        <v>1797</v>
      </c>
      <c r="D383" s="2" t="s">
        <v>89</v>
      </c>
      <c r="E383" s="2" t="s">
        <v>811</v>
      </c>
      <c r="F383" s="2" t="s">
        <v>1798</v>
      </c>
      <c r="G383" s="2" t="s">
        <v>1799</v>
      </c>
      <c r="H383" s="2" t="s">
        <v>1800</v>
      </c>
      <c r="I383" s="2" t="s">
        <v>1801</v>
      </c>
      <c r="J383" s="2" t="s">
        <v>1443</v>
      </c>
      <c r="K383" s="2" t="s">
        <v>673</v>
      </c>
      <c r="L383" s="3">
        <v>49.39</v>
      </c>
      <c r="M383" s="3">
        <v>51.86</v>
      </c>
      <c r="N383" s="3">
        <v>89.99</v>
      </c>
      <c r="O383" s="2" t="s">
        <v>97</v>
      </c>
      <c r="P383" s="2" t="s">
        <v>707</v>
      </c>
      <c r="Q383" s="2" t="s">
        <v>99</v>
      </c>
      <c r="R383" s="2" t="s">
        <v>100</v>
      </c>
      <c r="S383" s="2" t="s">
        <v>1820</v>
      </c>
      <c r="T383" s="2" t="s">
        <v>100</v>
      </c>
      <c r="U383" s="2" t="s">
        <v>102</v>
      </c>
      <c r="V383" s="2" t="s">
        <v>103</v>
      </c>
      <c r="W383" s="2" t="s">
        <v>686</v>
      </c>
      <c r="X383" s="2" t="s">
        <v>1248</v>
      </c>
      <c r="Y383" s="2" t="s">
        <v>144</v>
      </c>
      <c r="Z383" s="4">
        <v>140</v>
      </c>
      <c r="AA383" s="4">
        <f>=ROUNDDOWN(35,0)</f>
      </c>
      <c r="AB383" s="5">
        <v>4</v>
      </c>
      <c r="AC383" s="2" t="s">
        <v>330</v>
      </c>
      <c r="AD383" s="4">
        <v>60</v>
      </c>
      <c r="AE383" s="4">
        <v>60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>
        <v>2</v>
      </c>
      <c r="AW383" s="8">
        <v>137.58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/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>
        <v>0.1684</v>
      </c>
      <c r="BJ383" s="4">
        <v>3</v>
      </c>
      <c r="BK383" s="8">
        <v>152.31</v>
      </c>
      <c r="BL383" s="2" t="s">
        <v>1821</v>
      </c>
      <c r="BM383" s="7"/>
      <c r="BN383" s="7"/>
      <c r="BO383" s="4"/>
      <c r="BP383" s="8"/>
      <c r="BQ383" s="4"/>
      <c r="BR383" s="8"/>
      <c r="BS383" s="7"/>
      <c r="BT383" s="7"/>
      <c r="BU383" s="2" t="s">
        <v>109</v>
      </c>
      <c r="BV383" s="2" t="s">
        <v>97</v>
      </c>
      <c r="BW383" s="2" t="s">
        <v>475</v>
      </c>
      <c r="BX383" s="2" t="s">
        <v>611</v>
      </c>
      <c r="BY383" s="2" t="s">
        <v>112</v>
      </c>
      <c r="BZ383" s="2" t="s">
        <v>100</v>
      </c>
    </row>
    <row r="384">
      <c r="A384" s="2" t="s">
        <v>1822</v>
      </c>
      <c r="B384" s="2" t="s">
        <v>87</v>
      </c>
      <c r="C384" s="2" t="s">
        <v>1797</v>
      </c>
      <c r="D384" s="2" t="s">
        <v>89</v>
      </c>
      <c r="E384" s="2" t="s">
        <v>811</v>
      </c>
      <c r="F384" s="2" t="s">
        <v>1798</v>
      </c>
      <c r="G384" s="2" t="s">
        <v>1799</v>
      </c>
      <c r="H384" s="2" t="s">
        <v>1800</v>
      </c>
      <c r="I384" s="2" t="s">
        <v>1810</v>
      </c>
      <c r="J384" s="2" t="s">
        <v>490</v>
      </c>
      <c r="K384" s="2" t="s">
        <v>673</v>
      </c>
      <c r="L384" s="3">
        <v>54.33</v>
      </c>
      <c r="M384" s="3">
        <v>57.05</v>
      </c>
      <c r="N384" s="3">
        <v>99.99</v>
      </c>
      <c r="O384" s="2" t="s">
        <v>97</v>
      </c>
      <c r="P384" s="2" t="s">
        <v>707</v>
      </c>
      <c r="Q384" s="2" t="s">
        <v>99</v>
      </c>
      <c r="R384" s="2" t="s">
        <v>100</v>
      </c>
      <c r="S384" s="2" t="s">
        <v>1820</v>
      </c>
      <c r="T384" s="2" t="s">
        <v>100</v>
      </c>
      <c r="U384" s="2" t="s">
        <v>618</v>
      </c>
      <c r="V384" s="2" t="s">
        <v>103</v>
      </c>
      <c r="W384" s="2" t="s">
        <v>686</v>
      </c>
      <c r="X384" s="2" t="s">
        <v>1248</v>
      </c>
      <c r="Y384" s="2" t="s">
        <v>144</v>
      </c>
      <c r="Z384" s="4">
        <v>107</v>
      </c>
      <c r="AA384" s="4">
        <f>=ROUNDDOWN(26.75,0)</f>
      </c>
      <c r="AB384" s="5">
        <v>4</v>
      </c>
      <c r="AC384" s="2" t="s">
        <v>330</v>
      </c>
      <c r="AD384" s="4">
        <v>65</v>
      </c>
      <c r="AE384" s="4">
        <v>65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/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 t="s">
        <v>100</v>
      </c>
      <c r="BJ384" s="4">
        <v>5</v>
      </c>
      <c r="BK384" s="8">
        <v>287.14</v>
      </c>
      <c r="BL384" s="2" t="s">
        <v>1823</v>
      </c>
      <c r="BM384" s="7"/>
      <c r="BN384" s="7"/>
      <c r="BO384" s="4"/>
      <c r="BP384" s="8"/>
      <c r="BQ384" s="4"/>
      <c r="BR384" s="8"/>
      <c r="BS384" s="7"/>
      <c r="BT384" s="7"/>
      <c r="BU384" s="2" t="s">
        <v>109</v>
      </c>
      <c r="BV384" s="2" t="s">
        <v>97</v>
      </c>
      <c r="BW384" s="2" t="s">
        <v>475</v>
      </c>
      <c r="BX384" s="2" t="s">
        <v>1824</v>
      </c>
      <c r="BY384" s="2" t="s">
        <v>112</v>
      </c>
      <c r="BZ384" s="2" t="s">
        <v>100</v>
      </c>
    </row>
    <row r="385">
      <c r="A385" s="2" t="s">
        <v>1825</v>
      </c>
      <c r="B385" s="2" t="s">
        <v>87</v>
      </c>
      <c r="C385" s="2" t="s">
        <v>1797</v>
      </c>
      <c r="D385" s="2" t="s">
        <v>89</v>
      </c>
      <c r="E385" s="2" t="s">
        <v>811</v>
      </c>
      <c r="F385" s="2" t="s">
        <v>1798</v>
      </c>
      <c r="G385" s="2" t="s">
        <v>1799</v>
      </c>
      <c r="H385" s="2" t="s">
        <v>1800</v>
      </c>
      <c r="I385" s="2" t="s">
        <v>1810</v>
      </c>
      <c r="J385" s="2" t="s">
        <v>114</v>
      </c>
      <c r="K385" s="2" t="s">
        <v>673</v>
      </c>
      <c r="L385" s="3">
        <v>64.21</v>
      </c>
      <c r="M385" s="3">
        <v>67.42</v>
      </c>
      <c r="N385" s="3">
        <v>119.99</v>
      </c>
      <c r="O385" s="2" t="s">
        <v>97</v>
      </c>
      <c r="P385" s="2" t="s">
        <v>707</v>
      </c>
      <c r="Q385" s="2" t="s">
        <v>99</v>
      </c>
      <c r="R385" s="2" t="s">
        <v>100</v>
      </c>
      <c r="S385" s="2" t="s">
        <v>1820</v>
      </c>
      <c r="T385" s="2" t="s">
        <v>100</v>
      </c>
      <c r="U385" s="2" t="s">
        <v>618</v>
      </c>
      <c r="V385" s="2" t="s">
        <v>103</v>
      </c>
      <c r="W385" s="2" t="s">
        <v>686</v>
      </c>
      <c r="X385" s="2" t="s">
        <v>1248</v>
      </c>
      <c r="Y385" s="2" t="s">
        <v>144</v>
      </c>
      <c r="Z385" s="4">
        <v>183</v>
      </c>
      <c r="AA385" s="4">
        <f>=ROUNDDOWN(22.875,0)</f>
      </c>
      <c r="AB385" s="5">
        <v>8</v>
      </c>
      <c r="AC385" s="2" t="s">
        <v>330</v>
      </c>
      <c r="AD385" s="4">
        <v>130</v>
      </c>
      <c r="AE385" s="4">
        <v>130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2</v>
      </c>
      <c r="AQ385" s="8">
        <v>137.58</v>
      </c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>
        <v>1</v>
      </c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 t="s">
        <v>100</v>
      </c>
      <c r="BJ385" s="4">
        <v>16</v>
      </c>
      <c r="BK385" s="8">
        <v>1158.81</v>
      </c>
      <c r="BL385" s="2" t="s">
        <v>1525</v>
      </c>
      <c r="BM385" s="7">
        <v>0.125</v>
      </c>
      <c r="BN385" s="7">
        <v>0.1187</v>
      </c>
      <c r="BO385" s="4">
        <v>2</v>
      </c>
      <c r="BP385" s="8">
        <v>137.58</v>
      </c>
      <c r="BQ385" s="4"/>
      <c r="BR385" s="8"/>
      <c r="BS385" s="7"/>
      <c r="BT385" s="7"/>
      <c r="BU385" s="2" t="s">
        <v>109</v>
      </c>
      <c r="BV385" s="2" t="s">
        <v>97</v>
      </c>
      <c r="BW385" s="2" t="s">
        <v>475</v>
      </c>
      <c r="BX385" s="2" t="s">
        <v>1826</v>
      </c>
      <c r="BY385" s="2" t="s">
        <v>112</v>
      </c>
      <c r="BZ385" s="2" t="s">
        <v>100</v>
      </c>
    </row>
    <row r="386">
      <c r="A386" s="2" t="s">
        <v>1827</v>
      </c>
      <c r="B386" s="2" t="s">
        <v>87</v>
      </c>
      <c r="C386" s="2" t="s">
        <v>1797</v>
      </c>
      <c r="D386" s="2" t="s">
        <v>89</v>
      </c>
      <c r="E386" s="2" t="s">
        <v>811</v>
      </c>
      <c r="F386" s="2" t="s">
        <v>1828</v>
      </c>
      <c r="G386" s="2" t="s">
        <v>1829</v>
      </c>
      <c r="H386" s="2" t="s">
        <v>1830</v>
      </c>
      <c r="I386" s="2" t="s">
        <v>1801</v>
      </c>
      <c r="J386" s="2" t="s">
        <v>1443</v>
      </c>
      <c r="K386" s="2" t="s">
        <v>471</v>
      </c>
      <c r="L386" s="3">
        <v>50.77</v>
      </c>
      <c r="M386" s="3">
        <v>53.31</v>
      </c>
      <c r="N386" s="3">
        <v>89.99</v>
      </c>
      <c r="O386" s="2" t="s">
        <v>97</v>
      </c>
      <c r="P386" s="2" t="s">
        <v>156</v>
      </c>
      <c r="Q386" s="2" t="s">
        <v>99</v>
      </c>
      <c r="R386" s="2" t="s">
        <v>100</v>
      </c>
      <c r="S386" s="2" t="s">
        <v>1831</v>
      </c>
      <c r="T386" s="2" t="s">
        <v>100</v>
      </c>
      <c r="U386" s="2" t="s">
        <v>102</v>
      </c>
      <c r="V386" s="2" t="s">
        <v>192</v>
      </c>
      <c r="W386" s="2" t="s">
        <v>142</v>
      </c>
      <c r="X386" s="2" t="s">
        <v>211</v>
      </c>
      <c r="Y386" s="2" t="s">
        <v>1832</v>
      </c>
      <c r="Z386" s="4">
        <v>102</v>
      </c>
      <c r="AA386" s="4">
        <f>=ROUNDDOWN(17,0)</f>
      </c>
      <c r="AB386" s="5">
        <v>6</v>
      </c>
      <c r="AC386" s="2" t="s">
        <v>783</v>
      </c>
      <c r="AD386" s="4">
        <v>80</v>
      </c>
      <c r="AE386" s="4">
        <v>170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7</v>
      </c>
      <c r="AQ386" s="8">
        <v>379.19</v>
      </c>
      <c r="AR386" s="4"/>
      <c r="AS386" s="8"/>
      <c r="AT386" s="7"/>
      <c r="AU386" s="7"/>
      <c r="AV386" s="4">
        <v>10</v>
      </c>
      <c r="AW386" s="8">
        <v>583.82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>
        <v>0.6495</v>
      </c>
      <c r="BC386" s="4">
        <v>13</v>
      </c>
      <c r="BD386" s="8">
        <v>776.42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>
        <v>0.7519</v>
      </c>
      <c r="BJ386" s="4">
        <v>17</v>
      </c>
      <c r="BK386" s="8">
        <v>915.31</v>
      </c>
      <c r="BL386" s="2" t="s">
        <v>1833</v>
      </c>
      <c r="BM386" s="7">
        <v>0.4118</v>
      </c>
      <c r="BN386" s="7">
        <v>0.4143</v>
      </c>
      <c r="BO386" s="4">
        <v>7</v>
      </c>
      <c r="BP386" s="8">
        <v>379.19</v>
      </c>
      <c r="BQ386" s="4"/>
      <c r="BR386" s="8"/>
      <c r="BS386" s="7"/>
      <c r="BT386" s="7"/>
      <c r="BU386" s="2" t="s">
        <v>109</v>
      </c>
      <c r="BV386" s="2" t="s">
        <v>97</v>
      </c>
      <c r="BW386" s="2" t="s">
        <v>1834</v>
      </c>
      <c r="BX386" s="2" t="s">
        <v>1835</v>
      </c>
      <c r="BY386" s="2" t="s">
        <v>112</v>
      </c>
      <c r="BZ386" s="2" t="s">
        <v>149</v>
      </c>
    </row>
    <row r="387">
      <c r="A387" s="2" t="s">
        <v>1836</v>
      </c>
      <c r="B387" s="2" t="s">
        <v>87</v>
      </c>
      <c r="C387" s="2" t="s">
        <v>1797</v>
      </c>
      <c r="D387" s="2" t="s">
        <v>89</v>
      </c>
      <c r="E387" s="2" t="s">
        <v>811</v>
      </c>
      <c r="F387" s="2" t="s">
        <v>1828</v>
      </c>
      <c r="G387" s="2" t="s">
        <v>1829</v>
      </c>
      <c r="H387" s="2" t="s">
        <v>1830</v>
      </c>
      <c r="I387" s="2" t="s">
        <v>1810</v>
      </c>
      <c r="J387" s="2" t="s">
        <v>490</v>
      </c>
      <c r="K387" s="2" t="s">
        <v>471</v>
      </c>
      <c r="L387" s="3">
        <v>55.61</v>
      </c>
      <c r="M387" s="3">
        <v>58.39</v>
      </c>
      <c r="N387" s="3">
        <v>99.99</v>
      </c>
      <c r="O387" s="2" t="s">
        <v>97</v>
      </c>
      <c r="P387" s="2" t="s">
        <v>156</v>
      </c>
      <c r="Q387" s="2" t="s">
        <v>99</v>
      </c>
      <c r="R387" s="2" t="s">
        <v>100</v>
      </c>
      <c r="S387" s="2" t="s">
        <v>1831</v>
      </c>
      <c r="T387" s="2" t="s">
        <v>100</v>
      </c>
      <c r="U387" s="2" t="s">
        <v>618</v>
      </c>
      <c r="V387" s="2" t="s">
        <v>192</v>
      </c>
      <c r="W387" s="2" t="s">
        <v>142</v>
      </c>
      <c r="X387" s="2" t="s">
        <v>211</v>
      </c>
      <c r="Y387" s="2" t="s">
        <v>1832</v>
      </c>
      <c r="Z387" s="4">
        <v>222</v>
      </c>
      <c r="AA387" s="4">
        <f>=ROUNDDOWN(20.1818181818182,0)</f>
      </c>
      <c r="AB387" s="5">
        <v>11</v>
      </c>
      <c r="AC387" s="2" t="s">
        <v>783</v>
      </c>
      <c r="AD387" s="4">
        <v>80</v>
      </c>
      <c r="AE387" s="4">
        <v>260</v>
      </c>
      <c r="AF387" s="6">
        <v>65</v>
      </c>
      <c r="AG387" s="6">
        <v>73</v>
      </c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1</v>
      </c>
      <c r="AQ387" s="8">
        <v>60.19</v>
      </c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>
        <v>0.1031</v>
      </c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 t="s">
        <v>100</v>
      </c>
      <c r="BJ387" s="4">
        <v>24</v>
      </c>
      <c r="BK387" s="8">
        <v>1418.49</v>
      </c>
      <c r="BL387" s="2" t="s">
        <v>1837</v>
      </c>
      <c r="BM387" s="7">
        <v>0.0417</v>
      </c>
      <c r="BN387" s="7">
        <v>0.0424</v>
      </c>
      <c r="BO387" s="4">
        <v>1</v>
      </c>
      <c r="BP387" s="8">
        <v>60.19</v>
      </c>
      <c r="BQ387" s="4"/>
      <c r="BR387" s="8"/>
      <c r="BS387" s="7"/>
      <c r="BT387" s="7"/>
      <c r="BU387" s="2" t="s">
        <v>109</v>
      </c>
      <c r="BV387" s="2" t="s">
        <v>97</v>
      </c>
      <c r="BW387" s="2" t="s">
        <v>1834</v>
      </c>
      <c r="BX387" s="2" t="s">
        <v>1838</v>
      </c>
      <c r="BY387" s="2" t="s">
        <v>112</v>
      </c>
      <c r="BZ387" s="2" t="s">
        <v>149</v>
      </c>
    </row>
    <row r="388">
      <c r="A388" s="2" t="s">
        <v>1839</v>
      </c>
      <c r="B388" s="2" t="s">
        <v>87</v>
      </c>
      <c r="C388" s="2" t="s">
        <v>1797</v>
      </c>
      <c r="D388" s="2" t="s">
        <v>89</v>
      </c>
      <c r="E388" s="2" t="s">
        <v>811</v>
      </c>
      <c r="F388" s="2" t="s">
        <v>1828</v>
      </c>
      <c r="G388" s="2" t="s">
        <v>1829</v>
      </c>
      <c r="H388" s="2" t="s">
        <v>1830</v>
      </c>
      <c r="I388" s="2" t="s">
        <v>1810</v>
      </c>
      <c r="J388" s="2" t="s">
        <v>114</v>
      </c>
      <c r="K388" s="2" t="s">
        <v>471</v>
      </c>
      <c r="L388" s="3">
        <v>65.28</v>
      </c>
      <c r="M388" s="3">
        <v>68.54</v>
      </c>
      <c r="N388" s="3">
        <v>119.99</v>
      </c>
      <c r="O388" s="2" t="s">
        <v>97</v>
      </c>
      <c r="P388" s="2" t="s">
        <v>156</v>
      </c>
      <c r="Q388" s="2" t="s">
        <v>99</v>
      </c>
      <c r="R388" s="2" t="s">
        <v>100</v>
      </c>
      <c r="S388" s="2" t="s">
        <v>1831</v>
      </c>
      <c r="T388" s="2" t="s">
        <v>100</v>
      </c>
      <c r="U388" s="2" t="s">
        <v>618</v>
      </c>
      <c r="V388" s="2" t="s">
        <v>192</v>
      </c>
      <c r="W388" s="2" t="s">
        <v>142</v>
      </c>
      <c r="X388" s="2" t="s">
        <v>211</v>
      </c>
      <c r="Y388" s="2" t="s">
        <v>1832</v>
      </c>
      <c r="Z388" s="4">
        <v>318</v>
      </c>
      <c r="AA388" s="4">
        <f>=ROUNDDOWN(22.7142857142857,0)</f>
      </c>
      <c r="AB388" s="5">
        <v>14</v>
      </c>
      <c r="AC388" s="2" t="s">
        <v>783</v>
      </c>
      <c r="AD388" s="4">
        <v>90</v>
      </c>
      <c r="AE388" s="4">
        <v>360</v>
      </c>
      <c r="AF388" s="6">
        <v>65</v>
      </c>
      <c r="AG388" s="6">
        <v>73</v>
      </c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2</v>
      </c>
      <c r="AQ388" s="8">
        <v>144.44</v>
      </c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>
        <v>0.2474</v>
      </c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 t="s">
        <v>100</v>
      </c>
      <c r="BJ388" s="4">
        <v>36</v>
      </c>
      <c r="BK388" s="8">
        <v>2684.09</v>
      </c>
      <c r="BL388" s="2" t="s">
        <v>1840</v>
      </c>
      <c r="BM388" s="7">
        <v>0.0556</v>
      </c>
      <c r="BN388" s="7">
        <v>0.0538</v>
      </c>
      <c r="BO388" s="4">
        <v>2</v>
      </c>
      <c r="BP388" s="8">
        <v>144.44</v>
      </c>
      <c r="BQ388" s="4"/>
      <c r="BR388" s="8"/>
      <c r="BS388" s="7"/>
      <c r="BT388" s="7"/>
      <c r="BU388" s="2" t="s">
        <v>109</v>
      </c>
      <c r="BV388" s="2" t="s">
        <v>97</v>
      </c>
      <c r="BW388" s="2" t="s">
        <v>1834</v>
      </c>
      <c r="BX388" s="2" t="s">
        <v>1841</v>
      </c>
      <c r="BY388" s="2" t="s">
        <v>112</v>
      </c>
      <c r="BZ388" s="2" t="s">
        <v>149</v>
      </c>
    </row>
    <row r="389">
      <c r="A389" s="2" t="s">
        <v>1842</v>
      </c>
      <c r="B389" s="2" t="s">
        <v>87</v>
      </c>
      <c r="C389" s="2" t="s">
        <v>1797</v>
      </c>
      <c r="D389" s="2" t="s">
        <v>89</v>
      </c>
      <c r="E389" s="2" t="s">
        <v>811</v>
      </c>
      <c r="F389" s="2" t="s">
        <v>1828</v>
      </c>
      <c r="G389" s="2" t="s">
        <v>1829</v>
      </c>
      <c r="H389" s="2" t="s">
        <v>1830</v>
      </c>
      <c r="I389" s="2" t="s">
        <v>1810</v>
      </c>
      <c r="J389" s="2" t="s">
        <v>118</v>
      </c>
      <c r="K389" s="2" t="s">
        <v>471</v>
      </c>
      <c r="L389" s="3">
        <v>65.28</v>
      </c>
      <c r="M389" s="3">
        <v>68.54</v>
      </c>
      <c r="N389" s="3">
        <v>119.99</v>
      </c>
      <c r="O389" s="2" t="s">
        <v>97</v>
      </c>
      <c r="P389" s="2" t="s">
        <v>156</v>
      </c>
      <c r="Q389" s="2" t="s">
        <v>99</v>
      </c>
      <c r="R389" s="2" t="s">
        <v>100</v>
      </c>
      <c r="S389" s="2" t="s">
        <v>1831</v>
      </c>
      <c r="T389" s="2" t="s">
        <v>100</v>
      </c>
      <c r="U389" s="2" t="s">
        <v>618</v>
      </c>
      <c r="V389" s="2" t="s">
        <v>192</v>
      </c>
      <c r="W389" s="2" t="s">
        <v>142</v>
      </c>
      <c r="X389" s="2" t="s">
        <v>211</v>
      </c>
      <c r="Y389" s="2" t="s">
        <v>1832</v>
      </c>
      <c r="Z389" s="4">
        <v>140</v>
      </c>
      <c r="AA389" s="4">
        <f>=ROUNDDOWN(23.3333333333333,0)</f>
      </c>
      <c r="AB389" s="5">
        <v>6</v>
      </c>
      <c r="AC389" s="2" t="s">
        <v>783</v>
      </c>
      <c r="AD389" s="4">
        <v>30</v>
      </c>
      <c r="AE389" s="4">
        <v>100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100</v>
      </c>
      <c r="AW389" s="8" t="s">
        <v>100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/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 t="s">
        <v>100</v>
      </c>
      <c r="BJ389" s="4">
        <v>12</v>
      </c>
      <c r="BK389" s="8">
        <v>888.59</v>
      </c>
      <c r="BL389" s="2" t="s">
        <v>1843</v>
      </c>
      <c r="BM389" s="7"/>
      <c r="BN389" s="7"/>
      <c r="BO389" s="4"/>
      <c r="BP389" s="8"/>
      <c r="BQ389" s="4"/>
      <c r="BR389" s="8"/>
      <c r="BS389" s="7"/>
      <c r="BT389" s="7"/>
      <c r="BU389" s="2" t="s">
        <v>109</v>
      </c>
      <c r="BV389" s="2" t="s">
        <v>97</v>
      </c>
      <c r="BW389" s="2" t="s">
        <v>1834</v>
      </c>
      <c r="BX389" s="2" t="s">
        <v>1844</v>
      </c>
      <c r="BY389" s="2" t="s">
        <v>112</v>
      </c>
      <c r="BZ389" s="2" t="s">
        <v>149</v>
      </c>
    </row>
    <row r="390">
      <c r="A390" s="2" t="s">
        <v>1845</v>
      </c>
      <c r="B390" s="2" t="s">
        <v>87</v>
      </c>
      <c r="C390" s="2" t="s">
        <v>1797</v>
      </c>
      <c r="D390" s="2" t="s">
        <v>89</v>
      </c>
      <c r="E390" s="2" t="s">
        <v>811</v>
      </c>
      <c r="F390" s="2" t="s">
        <v>1828</v>
      </c>
      <c r="G390" s="2" t="s">
        <v>1829</v>
      </c>
      <c r="H390" s="2" t="s">
        <v>1830</v>
      </c>
      <c r="I390" s="2" t="s">
        <v>1801</v>
      </c>
      <c r="J390" s="2" t="s">
        <v>1443</v>
      </c>
      <c r="K390" s="2" t="s">
        <v>386</v>
      </c>
      <c r="L390" s="3">
        <v>50.77</v>
      </c>
      <c r="M390" s="3">
        <v>53.31</v>
      </c>
      <c r="N390" s="3">
        <v>89.99</v>
      </c>
      <c r="O390" s="2" t="s">
        <v>97</v>
      </c>
      <c r="P390" s="2" t="s">
        <v>156</v>
      </c>
      <c r="Q390" s="2" t="s">
        <v>99</v>
      </c>
      <c r="R390" s="2" t="s">
        <v>100</v>
      </c>
      <c r="S390" s="2" t="s">
        <v>1846</v>
      </c>
      <c r="T390" s="2" t="s">
        <v>100</v>
      </c>
      <c r="U390" s="2" t="s">
        <v>102</v>
      </c>
      <c r="V390" s="2" t="s">
        <v>192</v>
      </c>
      <c r="W390" s="2" t="s">
        <v>142</v>
      </c>
      <c r="X390" s="2" t="s">
        <v>211</v>
      </c>
      <c r="Y390" s="2" t="s">
        <v>1832</v>
      </c>
      <c r="Z390" s="4">
        <v>137</v>
      </c>
      <c r="AA390" s="4">
        <f>=ROUNDDOWN(22.8333333333333,0)</f>
      </c>
      <c r="AB390" s="5">
        <v>6</v>
      </c>
      <c r="AC390" s="2" t="s">
        <v>550</v>
      </c>
      <c r="AD390" s="4">
        <v>70</v>
      </c>
      <c r="AE390" s="4">
        <v>190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>
        <v>2</v>
      </c>
      <c r="AW390" s="8">
        <v>120.38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/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>
        <v>0.155</v>
      </c>
      <c r="BJ390" s="4">
        <v>8</v>
      </c>
      <c r="BK390" s="8">
        <v>391.07</v>
      </c>
      <c r="BL390" s="2" t="s">
        <v>1847</v>
      </c>
      <c r="BM390" s="7"/>
      <c r="BN390" s="7"/>
      <c r="BO390" s="4"/>
      <c r="BP390" s="8"/>
      <c r="BQ390" s="4"/>
      <c r="BR390" s="8"/>
      <c r="BS390" s="7"/>
      <c r="BT390" s="7"/>
      <c r="BU390" s="2" t="s">
        <v>109</v>
      </c>
      <c r="BV390" s="2" t="s">
        <v>97</v>
      </c>
      <c r="BW390" s="2" t="s">
        <v>1834</v>
      </c>
      <c r="BX390" s="2" t="s">
        <v>1848</v>
      </c>
      <c r="BY390" s="2" t="s">
        <v>112</v>
      </c>
      <c r="BZ390" s="2" t="s">
        <v>100</v>
      </c>
    </row>
    <row r="391">
      <c r="A391" s="2" t="s">
        <v>1849</v>
      </c>
      <c r="B391" s="2" t="s">
        <v>87</v>
      </c>
      <c r="C391" s="2" t="s">
        <v>1797</v>
      </c>
      <c r="D391" s="2" t="s">
        <v>89</v>
      </c>
      <c r="E391" s="2" t="s">
        <v>811</v>
      </c>
      <c r="F391" s="2" t="s">
        <v>1828</v>
      </c>
      <c r="G391" s="2" t="s">
        <v>1829</v>
      </c>
      <c r="H391" s="2" t="s">
        <v>1830</v>
      </c>
      <c r="I391" s="2" t="s">
        <v>1810</v>
      </c>
      <c r="J391" s="2" t="s">
        <v>490</v>
      </c>
      <c r="K391" s="2" t="s">
        <v>386</v>
      </c>
      <c r="L391" s="3">
        <v>55.61</v>
      </c>
      <c r="M391" s="3">
        <v>58.39</v>
      </c>
      <c r="N391" s="3">
        <v>99.99</v>
      </c>
      <c r="O391" s="2" t="s">
        <v>97</v>
      </c>
      <c r="P391" s="2" t="s">
        <v>156</v>
      </c>
      <c r="Q391" s="2" t="s">
        <v>99</v>
      </c>
      <c r="R391" s="2" t="s">
        <v>100</v>
      </c>
      <c r="S391" s="2" t="s">
        <v>1846</v>
      </c>
      <c r="T391" s="2" t="s">
        <v>100</v>
      </c>
      <c r="U391" s="2" t="s">
        <v>618</v>
      </c>
      <c r="V391" s="2" t="s">
        <v>192</v>
      </c>
      <c r="W391" s="2" t="s">
        <v>142</v>
      </c>
      <c r="X391" s="2" t="s">
        <v>211</v>
      </c>
      <c r="Y391" s="2" t="s">
        <v>1832</v>
      </c>
      <c r="Z391" s="4">
        <v>69</v>
      </c>
      <c r="AA391" s="4">
        <f>=ROUNDDOWN(8.625,0)</f>
      </c>
      <c r="AB391" s="5">
        <v>8</v>
      </c>
      <c r="AC391" s="2" t="s">
        <v>550</v>
      </c>
      <c r="AD391" s="4">
        <v>80</v>
      </c>
      <c r="AE391" s="4">
        <v>300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2</v>
      </c>
      <c r="AQ391" s="8">
        <v>120.38</v>
      </c>
      <c r="AR391" s="4"/>
      <c r="AS391" s="8"/>
      <c r="AT391" s="7"/>
      <c r="AU391" s="7"/>
      <c r="AV391" s="4" t="s">
        <v>100</v>
      </c>
      <c r="AW391" s="8" t="s">
        <v>100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>
        <v>1</v>
      </c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 t="s">
        <v>100</v>
      </c>
      <c r="BJ391" s="4">
        <v>20</v>
      </c>
      <c r="BK391" s="8">
        <v>1210.16</v>
      </c>
      <c r="BL391" s="2" t="s">
        <v>1850</v>
      </c>
      <c r="BM391" s="7">
        <v>0.1</v>
      </c>
      <c r="BN391" s="7">
        <v>0.0995</v>
      </c>
      <c r="BO391" s="4">
        <v>2</v>
      </c>
      <c r="BP391" s="8">
        <v>120.38</v>
      </c>
      <c r="BQ391" s="4"/>
      <c r="BR391" s="8"/>
      <c r="BS391" s="7"/>
      <c r="BT391" s="7"/>
      <c r="BU391" s="2" t="s">
        <v>109</v>
      </c>
      <c r="BV391" s="2" t="s">
        <v>97</v>
      </c>
      <c r="BW391" s="2" t="s">
        <v>1834</v>
      </c>
      <c r="BX391" s="2" t="s">
        <v>1835</v>
      </c>
      <c r="BY391" s="2" t="s">
        <v>112</v>
      </c>
      <c r="BZ391" s="2" t="s">
        <v>100</v>
      </c>
    </row>
    <row r="392">
      <c r="A392" s="2" t="s">
        <v>1851</v>
      </c>
      <c r="B392" s="2" t="s">
        <v>87</v>
      </c>
      <c r="C392" s="2" t="s">
        <v>1797</v>
      </c>
      <c r="D392" s="2" t="s">
        <v>89</v>
      </c>
      <c r="E392" s="2" t="s">
        <v>811</v>
      </c>
      <c r="F392" s="2" t="s">
        <v>1828</v>
      </c>
      <c r="G392" s="2" t="s">
        <v>1829</v>
      </c>
      <c r="H392" s="2" t="s">
        <v>1830</v>
      </c>
      <c r="I392" s="2" t="s">
        <v>1810</v>
      </c>
      <c r="J392" s="2" t="s">
        <v>114</v>
      </c>
      <c r="K392" s="2" t="s">
        <v>386</v>
      </c>
      <c r="L392" s="3">
        <v>65.28</v>
      </c>
      <c r="M392" s="3">
        <v>68.54</v>
      </c>
      <c r="N392" s="3">
        <v>119.99</v>
      </c>
      <c r="O392" s="2" t="s">
        <v>97</v>
      </c>
      <c r="P392" s="2" t="s">
        <v>156</v>
      </c>
      <c r="Q392" s="2" t="s">
        <v>99</v>
      </c>
      <c r="R392" s="2" t="s">
        <v>100</v>
      </c>
      <c r="S392" s="2" t="s">
        <v>1846</v>
      </c>
      <c r="T392" s="2" t="s">
        <v>100</v>
      </c>
      <c r="U392" s="2" t="s">
        <v>618</v>
      </c>
      <c r="V392" s="2" t="s">
        <v>192</v>
      </c>
      <c r="W392" s="2" t="s">
        <v>142</v>
      </c>
      <c r="X392" s="2" t="s">
        <v>211</v>
      </c>
      <c r="Y392" s="2" t="s">
        <v>1832</v>
      </c>
      <c r="Z392" s="4">
        <v>176</v>
      </c>
      <c r="AA392" s="4">
        <f>=ROUNDDOWN(14.6666666666667,0)</f>
      </c>
      <c r="AB392" s="5">
        <v>12</v>
      </c>
      <c r="AC392" s="2" t="s">
        <v>550</v>
      </c>
      <c r="AD392" s="4">
        <v>90</v>
      </c>
      <c r="AE392" s="4">
        <v>260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/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 t="s">
        <v>100</v>
      </c>
      <c r="BJ392" s="4">
        <v>35</v>
      </c>
      <c r="BK392" s="8">
        <v>2442.51</v>
      </c>
      <c r="BL392" s="2" t="s">
        <v>1852</v>
      </c>
      <c r="BM392" s="7"/>
      <c r="BN392" s="7"/>
      <c r="BO392" s="4"/>
      <c r="BP392" s="8"/>
      <c r="BQ392" s="4"/>
      <c r="BR392" s="8"/>
      <c r="BS392" s="7"/>
      <c r="BT392" s="7"/>
      <c r="BU392" s="2" t="s">
        <v>109</v>
      </c>
      <c r="BV392" s="2" t="s">
        <v>97</v>
      </c>
      <c r="BW392" s="2" t="s">
        <v>1834</v>
      </c>
      <c r="BX392" s="2" t="s">
        <v>1853</v>
      </c>
      <c r="BY392" s="2" t="s">
        <v>112</v>
      </c>
      <c r="BZ392" s="2" t="s">
        <v>100</v>
      </c>
    </row>
    <row r="393">
      <c r="A393" s="2" t="s">
        <v>1854</v>
      </c>
      <c r="B393" s="2" t="s">
        <v>87</v>
      </c>
      <c r="C393" s="2" t="s">
        <v>1797</v>
      </c>
      <c r="D393" s="2" t="s">
        <v>89</v>
      </c>
      <c r="E393" s="2" t="s">
        <v>811</v>
      </c>
      <c r="F393" s="2" t="s">
        <v>1828</v>
      </c>
      <c r="G393" s="2" t="s">
        <v>1829</v>
      </c>
      <c r="H393" s="2" t="s">
        <v>1830</v>
      </c>
      <c r="I393" s="2" t="s">
        <v>1810</v>
      </c>
      <c r="J393" s="2" t="s">
        <v>118</v>
      </c>
      <c r="K393" s="2" t="s">
        <v>386</v>
      </c>
      <c r="L393" s="3">
        <v>65.28</v>
      </c>
      <c r="M393" s="3">
        <v>68.54</v>
      </c>
      <c r="N393" s="3">
        <v>119.99</v>
      </c>
      <c r="O393" s="2" t="s">
        <v>97</v>
      </c>
      <c r="P393" s="2" t="s">
        <v>156</v>
      </c>
      <c r="Q393" s="2" t="s">
        <v>99</v>
      </c>
      <c r="R393" s="2" t="s">
        <v>100</v>
      </c>
      <c r="S393" s="2" t="s">
        <v>1846</v>
      </c>
      <c r="T393" s="2" t="s">
        <v>100</v>
      </c>
      <c r="U393" s="2" t="s">
        <v>618</v>
      </c>
      <c r="V393" s="2" t="s">
        <v>192</v>
      </c>
      <c r="W393" s="2" t="s">
        <v>142</v>
      </c>
      <c r="X393" s="2" t="s">
        <v>211</v>
      </c>
      <c r="Y393" s="2" t="s">
        <v>1832</v>
      </c>
      <c r="Z393" s="4">
        <v>110</v>
      </c>
      <c r="AA393" s="4">
        <f>=ROUNDDOWN(22,0)</f>
      </c>
      <c r="AB393" s="5">
        <v>5</v>
      </c>
      <c r="AC393" s="2" t="s">
        <v>550</v>
      </c>
      <c r="AD393" s="4">
        <v>40</v>
      </c>
      <c r="AE393" s="4">
        <v>80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/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 t="s">
        <v>100</v>
      </c>
      <c r="BJ393" s="4">
        <v>17</v>
      </c>
      <c r="BK393" s="8">
        <v>1152.44</v>
      </c>
      <c r="BL393" s="2" t="s">
        <v>1855</v>
      </c>
      <c r="BM393" s="7"/>
      <c r="BN393" s="7"/>
      <c r="BO393" s="4"/>
      <c r="BP393" s="8"/>
      <c r="BQ393" s="4"/>
      <c r="BR393" s="8"/>
      <c r="BS393" s="7"/>
      <c r="BT393" s="7"/>
      <c r="BU393" s="2" t="s">
        <v>109</v>
      </c>
      <c r="BV393" s="2" t="s">
        <v>97</v>
      </c>
      <c r="BW393" s="2" t="s">
        <v>1834</v>
      </c>
      <c r="BX393" s="2" t="s">
        <v>1844</v>
      </c>
      <c r="BY393" s="2" t="s">
        <v>112</v>
      </c>
      <c r="BZ393" s="2" t="s">
        <v>100</v>
      </c>
    </row>
    <row r="394">
      <c r="A394" s="2" t="s">
        <v>1856</v>
      </c>
      <c r="B394" s="2" t="s">
        <v>87</v>
      </c>
      <c r="C394" s="2" t="s">
        <v>1797</v>
      </c>
      <c r="D394" s="2" t="s">
        <v>89</v>
      </c>
      <c r="E394" s="2" t="s">
        <v>811</v>
      </c>
      <c r="F394" s="2" t="s">
        <v>1828</v>
      </c>
      <c r="G394" s="2" t="s">
        <v>1829</v>
      </c>
      <c r="H394" s="2" t="s">
        <v>1830</v>
      </c>
      <c r="I394" s="2" t="s">
        <v>1801</v>
      </c>
      <c r="J394" s="2" t="s">
        <v>1443</v>
      </c>
      <c r="K394" s="2" t="s">
        <v>1857</v>
      </c>
      <c r="L394" s="3">
        <v>50.77</v>
      </c>
      <c r="M394" s="3">
        <v>53.31</v>
      </c>
      <c r="N394" s="3">
        <v>89.99</v>
      </c>
      <c r="O394" s="2" t="s">
        <v>97</v>
      </c>
      <c r="P394" s="2" t="s">
        <v>156</v>
      </c>
      <c r="Q394" s="2" t="s">
        <v>99</v>
      </c>
      <c r="R394" s="2" t="s">
        <v>100</v>
      </c>
      <c r="S394" s="2" t="s">
        <v>1858</v>
      </c>
      <c r="T394" s="2" t="s">
        <v>100</v>
      </c>
      <c r="U394" s="2" t="s">
        <v>102</v>
      </c>
      <c r="V394" s="2" t="s">
        <v>192</v>
      </c>
      <c r="W394" s="2" t="s">
        <v>142</v>
      </c>
      <c r="X394" s="2" t="s">
        <v>194</v>
      </c>
      <c r="Y394" s="2" t="s">
        <v>1859</v>
      </c>
      <c r="Z394" s="4">
        <v>162</v>
      </c>
      <c r="AA394" s="4">
        <f>=ROUNDDOWN(32.4,0)</f>
      </c>
      <c r="AB394" s="5">
        <v>5</v>
      </c>
      <c r="AC394" s="2" t="s">
        <v>1860</v>
      </c>
      <c r="AD394" s="4">
        <v>60</v>
      </c>
      <c r="AE394" s="4">
        <v>60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>
        <v>1</v>
      </c>
      <c r="AW394" s="8">
        <v>72.22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/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>
        <v>0.093</v>
      </c>
      <c r="BJ394" s="4">
        <v>20</v>
      </c>
      <c r="BK394" s="8">
        <v>1074.16</v>
      </c>
      <c r="BL394" s="2" t="s">
        <v>1861</v>
      </c>
      <c r="BM394" s="7"/>
      <c r="BN394" s="7"/>
      <c r="BO394" s="4"/>
      <c r="BP394" s="8"/>
      <c r="BQ394" s="4"/>
      <c r="BR394" s="8"/>
      <c r="BS394" s="7"/>
      <c r="BT394" s="7"/>
      <c r="BU394" s="2" t="s">
        <v>109</v>
      </c>
      <c r="BV394" s="2" t="s">
        <v>97</v>
      </c>
      <c r="BW394" s="2" t="s">
        <v>1834</v>
      </c>
      <c r="BX394" s="2" t="s">
        <v>208</v>
      </c>
      <c r="BY394" s="2" t="s">
        <v>112</v>
      </c>
      <c r="BZ394" s="2" t="s">
        <v>100</v>
      </c>
    </row>
    <row r="395">
      <c r="A395" s="2" t="s">
        <v>1862</v>
      </c>
      <c r="B395" s="2" t="s">
        <v>87</v>
      </c>
      <c r="C395" s="2" t="s">
        <v>1797</v>
      </c>
      <c r="D395" s="2" t="s">
        <v>89</v>
      </c>
      <c r="E395" s="2" t="s">
        <v>811</v>
      </c>
      <c r="F395" s="2" t="s">
        <v>1828</v>
      </c>
      <c r="G395" s="2" t="s">
        <v>1829</v>
      </c>
      <c r="H395" s="2" t="s">
        <v>1830</v>
      </c>
      <c r="I395" s="2" t="s">
        <v>1810</v>
      </c>
      <c r="J395" s="2" t="s">
        <v>490</v>
      </c>
      <c r="K395" s="2" t="s">
        <v>1857</v>
      </c>
      <c r="L395" s="3">
        <v>55.61</v>
      </c>
      <c r="M395" s="3">
        <v>58.39</v>
      </c>
      <c r="N395" s="3">
        <v>99.99</v>
      </c>
      <c r="O395" s="2" t="s">
        <v>97</v>
      </c>
      <c r="P395" s="2" t="s">
        <v>156</v>
      </c>
      <c r="Q395" s="2" t="s">
        <v>99</v>
      </c>
      <c r="R395" s="2" t="s">
        <v>100</v>
      </c>
      <c r="S395" s="2" t="s">
        <v>1858</v>
      </c>
      <c r="T395" s="2" t="s">
        <v>100</v>
      </c>
      <c r="U395" s="2" t="s">
        <v>618</v>
      </c>
      <c r="V395" s="2" t="s">
        <v>192</v>
      </c>
      <c r="W395" s="2" t="s">
        <v>142</v>
      </c>
      <c r="X395" s="2" t="s">
        <v>194</v>
      </c>
      <c r="Y395" s="2" t="s">
        <v>1859</v>
      </c>
      <c r="Z395" s="4">
        <v>273</v>
      </c>
      <c r="AA395" s="4">
        <f>=ROUNDDOWN(27.3,0)</f>
      </c>
      <c r="AB395" s="5">
        <v>10</v>
      </c>
      <c r="AC395" s="2" t="s">
        <v>1860</v>
      </c>
      <c r="AD395" s="4">
        <v>50</v>
      </c>
      <c r="AE395" s="4">
        <v>50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/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 t="s">
        <v>100</v>
      </c>
      <c r="BJ395" s="4">
        <v>27</v>
      </c>
      <c r="BK395" s="8">
        <v>1582.28</v>
      </c>
      <c r="BL395" s="2" t="s">
        <v>1863</v>
      </c>
      <c r="BM395" s="7"/>
      <c r="BN395" s="7"/>
      <c r="BO395" s="4"/>
      <c r="BP395" s="8"/>
      <c r="BQ395" s="4"/>
      <c r="BR395" s="8"/>
      <c r="BS395" s="7"/>
      <c r="BT395" s="7"/>
      <c r="BU395" s="2" t="s">
        <v>109</v>
      </c>
      <c r="BV395" s="2" t="s">
        <v>97</v>
      </c>
      <c r="BW395" s="2" t="s">
        <v>1834</v>
      </c>
      <c r="BX395" s="2" t="s">
        <v>1864</v>
      </c>
      <c r="BY395" s="2" t="s">
        <v>112</v>
      </c>
      <c r="BZ395" s="2" t="s">
        <v>100</v>
      </c>
    </row>
    <row r="396">
      <c r="A396" s="2" t="s">
        <v>1865</v>
      </c>
      <c r="B396" s="2" t="s">
        <v>87</v>
      </c>
      <c r="C396" s="2" t="s">
        <v>1797</v>
      </c>
      <c r="D396" s="2" t="s">
        <v>89</v>
      </c>
      <c r="E396" s="2" t="s">
        <v>811</v>
      </c>
      <c r="F396" s="2" t="s">
        <v>1828</v>
      </c>
      <c r="G396" s="2" t="s">
        <v>1829</v>
      </c>
      <c r="H396" s="2" t="s">
        <v>1830</v>
      </c>
      <c r="I396" s="2" t="s">
        <v>1810</v>
      </c>
      <c r="J396" s="2" t="s">
        <v>114</v>
      </c>
      <c r="K396" s="2" t="s">
        <v>1857</v>
      </c>
      <c r="L396" s="3">
        <v>65.28</v>
      </c>
      <c r="M396" s="3">
        <v>68.54</v>
      </c>
      <c r="N396" s="3">
        <v>119.99</v>
      </c>
      <c r="O396" s="2" t="s">
        <v>97</v>
      </c>
      <c r="P396" s="2" t="s">
        <v>156</v>
      </c>
      <c r="Q396" s="2" t="s">
        <v>99</v>
      </c>
      <c r="R396" s="2" t="s">
        <v>100</v>
      </c>
      <c r="S396" s="2" t="s">
        <v>1858</v>
      </c>
      <c r="T396" s="2" t="s">
        <v>100</v>
      </c>
      <c r="U396" s="2" t="s">
        <v>618</v>
      </c>
      <c r="V396" s="2" t="s">
        <v>192</v>
      </c>
      <c r="W396" s="2" t="s">
        <v>142</v>
      </c>
      <c r="X396" s="2" t="s">
        <v>194</v>
      </c>
      <c r="Y396" s="2" t="s">
        <v>1859</v>
      </c>
      <c r="Z396" s="4">
        <v>530</v>
      </c>
      <c r="AA396" s="4">
        <f>=ROUNDDOWN(37.8571428571429,0)</f>
      </c>
      <c r="AB396" s="5">
        <v>14</v>
      </c>
      <c r="AC396" s="2" t="s">
        <v>100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/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 t="s">
        <v>100</v>
      </c>
      <c r="BJ396" s="4">
        <v>39</v>
      </c>
      <c r="BK396" s="8">
        <v>2871.46</v>
      </c>
      <c r="BL396" s="2" t="s">
        <v>1509</v>
      </c>
      <c r="BM396" s="7"/>
      <c r="BN396" s="7"/>
      <c r="BO396" s="4"/>
      <c r="BP396" s="8"/>
      <c r="BQ396" s="4"/>
      <c r="BR396" s="8"/>
      <c r="BS396" s="7"/>
      <c r="BT396" s="7"/>
      <c r="BU396" s="2" t="s">
        <v>109</v>
      </c>
      <c r="BV396" s="2" t="s">
        <v>97</v>
      </c>
      <c r="BW396" s="2" t="s">
        <v>1834</v>
      </c>
      <c r="BX396" s="2" t="s">
        <v>204</v>
      </c>
      <c r="BY396" s="2" t="s">
        <v>112</v>
      </c>
      <c r="BZ396" s="2" t="s">
        <v>100</v>
      </c>
    </row>
    <row r="397">
      <c r="A397" s="2" t="s">
        <v>1866</v>
      </c>
      <c r="B397" s="2" t="s">
        <v>87</v>
      </c>
      <c r="C397" s="2" t="s">
        <v>1797</v>
      </c>
      <c r="D397" s="2" t="s">
        <v>89</v>
      </c>
      <c r="E397" s="2" t="s">
        <v>811</v>
      </c>
      <c r="F397" s="2" t="s">
        <v>1828</v>
      </c>
      <c r="G397" s="2" t="s">
        <v>1829</v>
      </c>
      <c r="H397" s="2" t="s">
        <v>1830</v>
      </c>
      <c r="I397" s="2" t="s">
        <v>1810</v>
      </c>
      <c r="J397" s="2" t="s">
        <v>118</v>
      </c>
      <c r="K397" s="2" t="s">
        <v>1857</v>
      </c>
      <c r="L397" s="3">
        <v>65.28</v>
      </c>
      <c r="M397" s="3">
        <v>68.54</v>
      </c>
      <c r="N397" s="3">
        <v>119.99</v>
      </c>
      <c r="O397" s="2" t="s">
        <v>97</v>
      </c>
      <c r="P397" s="2" t="s">
        <v>156</v>
      </c>
      <c r="Q397" s="2" t="s">
        <v>99</v>
      </c>
      <c r="R397" s="2" t="s">
        <v>100</v>
      </c>
      <c r="S397" s="2" t="s">
        <v>1858</v>
      </c>
      <c r="T397" s="2" t="s">
        <v>100</v>
      </c>
      <c r="U397" s="2" t="s">
        <v>618</v>
      </c>
      <c r="V397" s="2" t="s">
        <v>192</v>
      </c>
      <c r="W397" s="2" t="s">
        <v>142</v>
      </c>
      <c r="X397" s="2" t="s">
        <v>194</v>
      </c>
      <c r="Y397" s="2" t="s">
        <v>1859</v>
      </c>
      <c r="Z397" s="4">
        <v>227</v>
      </c>
      <c r="AA397" s="4">
        <f>=ROUNDDOWN(22.7,0)</f>
      </c>
      <c r="AB397" s="5">
        <v>10</v>
      </c>
      <c r="AC397" s="2" t="s">
        <v>1860</v>
      </c>
      <c r="AD397" s="4">
        <v>80</v>
      </c>
      <c r="AE397" s="4">
        <v>80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1</v>
      </c>
      <c r="AQ397" s="8">
        <v>72.22</v>
      </c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1</v>
      </c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 t="s">
        <v>100</v>
      </c>
      <c r="BJ397" s="4">
        <v>20</v>
      </c>
      <c r="BK397" s="8">
        <v>1524.54</v>
      </c>
      <c r="BL397" s="2" t="s">
        <v>1867</v>
      </c>
      <c r="BM397" s="7">
        <v>0.05</v>
      </c>
      <c r="BN397" s="7">
        <v>0.0474</v>
      </c>
      <c r="BO397" s="4">
        <v>1</v>
      </c>
      <c r="BP397" s="8">
        <v>72.22</v>
      </c>
      <c r="BQ397" s="4"/>
      <c r="BR397" s="8"/>
      <c r="BS397" s="7"/>
      <c r="BT397" s="7"/>
      <c r="BU397" s="2" t="s">
        <v>109</v>
      </c>
      <c r="BV397" s="2" t="s">
        <v>97</v>
      </c>
      <c r="BW397" s="2" t="s">
        <v>1834</v>
      </c>
      <c r="BX397" s="2" t="s">
        <v>1868</v>
      </c>
      <c r="BY397" s="2" t="s">
        <v>112</v>
      </c>
      <c r="BZ397" s="2" t="s">
        <v>100</v>
      </c>
    </row>
    <row r="398">
      <c r="A398" s="2" t="s">
        <v>1869</v>
      </c>
      <c r="B398" s="2" t="s">
        <v>87</v>
      </c>
      <c r="C398" s="2" t="s">
        <v>1797</v>
      </c>
      <c r="D398" s="2" t="s">
        <v>89</v>
      </c>
      <c r="E398" s="2" t="s">
        <v>811</v>
      </c>
      <c r="F398" s="2" t="s">
        <v>1870</v>
      </c>
      <c r="G398" s="2" t="s">
        <v>1871</v>
      </c>
      <c r="H398" s="2" t="s">
        <v>1872</v>
      </c>
      <c r="I398" s="2" t="s">
        <v>1801</v>
      </c>
      <c r="J398" s="2" t="s">
        <v>1443</v>
      </c>
      <c r="K398" s="2" t="s">
        <v>1873</v>
      </c>
      <c r="L398" s="3">
        <v>49.39</v>
      </c>
      <c r="M398" s="3">
        <v>51.86</v>
      </c>
      <c r="N398" s="3">
        <v>89.99</v>
      </c>
      <c r="O398" s="2" t="s">
        <v>97</v>
      </c>
      <c r="P398" s="2" t="s">
        <v>98</v>
      </c>
      <c r="Q398" s="2" t="s">
        <v>99</v>
      </c>
      <c r="R398" s="2" t="s">
        <v>100</v>
      </c>
      <c r="S398" s="2" t="s">
        <v>1874</v>
      </c>
      <c r="T398" s="2" t="s">
        <v>100</v>
      </c>
      <c r="U398" s="2" t="s">
        <v>102</v>
      </c>
      <c r="V398" s="2" t="s">
        <v>733</v>
      </c>
      <c r="W398" s="2" t="s">
        <v>609</v>
      </c>
      <c r="X398" s="2" t="s">
        <v>1875</v>
      </c>
      <c r="Y398" s="2" t="s">
        <v>144</v>
      </c>
      <c r="Z398" s="4">
        <v>115</v>
      </c>
      <c r="AA398" s="4">
        <f>=ROUNDDOWN(23,0)</f>
      </c>
      <c r="AB398" s="5">
        <v>5</v>
      </c>
      <c r="AC398" s="2" t="s">
        <v>100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3</v>
      </c>
      <c r="AQ398" s="8">
        <v>154.77</v>
      </c>
      <c r="AR398" s="4"/>
      <c r="AS398" s="8"/>
      <c r="AT398" s="7"/>
      <c r="AU398" s="7"/>
      <c r="AV398" s="4">
        <v>11</v>
      </c>
      <c r="AW398" s="8">
        <v>682.15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0.2269</v>
      </c>
      <c r="BC398" s="4">
        <v>11</v>
      </c>
      <c r="BD398" s="8">
        <v>682.15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>
        <v>1</v>
      </c>
      <c r="BJ398" s="4">
        <v>19</v>
      </c>
      <c r="BK398" s="8">
        <v>913.06</v>
      </c>
      <c r="BL398" s="2" t="s">
        <v>1876</v>
      </c>
      <c r="BM398" s="7">
        <v>0.1579</v>
      </c>
      <c r="BN398" s="7">
        <v>0.1695</v>
      </c>
      <c r="BO398" s="4">
        <v>3</v>
      </c>
      <c r="BP398" s="8">
        <v>154.77</v>
      </c>
      <c r="BQ398" s="4"/>
      <c r="BR398" s="8"/>
      <c r="BS398" s="7"/>
      <c r="BT398" s="7"/>
      <c r="BU398" s="2" t="s">
        <v>109</v>
      </c>
      <c r="BV398" s="2" t="s">
        <v>97</v>
      </c>
      <c r="BW398" s="2" t="s">
        <v>147</v>
      </c>
      <c r="BX398" s="2" t="s">
        <v>1001</v>
      </c>
      <c r="BY398" s="2" t="s">
        <v>112</v>
      </c>
      <c r="BZ398" s="2" t="s">
        <v>149</v>
      </c>
    </row>
    <row r="399">
      <c r="A399" s="2" t="s">
        <v>1877</v>
      </c>
      <c r="B399" s="2" t="s">
        <v>87</v>
      </c>
      <c r="C399" s="2" t="s">
        <v>1797</v>
      </c>
      <c r="D399" s="2" t="s">
        <v>89</v>
      </c>
      <c r="E399" s="2" t="s">
        <v>811</v>
      </c>
      <c r="F399" s="2" t="s">
        <v>1870</v>
      </c>
      <c r="G399" s="2" t="s">
        <v>1871</v>
      </c>
      <c r="H399" s="2" t="s">
        <v>1872</v>
      </c>
      <c r="I399" s="2" t="s">
        <v>1810</v>
      </c>
      <c r="J399" s="2" t="s">
        <v>490</v>
      </c>
      <c r="K399" s="2" t="s">
        <v>1873</v>
      </c>
      <c r="L399" s="3">
        <v>54.33</v>
      </c>
      <c r="M399" s="3">
        <v>57.05</v>
      </c>
      <c r="N399" s="3">
        <v>99.99</v>
      </c>
      <c r="O399" s="2" t="s">
        <v>97</v>
      </c>
      <c r="P399" s="2" t="s">
        <v>98</v>
      </c>
      <c r="Q399" s="2" t="s">
        <v>99</v>
      </c>
      <c r="R399" s="2" t="s">
        <v>100</v>
      </c>
      <c r="S399" s="2" t="s">
        <v>1874</v>
      </c>
      <c r="T399" s="2" t="s">
        <v>100</v>
      </c>
      <c r="U399" s="2" t="s">
        <v>618</v>
      </c>
      <c r="V399" s="2" t="s">
        <v>733</v>
      </c>
      <c r="W399" s="2" t="s">
        <v>609</v>
      </c>
      <c r="X399" s="2" t="s">
        <v>1875</v>
      </c>
      <c r="Y399" s="2" t="s">
        <v>144</v>
      </c>
      <c r="Z399" s="4">
        <v>172</v>
      </c>
      <c r="AA399" s="4">
        <f>=ROUNDDOWN(28.6666666666667,0)</f>
      </c>
      <c r="AB399" s="5">
        <v>6</v>
      </c>
      <c r="AC399" s="2" t="s">
        <v>100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2</v>
      </c>
      <c r="AQ399" s="8">
        <v>114.64</v>
      </c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0.1681</v>
      </c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 t="s">
        <v>100</v>
      </c>
      <c r="BJ399" s="4">
        <v>12</v>
      </c>
      <c r="BK399" s="8">
        <v>725.85</v>
      </c>
      <c r="BL399" s="2" t="s">
        <v>1878</v>
      </c>
      <c r="BM399" s="7">
        <v>0.1667</v>
      </c>
      <c r="BN399" s="7">
        <v>0.1579</v>
      </c>
      <c r="BO399" s="4">
        <v>2</v>
      </c>
      <c r="BP399" s="8">
        <v>114.64</v>
      </c>
      <c r="BQ399" s="4"/>
      <c r="BR399" s="8"/>
      <c r="BS399" s="7"/>
      <c r="BT399" s="7"/>
      <c r="BU399" s="2" t="s">
        <v>109</v>
      </c>
      <c r="BV399" s="2" t="s">
        <v>97</v>
      </c>
      <c r="BW399" s="2" t="s">
        <v>147</v>
      </c>
      <c r="BX399" s="2" t="s">
        <v>1879</v>
      </c>
      <c r="BY399" s="2" t="s">
        <v>112</v>
      </c>
      <c r="BZ399" s="2" t="s">
        <v>149</v>
      </c>
    </row>
    <row r="400">
      <c r="A400" s="2" t="s">
        <v>1880</v>
      </c>
      <c r="B400" s="2" t="s">
        <v>87</v>
      </c>
      <c r="C400" s="2" t="s">
        <v>1797</v>
      </c>
      <c r="D400" s="2" t="s">
        <v>89</v>
      </c>
      <c r="E400" s="2" t="s">
        <v>811</v>
      </c>
      <c r="F400" s="2" t="s">
        <v>1870</v>
      </c>
      <c r="G400" s="2" t="s">
        <v>1871</v>
      </c>
      <c r="H400" s="2" t="s">
        <v>1872</v>
      </c>
      <c r="I400" s="2" t="s">
        <v>1810</v>
      </c>
      <c r="J400" s="2" t="s">
        <v>95</v>
      </c>
      <c r="K400" s="2" t="s">
        <v>1873</v>
      </c>
      <c r="L400" s="3">
        <v>59.27</v>
      </c>
      <c r="M400" s="3">
        <v>62.23</v>
      </c>
      <c r="N400" s="3">
        <v>109.99</v>
      </c>
      <c r="O400" s="2" t="s">
        <v>97</v>
      </c>
      <c r="P400" s="2" t="s">
        <v>98</v>
      </c>
      <c r="Q400" s="2" t="s">
        <v>99</v>
      </c>
      <c r="R400" s="2" t="s">
        <v>100</v>
      </c>
      <c r="S400" s="2" t="s">
        <v>1874</v>
      </c>
      <c r="T400" s="2" t="s">
        <v>100</v>
      </c>
      <c r="U400" s="2" t="s">
        <v>618</v>
      </c>
      <c r="V400" s="2" t="s">
        <v>733</v>
      </c>
      <c r="W400" s="2" t="s">
        <v>609</v>
      </c>
      <c r="X400" s="2" t="s">
        <v>1875</v>
      </c>
      <c r="Y400" s="2" t="s">
        <v>144</v>
      </c>
      <c r="Z400" s="4">
        <v>1368</v>
      </c>
      <c r="AA400" s="4">
        <f>=ROUNDDOWN(171,0)</f>
      </c>
      <c r="AB400" s="5">
        <v>8</v>
      </c>
      <c r="AC400" s="2" t="s">
        <v>100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/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 t="s">
        <v>100</v>
      </c>
      <c r="BJ400" s="4">
        <v>17</v>
      </c>
      <c r="BK400" s="8">
        <v>1078.75</v>
      </c>
      <c r="BL400" s="2" t="s">
        <v>1645</v>
      </c>
      <c r="BM400" s="7"/>
      <c r="BN400" s="7"/>
      <c r="BO400" s="4"/>
      <c r="BP400" s="8"/>
      <c r="BQ400" s="4"/>
      <c r="BR400" s="8"/>
      <c r="BS400" s="7"/>
      <c r="BT400" s="7"/>
      <c r="BU400" s="2" t="s">
        <v>109</v>
      </c>
      <c r="BV400" s="2" t="s">
        <v>97</v>
      </c>
      <c r="BW400" s="2" t="s">
        <v>147</v>
      </c>
      <c r="BX400" s="2" t="s">
        <v>1722</v>
      </c>
      <c r="BY400" s="2" t="s">
        <v>112</v>
      </c>
      <c r="BZ400" s="2" t="s">
        <v>149</v>
      </c>
    </row>
    <row r="401">
      <c r="A401" s="2" t="s">
        <v>1881</v>
      </c>
      <c r="B401" s="2" t="s">
        <v>87</v>
      </c>
      <c r="C401" s="2" t="s">
        <v>1797</v>
      </c>
      <c r="D401" s="2" t="s">
        <v>89</v>
      </c>
      <c r="E401" s="2" t="s">
        <v>811</v>
      </c>
      <c r="F401" s="2" t="s">
        <v>1870</v>
      </c>
      <c r="G401" s="2" t="s">
        <v>1871</v>
      </c>
      <c r="H401" s="2" t="s">
        <v>1872</v>
      </c>
      <c r="I401" s="2" t="s">
        <v>1810</v>
      </c>
      <c r="J401" s="2" t="s">
        <v>114</v>
      </c>
      <c r="K401" s="2" t="s">
        <v>1873</v>
      </c>
      <c r="L401" s="3">
        <v>64.21</v>
      </c>
      <c r="M401" s="3">
        <v>67.42</v>
      </c>
      <c r="N401" s="3">
        <v>119.99</v>
      </c>
      <c r="O401" s="2" t="s">
        <v>97</v>
      </c>
      <c r="P401" s="2" t="s">
        <v>98</v>
      </c>
      <c r="Q401" s="2" t="s">
        <v>99</v>
      </c>
      <c r="R401" s="2" t="s">
        <v>100</v>
      </c>
      <c r="S401" s="2" t="s">
        <v>1874</v>
      </c>
      <c r="T401" s="2" t="s">
        <v>100</v>
      </c>
      <c r="U401" s="2" t="s">
        <v>618</v>
      </c>
      <c r="V401" s="2" t="s">
        <v>733</v>
      </c>
      <c r="W401" s="2" t="s">
        <v>609</v>
      </c>
      <c r="X401" s="2" t="s">
        <v>1875</v>
      </c>
      <c r="Y401" s="2" t="s">
        <v>144</v>
      </c>
      <c r="Z401" s="4">
        <v>282</v>
      </c>
      <c r="AA401" s="4">
        <f>=ROUNDDOWN(35.25,0)</f>
      </c>
      <c r="AB401" s="5">
        <v>8</v>
      </c>
      <c r="AC401" s="2" t="s">
        <v>100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2</v>
      </c>
      <c r="AQ401" s="8">
        <v>137.58</v>
      </c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>
        <v>0.2017</v>
      </c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 t="s">
        <v>100</v>
      </c>
      <c r="BJ401" s="4">
        <v>16</v>
      </c>
      <c r="BK401" s="8">
        <v>1095.86</v>
      </c>
      <c r="BL401" s="2" t="s">
        <v>1882</v>
      </c>
      <c r="BM401" s="7">
        <v>0.125</v>
      </c>
      <c r="BN401" s="7">
        <v>0.1255</v>
      </c>
      <c r="BO401" s="4">
        <v>2</v>
      </c>
      <c r="BP401" s="8">
        <v>137.58</v>
      </c>
      <c r="BQ401" s="4"/>
      <c r="BR401" s="8"/>
      <c r="BS401" s="7"/>
      <c r="BT401" s="7"/>
      <c r="BU401" s="2" t="s">
        <v>109</v>
      </c>
      <c r="BV401" s="2" t="s">
        <v>97</v>
      </c>
      <c r="BW401" s="2" t="s">
        <v>147</v>
      </c>
      <c r="BX401" s="2" t="s">
        <v>1883</v>
      </c>
      <c r="BY401" s="2" t="s">
        <v>112</v>
      </c>
      <c r="BZ401" s="2" t="s">
        <v>149</v>
      </c>
    </row>
    <row r="402">
      <c r="A402" s="2" t="s">
        <v>1884</v>
      </c>
      <c r="B402" s="2" t="s">
        <v>87</v>
      </c>
      <c r="C402" s="2" t="s">
        <v>1797</v>
      </c>
      <c r="D402" s="2" t="s">
        <v>89</v>
      </c>
      <c r="E402" s="2" t="s">
        <v>811</v>
      </c>
      <c r="F402" s="2" t="s">
        <v>1870</v>
      </c>
      <c r="G402" s="2" t="s">
        <v>1871</v>
      </c>
      <c r="H402" s="2" t="s">
        <v>1872</v>
      </c>
      <c r="I402" s="2" t="s">
        <v>1810</v>
      </c>
      <c r="J402" s="2" t="s">
        <v>118</v>
      </c>
      <c r="K402" s="2" t="s">
        <v>1873</v>
      </c>
      <c r="L402" s="3">
        <v>64.21</v>
      </c>
      <c r="M402" s="3">
        <v>67.42</v>
      </c>
      <c r="N402" s="3">
        <v>119.99</v>
      </c>
      <c r="O402" s="2" t="s">
        <v>97</v>
      </c>
      <c r="P402" s="2" t="s">
        <v>98</v>
      </c>
      <c r="Q402" s="2" t="s">
        <v>99</v>
      </c>
      <c r="R402" s="2" t="s">
        <v>100</v>
      </c>
      <c r="S402" s="2" t="s">
        <v>1874</v>
      </c>
      <c r="T402" s="2" t="s">
        <v>100</v>
      </c>
      <c r="U402" s="2" t="s">
        <v>618</v>
      </c>
      <c r="V402" s="2" t="s">
        <v>733</v>
      </c>
      <c r="W402" s="2" t="s">
        <v>609</v>
      </c>
      <c r="X402" s="2" t="s">
        <v>1875</v>
      </c>
      <c r="Y402" s="2" t="s">
        <v>144</v>
      </c>
      <c r="Z402" s="4">
        <v>183</v>
      </c>
      <c r="AA402" s="4">
        <f>=ROUNDDOWN(30.5,0)</f>
      </c>
      <c r="AB402" s="5">
        <v>6</v>
      </c>
      <c r="AC402" s="2" t="s">
        <v>100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4</v>
      </c>
      <c r="AQ402" s="8">
        <v>275.16</v>
      </c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0.4034</v>
      </c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 t="s">
        <v>100</v>
      </c>
      <c r="BJ402" s="4">
        <v>11</v>
      </c>
      <c r="BK402" s="8">
        <v>788.88</v>
      </c>
      <c r="BL402" s="2" t="s">
        <v>1885</v>
      </c>
      <c r="BM402" s="7">
        <v>0.3636</v>
      </c>
      <c r="BN402" s="7">
        <v>0.3488</v>
      </c>
      <c r="BO402" s="4">
        <v>4</v>
      </c>
      <c r="BP402" s="8">
        <v>275.16</v>
      </c>
      <c r="BQ402" s="4"/>
      <c r="BR402" s="8"/>
      <c r="BS402" s="7"/>
      <c r="BT402" s="7"/>
      <c r="BU402" s="2" t="s">
        <v>109</v>
      </c>
      <c r="BV402" s="2" t="s">
        <v>97</v>
      </c>
      <c r="BW402" s="2" t="s">
        <v>147</v>
      </c>
      <c r="BX402" s="2" t="s">
        <v>1886</v>
      </c>
      <c r="BY402" s="2" t="s">
        <v>112</v>
      </c>
      <c r="BZ402" s="2" t="s">
        <v>149</v>
      </c>
    </row>
    <row r="403">
      <c r="A403" s="2" t="s">
        <v>1887</v>
      </c>
      <c r="B403" s="2" t="s">
        <v>87</v>
      </c>
      <c r="C403" s="2" t="s">
        <v>1797</v>
      </c>
      <c r="D403" s="2" t="s">
        <v>89</v>
      </c>
      <c r="E403" s="2" t="s">
        <v>811</v>
      </c>
      <c r="F403" s="2" t="s">
        <v>1888</v>
      </c>
      <c r="G403" s="2" t="s">
        <v>1889</v>
      </c>
      <c r="H403" s="2" t="s">
        <v>1890</v>
      </c>
      <c r="I403" s="2" t="s">
        <v>1801</v>
      </c>
      <c r="J403" s="2" t="s">
        <v>1443</v>
      </c>
      <c r="K403" s="2" t="s">
        <v>471</v>
      </c>
      <c r="L403" s="3">
        <v>51.99</v>
      </c>
      <c r="M403" s="3">
        <v>54.59</v>
      </c>
      <c r="N403" s="3">
        <v>99.99</v>
      </c>
      <c r="O403" s="2" t="s">
        <v>97</v>
      </c>
      <c r="P403" s="2" t="s">
        <v>98</v>
      </c>
      <c r="Q403" s="2" t="s">
        <v>99</v>
      </c>
      <c r="R403" s="2" t="s">
        <v>100</v>
      </c>
      <c r="S403" s="2" t="s">
        <v>1891</v>
      </c>
      <c r="T403" s="2" t="s">
        <v>100</v>
      </c>
      <c r="U403" s="2" t="s">
        <v>102</v>
      </c>
      <c r="V403" s="2" t="s">
        <v>473</v>
      </c>
      <c r="W403" s="2" t="s">
        <v>609</v>
      </c>
      <c r="X403" s="2" t="s">
        <v>1791</v>
      </c>
      <c r="Y403" s="2" t="s">
        <v>144</v>
      </c>
      <c r="Z403" s="4">
        <v>104</v>
      </c>
      <c r="AA403" s="4">
        <f>=ROUNDDOWN(20.8,0)</f>
      </c>
      <c r="AB403" s="5">
        <v>5</v>
      </c>
      <c r="AC403" s="2" t="s">
        <v>1452</v>
      </c>
      <c r="AD403" s="4">
        <v>60</v>
      </c>
      <c r="AE403" s="4">
        <v>100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>
        <v>3</v>
      </c>
      <c r="AW403" s="8">
        <v>194.89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/>
      <c r="BC403" s="4">
        <v>6</v>
      </c>
      <c r="BD403" s="8">
        <v>378.31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>
        <v>0.5152</v>
      </c>
      <c r="BJ403" s="4">
        <v>25</v>
      </c>
      <c r="BK403" s="8">
        <v>1293.63</v>
      </c>
      <c r="BL403" s="2" t="s">
        <v>632</v>
      </c>
      <c r="BM403" s="7"/>
      <c r="BN403" s="7"/>
      <c r="BO403" s="4"/>
      <c r="BP403" s="8"/>
      <c r="BQ403" s="4"/>
      <c r="BR403" s="8"/>
      <c r="BS403" s="7"/>
      <c r="BT403" s="7"/>
      <c r="BU403" s="2" t="s">
        <v>109</v>
      </c>
      <c r="BV403" s="2" t="s">
        <v>97</v>
      </c>
      <c r="BW403" s="2" t="s">
        <v>475</v>
      </c>
      <c r="BX403" s="2" t="s">
        <v>1892</v>
      </c>
      <c r="BY403" s="2" t="s">
        <v>112</v>
      </c>
      <c r="BZ403" s="2" t="s">
        <v>100</v>
      </c>
    </row>
    <row r="404">
      <c r="A404" s="2" t="s">
        <v>1893</v>
      </c>
      <c r="B404" s="2" t="s">
        <v>87</v>
      </c>
      <c r="C404" s="2" t="s">
        <v>1797</v>
      </c>
      <c r="D404" s="2" t="s">
        <v>89</v>
      </c>
      <c r="E404" s="2" t="s">
        <v>811</v>
      </c>
      <c r="F404" s="2" t="s">
        <v>1888</v>
      </c>
      <c r="G404" s="2" t="s">
        <v>1889</v>
      </c>
      <c r="H404" s="2" t="s">
        <v>1890</v>
      </c>
      <c r="I404" s="2" t="s">
        <v>1810</v>
      </c>
      <c r="J404" s="2" t="s">
        <v>490</v>
      </c>
      <c r="K404" s="2" t="s">
        <v>471</v>
      </c>
      <c r="L404" s="3">
        <v>57.19</v>
      </c>
      <c r="M404" s="3">
        <v>60.05</v>
      </c>
      <c r="N404" s="3">
        <v>109.99</v>
      </c>
      <c r="O404" s="2" t="s">
        <v>97</v>
      </c>
      <c r="P404" s="2" t="s">
        <v>98</v>
      </c>
      <c r="Q404" s="2" t="s">
        <v>99</v>
      </c>
      <c r="R404" s="2" t="s">
        <v>100</v>
      </c>
      <c r="S404" s="2" t="s">
        <v>1891</v>
      </c>
      <c r="T404" s="2" t="s">
        <v>100</v>
      </c>
      <c r="U404" s="2" t="s">
        <v>618</v>
      </c>
      <c r="V404" s="2" t="s">
        <v>473</v>
      </c>
      <c r="W404" s="2" t="s">
        <v>609</v>
      </c>
      <c r="X404" s="2" t="s">
        <v>1791</v>
      </c>
      <c r="Y404" s="2" t="s">
        <v>144</v>
      </c>
      <c r="Z404" s="4">
        <v>120</v>
      </c>
      <c r="AA404" s="4">
        <f>=ROUNDDOWN(17.1428571428571,0)</f>
      </c>
      <c r="AB404" s="5">
        <v>7</v>
      </c>
      <c r="AC404" s="2" t="s">
        <v>1452</v>
      </c>
      <c r="AD404" s="4">
        <v>90</v>
      </c>
      <c r="AE404" s="4">
        <v>170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/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 t="s">
        <v>100</v>
      </c>
      <c r="BJ404" s="4">
        <v>16</v>
      </c>
      <c r="BK404" s="8">
        <v>970.97</v>
      </c>
      <c r="BL404" s="2" t="s">
        <v>1894</v>
      </c>
      <c r="BM404" s="7"/>
      <c r="BN404" s="7"/>
      <c r="BO404" s="4"/>
      <c r="BP404" s="8"/>
      <c r="BQ404" s="4"/>
      <c r="BR404" s="8"/>
      <c r="BS404" s="7"/>
      <c r="BT404" s="7"/>
      <c r="BU404" s="2" t="s">
        <v>109</v>
      </c>
      <c r="BV404" s="2" t="s">
        <v>97</v>
      </c>
      <c r="BW404" s="2" t="s">
        <v>475</v>
      </c>
      <c r="BX404" s="2" t="s">
        <v>1895</v>
      </c>
      <c r="BY404" s="2" t="s">
        <v>112</v>
      </c>
      <c r="BZ404" s="2" t="s">
        <v>100</v>
      </c>
    </row>
    <row r="405">
      <c r="A405" s="2" t="s">
        <v>1896</v>
      </c>
      <c r="B405" s="2" t="s">
        <v>87</v>
      </c>
      <c r="C405" s="2" t="s">
        <v>1797</v>
      </c>
      <c r="D405" s="2" t="s">
        <v>89</v>
      </c>
      <c r="E405" s="2" t="s">
        <v>811</v>
      </c>
      <c r="F405" s="2" t="s">
        <v>1888</v>
      </c>
      <c r="G405" s="2" t="s">
        <v>1889</v>
      </c>
      <c r="H405" s="2" t="s">
        <v>1890</v>
      </c>
      <c r="I405" s="2" t="s">
        <v>1810</v>
      </c>
      <c r="J405" s="2" t="s">
        <v>95</v>
      </c>
      <c r="K405" s="2" t="s">
        <v>471</v>
      </c>
      <c r="L405" s="3">
        <v>62.39</v>
      </c>
      <c r="M405" s="3">
        <v>65.51</v>
      </c>
      <c r="N405" s="3">
        <v>119.99</v>
      </c>
      <c r="O405" s="2" t="s">
        <v>97</v>
      </c>
      <c r="P405" s="2" t="s">
        <v>98</v>
      </c>
      <c r="Q405" s="2" t="s">
        <v>99</v>
      </c>
      <c r="R405" s="2" t="s">
        <v>100</v>
      </c>
      <c r="S405" s="2" t="s">
        <v>1891</v>
      </c>
      <c r="T405" s="2" t="s">
        <v>100</v>
      </c>
      <c r="U405" s="2" t="s">
        <v>618</v>
      </c>
      <c r="V405" s="2" t="s">
        <v>473</v>
      </c>
      <c r="W405" s="2" t="s">
        <v>609</v>
      </c>
      <c r="X405" s="2" t="s">
        <v>1791</v>
      </c>
      <c r="Y405" s="2" t="s">
        <v>144</v>
      </c>
      <c r="Z405" s="4">
        <v>379</v>
      </c>
      <c r="AA405" s="4">
        <f>=ROUNDDOWN(22.2941176470588,0)</f>
      </c>
      <c r="AB405" s="5">
        <v>17</v>
      </c>
      <c r="AC405" s="2" t="s">
        <v>1452</v>
      </c>
      <c r="AD405" s="4">
        <v>100</v>
      </c>
      <c r="AE405" s="4">
        <v>250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2</v>
      </c>
      <c r="AQ405" s="8">
        <v>126.1</v>
      </c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0.647</v>
      </c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 t="s">
        <v>100</v>
      </c>
      <c r="BJ405" s="4">
        <v>64</v>
      </c>
      <c r="BK405" s="8">
        <v>4116.99</v>
      </c>
      <c r="BL405" s="2" t="s">
        <v>1897</v>
      </c>
      <c r="BM405" s="7">
        <v>0.0312</v>
      </c>
      <c r="BN405" s="7">
        <v>0.0306</v>
      </c>
      <c r="BO405" s="4">
        <v>2</v>
      </c>
      <c r="BP405" s="8">
        <v>126.1</v>
      </c>
      <c r="BQ405" s="4"/>
      <c r="BR405" s="8"/>
      <c r="BS405" s="7"/>
      <c r="BT405" s="7"/>
      <c r="BU405" s="2" t="s">
        <v>109</v>
      </c>
      <c r="BV405" s="2" t="s">
        <v>97</v>
      </c>
      <c r="BW405" s="2" t="s">
        <v>475</v>
      </c>
      <c r="BX405" s="2" t="s">
        <v>1898</v>
      </c>
      <c r="BY405" s="2" t="s">
        <v>112</v>
      </c>
      <c r="BZ405" s="2" t="s">
        <v>100</v>
      </c>
    </row>
    <row r="406">
      <c r="A406" s="2" t="s">
        <v>1899</v>
      </c>
      <c r="B406" s="2" t="s">
        <v>87</v>
      </c>
      <c r="C406" s="2" t="s">
        <v>1797</v>
      </c>
      <c r="D406" s="2" t="s">
        <v>89</v>
      </c>
      <c r="E406" s="2" t="s">
        <v>811</v>
      </c>
      <c r="F406" s="2" t="s">
        <v>1888</v>
      </c>
      <c r="G406" s="2" t="s">
        <v>1889</v>
      </c>
      <c r="H406" s="2" t="s">
        <v>1890</v>
      </c>
      <c r="I406" s="2" t="s">
        <v>1810</v>
      </c>
      <c r="J406" s="2" t="s">
        <v>114</v>
      </c>
      <c r="K406" s="2" t="s">
        <v>471</v>
      </c>
      <c r="L406" s="3">
        <v>67.59</v>
      </c>
      <c r="M406" s="3">
        <v>70.97</v>
      </c>
      <c r="N406" s="3">
        <v>129.99</v>
      </c>
      <c r="O406" s="2" t="s">
        <v>97</v>
      </c>
      <c r="P406" s="2" t="s">
        <v>98</v>
      </c>
      <c r="Q406" s="2" t="s">
        <v>99</v>
      </c>
      <c r="R406" s="2" t="s">
        <v>100</v>
      </c>
      <c r="S406" s="2" t="s">
        <v>1891</v>
      </c>
      <c r="T406" s="2" t="s">
        <v>100</v>
      </c>
      <c r="U406" s="2" t="s">
        <v>618</v>
      </c>
      <c r="V406" s="2" t="s">
        <v>473</v>
      </c>
      <c r="W406" s="2" t="s">
        <v>609</v>
      </c>
      <c r="X406" s="2" t="s">
        <v>1791</v>
      </c>
      <c r="Y406" s="2" t="s">
        <v>144</v>
      </c>
      <c r="Z406" s="4">
        <v>266</v>
      </c>
      <c r="AA406" s="4">
        <f>=ROUNDDOWN(26.6,0)</f>
      </c>
      <c r="AB406" s="5">
        <v>10</v>
      </c>
      <c r="AC406" s="2" t="s">
        <v>1452</v>
      </c>
      <c r="AD406" s="4">
        <v>60</v>
      </c>
      <c r="AE406" s="4">
        <v>200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/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 t="s">
        <v>100</v>
      </c>
      <c r="BJ406" s="4">
        <v>22</v>
      </c>
      <c r="BK406" s="8">
        <v>1528.57</v>
      </c>
      <c r="BL406" s="2" t="s">
        <v>511</v>
      </c>
      <c r="BM406" s="7"/>
      <c r="BN406" s="7"/>
      <c r="BO406" s="4"/>
      <c r="BP406" s="8"/>
      <c r="BQ406" s="4"/>
      <c r="BR406" s="8"/>
      <c r="BS406" s="7"/>
      <c r="BT406" s="7"/>
      <c r="BU406" s="2" t="s">
        <v>109</v>
      </c>
      <c r="BV406" s="2" t="s">
        <v>97</v>
      </c>
      <c r="BW406" s="2" t="s">
        <v>475</v>
      </c>
      <c r="BX406" s="2" t="s">
        <v>1900</v>
      </c>
      <c r="BY406" s="2" t="s">
        <v>112</v>
      </c>
      <c r="BZ406" s="2" t="s">
        <v>100</v>
      </c>
    </row>
    <row r="407">
      <c r="A407" s="2" t="s">
        <v>1901</v>
      </c>
      <c r="B407" s="2" t="s">
        <v>87</v>
      </c>
      <c r="C407" s="2" t="s">
        <v>1797</v>
      </c>
      <c r="D407" s="2" t="s">
        <v>89</v>
      </c>
      <c r="E407" s="2" t="s">
        <v>811</v>
      </c>
      <c r="F407" s="2" t="s">
        <v>1888</v>
      </c>
      <c r="G407" s="2" t="s">
        <v>1889</v>
      </c>
      <c r="H407" s="2" t="s">
        <v>1890</v>
      </c>
      <c r="I407" s="2" t="s">
        <v>1810</v>
      </c>
      <c r="J407" s="2" t="s">
        <v>118</v>
      </c>
      <c r="K407" s="2" t="s">
        <v>471</v>
      </c>
      <c r="L407" s="3">
        <v>67.59</v>
      </c>
      <c r="M407" s="3">
        <v>70.97</v>
      </c>
      <c r="N407" s="3">
        <v>129.99</v>
      </c>
      <c r="O407" s="2" t="s">
        <v>97</v>
      </c>
      <c r="P407" s="2" t="s">
        <v>98</v>
      </c>
      <c r="Q407" s="2" t="s">
        <v>99</v>
      </c>
      <c r="R407" s="2" t="s">
        <v>100</v>
      </c>
      <c r="S407" s="2" t="s">
        <v>1891</v>
      </c>
      <c r="T407" s="2" t="s">
        <v>100</v>
      </c>
      <c r="U407" s="2" t="s">
        <v>618</v>
      </c>
      <c r="V407" s="2" t="s">
        <v>473</v>
      </c>
      <c r="W407" s="2" t="s">
        <v>609</v>
      </c>
      <c r="X407" s="2" t="s">
        <v>1791</v>
      </c>
      <c r="Y407" s="2" t="s">
        <v>144</v>
      </c>
      <c r="Z407" s="4">
        <v>87</v>
      </c>
      <c r="AA407" s="4">
        <f>=ROUNDDOWN(14.5,0)</f>
      </c>
      <c r="AB407" s="5">
        <v>6</v>
      </c>
      <c r="AC407" s="2" t="s">
        <v>1452</v>
      </c>
      <c r="AD407" s="4">
        <v>50</v>
      </c>
      <c r="AE407" s="4">
        <v>80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1</v>
      </c>
      <c r="AQ407" s="8">
        <v>68.79</v>
      </c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0.353</v>
      </c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 t="s">
        <v>100</v>
      </c>
      <c r="BJ407" s="4">
        <v>19</v>
      </c>
      <c r="BK407" s="8">
        <v>1335.42</v>
      </c>
      <c r="BL407" s="2" t="s">
        <v>1876</v>
      </c>
      <c r="BM407" s="7">
        <v>0.0526</v>
      </c>
      <c r="BN407" s="7">
        <v>0.0515</v>
      </c>
      <c r="BO407" s="4">
        <v>1</v>
      </c>
      <c r="BP407" s="8">
        <v>68.79</v>
      </c>
      <c r="BQ407" s="4"/>
      <c r="BR407" s="8"/>
      <c r="BS407" s="7"/>
      <c r="BT407" s="7"/>
      <c r="BU407" s="2" t="s">
        <v>109</v>
      </c>
      <c r="BV407" s="2" t="s">
        <v>97</v>
      </c>
      <c r="BW407" s="2" t="s">
        <v>475</v>
      </c>
      <c r="BX407" s="2" t="s">
        <v>1812</v>
      </c>
      <c r="BY407" s="2" t="s">
        <v>112</v>
      </c>
      <c r="BZ407" s="2" t="s">
        <v>100</v>
      </c>
    </row>
    <row r="408">
      <c r="A408" s="2" t="s">
        <v>1902</v>
      </c>
      <c r="B408" s="2" t="s">
        <v>87</v>
      </c>
      <c r="C408" s="2" t="s">
        <v>1797</v>
      </c>
      <c r="D408" s="2" t="s">
        <v>89</v>
      </c>
      <c r="E408" s="2" t="s">
        <v>811</v>
      </c>
      <c r="F408" s="2" t="s">
        <v>1888</v>
      </c>
      <c r="G408" s="2" t="s">
        <v>1889</v>
      </c>
      <c r="H408" s="2" t="s">
        <v>1890</v>
      </c>
      <c r="I408" s="2" t="s">
        <v>1801</v>
      </c>
      <c r="J408" s="2" t="s">
        <v>1443</v>
      </c>
      <c r="K408" s="2" t="s">
        <v>96</v>
      </c>
      <c r="L408" s="3">
        <v>51.99</v>
      </c>
      <c r="M408" s="3">
        <v>54.59</v>
      </c>
      <c r="N408" s="3">
        <v>99.99</v>
      </c>
      <c r="O408" s="2" t="s">
        <v>97</v>
      </c>
      <c r="P408" s="2" t="s">
        <v>98</v>
      </c>
      <c r="Q408" s="2" t="s">
        <v>99</v>
      </c>
      <c r="R408" s="2" t="s">
        <v>100</v>
      </c>
      <c r="S408" s="2" t="s">
        <v>1903</v>
      </c>
      <c r="T408" s="2" t="s">
        <v>100</v>
      </c>
      <c r="U408" s="2" t="s">
        <v>102</v>
      </c>
      <c r="V408" s="2" t="s">
        <v>473</v>
      </c>
      <c r="W408" s="2" t="s">
        <v>609</v>
      </c>
      <c r="X408" s="2" t="s">
        <v>1791</v>
      </c>
      <c r="Y408" s="2" t="s">
        <v>144</v>
      </c>
      <c r="Z408" s="4">
        <v>168</v>
      </c>
      <c r="AA408" s="4">
        <f>=ROUNDDOWN(84,0)</f>
      </c>
      <c r="AB408" s="5">
        <v>2</v>
      </c>
      <c r="AC408" s="2" t="s">
        <v>783</v>
      </c>
      <c r="AD408" s="4">
        <v>91</v>
      </c>
      <c r="AE408" s="4">
        <v>91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>
        <v>3</v>
      </c>
      <c r="AW408" s="8">
        <v>183.42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/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>
        <v>0.4848</v>
      </c>
      <c r="BJ408" s="4">
        <v>4</v>
      </c>
      <c r="BK408" s="8">
        <v>208.71</v>
      </c>
      <c r="BL408" s="2" t="s">
        <v>1904</v>
      </c>
      <c r="BM408" s="7"/>
      <c r="BN408" s="7"/>
      <c r="BO408" s="4"/>
      <c r="BP408" s="8"/>
      <c r="BQ408" s="4"/>
      <c r="BR408" s="8"/>
      <c r="BS408" s="7"/>
      <c r="BT408" s="7"/>
      <c r="BU408" s="2" t="s">
        <v>109</v>
      </c>
      <c r="BV408" s="2" t="s">
        <v>97</v>
      </c>
      <c r="BW408" s="2" t="s">
        <v>159</v>
      </c>
      <c r="BX408" s="2" t="s">
        <v>1905</v>
      </c>
      <c r="BY408" s="2" t="s">
        <v>112</v>
      </c>
      <c r="BZ408" s="2" t="s">
        <v>100</v>
      </c>
    </row>
    <row r="409">
      <c r="A409" s="2" t="s">
        <v>1906</v>
      </c>
      <c r="B409" s="2" t="s">
        <v>87</v>
      </c>
      <c r="C409" s="2" t="s">
        <v>1797</v>
      </c>
      <c r="D409" s="2" t="s">
        <v>89</v>
      </c>
      <c r="E409" s="2" t="s">
        <v>811</v>
      </c>
      <c r="F409" s="2" t="s">
        <v>1888</v>
      </c>
      <c r="G409" s="2" t="s">
        <v>1889</v>
      </c>
      <c r="H409" s="2" t="s">
        <v>1890</v>
      </c>
      <c r="I409" s="2" t="s">
        <v>1810</v>
      </c>
      <c r="J409" s="2" t="s">
        <v>490</v>
      </c>
      <c r="K409" s="2" t="s">
        <v>96</v>
      </c>
      <c r="L409" s="3">
        <v>57.19</v>
      </c>
      <c r="M409" s="3">
        <v>60.05</v>
      </c>
      <c r="N409" s="3">
        <v>109.99</v>
      </c>
      <c r="O409" s="2" t="s">
        <v>97</v>
      </c>
      <c r="P409" s="2" t="s">
        <v>98</v>
      </c>
      <c r="Q409" s="2" t="s">
        <v>99</v>
      </c>
      <c r="R409" s="2" t="s">
        <v>100</v>
      </c>
      <c r="S409" s="2" t="s">
        <v>1903</v>
      </c>
      <c r="T409" s="2" t="s">
        <v>100</v>
      </c>
      <c r="U409" s="2" t="s">
        <v>618</v>
      </c>
      <c r="V409" s="2" t="s">
        <v>473</v>
      </c>
      <c r="W409" s="2" t="s">
        <v>609</v>
      </c>
      <c r="X409" s="2" t="s">
        <v>1791</v>
      </c>
      <c r="Y409" s="2" t="s">
        <v>144</v>
      </c>
      <c r="Z409" s="4">
        <v>140</v>
      </c>
      <c r="AA409" s="4">
        <f>=ROUNDDOWN(23.3333333333333,0)</f>
      </c>
      <c r="AB409" s="5">
        <v>6</v>
      </c>
      <c r="AC409" s="2" t="s">
        <v>783</v>
      </c>
      <c r="AD409" s="4">
        <v>89</v>
      </c>
      <c r="AE409" s="4">
        <v>89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1</v>
      </c>
      <c r="AQ409" s="8">
        <v>57.32</v>
      </c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0.3125</v>
      </c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 t="s">
        <v>100</v>
      </c>
      <c r="BJ409" s="4">
        <v>15</v>
      </c>
      <c r="BK409" s="8">
        <v>903.12</v>
      </c>
      <c r="BL409" s="2" t="s">
        <v>1500</v>
      </c>
      <c r="BM409" s="7">
        <v>0.0667</v>
      </c>
      <c r="BN409" s="7">
        <v>0.0635</v>
      </c>
      <c r="BO409" s="4">
        <v>1</v>
      </c>
      <c r="BP409" s="8">
        <v>57.32</v>
      </c>
      <c r="BQ409" s="4"/>
      <c r="BR409" s="8"/>
      <c r="BS409" s="7"/>
      <c r="BT409" s="7"/>
      <c r="BU409" s="2" t="s">
        <v>109</v>
      </c>
      <c r="BV409" s="2" t="s">
        <v>97</v>
      </c>
      <c r="BW409" s="2" t="s">
        <v>159</v>
      </c>
      <c r="BX409" s="2" t="s">
        <v>1250</v>
      </c>
      <c r="BY409" s="2" t="s">
        <v>112</v>
      </c>
      <c r="BZ409" s="2" t="s">
        <v>100</v>
      </c>
    </row>
    <row r="410">
      <c r="A410" s="2" t="s">
        <v>1907</v>
      </c>
      <c r="B410" s="2" t="s">
        <v>87</v>
      </c>
      <c r="C410" s="2" t="s">
        <v>1797</v>
      </c>
      <c r="D410" s="2" t="s">
        <v>89</v>
      </c>
      <c r="E410" s="2" t="s">
        <v>811</v>
      </c>
      <c r="F410" s="2" t="s">
        <v>1888</v>
      </c>
      <c r="G410" s="2" t="s">
        <v>1889</v>
      </c>
      <c r="H410" s="2" t="s">
        <v>1890</v>
      </c>
      <c r="I410" s="2" t="s">
        <v>1810</v>
      </c>
      <c r="J410" s="2" t="s">
        <v>95</v>
      </c>
      <c r="K410" s="2" t="s">
        <v>96</v>
      </c>
      <c r="L410" s="3">
        <v>62.39</v>
      </c>
      <c r="M410" s="3">
        <v>65.51</v>
      </c>
      <c r="N410" s="3">
        <v>119.99</v>
      </c>
      <c r="O410" s="2" t="s">
        <v>97</v>
      </c>
      <c r="P410" s="2" t="s">
        <v>98</v>
      </c>
      <c r="Q410" s="2" t="s">
        <v>99</v>
      </c>
      <c r="R410" s="2" t="s">
        <v>100</v>
      </c>
      <c r="S410" s="2" t="s">
        <v>1903</v>
      </c>
      <c r="T410" s="2" t="s">
        <v>100</v>
      </c>
      <c r="U410" s="2" t="s">
        <v>618</v>
      </c>
      <c r="V410" s="2" t="s">
        <v>473</v>
      </c>
      <c r="W410" s="2" t="s">
        <v>609</v>
      </c>
      <c r="X410" s="2" t="s">
        <v>1791</v>
      </c>
      <c r="Y410" s="2" t="s">
        <v>144</v>
      </c>
      <c r="Z410" s="4">
        <v>197</v>
      </c>
      <c r="AA410" s="4">
        <f>=ROUNDDOWN(15.1538461538462,0)</f>
      </c>
      <c r="AB410" s="5">
        <v>13</v>
      </c>
      <c r="AC410" s="2" t="s">
        <v>783</v>
      </c>
      <c r="AD410" s="4">
        <v>140</v>
      </c>
      <c r="AE410" s="4">
        <v>140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2</v>
      </c>
      <c r="AQ410" s="8">
        <v>126.1</v>
      </c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>
        <v>0.6875</v>
      </c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 t="s">
        <v>100</v>
      </c>
      <c r="BJ410" s="4">
        <v>42</v>
      </c>
      <c r="BK410" s="8">
        <v>2751.19</v>
      </c>
      <c r="BL410" s="2" t="s">
        <v>1021</v>
      </c>
      <c r="BM410" s="7">
        <v>0.0476</v>
      </c>
      <c r="BN410" s="7">
        <v>0.0458</v>
      </c>
      <c r="BO410" s="4">
        <v>2</v>
      </c>
      <c r="BP410" s="8">
        <v>126.1</v>
      </c>
      <c r="BQ410" s="4"/>
      <c r="BR410" s="8"/>
      <c r="BS410" s="7"/>
      <c r="BT410" s="7"/>
      <c r="BU410" s="2" t="s">
        <v>109</v>
      </c>
      <c r="BV410" s="2" t="s">
        <v>97</v>
      </c>
      <c r="BW410" s="2" t="s">
        <v>159</v>
      </c>
      <c r="BX410" s="2" t="s">
        <v>1908</v>
      </c>
      <c r="BY410" s="2" t="s">
        <v>112</v>
      </c>
      <c r="BZ410" s="2" t="s">
        <v>100</v>
      </c>
    </row>
    <row r="411">
      <c r="A411" s="2" t="s">
        <v>1909</v>
      </c>
      <c r="B411" s="2" t="s">
        <v>87</v>
      </c>
      <c r="C411" s="2" t="s">
        <v>1797</v>
      </c>
      <c r="D411" s="2" t="s">
        <v>89</v>
      </c>
      <c r="E411" s="2" t="s">
        <v>811</v>
      </c>
      <c r="F411" s="2" t="s">
        <v>1888</v>
      </c>
      <c r="G411" s="2" t="s">
        <v>1889</v>
      </c>
      <c r="H411" s="2" t="s">
        <v>1890</v>
      </c>
      <c r="I411" s="2" t="s">
        <v>1810</v>
      </c>
      <c r="J411" s="2" t="s">
        <v>114</v>
      </c>
      <c r="K411" s="2" t="s">
        <v>96</v>
      </c>
      <c r="L411" s="3">
        <v>67.59</v>
      </c>
      <c r="M411" s="3">
        <v>70.97</v>
      </c>
      <c r="N411" s="3">
        <v>129.99</v>
      </c>
      <c r="O411" s="2" t="s">
        <v>97</v>
      </c>
      <c r="P411" s="2" t="s">
        <v>98</v>
      </c>
      <c r="Q411" s="2" t="s">
        <v>99</v>
      </c>
      <c r="R411" s="2" t="s">
        <v>100</v>
      </c>
      <c r="S411" s="2" t="s">
        <v>1903</v>
      </c>
      <c r="T411" s="2" t="s">
        <v>100</v>
      </c>
      <c r="U411" s="2" t="s">
        <v>618</v>
      </c>
      <c r="V411" s="2" t="s">
        <v>473</v>
      </c>
      <c r="W411" s="2" t="s">
        <v>609</v>
      </c>
      <c r="X411" s="2" t="s">
        <v>1791</v>
      </c>
      <c r="Y411" s="2" t="s">
        <v>144</v>
      </c>
      <c r="Z411" s="4">
        <v>183</v>
      </c>
      <c r="AA411" s="4">
        <f>=ROUNDDOWN(20.3333333333333,0)</f>
      </c>
      <c r="AB411" s="5">
        <v>9</v>
      </c>
      <c r="AC411" s="2" t="s">
        <v>783</v>
      </c>
      <c r="AD411" s="4">
        <v>100</v>
      </c>
      <c r="AE411" s="4">
        <v>100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/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 t="s">
        <v>100</v>
      </c>
      <c r="BJ411" s="4">
        <v>21</v>
      </c>
      <c r="BK411" s="8">
        <v>1511.65</v>
      </c>
      <c r="BL411" s="2" t="s">
        <v>1910</v>
      </c>
      <c r="BM411" s="7"/>
      <c r="BN411" s="7"/>
      <c r="BO411" s="4"/>
      <c r="BP411" s="8"/>
      <c r="BQ411" s="4"/>
      <c r="BR411" s="8"/>
      <c r="BS411" s="7"/>
      <c r="BT411" s="7"/>
      <c r="BU411" s="2" t="s">
        <v>109</v>
      </c>
      <c r="BV411" s="2" t="s">
        <v>97</v>
      </c>
      <c r="BW411" s="2" t="s">
        <v>159</v>
      </c>
      <c r="BX411" s="2" t="s">
        <v>1304</v>
      </c>
      <c r="BY411" s="2" t="s">
        <v>112</v>
      </c>
      <c r="BZ411" s="2" t="s">
        <v>100</v>
      </c>
    </row>
    <row r="412">
      <c r="A412" s="2" t="s">
        <v>1911</v>
      </c>
      <c r="B412" s="2" t="s">
        <v>87</v>
      </c>
      <c r="C412" s="2" t="s">
        <v>1797</v>
      </c>
      <c r="D412" s="2" t="s">
        <v>89</v>
      </c>
      <c r="E412" s="2" t="s">
        <v>811</v>
      </c>
      <c r="F412" s="2" t="s">
        <v>1888</v>
      </c>
      <c r="G412" s="2" t="s">
        <v>1889</v>
      </c>
      <c r="H412" s="2" t="s">
        <v>1890</v>
      </c>
      <c r="I412" s="2" t="s">
        <v>1810</v>
      </c>
      <c r="J412" s="2" t="s">
        <v>118</v>
      </c>
      <c r="K412" s="2" t="s">
        <v>96</v>
      </c>
      <c r="L412" s="3">
        <v>67.59</v>
      </c>
      <c r="M412" s="3">
        <v>70.97</v>
      </c>
      <c r="N412" s="3">
        <v>129.99</v>
      </c>
      <c r="O412" s="2" t="s">
        <v>97</v>
      </c>
      <c r="P412" s="2" t="s">
        <v>98</v>
      </c>
      <c r="Q412" s="2" t="s">
        <v>99</v>
      </c>
      <c r="R412" s="2" t="s">
        <v>100</v>
      </c>
      <c r="S412" s="2" t="s">
        <v>1903</v>
      </c>
      <c r="T412" s="2" t="s">
        <v>100</v>
      </c>
      <c r="U412" s="2" t="s">
        <v>618</v>
      </c>
      <c r="V412" s="2" t="s">
        <v>473</v>
      </c>
      <c r="W412" s="2" t="s">
        <v>609</v>
      </c>
      <c r="X412" s="2" t="s">
        <v>1791</v>
      </c>
      <c r="Y412" s="2" t="s">
        <v>144</v>
      </c>
      <c r="Z412" s="4">
        <v>148</v>
      </c>
      <c r="AA412" s="4">
        <f>=ROUNDDOWN(29.6,0)</f>
      </c>
      <c r="AB412" s="5">
        <v>5</v>
      </c>
      <c r="AC412" s="2" t="s">
        <v>783</v>
      </c>
      <c r="AD412" s="4">
        <v>30</v>
      </c>
      <c r="AE412" s="4">
        <v>30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/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 t="s">
        <v>100</v>
      </c>
      <c r="BJ412" s="4">
        <v>11</v>
      </c>
      <c r="BK412" s="8">
        <v>789.69</v>
      </c>
      <c r="BL412" s="2" t="s">
        <v>1448</v>
      </c>
      <c r="BM412" s="7"/>
      <c r="BN412" s="7"/>
      <c r="BO412" s="4"/>
      <c r="BP412" s="8"/>
      <c r="BQ412" s="4"/>
      <c r="BR412" s="8"/>
      <c r="BS412" s="7"/>
      <c r="BT412" s="7"/>
      <c r="BU412" s="2" t="s">
        <v>109</v>
      </c>
      <c r="BV412" s="2" t="s">
        <v>97</v>
      </c>
      <c r="BW412" s="2" t="s">
        <v>159</v>
      </c>
      <c r="BX412" s="2" t="s">
        <v>1912</v>
      </c>
      <c r="BY412" s="2" t="s">
        <v>112</v>
      </c>
      <c r="BZ412" s="2" t="s">
        <v>100</v>
      </c>
    </row>
    <row r="413">
      <c r="A413" s="2" t="s">
        <v>1913</v>
      </c>
      <c r="B413" s="2" t="s">
        <v>87</v>
      </c>
      <c r="C413" s="2" t="s">
        <v>1797</v>
      </c>
      <c r="D413" s="2" t="s">
        <v>89</v>
      </c>
      <c r="E413" s="2" t="s">
        <v>811</v>
      </c>
      <c r="F413" s="2" t="s">
        <v>1914</v>
      </c>
      <c r="G413" s="2" t="s">
        <v>1915</v>
      </c>
      <c r="H413" s="2" t="s">
        <v>1916</v>
      </c>
      <c r="I413" s="2" t="s">
        <v>1917</v>
      </c>
      <c r="J413" s="2" t="s">
        <v>1443</v>
      </c>
      <c r="K413" s="2" t="s">
        <v>179</v>
      </c>
      <c r="L413" s="3">
        <v>38.4</v>
      </c>
      <c r="M413" s="3">
        <v>40.31</v>
      </c>
      <c r="N413" s="3">
        <v>79.99</v>
      </c>
      <c r="O413" s="2" t="s">
        <v>97</v>
      </c>
      <c r="P413" s="2" t="s">
        <v>123</v>
      </c>
      <c r="Q413" s="2" t="s">
        <v>99</v>
      </c>
      <c r="R413" s="2" t="s">
        <v>100</v>
      </c>
      <c r="S413" s="2" t="s">
        <v>1918</v>
      </c>
      <c r="T413" s="2" t="s">
        <v>100</v>
      </c>
      <c r="U413" s="2" t="s">
        <v>355</v>
      </c>
      <c r="V413" s="2" t="s">
        <v>733</v>
      </c>
      <c r="W413" s="2" t="s">
        <v>609</v>
      </c>
      <c r="X413" s="2" t="s">
        <v>1875</v>
      </c>
      <c r="Y413" s="2" t="s">
        <v>1919</v>
      </c>
      <c r="Z413" s="4">
        <v>329</v>
      </c>
      <c r="AA413" s="4">
        <f>=ROUNDDOWN(20.5625,0)</f>
      </c>
      <c r="AB413" s="5">
        <v>16</v>
      </c>
      <c r="AC413" s="2" t="s">
        <v>1353</v>
      </c>
      <c r="AD413" s="4">
        <v>150</v>
      </c>
      <c r="AE413" s="4">
        <v>290</v>
      </c>
      <c r="AF413" s="6">
        <v>65</v>
      </c>
      <c r="AG413" s="6">
        <v>73</v>
      </c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3</v>
      </c>
      <c r="AQ413" s="8">
        <v>115.77</v>
      </c>
      <c r="AR413" s="4"/>
      <c r="AS413" s="8"/>
      <c r="AT413" s="7"/>
      <c r="AU413" s="7"/>
      <c r="AV413" s="4">
        <v>5</v>
      </c>
      <c r="AW413" s="8">
        <v>214.99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>
        <v>0.5385</v>
      </c>
      <c r="BC413" s="4">
        <v>5</v>
      </c>
      <c r="BD413" s="8">
        <v>214.99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>
        <v>1</v>
      </c>
      <c r="BJ413" s="4">
        <v>54</v>
      </c>
      <c r="BK413" s="8">
        <v>2257.95</v>
      </c>
      <c r="BL413" s="2" t="s">
        <v>1920</v>
      </c>
      <c r="BM413" s="7">
        <v>0.0556</v>
      </c>
      <c r="BN413" s="7">
        <v>0.0513</v>
      </c>
      <c r="BO413" s="4">
        <v>3</v>
      </c>
      <c r="BP413" s="8">
        <v>115.77</v>
      </c>
      <c r="BQ413" s="4"/>
      <c r="BR413" s="8"/>
      <c r="BS413" s="7"/>
      <c r="BT413" s="7"/>
      <c r="BU413" s="2" t="s">
        <v>109</v>
      </c>
      <c r="BV413" s="2" t="s">
        <v>97</v>
      </c>
      <c r="BW413" s="2" t="s">
        <v>1051</v>
      </c>
      <c r="BX413" s="2" t="s">
        <v>1921</v>
      </c>
      <c r="BY413" s="2" t="s">
        <v>112</v>
      </c>
      <c r="BZ413" s="2" t="s">
        <v>100</v>
      </c>
    </row>
    <row r="414">
      <c r="A414" s="2" t="s">
        <v>1922</v>
      </c>
      <c r="B414" s="2" t="s">
        <v>87</v>
      </c>
      <c r="C414" s="2" t="s">
        <v>1797</v>
      </c>
      <c r="D414" s="2" t="s">
        <v>89</v>
      </c>
      <c r="E414" s="2" t="s">
        <v>811</v>
      </c>
      <c r="F414" s="2" t="s">
        <v>1914</v>
      </c>
      <c r="G414" s="2" t="s">
        <v>1915</v>
      </c>
      <c r="H414" s="2" t="s">
        <v>1916</v>
      </c>
      <c r="I414" s="2" t="s">
        <v>1923</v>
      </c>
      <c r="J414" s="2" t="s">
        <v>95</v>
      </c>
      <c r="K414" s="2" t="s">
        <v>179</v>
      </c>
      <c r="L414" s="3">
        <v>49.99</v>
      </c>
      <c r="M414" s="3">
        <v>52.49</v>
      </c>
      <c r="N414" s="3">
        <v>99.99</v>
      </c>
      <c r="O414" s="2" t="s">
        <v>97</v>
      </c>
      <c r="P414" s="2" t="s">
        <v>123</v>
      </c>
      <c r="Q414" s="2" t="s">
        <v>99</v>
      </c>
      <c r="R414" s="2" t="s">
        <v>100</v>
      </c>
      <c r="S414" s="2" t="s">
        <v>1918</v>
      </c>
      <c r="T414" s="2" t="s">
        <v>100</v>
      </c>
      <c r="U414" s="2" t="s">
        <v>191</v>
      </c>
      <c r="V414" s="2" t="s">
        <v>733</v>
      </c>
      <c r="W414" s="2" t="s">
        <v>609</v>
      </c>
      <c r="X414" s="2" t="s">
        <v>1875</v>
      </c>
      <c r="Y414" s="2" t="s">
        <v>1924</v>
      </c>
      <c r="Z414" s="4">
        <v>832</v>
      </c>
      <c r="AA414" s="4">
        <f>=ROUNDDOWN(18.9090909090909,0)</f>
      </c>
      <c r="AB414" s="5">
        <v>44</v>
      </c>
      <c r="AC414" s="2" t="s">
        <v>1353</v>
      </c>
      <c r="AD414" s="4">
        <v>250</v>
      </c>
      <c r="AE414" s="4">
        <v>580</v>
      </c>
      <c r="AF414" s="6">
        <v>65</v>
      </c>
      <c r="AG414" s="6">
        <v>73</v>
      </c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2</v>
      </c>
      <c r="AQ414" s="8">
        <v>99.22</v>
      </c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>
        <v>0.4615</v>
      </c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 t="s">
        <v>100</v>
      </c>
      <c r="BJ414" s="4">
        <v>140</v>
      </c>
      <c r="BK414" s="8">
        <v>7527.2</v>
      </c>
      <c r="BL414" s="2" t="s">
        <v>1925</v>
      </c>
      <c r="BM414" s="7">
        <v>0.0143</v>
      </c>
      <c r="BN414" s="7">
        <v>0.0132</v>
      </c>
      <c r="BO414" s="4">
        <v>2</v>
      </c>
      <c r="BP414" s="8">
        <v>99.22</v>
      </c>
      <c r="BQ414" s="4"/>
      <c r="BR414" s="8"/>
      <c r="BS414" s="7"/>
      <c r="BT414" s="7"/>
      <c r="BU414" s="2" t="s">
        <v>109</v>
      </c>
      <c r="BV414" s="2" t="s">
        <v>97</v>
      </c>
      <c r="BW414" s="2" t="s">
        <v>1924</v>
      </c>
      <c r="BX414" s="2" t="s">
        <v>1926</v>
      </c>
      <c r="BY414" s="2" t="s">
        <v>112</v>
      </c>
      <c r="BZ414" s="2" t="s">
        <v>100</v>
      </c>
    </row>
    <row r="415">
      <c r="A415" s="2" t="s">
        <v>1927</v>
      </c>
      <c r="B415" s="2" t="s">
        <v>87</v>
      </c>
      <c r="C415" s="2" t="s">
        <v>1797</v>
      </c>
      <c r="D415" s="2" t="s">
        <v>89</v>
      </c>
      <c r="E415" s="2" t="s">
        <v>811</v>
      </c>
      <c r="F415" s="2" t="s">
        <v>1914</v>
      </c>
      <c r="G415" s="2" t="s">
        <v>1915</v>
      </c>
      <c r="H415" s="2" t="s">
        <v>1916</v>
      </c>
      <c r="I415" s="2" t="s">
        <v>1923</v>
      </c>
      <c r="J415" s="2" t="s">
        <v>114</v>
      </c>
      <c r="K415" s="2" t="s">
        <v>179</v>
      </c>
      <c r="L415" s="3">
        <v>54.99</v>
      </c>
      <c r="M415" s="3">
        <v>57.74</v>
      </c>
      <c r="N415" s="3">
        <v>109.99</v>
      </c>
      <c r="O415" s="2" t="s">
        <v>97</v>
      </c>
      <c r="P415" s="2" t="s">
        <v>123</v>
      </c>
      <c r="Q415" s="2" t="s">
        <v>99</v>
      </c>
      <c r="R415" s="2" t="s">
        <v>100</v>
      </c>
      <c r="S415" s="2" t="s">
        <v>1918</v>
      </c>
      <c r="T415" s="2" t="s">
        <v>100</v>
      </c>
      <c r="U415" s="2" t="s">
        <v>191</v>
      </c>
      <c r="V415" s="2" t="s">
        <v>733</v>
      </c>
      <c r="W415" s="2" t="s">
        <v>609</v>
      </c>
      <c r="X415" s="2" t="s">
        <v>1875</v>
      </c>
      <c r="Y415" s="2" t="s">
        <v>1919</v>
      </c>
      <c r="Z415" s="4">
        <v>566</v>
      </c>
      <c r="AA415" s="4">
        <f>=ROUNDDOWN(20.2142857142857,0)</f>
      </c>
      <c r="AB415" s="5">
        <v>28</v>
      </c>
      <c r="AC415" s="2" t="s">
        <v>1353</v>
      </c>
      <c r="AD415" s="4">
        <v>150</v>
      </c>
      <c r="AE415" s="4">
        <v>380</v>
      </c>
      <c r="AF415" s="6">
        <v>65</v>
      </c>
      <c r="AG415" s="6">
        <v>73</v>
      </c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/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 t="s">
        <v>100</v>
      </c>
      <c r="BJ415" s="4">
        <v>92</v>
      </c>
      <c r="BK415" s="8">
        <v>5493.34</v>
      </c>
      <c r="BL415" s="2" t="s">
        <v>1928</v>
      </c>
      <c r="BM415" s="7"/>
      <c r="BN415" s="7"/>
      <c r="BO415" s="4"/>
      <c r="BP415" s="8"/>
      <c r="BQ415" s="4"/>
      <c r="BR415" s="8"/>
      <c r="BS415" s="7"/>
      <c r="BT415" s="7"/>
      <c r="BU415" s="2" t="s">
        <v>109</v>
      </c>
      <c r="BV415" s="2" t="s">
        <v>97</v>
      </c>
      <c r="BW415" s="2" t="s">
        <v>1051</v>
      </c>
      <c r="BX415" s="2" t="s">
        <v>1929</v>
      </c>
      <c r="BY415" s="2" t="s">
        <v>112</v>
      </c>
      <c r="BZ415" s="2" t="s">
        <v>100</v>
      </c>
    </row>
    <row r="416">
      <c r="A416" s="2" t="s">
        <v>1930</v>
      </c>
      <c r="B416" s="2" t="s">
        <v>87</v>
      </c>
      <c r="C416" s="2" t="s">
        <v>1797</v>
      </c>
      <c r="D416" s="2" t="s">
        <v>89</v>
      </c>
      <c r="E416" s="2" t="s">
        <v>811</v>
      </c>
      <c r="F416" s="2" t="s">
        <v>1931</v>
      </c>
      <c r="G416" s="2" t="s">
        <v>1932</v>
      </c>
      <c r="H416" s="2" t="s">
        <v>1933</v>
      </c>
      <c r="I416" s="2" t="s">
        <v>1801</v>
      </c>
      <c r="J416" s="2" t="s">
        <v>1443</v>
      </c>
      <c r="K416" s="2" t="s">
        <v>471</v>
      </c>
      <c r="L416" s="3">
        <v>50.53</v>
      </c>
      <c r="M416" s="3">
        <v>53.06</v>
      </c>
      <c r="N416" s="3">
        <v>89.99</v>
      </c>
      <c r="O416" s="2" t="s">
        <v>97</v>
      </c>
      <c r="P416" s="2" t="s">
        <v>317</v>
      </c>
      <c r="Q416" s="2" t="s">
        <v>99</v>
      </c>
      <c r="R416" s="2" t="s">
        <v>100</v>
      </c>
      <c r="S416" s="2" t="s">
        <v>1934</v>
      </c>
      <c r="T416" s="2" t="s">
        <v>100</v>
      </c>
      <c r="U416" s="2" t="s">
        <v>102</v>
      </c>
      <c r="V416" s="2" t="s">
        <v>367</v>
      </c>
      <c r="W416" s="2" t="s">
        <v>609</v>
      </c>
      <c r="X416" s="2" t="s">
        <v>493</v>
      </c>
      <c r="Y416" s="2" t="s">
        <v>1935</v>
      </c>
      <c r="Z416" s="4">
        <v>297</v>
      </c>
      <c r="AA416" s="4">
        <f>=ROUNDDOWN(29.7,0)</f>
      </c>
      <c r="AB416" s="5">
        <v>10</v>
      </c>
      <c r="AC416" s="2" t="s">
        <v>783</v>
      </c>
      <c r="AD416" s="4">
        <v>50</v>
      </c>
      <c r="AE416" s="4">
        <v>220</v>
      </c>
      <c r="AF416" s="6">
        <v>65</v>
      </c>
      <c r="AG416" s="6">
        <v>73</v>
      </c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>
        <v>3</v>
      </c>
      <c r="AW416" s="8">
        <v>206.37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/>
      <c r="BC416" s="4">
        <v>3</v>
      </c>
      <c r="BD416" s="8">
        <v>206.37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>
        <v>1</v>
      </c>
      <c r="BJ416" s="4">
        <v>19</v>
      </c>
      <c r="BK416" s="8">
        <v>1146.07</v>
      </c>
      <c r="BL416" s="2" t="s">
        <v>1936</v>
      </c>
      <c r="BM416" s="7"/>
      <c r="BN416" s="7"/>
      <c r="BO416" s="4"/>
      <c r="BP416" s="8"/>
      <c r="BQ416" s="4"/>
      <c r="BR416" s="8"/>
      <c r="BS416" s="7"/>
      <c r="BT416" s="7"/>
      <c r="BU416" s="2" t="s">
        <v>109</v>
      </c>
      <c r="BV416" s="2" t="s">
        <v>97</v>
      </c>
      <c r="BW416" s="2" t="s">
        <v>501</v>
      </c>
      <c r="BX416" s="2" t="s">
        <v>1937</v>
      </c>
      <c r="BY416" s="2" t="s">
        <v>112</v>
      </c>
      <c r="BZ416" s="2" t="s">
        <v>149</v>
      </c>
    </row>
    <row r="417">
      <c r="A417" s="2" t="s">
        <v>1938</v>
      </c>
      <c r="B417" s="2" t="s">
        <v>87</v>
      </c>
      <c r="C417" s="2" t="s">
        <v>1797</v>
      </c>
      <c r="D417" s="2" t="s">
        <v>89</v>
      </c>
      <c r="E417" s="2" t="s">
        <v>811</v>
      </c>
      <c r="F417" s="2" t="s">
        <v>1931</v>
      </c>
      <c r="G417" s="2" t="s">
        <v>1932</v>
      </c>
      <c r="H417" s="2" t="s">
        <v>1933</v>
      </c>
      <c r="I417" s="2" t="s">
        <v>1810</v>
      </c>
      <c r="J417" s="2" t="s">
        <v>490</v>
      </c>
      <c r="K417" s="2" t="s">
        <v>471</v>
      </c>
      <c r="L417" s="3">
        <v>55.59</v>
      </c>
      <c r="M417" s="3">
        <v>58.37</v>
      </c>
      <c r="N417" s="3">
        <v>99.99</v>
      </c>
      <c r="O417" s="2" t="s">
        <v>97</v>
      </c>
      <c r="P417" s="2" t="s">
        <v>317</v>
      </c>
      <c r="Q417" s="2" t="s">
        <v>99</v>
      </c>
      <c r="R417" s="2" t="s">
        <v>100</v>
      </c>
      <c r="S417" s="2" t="s">
        <v>1934</v>
      </c>
      <c r="T417" s="2" t="s">
        <v>100</v>
      </c>
      <c r="U417" s="2" t="s">
        <v>618</v>
      </c>
      <c r="V417" s="2" t="s">
        <v>367</v>
      </c>
      <c r="W417" s="2" t="s">
        <v>609</v>
      </c>
      <c r="X417" s="2" t="s">
        <v>493</v>
      </c>
      <c r="Y417" s="2" t="s">
        <v>1935</v>
      </c>
      <c r="Z417" s="4">
        <v>330</v>
      </c>
      <c r="AA417" s="4">
        <f>=ROUNDDOWN(20.625,0)</f>
      </c>
      <c r="AB417" s="5">
        <v>16</v>
      </c>
      <c r="AC417" s="2" t="s">
        <v>783</v>
      </c>
      <c r="AD417" s="4">
        <v>50</v>
      </c>
      <c r="AE417" s="4">
        <v>330</v>
      </c>
      <c r="AF417" s="6">
        <v>65</v>
      </c>
      <c r="AG417" s="6">
        <v>73</v>
      </c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/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 t="s">
        <v>100</v>
      </c>
      <c r="BJ417" s="4">
        <v>25</v>
      </c>
      <c r="BK417" s="8">
        <v>1688.41</v>
      </c>
      <c r="BL417" s="2" t="s">
        <v>1939</v>
      </c>
      <c r="BM417" s="7"/>
      <c r="BN417" s="7"/>
      <c r="BO417" s="4"/>
      <c r="BP417" s="8"/>
      <c r="BQ417" s="4"/>
      <c r="BR417" s="8"/>
      <c r="BS417" s="7"/>
      <c r="BT417" s="7"/>
      <c r="BU417" s="2" t="s">
        <v>109</v>
      </c>
      <c r="BV417" s="2" t="s">
        <v>97</v>
      </c>
      <c r="BW417" s="2" t="s">
        <v>501</v>
      </c>
      <c r="BX417" s="2" t="s">
        <v>1940</v>
      </c>
      <c r="BY417" s="2" t="s">
        <v>112</v>
      </c>
      <c r="BZ417" s="2" t="s">
        <v>149</v>
      </c>
    </row>
    <row r="418">
      <c r="A418" s="2" t="s">
        <v>1941</v>
      </c>
      <c r="B418" s="2" t="s">
        <v>87</v>
      </c>
      <c r="C418" s="2" t="s">
        <v>1797</v>
      </c>
      <c r="D418" s="2" t="s">
        <v>89</v>
      </c>
      <c r="E418" s="2" t="s">
        <v>811</v>
      </c>
      <c r="F418" s="2" t="s">
        <v>1931</v>
      </c>
      <c r="G418" s="2" t="s">
        <v>1932</v>
      </c>
      <c r="H418" s="2" t="s">
        <v>1933</v>
      </c>
      <c r="I418" s="2" t="s">
        <v>1810</v>
      </c>
      <c r="J418" s="2" t="s">
        <v>114</v>
      </c>
      <c r="K418" s="2" t="s">
        <v>471</v>
      </c>
      <c r="L418" s="3">
        <v>65.7</v>
      </c>
      <c r="M418" s="3">
        <v>68.98</v>
      </c>
      <c r="N418" s="3">
        <v>119.99</v>
      </c>
      <c r="O418" s="2" t="s">
        <v>97</v>
      </c>
      <c r="P418" s="2" t="s">
        <v>317</v>
      </c>
      <c r="Q418" s="2" t="s">
        <v>99</v>
      </c>
      <c r="R418" s="2" t="s">
        <v>100</v>
      </c>
      <c r="S418" s="2" t="s">
        <v>1934</v>
      </c>
      <c r="T418" s="2" t="s">
        <v>100</v>
      </c>
      <c r="U418" s="2" t="s">
        <v>618</v>
      </c>
      <c r="V418" s="2" t="s">
        <v>367</v>
      </c>
      <c r="W418" s="2" t="s">
        <v>609</v>
      </c>
      <c r="X418" s="2" t="s">
        <v>493</v>
      </c>
      <c r="Y418" s="2" t="s">
        <v>1935</v>
      </c>
      <c r="Z418" s="4">
        <v>752</v>
      </c>
      <c r="AA418" s="4">
        <f>=ROUNDDOWN(16.3478260869565,0)</f>
      </c>
      <c r="AB418" s="5">
        <v>46</v>
      </c>
      <c r="AC418" s="2" t="s">
        <v>783</v>
      </c>
      <c r="AD418" s="4">
        <v>200</v>
      </c>
      <c r="AE418" s="4">
        <v>770</v>
      </c>
      <c r="AF418" s="6">
        <v>65</v>
      </c>
      <c r="AG418" s="6">
        <v>73</v>
      </c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1</v>
      </c>
      <c r="AQ418" s="8">
        <v>68.79</v>
      </c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>
        <v>0.3333</v>
      </c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 t="s">
        <v>100</v>
      </c>
      <c r="BJ418" s="4">
        <v>124</v>
      </c>
      <c r="BK418" s="8">
        <v>10036.18</v>
      </c>
      <c r="BL418" s="2" t="s">
        <v>1942</v>
      </c>
      <c r="BM418" s="7">
        <v>0.0081</v>
      </c>
      <c r="BN418" s="7">
        <v>0.0069</v>
      </c>
      <c r="BO418" s="4">
        <v>1</v>
      </c>
      <c r="BP418" s="8">
        <v>68.79</v>
      </c>
      <c r="BQ418" s="4"/>
      <c r="BR418" s="8"/>
      <c r="BS418" s="7"/>
      <c r="BT418" s="7"/>
      <c r="BU418" s="2" t="s">
        <v>109</v>
      </c>
      <c r="BV418" s="2" t="s">
        <v>97</v>
      </c>
      <c r="BW418" s="2" t="s">
        <v>501</v>
      </c>
      <c r="BX418" s="2" t="s">
        <v>1943</v>
      </c>
      <c r="BY418" s="2" t="s">
        <v>112</v>
      </c>
      <c r="BZ418" s="2" t="s">
        <v>149</v>
      </c>
    </row>
    <row r="419">
      <c r="A419" s="2" t="s">
        <v>1944</v>
      </c>
      <c r="B419" s="2" t="s">
        <v>87</v>
      </c>
      <c r="C419" s="2" t="s">
        <v>1797</v>
      </c>
      <c r="D419" s="2" t="s">
        <v>89</v>
      </c>
      <c r="E419" s="2" t="s">
        <v>811</v>
      </c>
      <c r="F419" s="2" t="s">
        <v>1931</v>
      </c>
      <c r="G419" s="2" t="s">
        <v>1932</v>
      </c>
      <c r="H419" s="2" t="s">
        <v>1933</v>
      </c>
      <c r="I419" s="2" t="s">
        <v>1810</v>
      </c>
      <c r="J419" s="2" t="s">
        <v>118</v>
      </c>
      <c r="K419" s="2" t="s">
        <v>471</v>
      </c>
      <c r="L419" s="3">
        <v>65.7</v>
      </c>
      <c r="M419" s="3">
        <v>68.98</v>
      </c>
      <c r="N419" s="3">
        <v>119.99</v>
      </c>
      <c r="O419" s="2" t="s">
        <v>97</v>
      </c>
      <c r="P419" s="2" t="s">
        <v>317</v>
      </c>
      <c r="Q419" s="2" t="s">
        <v>99</v>
      </c>
      <c r="R419" s="2" t="s">
        <v>100</v>
      </c>
      <c r="S419" s="2" t="s">
        <v>1934</v>
      </c>
      <c r="T419" s="2" t="s">
        <v>100</v>
      </c>
      <c r="U419" s="2" t="s">
        <v>618</v>
      </c>
      <c r="V419" s="2" t="s">
        <v>367</v>
      </c>
      <c r="W419" s="2" t="s">
        <v>609</v>
      </c>
      <c r="X419" s="2" t="s">
        <v>493</v>
      </c>
      <c r="Y419" s="2" t="s">
        <v>1935</v>
      </c>
      <c r="Z419" s="4">
        <v>341</v>
      </c>
      <c r="AA419" s="4">
        <f>=ROUNDDOWN(17.05,0)</f>
      </c>
      <c r="AB419" s="5">
        <v>20</v>
      </c>
      <c r="AC419" s="2" t="s">
        <v>783</v>
      </c>
      <c r="AD419" s="4">
        <v>40</v>
      </c>
      <c r="AE419" s="4">
        <v>410</v>
      </c>
      <c r="AF419" s="6">
        <v>65</v>
      </c>
      <c r="AG419" s="6">
        <v>73</v>
      </c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2</v>
      </c>
      <c r="AQ419" s="8">
        <v>137.58</v>
      </c>
      <c r="AR419" s="4"/>
      <c r="AS419" s="8"/>
      <c r="AT419" s="7"/>
      <c r="AU419" s="7"/>
      <c r="AV419" s="4" t="s">
        <v>100</v>
      </c>
      <c r="AW419" s="8" t="s">
        <v>100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0.6667</v>
      </c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 t="s">
        <v>100</v>
      </c>
      <c r="BJ419" s="4">
        <v>61</v>
      </c>
      <c r="BK419" s="8">
        <v>4926.56</v>
      </c>
      <c r="BL419" s="2" t="s">
        <v>1945</v>
      </c>
      <c r="BM419" s="7">
        <v>0.0328</v>
      </c>
      <c r="BN419" s="7">
        <v>0.0279</v>
      </c>
      <c r="BO419" s="4">
        <v>2</v>
      </c>
      <c r="BP419" s="8">
        <v>137.58</v>
      </c>
      <c r="BQ419" s="4"/>
      <c r="BR419" s="8"/>
      <c r="BS419" s="7"/>
      <c r="BT419" s="7"/>
      <c r="BU419" s="2" t="s">
        <v>109</v>
      </c>
      <c r="BV419" s="2" t="s">
        <v>97</v>
      </c>
      <c r="BW419" s="2" t="s">
        <v>501</v>
      </c>
      <c r="BX419" s="2" t="s">
        <v>1946</v>
      </c>
      <c r="BY419" s="2" t="s">
        <v>112</v>
      </c>
      <c r="BZ419" s="2" t="s">
        <v>100</v>
      </c>
    </row>
    <row r="420">
      <c r="A420" s="2" t="s">
        <v>1947</v>
      </c>
      <c r="B420" s="2" t="s">
        <v>87</v>
      </c>
      <c r="C420" s="2" t="s">
        <v>1797</v>
      </c>
      <c r="D420" s="2" t="s">
        <v>89</v>
      </c>
      <c r="E420" s="2" t="s">
        <v>811</v>
      </c>
      <c r="F420" s="2" t="s">
        <v>1948</v>
      </c>
      <c r="G420" s="2" t="s">
        <v>1949</v>
      </c>
      <c r="H420" s="2" t="s">
        <v>1950</v>
      </c>
      <c r="I420" s="2" t="s">
        <v>1951</v>
      </c>
      <c r="J420" s="2" t="s">
        <v>1443</v>
      </c>
      <c r="K420" s="2" t="s">
        <v>223</v>
      </c>
      <c r="L420" s="3">
        <v>38.4</v>
      </c>
      <c r="M420" s="3">
        <v>40.31</v>
      </c>
      <c r="N420" s="3">
        <v>79.99</v>
      </c>
      <c r="O420" s="2" t="s">
        <v>97</v>
      </c>
      <c r="P420" s="2" t="s">
        <v>98</v>
      </c>
      <c r="Q420" s="2" t="s">
        <v>99</v>
      </c>
      <c r="R420" s="2" t="s">
        <v>100</v>
      </c>
      <c r="S420" s="2" t="s">
        <v>1952</v>
      </c>
      <c r="T420" s="2" t="s">
        <v>100</v>
      </c>
      <c r="U420" s="2" t="s">
        <v>355</v>
      </c>
      <c r="V420" s="2" t="s">
        <v>269</v>
      </c>
      <c r="W420" s="2" t="s">
        <v>609</v>
      </c>
      <c r="X420" s="2" t="s">
        <v>1875</v>
      </c>
      <c r="Y420" s="2" t="s">
        <v>1919</v>
      </c>
      <c r="Z420" s="4">
        <v>84</v>
      </c>
      <c r="AA420" s="4">
        <f>=ROUNDDOWN(12,0)</f>
      </c>
      <c r="AB420" s="5">
        <v>7</v>
      </c>
      <c r="AC420" s="2" t="s">
        <v>1353</v>
      </c>
      <c r="AD420" s="4">
        <v>180</v>
      </c>
      <c r="AE420" s="4">
        <v>210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1</v>
      </c>
      <c r="AQ420" s="8">
        <v>38.59</v>
      </c>
      <c r="AR420" s="4"/>
      <c r="AS420" s="8"/>
      <c r="AT420" s="7"/>
      <c r="AU420" s="7"/>
      <c r="AV420" s="4">
        <v>3</v>
      </c>
      <c r="AW420" s="8">
        <v>137.81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0.28</v>
      </c>
      <c r="BC420" s="4">
        <v>3</v>
      </c>
      <c r="BD420" s="8">
        <v>137.81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>
        <v>1</v>
      </c>
      <c r="BJ420" s="4">
        <v>23</v>
      </c>
      <c r="BK420" s="8">
        <v>993.87</v>
      </c>
      <c r="BL420" s="2" t="s">
        <v>1953</v>
      </c>
      <c r="BM420" s="7">
        <v>0.0435</v>
      </c>
      <c r="BN420" s="7">
        <v>0.0388</v>
      </c>
      <c r="BO420" s="4">
        <v>1</v>
      </c>
      <c r="BP420" s="8">
        <v>38.59</v>
      </c>
      <c r="BQ420" s="4"/>
      <c r="BR420" s="8"/>
      <c r="BS420" s="7"/>
      <c r="BT420" s="7"/>
      <c r="BU420" s="2" t="s">
        <v>109</v>
      </c>
      <c r="BV420" s="2" t="s">
        <v>97</v>
      </c>
      <c r="BW420" s="2" t="s">
        <v>1051</v>
      </c>
      <c r="BX420" s="2" t="s">
        <v>1954</v>
      </c>
      <c r="BY420" s="2" t="s">
        <v>112</v>
      </c>
      <c r="BZ420" s="2" t="s">
        <v>100</v>
      </c>
    </row>
    <row r="421">
      <c r="A421" s="2" t="s">
        <v>1955</v>
      </c>
      <c r="B421" s="2" t="s">
        <v>87</v>
      </c>
      <c r="C421" s="2" t="s">
        <v>1797</v>
      </c>
      <c r="D421" s="2" t="s">
        <v>89</v>
      </c>
      <c r="E421" s="2" t="s">
        <v>811</v>
      </c>
      <c r="F421" s="2" t="s">
        <v>1948</v>
      </c>
      <c r="G421" s="2" t="s">
        <v>1949</v>
      </c>
      <c r="H421" s="2" t="s">
        <v>1950</v>
      </c>
      <c r="I421" s="2" t="s">
        <v>1956</v>
      </c>
      <c r="J421" s="2" t="s">
        <v>490</v>
      </c>
      <c r="K421" s="2" t="s">
        <v>223</v>
      </c>
      <c r="L421" s="3">
        <v>43.2</v>
      </c>
      <c r="M421" s="3">
        <v>45.35</v>
      </c>
      <c r="N421" s="3">
        <v>89.99</v>
      </c>
      <c r="O421" s="2" t="s">
        <v>97</v>
      </c>
      <c r="P421" s="2" t="s">
        <v>98</v>
      </c>
      <c r="Q421" s="2" t="s">
        <v>99</v>
      </c>
      <c r="R421" s="2" t="s">
        <v>100</v>
      </c>
      <c r="S421" s="2" t="s">
        <v>1952</v>
      </c>
      <c r="T421" s="2" t="s">
        <v>100</v>
      </c>
      <c r="U421" s="2" t="s">
        <v>191</v>
      </c>
      <c r="V421" s="2" t="s">
        <v>269</v>
      </c>
      <c r="W421" s="2" t="s">
        <v>609</v>
      </c>
      <c r="X421" s="2" t="s">
        <v>1875</v>
      </c>
      <c r="Y421" s="2" t="s">
        <v>1919</v>
      </c>
      <c r="Z421" s="4">
        <v>217</v>
      </c>
      <c r="AA421" s="4">
        <f>=ROUNDDOWN(18.0833333333333,0)</f>
      </c>
      <c r="AB421" s="5">
        <v>12</v>
      </c>
      <c r="AC421" s="2" t="s">
        <v>1353</v>
      </c>
      <c r="AD421" s="4">
        <v>130</v>
      </c>
      <c r="AE421" s="4">
        <v>190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/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 t="s">
        <v>100</v>
      </c>
      <c r="BJ421" s="4">
        <v>25</v>
      </c>
      <c r="BK421" s="8">
        <v>1216.1</v>
      </c>
      <c r="BL421" s="2" t="s">
        <v>1957</v>
      </c>
      <c r="BM421" s="7"/>
      <c r="BN421" s="7"/>
      <c r="BO421" s="4"/>
      <c r="BP421" s="8"/>
      <c r="BQ421" s="4"/>
      <c r="BR421" s="8"/>
      <c r="BS421" s="7"/>
      <c r="BT421" s="7"/>
      <c r="BU421" s="2" t="s">
        <v>109</v>
      </c>
      <c r="BV421" s="2" t="s">
        <v>97</v>
      </c>
      <c r="BW421" s="2" t="s">
        <v>1051</v>
      </c>
      <c r="BX421" s="2" t="s">
        <v>1958</v>
      </c>
      <c r="BY421" s="2" t="s">
        <v>112</v>
      </c>
      <c r="BZ421" s="2" t="s">
        <v>100</v>
      </c>
    </row>
    <row r="422">
      <c r="A422" s="2" t="s">
        <v>1959</v>
      </c>
      <c r="B422" s="2" t="s">
        <v>87</v>
      </c>
      <c r="C422" s="2" t="s">
        <v>1797</v>
      </c>
      <c r="D422" s="2" t="s">
        <v>89</v>
      </c>
      <c r="E422" s="2" t="s">
        <v>811</v>
      </c>
      <c r="F422" s="2" t="s">
        <v>1948</v>
      </c>
      <c r="G422" s="2" t="s">
        <v>1949</v>
      </c>
      <c r="H422" s="2" t="s">
        <v>1950</v>
      </c>
      <c r="I422" s="2" t="s">
        <v>1956</v>
      </c>
      <c r="J422" s="2" t="s">
        <v>95</v>
      </c>
      <c r="K422" s="2" t="s">
        <v>223</v>
      </c>
      <c r="L422" s="3">
        <v>49</v>
      </c>
      <c r="M422" s="3">
        <v>51.44</v>
      </c>
      <c r="N422" s="3">
        <v>99.99</v>
      </c>
      <c r="O422" s="2" t="s">
        <v>97</v>
      </c>
      <c r="P422" s="2" t="s">
        <v>98</v>
      </c>
      <c r="Q422" s="2" t="s">
        <v>99</v>
      </c>
      <c r="R422" s="2" t="s">
        <v>100</v>
      </c>
      <c r="S422" s="2" t="s">
        <v>1952</v>
      </c>
      <c r="T422" s="2" t="s">
        <v>100</v>
      </c>
      <c r="U422" s="2" t="s">
        <v>191</v>
      </c>
      <c r="V422" s="2" t="s">
        <v>269</v>
      </c>
      <c r="W422" s="2" t="s">
        <v>609</v>
      </c>
      <c r="X422" s="2" t="s">
        <v>1875</v>
      </c>
      <c r="Y422" s="2" t="s">
        <v>1919</v>
      </c>
      <c r="Z422" s="4">
        <v>217</v>
      </c>
      <c r="AA422" s="4">
        <f>=ROUNDDOWN(15.5,0)</f>
      </c>
      <c r="AB422" s="5">
        <v>14</v>
      </c>
      <c r="AC422" s="2" t="s">
        <v>1353</v>
      </c>
      <c r="AD422" s="4">
        <v>100</v>
      </c>
      <c r="AE422" s="4">
        <v>250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2</v>
      </c>
      <c r="AQ422" s="8">
        <v>99.22</v>
      </c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0.72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 t="s">
        <v>100</v>
      </c>
      <c r="BJ422" s="4">
        <v>23</v>
      </c>
      <c r="BK422" s="8">
        <v>1203.64</v>
      </c>
      <c r="BL422" s="2" t="s">
        <v>1960</v>
      </c>
      <c r="BM422" s="7">
        <v>0.087</v>
      </c>
      <c r="BN422" s="7">
        <v>0.0824</v>
      </c>
      <c r="BO422" s="4">
        <v>2</v>
      </c>
      <c r="BP422" s="8">
        <v>99.22</v>
      </c>
      <c r="BQ422" s="4"/>
      <c r="BR422" s="8"/>
      <c r="BS422" s="7"/>
      <c r="BT422" s="7"/>
      <c r="BU422" s="2" t="s">
        <v>109</v>
      </c>
      <c r="BV422" s="2" t="s">
        <v>97</v>
      </c>
      <c r="BW422" s="2" t="s">
        <v>1051</v>
      </c>
      <c r="BX422" s="2" t="s">
        <v>1961</v>
      </c>
      <c r="BY422" s="2" t="s">
        <v>112</v>
      </c>
      <c r="BZ422" s="2" t="s">
        <v>100</v>
      </c>
    </row>
    <row r="423">
      <c r="A423" s="2" t="s">
        <v>1962</v>
      </c>
      <c r="B423" s="2" t="s">
        <v>87</v>
      </c>
      <c r="C423" s="2" t="s">
        <v>1797</v>
      </c>
      <c r="D423" s="2" t="s">
        <v>89</v>
      </c>
      <c r="E423" s="2" t="s">
        <v>811</v>
      </c>
      <c r="F423" s="2" t="s">
        <v>1948</v>
      </c>
      <c r="G423" s="2" t="s">
        <v>1949</v>
      </c>
      <c r="H423" s="2" t="s">
        <v>1950</v>
      </c>
      <c r="I423" s="2" t="s">
        <v>1956</v>
      </c>
      <c r="J423" s="2" t="s">
        <v>114</v>
      </c>
      <c r="K423" s="2" t="s">
        <v>223</v>
      </c>
      <c r="L423" s="3">
        <v>53.9</v>
      </c>
      <c r="M423" s="3">
        <v>56.59</v>
      </c>
      <c r="N423" s="3">
        <v>109.99</v>
      </c>
      <c r="O423" s="2" t="s">
        <v>97</v>
      </c>
      <c r="P423" s="2" t="s">
        <v>98</v>
      </c>
      <c r="Q423" s="2" t="s">
        <v>99</v>
      </c>
      <c r="R423" s="2" t="s">
        <v>100</v>
      </c>
      <c r="S423" s="2" t="s">
        <v>1952</v>
      </c>
      <c r="T423" s="2" t="s">
        <v>100</v>
      </c>
      <c r="U423" s="2" t="s">
        <v>191</v>
      </c>
      <c r="V423" s="2" t="s">
        <v>269</v>
      </c>
      <c r="W423" s="2" t="s">
        <v>609</v>
      </c>
      <c r="X423" s="2" t="s">
        <v>1875</v>
      </c>
      <c r="Y423" s="2" t="s">
        <v>1919</v>
      </c>
      <c r="Z423" s="4">
        <v>120</v>
      </c>
      <c r="AA423" s="4">
        <f>=ROUNDDOWN(24,0)</f>
      </c>
      <c r="AB423" s="5">
        <v>5</v>
      </c>
      <c r="AC423" s="2" t="s">
        <v>389</v>
      </c>
      <c r="AD423" s="4">
        <v>50</v>
      </c>
      <c r="AE423" s="4">
        <v>50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/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 t="s">
        <v>100</v>
      </c>
      <c r="BJ423" s="4">
        <v>9</v>
      </c>
      <c r="BK423" s="8">
        <v>548.76</v>
      </c>
      <c r="BL423" s="2" t="s">
        <v>1963</v>
      </c>
      <c r="BM423" s="7"/>
      <c r="BN423" s="7"/>
      <c r="BO423" s="4"/>
      <c r="BP423" s="8"/>
      <c r="BQ423" s="4"/>
      <c r="BR423" s="8"/>
      <c r="BS423" s="7"/>
      <c r="BT423" s="7"/>
      <c r="BU423" s="2" t="s">
        <v>109</v>
      </c>
      <c r="BV423" s="2" t="s">
        <v>97</v>
      </c>
      <c r="BW423" s="2" t="s">
        <v>1051</v>
      </c>
      <c r="BX423" s="2" t="s">
        <v>1964</v>
      </c>
      <c r="BY423" s="2" t="s">
        <v>112</v>
      </c>
      <c r="BZ423" s="2" t="s">
        <v>100</v>
      </c>
    </row>
    <row r="424">
      <c r="A424" s="2" t="s">
        <v>1965</v>
      </c>
      <c r="B424" s="2" t="s">
        <v>87</v>
      </c>
      <c r="C424" s="2" t="s">
        <v>1797</v>
      </c>
      <c r="D424" s="2" t="s">
        <v>89</v>
      </c>
      <c r="E424" s="2" t="s">
        <v>811</v>
      </c>
      <c r="F424" s="2" t="s">
        <v>1948</v>
      </c>
      <c r="G424" s="2" t="s">
        <v>1949</v>
      </c>
      <c r="H424" s="2" t="s">
        <v>1950</v>
      </c>
      <c r="I424" s="2" t="s">
        <v>1956</v>
      </c>
      <c r="J424" s="2" t="s">
        <v>118</v>
      </c>
      <c r="K424" s="2" t="s">
        <v>223</v>
      </c>
      <c r="L424" s="3">
        <v>54.99</v>
      </c>
      <c r="M424" s="3">
        <v>57.74</v>
      </c>
      <c r="N424" s="3">
        <v>109.99</v>
      </c>
      <c r="O424" s="2" t="s">
        <v>97</v>
      </c>
      <c r="P424" s="2" t="s">
        <v>98</v>
      </c>
      <c r="Q424" s="2" t="s">
        <v>99</v>
      </c>
      <c r="R424" s="2" t="s">
        <v>100</v>
      </c>
      <c r="S424" s="2" t="s">
        <v>1952</v>
      </c>
      <c r="T424" s="2" t="s">
        <v>100</v>
      </c>
      <c r="U424" s="2" t="s">
        <v>191</v>
      </c>
      <c r="V424" s="2" t="s">
        <v>269</v>
      </c>
      <c r="W424" s="2" t="s">
        <v>609</v>
      </c>
      <c r="X424" s="2" t="s">
        <v>1875</v>
      </c>
      <c r="Y424" s="2" t="s">
        <v>1919</v>
      </c>
      <c r="Z424" s="4">
        <v>131</v>
      </c>
      <c r="AA424" s="4">
        <f>=ROUNDDOWN(65.5,0)</f>
      </c>
      <c r="AB424" s="5">
        <v>2</v>
      </c>
      <c r="AC424" s="2" t="s">
        <v>389</v>
      </c>
      <c r="AD424" s="4">
        <v>30</v>
      </c>
      <c r="AE424" s="4">
        <v>30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/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 t="s">
        <v>100</v>
      </c>
      <c r="BJ424" s="4">
        <v>11</v>
      </c>
      <c r="BK424" s="8">
        <v>631.91</v>
      </c>
      <c r="BL424" s="2" t="s">
        <v>1966</v>
      </c>
      <c r="BM424" s="7"/>
      <c r="BN424" s="7"/>
      <c r="BO424" s="4"/>
      <c r="BP424" s="8"/>
      <c r="BQ424" s="4"/>
      <c r="BR424" s="8"/>
      <c r="BS424" s="7"/>
      <c r="BT424" s="7"/>
      <c r="BU424" s="2" t="s">
        <v>109</v>
      </c>
      <c r="BV424" s="2" t="s">
        <v>97</v>
      </c>
      <c r="BW424" s="2" t="s">
        <v>1051</v>
      </c>
      <c r="BX424" s="2" t="s">
        <v>620</v>
      </c>
      <c r="BY424" s="2" t="s">
        <v>112</v>
      </c>
      <c r="BZ424" s="2" t="s">
        <v>100</v>
      </c>
    </row>
    <row r="425">
      <c r="A425" s="2" t="s">
        <v>1967</v>
      </c>
      <c r="B425" s="2" t="s">
        <v>87</v>
      </c>
      <c r="C425" s="2" t="s">
        <v>1797</v>
      </c>
      <c r="D425" s="2" t="s">
        <v>89</v>
      </c>
      <c r="E425" s="2" t="s">
        <v>811</v>
      </c>
      <c r="F425" s="2" t="s">
        <v>1968</v>
      </c>
      <c r="G425" s="2" t="s">
        <v>1969</v>
      </c>
      <c r="H425" s="2" t="s">
        <v>1970</v>
      </c>
      <c r="I425" s="2" t="s">
        <v>1801</v>
      </c>
      <c r="J425" s="2" t="s">
        <v>1443</v>
      </c>
      <c r="K425" s="2" t="s">
        <v>386</v>
      </c>
      <c r="L425" s="3">
        <v>51.99</v>
      </c>
      <c r="M425" s="3">
        <v>54.59</v>
      </c>
      <c r="N425" s="3">
        <v>114.99</v>
      </c>
      <c r="O425" s="2" t="s">
        <v>97</v>
      </c>
      <c r="P425" s="2" t="s">
        <v>156</v>
      </c>
      <c r="Q425" s="2" t="s">
        <v>99</v>
      </c>
      <c r="R425" s="2" t="s">
        <v>100</v>
      </c>
      <c r="S425" s="2" t="s">
        <v>1971</v>
      </c>
      <c r="T425" s="2" t="s">
        <v>100</v>
      </c>
      <c r="U425" s="2" t="s">
        <v>102</v>
      </c>
      <c r="V425" s="2" t="s">
        <v>192</v>
      </c>
      <c r="W425" s="2" t="s">
        <v>142</v>
      </c>
      <c r="X425" s="2" t="s">
        <v>194</v>
      </c>
      <c r="Y425" s="2" t="s">
        <v>144</v>
      </c>
      <c r="Z425" s="4">
        <v>163</v>
      </c>
      <c r="AA425" s="4">
        <f>=ROUNDDOWN(23.2857142857143,0)</f>
      </c>
      <c r="AB425" s="5">
        <v>7</v>
      </c>
      <c r="AC425" s="2" t="s">
        <v>1142</v>
      </c>
      <c r="AD425" s="4">
        <v>150</v>
      </c>
      <c r="AE425" s="4">
        <v>230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2</v>
      </c>
      <c r="AQ425" s="8">
        <v>103.18</v>
      </c>
      <c r="AR425" s="4"/>
      <c r="AS425" s="8"/>
      <c r="AT425" s="7"/>
      <c r="AU425" s="7"/>
      <c r="AV425" s="4">
        <v>2</v>
      </c>
      <c r="AW425" s="8">
        <v>103.18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1</v>
      </c>
      <c r="BC425" s="4">
        <v>2</v>
      </c>
      <c r="BD425" s="8">
        <v>103.18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>
        <v>1</v>
      </c>
      <c r="BJ425" s="4">
        <v>24</v>
      </c>
      <c r="BK425" s="8">
        <v>1335.79</v>
      </c>
      <c r="BL425" s="2" t="s">
        <v>1972</v>
      </c>
      <c r="BM425" s="7">
        <v>0.0833</v>
      </c>
      <c r="BN425" s="7">
        <v>0.0772</v>
      </c>
      <c r="BO425" s="4">
        <v>2</v>
      </c>
      <c r="BP425" s="8">
        <v>103.18</v>
      </c>
      <c r="BQ425" s="4"/>
      <c r="BR425" s="8"/>
      <c r="BS425" s="7"/>
      <c r="BT425" s="7"/>
      <c r="BU425" s="2" t="s">
        <v>109</v>
      </c>
      <c r="BV425" s="2" t="s">
        <v>97</v>
      </c>
      <c r="BW425" s="2" t="s">
        <v>1973</v>
      </c>
      <c r="BX425" s="2" t="s">
        <v>1974</v>
      </c>
      <c r="BY425" s="2" t="s">
        <v>112</v>
      </c>
      <c r="BZ425" s="2" t="s">
        <v>100</v>
      </c>
    </row>
    <row r="426">
      <c r="A426" s="2" t="s">
        <v>1975</v>
      </c>
      <c r="B426" s="2" t="s">
        <v>87</v>
      </c>
      <c r="C426" s="2" t="s">
        <v>1797</v>
      </c>
      <c r="D426" s="2" t="s">
        <v>89</v>
      </c>
      <c r="E426" s="2" t="s">
        <v>811</v>
      </c>
      <c r="F426" s="2" t="s">
        <v>1968</v>
      </c>
      <c r="G426" s="2" t="s">
        <v>1969</v>
      </c>
      <c r="H426" s="2" t="s">
        <v>1970</v>
      </c>
      <c r="I426" s="2" t="s">
        <v>1810</v>
      </c>
      <c r="J426" s="2" t="s">
        <v>490</v>
      </c>
      <c r="K426" s="2" t="s">
        <v>386</v>
      </c>
      <c r="L426" s="3">
        <v>57.19</v>
      </c>
      <c r="M426" s="3">
        <v>60.05</v>
      </c>
      <c r="N426" s="3">
        <v>124.99</v>
      </c>
      <c r="O426" s="2" t="s">
        <v>97</v>
      </c>
      <c r="P426" s="2" t="s">
        <v>156</v>
      </c>
      <c r="Q426" s="2" t="s">
        <v>99</v>
      </c>
      <c r="R426" s="2" t="s">
        <v>100</v>
      </c>
      <c r="S426" s="2" t="s">
        <v>1971</v>
      </c>
      <c r="T426" s="2" t="s">
        <v>100</v>
      </c>
      <c r="U426" s="2" t="s">
        <v>618</v>
      </c>
      <c r="V426" s="2" t="s">
        <v>192</v>
      </c>
      <c r="W426" s="2" t="s">
        <v>142</v>
      </c>
      <c r="X426" s="2" t="s">
        <v>194</v>
      </c>
      <c r="Y426" s="2" t="s">
        <v>144</v>
      </c>
      <c r="Z426" s="4">
        <v>218</v>
      </c>
      <c r="AA426" s="4">
        <f>=ROUNDDOWN(21.8,0)</f>
      </c>
      <c r="AB426" s="5">
        <v>10</v>
      </c>
      <c r="AC426" s="2" t="s">
        <v>1142</v>
      </c>
      <c r="AD426" s="4">
        <v>60</v>
      </c>
      <c r="AE426" s="4">
        <v>130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/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 t="s">
        <v>100</v>
      </c>
      <c r="BJ426" s="4">
        <v>27</v>
      </c>
      <c r="BK426" s="8">
        <v>1735.74</v>
      </c>
      <c r="BL426" s="2" t="s">
        <v>384</v>
      </c>
      <c r="BM426" s="7"/>
      <c r="BN426" s="7"/>
      <c r="BO426" s="4"/>
      <c r="BP426" s="8"/>
      <c r="BQ426" s="4"/>
      <c r="BR426" s="8"/>
      <c r="BS426" s="7"/>
      <c r="BT426" s="7"/>
      <c r="BU426" s="2" t="s">
        <v>109</v>
      </c>
      <c r="BV426" s="2" t="s">
        <v>97</v>
      </c>
      <c r="BW426" s="2" t="s">
        <v>1973</v>
      </c>
      <c r="BX426" s="2" t="s">
        <v>503</v>
      </c>
      <c r="BY426" s="2" t="s">
        <v>112</v>
      </c>
      <c r="BZ426" s="2" t="s">
        <v>100</v>
      </c>
    </row>
    <row r="427">
      <c r="A427" s="2" t="s">
        <v>1976</v>
      </c>
      <c r="B427" s="2" t="s">
        <v>87</v>
      </c>
      <c r="C427" s="2" t="s">
        <v>1797</v>
      </c>
      <c r="D427" s="2" t="s">
        <v>89</v>
      </c>
      <c r="E427" s="2" t="s">
        <v>811</v>
      </c>
      <c r="F427" s="2" t="s">
        <v>1968</v>
      </c>
      <c r="G427" s="2" t="s">
        <v>1969</v>
      </c>
      <c r="H427" s="2" t="s">
        <v>1970</v>
      </c>
      <c r="I427" s="2" t="s">
        <v>1810</v>
      </c>
      <c r="J427" s="2" t="s">
        <v>118</v>
      </c>
      <c r="K427" s="2" t="s">
        <v>386</v>
      </c>
      <c r="L427" s="3">
        <v>67.59</v>
      </c>
      <c r="M427" s="3">
        <v>70.97</v>
      </c>
      <c r="N427" s="3">
        <v>144.99</v>
      </c>
      <c r="O427" s="2" t="s">
        <v>97</v>
      </c>
      <c r="P427" s="2" t="s">
        <v>156</v>
      </c>
      <c r="Q427" s="2" t="s">
        <v>99</v>
      </c>
      <c r="R427" s="2" t="s">
        <v>100</v>
      </c>
      <c r="S427" s="2" t="s">
        <v>1971</v>
      </c>
      <c r="T427" s="2" t="s">
        <v>100</v>
      </c>
      <c r="U427" s="2" t="s">
        <v>618</v>
      </c>
      <c r="V427" s="2" t="s">
        <v>192</v>
      </c>
      <c r="W427" s="2" t="s">
        <v>142</v>
      </c>
      <c r="X427" s="2" t="s">
        <v>194</v>
      </c>
      <c r="Y427" s="2" t="s">
        <v>144</v>
      </c>
      <c r="Z427" s="4">
        <v>141</v>
      </c>
      <c r="AA427" s="4">
        <f>=ROUNDDOWN(28.2,0)</f>
      </c>
      <c r="AB427" s="5">
        <v>5</v>
      </c>
      <c r="AC427" s="2" t="s">
        <v>1142</v>
      </c>
      <c r="AD427" s="4">
        <v>40</v>
      </c>
      <c r="AE427" s="4">
        <v>40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/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 t="s">
        <v>100</v>
      </c>
      <c r="BJ427" s="4">
        <v>7</v>
      </c>
      <c r="BK427" s="8">
        <v>522.63</v>
      </c>
      <c r="BL427" s="2" t="s">
        <v>1977</v>
      </c>
      <c r="BM427" s="7"/>
      <c r="BN427" s="7"/>
      <c r="BO427" s="4"/>
      <c r="BP427" s="8"/>
      <c r="BQ427" s="4"/>
      <c r="BR427" s="8"/>
      <c r="BS427" s="7"/>
      <c r="BT427" s="7"/>
      <c r="BU427" s="2" t="s">
        <v>109</v>
      </c>
      <c r="BV427" s="2" t="s">
        <v>97</v>
      </c>
      <c r="BW427" s="2" t="s">
        <v>1973</v>
      </c>
      <c r="BX427" s="2" t="s">
        <v>1978</v>
      </c>
      <c r="BY427" s="2" t="s">
        <v>112</v>
      </c>
      <c r="BZ427" s="2" t="s">
        <v>100</v>
      </c>
    </row>
    <row r="428">
      <c r="A428" s="2" t="s">
        <v>1979</v>
      </c>
      <c r="B428" s="2" t="s">
        <v>87</v>
      </c>
      <c r="C428" s="2" t="s">
        <v>1797</v>
      </c>
      <c r="D428" s="2" t="s">
        <v>89</v>
      </c>
      <c r="E428" s="2" t="s">
        <v>811</v>
      </c>
      <c r="F428" s="2" t="s">
        <v>456</v>
      </c>
      <c r="G428" s="2" t="s">
        <v>1980</v>
      </c>
      <c r="H428" s="2" t="s">
        <v>1981</v>
      </c>
      <c r="I428" s="2" t="s">
        <v>1982</v>
      </c>
      <c r="J428" s="2" t="s">
        <v>1443</v>
      </c>
      <c r="K428" s="2" t="s">
        <v>626</v>
      </c>
      <c r="L428" s="3">
        <v>24</v>
      </c>
      <c r="M428" s="3">
        <v>25.2</v>
      </c>
      <c r="N428" s="3">
        <v>49.99</v>
      </c>
      <c r="O428" s="2" t="s">
        <v>97</v>
      </c>
      <c r="P428" s="2" t="s">
        <v>123</v>
      </c>
      <c r="Q428" s="2" t="s">
        <v>99</v>
      </c>
      <c r="R428" s="2" t="s">
        <v>100</v>
      </c>
      <c r="S428" s="2" t="s">
        <v>1983</v>
      </c>
      <c r="T428" s="2" t="s">
        <v>438</v>
      </c>
      <c r="U428" s="2" t="s">
        <v>355</v>
      </c>
      <c r="V428" s="2" t="s">
        <v>733</v>
      </c>
      <c r="W428" s="2" t="s">
        <v>609</v>
      </c>
      <c r="X428" s="2" t="s">
        <v>493</v>
      </c>
      <c r="Y428" s="2" t="s">
        <v>1192</v>
      </c>
      <c r="Z428" s="4">
        <v>620</v>
      </c>
      <c r="AA428" s="4">
        <f>=ROUNDDOWN(88.5714285714286,0)</f>
      </c>
      <c r="AB428" s="5">
        <v>7</v>
      </c>
      <c r="AC428" s="2" t="s">
        <v>100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/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/>
      <c r="BJ428" s="4">
        <v>26</v>
      </c>
      <c r="BK428" s="8">
        <v>708.16</v>
      </c>
      <c r="BL428" s="2" t="s">
        <v>710</v>
      </c>
      <c r="BM428" s="7"/>
      <c r="BN428" s="7"/>
      <c r="BO428" s="4"/>
      <c r="BP428" s="8"/>
      <c r="BQ428" s="4"/>
      <c r="BR428" s="8"/>
      <c r="BS428" s="7"/>
      <c r="BT428" s="7"/>
      <c r="BU428" s="2" t="s">
        <v>171</v>
      </c>
      <c r="BV428" s="2" t="s">
        <v>97</v>
      </c>
      <c r="BW428" s="2" t="s">
        <v>100</v>
      </c>
      <c r="BX428" s="2" t="s">
        <v>100</v>
      </c>
      <c r="BY428" s="2" t="s">
        <v>112</v>
      </c>
      <c r="BZ428" s="2" t="s">
        <v>149</v>
      </c>
    </row>
    <row r="429">
      <c r="A429" s="2" t="s">
        <v>1984</v>
      </c>
      <c r="B429" s="2" t="s">
        <v>87</v>
      </c>
      <c r="C429" s="2" t="s">
        <v>1797</v>
      </c>
      <c r="D429" s="2" t="s">
        <v>89</v>
      </c>
      <c r="E429" s="2" t="s">
        <v>811</v>
      </c>
      <c r="F429" s="2" t="s">
        <v>456</v>
      </c>
      <c r="G429" s="2" t="s">
        <v>1980</v>
      </c>
      <c r="H429" s="2" t="s">
        <v>1981</v>
      </c>
      <c r="I429" s="2" t="s">
        <v>1982</v>
      </c>
      <c r="J429" s="2" t="s">
        <v>1806</v>
      </c>
      <c r="K429" s="2" t="s">
        <v>626</v>
      </c>
      <c r="L429" s="3">
        <v>24</v>
      </c>
      <c r="M429" s="3">
        <v>25.2</v>
      </c>
      <c r="N429" s="3">
        <v>49.99</v>
      </c>
      <c r="O429" s="2" t="s">
        <v>97</v>
      </c>
      <c r="P429" s="2" t="s">
        <v>123</v>
      </c>
      <c r="Q429" s="2" t="s">
        <v>99</v>
      </c>
      <c r="R429" s="2" t="s">
        <v>100</v>
      </c>
      <c r="S429" s="2" t="s">
        <v>1983</v>
      </c>
      <c r="T429" s="2" t="s">
        <v>438</v>
      </c>
      <c r="U429" s="2" t="s">
        <v>355</v>
      </c>
      <c r="V429" s="2" t="s">
        <v>733</v>
      </c>
      <c r="W429" s="2" t="s">
        <v>609</v>
      </c>
      <c r="X429" s="2" t="s">
        <v>493</v>
      </c>
      <c r="Y429" s="2" t="s">
        <v>1192</v>
      </c>
      <c r="Z429" s="4">
        <v>650</v>
      </c>
      <c r="AA429" s="4">
        <f>=ROUNDDOWN(81.25,0)</f>
      </c>
      <c r="AB429" s="5">
        <v>8</v>
      </c>
      <c r="AC429" s="2" t="s">
        <v>100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/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/>
      <c r="BJ429" s="4">
        <v>11</v>
      </c>
      <c r="BK429" s="8">
        <v>427.75</v>
      </c>
      <c r="BL429" s="2" t="s">
        <v>1985</v>
      </c>
      <c r="BM429" s="7"/>
      <c r="BN429" s="7"/>
      <c r="BO429" s="4"/>
      <c r="BP429" s="8"/>
      <c r="BQ429" s="4"/>
      <c r="BR429" s="8"/>
      <c r="BS429" s="7"/>
      <c r="BT429" s="7"/>
      <c r="BU429" s="2" t="s">
        <v>171</v>
      </c>
      <c r="BV429" s="2" t="s">
        <v>97</v>
      </c>
      <c r="BW429" s="2" t="s">
        <v>100</v>
      </c>
      <c r="BX429" s="2" t="s">
        <v>100</v>
      </c>
      <c r="BY429" s="2" t="s">
        <v>112</v>
      </c>
      <c r="BZ429" s="2" t="s">
        <v>149</v>
      </c>
    </row>
    <row r="430">
      <c r="A430" s="2" t="s">
        <v>1986</v>
      </c>
      <c r="B430" s="2" t="s">
        <v>87</v>
      </c>
      <c r="C430" s="2" t="s">
        <v>1797</v>
      </c>
      <c r="D430" s="2" t="s">
        <v>89</v>
      </c>
      <c r="E430" s="2" t="s">
        <v>811</v>
      </c>
      <c r="F430" s="2" t="s">
        <v>456</v>
      </c>
      <c r="G430" s="2" t="s">
        <v>1980</v>
      </c>
      <c r="H430" s="2" t="s">
        <v>1981</v>
      </c>
      <c r="I430" s="2" t="s">
        <v>1982</v>
      </c>
      <c r="J430" s="2" t="s">
        <v>490</v>
      </c>
      <c r="K430" s="2" t="s">
        <v>626</v>
      </c>
      <c r="L430" s="3">
        <v>26.4</v>
      </c>
      <c r="M430" s="3">
        <v>27.72</v>
      </c>
      <c r="N430" s="3">
        <v>54.99</v>
      </c>
      <c r="O430" s="2" t="s">
        <v>97</v>
      </c>
      <c r="P430" s="2" t="s">
        <v>123</v>
      </c>
      <c r="Q430" s="2" t="s">
        <v>99</v>
      </c>
      <c r="R430" s="2" t="s">
        <v>100</v>
      </c>
      <c r="S430" s="2" t="s">
        <v>1983</v>
      </c>
      <c r="T430" s="2" t="s">
        <v>438</v>
      </c>
      <c r="U430" s="2" t="s">
        <v>618</v>
      </c>
      <c r="V430" s="2" t="s">
        <v>733</v>
      </c>
      <c r="W430" s="2" t="s">
        <v>609</v>
      </c>
      <c r="X430" s="2" t="s">
        <v>493</v>
      </c>
      <c r="Y430" s="2" t="s">
        <v>1987</v>
      </c>
      <c r="Z430" s="4">
        <v>1331</v>
      </c>
      <c r="AA430" s="4">
        <f>=ROUNDDOWN(102.384615384615,0)</f>
      </c>
      <c r="AB430" s="5">
        <v>13</v>
      </c>
      <c r="AC430" s="2" t="s">
        <v>100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/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/>
      <c r="BJ430" s="4">
        <v>36</v>
      </c>
      <c r="BK430" s="8">
        <v>1241.61</v>
      </c>
      <c r="BL430" s="2" t="s">
        <v>1988</v>
      </c>
      <c r="BM430" s="7"/>
      <c r="BN430" s="7"/>
      <c r="BO430" s="4"/>
      <c r="BP430" s="8"/>
      <c r="BQ430" s="4"/>
      <c r="BR430" s="8"/>
      <c r="BS430" s="7"/>
      <c r="BT430" s="7"/>
      <c r="BU430" s="2" t="s">
        <v>171</v>
      </c>
      <c r="BV430" s="2" t="s">
        <v>97</v>
      </c>
      <c r="BW430" s="2" t="s">
        <v>100</v>
      </c>
      <c r="BX430" s="2" t="s">
        <v>100</v>
      </c>
      <c r="BY430" s="2" t="s">
        <v>112</v>
      </c>
      <c r="BZ430" s="2" t="s">
        <v>149</v>
      </c>
    </row>
    <row r="431">
      <c r="A431" s="2" t="s">
        <v>1989</v>
      </c>
      <c r="B431" s="2" t="s">
        <v>87</v>
      </c>
      <c r="C431" s="2" t="s">
        <v>1797</v>
      </c>
      <c r="D431" s="2" t="s">
        <v>89</v>
      </c>
      <c r="E431" s="2" t="s">
        <v>811</v>
      </c>
      <c r="F431" s="2" t="s">
        <v>456</v>
      </c>
      <c r="G431" s="2" t="s">
        <v>1980</v>
      </c>
      <c r="H431" s="2" t="s">
        <v>1981</v>
      </c>
      <c r="I431" s="2" t="s">
        <v>1982</v>
      </c>
      <c r="J431" s="2" t="s">
        <v>95</v>
      </c>
      <c r="K431" s="2" t="s">
        <v>626</v>
      </c>
      <c r="L431" s="3">
        <v>28.8</v>
      </c>
      <c r="M431" s="3">
        <v>30.24</v>
      </c>
      <c r="N431" s="3">
        <v>59.99</v>
      </c>
      <c r="O431" s="2" t="s">
        <v>97</v>
      </c>
      <c r="P431" s="2" t="s">
        <v>123</v>
      </c>
      <c r="Q431" s="2" t="s">
        <v>99</v>
      </c>
      <c r="R431" s="2" t="s">
        <v>100</v>
      </c>
      <c r="S431" s="2" t="s">
        <v>1983</v>
      </c>
      <c r="T431" s="2" t="s">
        <v>438</v>
      </c>
      <c r="U431" s="2" t="s">
        <v>618</v>
      </c>
      <c r="V431" s="2" t="s">
        <v>733</v>
      </c>
      <c r="W431" s="2" t="s">
        <v>609</v>
      </c>
      <c r="X431" s="2" t="s">
        <v>493</v>
      </c>
      <c r="Y431" s="2" t="s">
        <v>1192</v>
      </c>
      <c r="Z431" s="4">
        <v>2488</v>
      </c>
      <c r="AA431" s="4">
        <f>=ROUNDDOWN(85.7931034482759,0)</f>
      </c>
      <c r="AB431" s="5">
        <v>29</v>
      </c>
      <c r="AC431" s="2" t="s">
        <v>1201</v>
      </c>
      <c r="AD431" s="4">
        <v>564</v>
      </c>
      <c r="AE431" s="4">
        <v>780</v>
      </c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/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/>
      <c r="BJ431" s="4">
        <v>111</v>
      </c>
      <c r="BK431" s="8">
        <v>3778.42</v>
      </c>
      <c r="BL431" s="2" t="s">
        <v>1436</v>
      </c>
      <c r="BM431" s="7"/>
      <c r="BN431" s="7"/>
      <c r="BO431" s="4"/>
      <c r="BP431" s="8"/>
      <c r="BQ431" s="4"/>
      <c r="BR431" s="8"/>
      <c r="BS431" s="7"/>
      <c r="BT431" s="7"/>
      <c r="BU431" s="2" t="s">
        <v>171</v>
      </c>
      <c r="BV431" s="2" t="s">
        <v>97</v>
      </c>
      <c r="BW431" s="2" t="s">
        <v>100</v>
      </c>
      <c r="BX431" s="2" t="s">
        <v>100</v>
      </c>
      <c r="BY431" s="2" t="s">
        <v>112</v>
      </c>
      <c r="BZ431" s="2" t="s">
        <v>149</v>
      </c>
    </row>
    <row r="432">
      <c r="A432" s="2" t="s">
        <v>1990</v>
      </c>
      <c r="B432" s="2" t="s">
        <v>87</v>
      </c>
      <c r="C432" s="2" t="s">
        <v>1797</v>
      </c>
      <c r="D432" s="2" t="s">
        <v>89</v>
      </c>
      <c r="E432" s="2" t="s">
        <v>811</v>
      </c>
      <c r="F432" s="2" t="s">
        <v>456</v>
      </c>
      <c r="G432" s="2" t="s">
        <v>1980</v>
      </c>
      <c r="H432" s="2" t="s">
        <v>1981</v>
      </c>
      <c r="I432" s="2" t="s">
        <v>1982</v>
      </c>
      <c r="J432" s="2" t="s">
        <v>114</v>
      </c>
      <c r="K432" s="2" t="s">
        <v>626</v>
      </c>
      <c r="L432" s="3">
        <v>33.6</v>
      </c>
      <c r="M432" s="3">
        <v>35.28</v>
      </c>
      <c r="N432" s="3">
        <v>69.99</v>
      </c>
      <c r="O432" s="2" t="s">
        <v>97</v>
      </c>
      <c r="P432" s="2" t="s">
        <v>123</v>
      </c>
      <c r="Q432" s="2" t="s">
        <v>99</v>
      </c>
      <c r="R432" s="2" t="s">
        <v>100</v>
      </c>
      <c r="S432" s="2" t="s">
        <v>1983</v>
      </c>
      <c r="T432" s="2" t="s">
        <v>438</v>
      </c>
      <c r="U432" s="2" t="s">
        <v>618</v>
      </c>
      <c r="V432" s="2" t="s">
        <v>733</v>
      </c>
      <c r="W432" s="2" t="s">
        <v>609</v>
      </c>
      <c r="X432" s="2" t="s">
        <v>493</v>
      </c>
      <c r="Y432" s="2" t="s">
        <v>1987</v>
      </c>
      <c r="Z432" s="4">
        <v>1864</v>
      </c>
      <c r="AA432" s="4">
        <f>=ROUNDDOWN(77.6666666666667,0)</f>
      </c>
      <c r="AB432" s="5">
        <v>24</v>
      </c>
      <c r="AC432" s="2" t="s">
        <v>1201</v>
      </c>
      <c r="AD432" s="4">
        <v>55</v>
      </c>
      <c r="AE432" s="4">
        <v>55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/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/>
      <c r="BJ432" s="4">
        <v>91</v>
      </c>
      <c r="BK432" s="8">
        <v>3683.5</v>
      </c>
      <c r="BL432" s="2" t="s">
        <v>1991</v>
      </c>
      <c r="BM432" s="7"/>
      <c r="BN432" s="7"/>
      <c r="BO432" s="4"/>
      <c r="BP432" s="8"/>
      <c r="BQ432" s="4"/>
      <c r="BR432" s="8"/>
      <c r="BS432" s="7"/>
      <c r="BT432" s="7"/>
      <c r="BU432" s="2" t="s">
        <v>171</v>
      </c>
      <c r="BV432" s="2" t="s">
        <v>97</v>
      </c>
      <c r="BW432" s="2" t="s">
        <v>100</v>
      </c>
      <c r="BX432" s="2" t="s">
        <v>100</v>
      </c>
      <c r="BY432" s="2" t="s">
        <v>112</v>
      </c>
      <c r="BZ432" s="2" t="s">
        <v>149</v>
      </c>
    </row>
    <row r="433">
      <c r="A433" s="2" t="s">
        <v>1992</v>
      </c>
      <c r="B433" s="2" t="s">
        <v>87</v>
      </c>
      <c r="C433" s="2" t="s">
        <v>1797</v>
      </c>
      <c r="D433" s="2" t="s">
        <v>89</v>
      </c>
      <c r="E433" s="2" t="s">
        <v>811</v>
      </c>
      <c r="F433" s="2" t="s">
        <v>1993</v>
      </c>
      <c r="G433" s="2" t="s">
        <v>1562</v>
      </c>
      <c r="H433" s="2" t="s">
        <v>997</v>
      </c>
      <c r="I433" s="2" t="s">
        <v>1994</v>
      </c>
      <c r="J433" s="2" t="s">
        <v>1443</v>
      </c>
      <c r="K433" s="2" t="s">
        <v>1995</v>
      </c>
      <c r="L433" s="3">
        <v>26.19</v>
      </c>
      <c r="M433" s="3">
        <v>27.5</v>
      </c>
      <c r="N433" s="3">
        <v>54.99</v>
      </c>
      <c r="O433" s="2" t="s">
        <v>97</v>
      </c>
      <c r="P433" s="2" t="s">
        <v>98</v>
      </c>
      <c r="Q433" s="2" t="s">
        <v>99</v>
      </c>
      <c r="R433" s="2" t="s">
        <v>100</v>
      </c>
      <c r="S433" s="2" t="s">
        <v>1996</v>
      </c>
      <c r="T433" s="2" t="s">
        <v>438</v>
      </c>
      <c r="U433" s="2" t="s">
        <v>460</v>
      </c>
      <c r="V433" s="2" t="s">
        <v>192</v>
      </c>
      <c r="W433" s="2" t="s">
        <v>142</v>
      </c>
      <c r="X433" s="2" t="s">
        <v>609</v>
      </c>
      <c r="Y433" s="2" t="s">
        <v>1997</v>
      </c>
      <c r="Z433" s="4">
        <v>233</v>
      </c>
      <c r="AA433" s="4">
        <f>=ROUNDDOWN(29.125,0)</f>
      </c>
      <c r="AB433" s="5">
        <v>8</v>
      </c>
      <c r="AC433" s="2" t="s">
        <v>100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/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/>
      <c r="BJ433" s="4">
        <v>18</v>
      </c>
      <c r="BK433" s="8">
        <v>514.8</v>
      </c>
      <c r="BL433" s="2" t="s">
        <v>1823</v>
      </c>
      <c r="BM433" s="7"/>
      <c r="BN433" s="7"/>
      <c r="BO433" s="4"/>
      <c r="BP433" s="8"/>
      <c r="BQ433" s="4"/>
      <c r="BR433" s="8"/>
      <c r="BS433" s="7"/>
      <c r="BT433" s="7"/>
      <c r="BU433" s="2" t="s">
        <v>171</v>
      </c>
      <c r="BV433" s="2" t="s">
        <v>97</v>
      </c>
      <c r="BW433" s="2" t="s">
        <v>100</v>
      </c>
      <c r="BX433" s="2" t="s">
        <v>100</v>
      </c>
      <c r="BY433" s="2" t="s">
        <v>112</v>
      </c>
      <c r="BZ433" s="2" t="s">
        <v>149</v>
      </c>
    </row>
    <row r="434">
      <c r="A434" s="2" t="s">
        <v>1998</v>
      </c>
      <c r="B434" s="2" t="s">
        <v>87</v>
      </c>
      <c r="C434" s="2" t="s">
        <v>1797</v>
      </c>
      <c r="D434" s="2" t="s">
        <v>89</v>
      </c>
      <c r="E434" s="2" t="s">
        <v>811</v>
      </c>
      <c r="F434" s="2" t="s">
        <v>1993</v>
      </c>
      <c r="G434" s="2" t="s">
        <v>1562</v>
      </c>
      <c r="H434" s="2" t="s">
        <v>997</v>
      </c>
      <c r="I434" s="2" t="s">
        <v>1994</v>
      </c>
      <c r="J434" s="2" t="s">
        <v>490</v>
      </c>
      <c r="K434" s="2" t="s">
        <v>1995</v>
      </c>
      <c r="L434" s="3">
        <v>28.57</v>
      </c>
      <c r="M434" s="3">
        <v>30</v>
      </c>
      <c r="N434" s="3">
        <v>59.99</v>
      </c>
      <c r="O434" s="2" t="s">
        <v>97</v>
      </c>
      <c r="P434" s="2" t="s">
        <v>98</v>
      </c>
      <c r="Q434" s="2" t="s">
        <v>99</v>
      </c>
      <c r="R434" s="2" t="s">
        <v>100</v>
      </c>
      <c r="S434" s="2" t="s">
        <v>1996</v>
      </c>
      <c r="T434" s="2" t="s">
        <v>438</v>
      </c>
      <c r="U434" s="2" t="s">
        <v>102</v>
      </c>
      <c r="V434" s="2" t="s">
        <v>192</v>
      </c>
      <c r="W434" s="2" t="s">
        <v>142</v>
      </c>
      <c r="X434" s="2" t="s">
        <v>609</v>
      </c>
      <c r="Y434" s="2" t="s">
        <v>1997</v>
      </c>
      <c r="Z434" s="4">
        <v>350</v>
      </c>
      <c r="AA434" s="4">
        <f>=ROUNDDOWN(31.8181818181818,0)</f>
      </c>
      <c r="AB434" s="5">
        <v>11</v>
      </c>
      <c r="AC434" s="2" t="s">
        <v>100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/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/>
      <c r="BJ434" s="4">
        <v>31</v>
      </c>
      <c r="BK434" s="8">
        <v>965.1</v>
      </c>
      <c r="BL434" s="2" t="s">
        <v>788</v>
      </c>
      <c r="BM434" s="7"/>
      <c r="BN434" s="7"/>
      <c r="BO434" s="4"/>
      <c r="BP434" s="8"/>
      <c r="BQ434" s="4"/>
      <c r="BR434" s="8"/>
      <c r="BS434" s="7"/>
      <c r="BT434" s="7"/>
      <c r="BU434" s="2" t="s">
        <v>171</v>
      </c>
      <c r="BV434" s="2" t="s">
        <v>97</v>
      </c>
      <c r="BW434" s="2" t="s">
        <v>100</v>
      </c>
      <c r="BX434" s="2" t="s">
        <v>100</v>
      </c>
      <c r="BY434" s="2" t="s">
        <v>112</v>
      </c>
      <c r="BZ434" s="2" t="s">
        <v>100</v>
      </c>
    </row>
    <row r="435">
      <c r="A435" s="2" t="s">
        <v>1999</v>
      </c>
      <c r="B435" s="2" t="s">
        <v>87</v>
      </c>
      <c r="C435" s="2" t="s">
        <v>1797</v>
      </c>
      <c r="D435" s="2" t="s">
        <v>89</v>
      </c>
      <c r="E435" s="2" t="s">
        <v>811</v>
      </c>
      <c r="F435" s="2" t="s">
        <v>1993</v>
      </c>
      <c r="G435" s="2" t="s">
        <v>1562</v>
      </c>
      <c r="H435" s="2" t="s">
        <v>997</v>
      </c>
      <c r="I435" s="2" t="s">
        <v>1994</v>
      </c>
      <c r="J435" s="2" t="s">
        <v>95</v>
      </c>
      <c r="K435" s="2" t="s">
        <v>1995</v>
      </c>
      <c r="L435" s="3">
        <v>30.95</v>
      </c>
      <c r="M435" s="3">
        <v>32.5</v>
      </c>
      <c r="N435" s="3">
        <v>64.99</v>
      </c>
      <c r="O435" s="2" t="s">
        <v>97</v>
      </c>
      <c r="P435" s="2" t="s">
        <v>98</v>
      </c>
      <c r="Q435" s="2" t="s">
        <v>99</v>
      </c>
      <c r="R435" s="2" t="s">
        <v>100</v>
      </c>
      <c r="S435" s="2" t="s">
        <v>1996</v>
      </c>
      <c r="T435" s="2" t="s">
        <v>438</v>
      </c>
      <c r="U435" s="2" t="s">
        <v>102</v>
      </c>
      <c r="V435" s="2" t="s">
        <v>192</v>
      </c>
      <c r="W435" s="2" t="s">
        <v>142</v>
      </c>
      <c r="X435" s="2" t="s">
        <v>609</v>
      </c>
      <c r="Y435" s="2" t="s">
        <v>1997</v>
      </c>
      <c r="Z435" s="4">
        <v>686</v>
      </c>
      <c r="AA435" s="4">
        <f>=ROUNDDOWN(27.44,0)</f>
      </c>
      <c r="AB435" s="5">
        <v>25</v>
      </c>
      <c r="AC435" s="2" t="s">
        <v>100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/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/>
      <c r="BJ435" s="4">
        <v>95</v>
      </c>
      <c r="BK435" s="8">
        <v>3267.17</v>
      </c>
      <c r="BL435" s="2" t="s">
        <v>2000</v>
      </c>
      <c r="BM435" s="7"/>
      <c r="BN435" s="7"/>
      <c r="BO435" s="4"/>
      <c r="BP435" s="8"/>
      <c r="BQ435" s="4"/>
      <c r="BR435" s="8"/>
      <c r="BS435" s="7"/>
      <c r="BT435" s="7"/>
      <c r="BU435" s="2" t="s">
        <v>171</v>
      </c>
      <c r="BV435" s="2" t="s">
        <v>97</v>
      </c>
      <c r="BW435" s="2" t="s">
        <v>100</v>
      </c>
      <c r="BX435" s="2" t="s">
        <v>100</v>
      </c>
      <c r="BY435" s="2" t="s">
        <v>112</v>
      </c>
      <c r="BZ435" s="2" t="s">
        <v>100</v>
      </c>
    </row>
    <row r="436">
      <c r="A436" s="2" t="s">
        <v>2001</v>
      </c>
      <c r="B436" s="2" t="s">
        <v>87</v>
      </c>
      <c r="C436" s="2" t="s">
        <v>1797</v>
      </c>
      <c r="D436" s="2" t="s">
        <v>89</v>
      </c>
      <c r="E436" s="2" t="s">
        <v>811</v>
      </c>
      <c r="F436" s="2" t="s">
        <v>1993</v>
      </c>
      <c r="G436" s="2" t="s">
        <v>1562</v>
      </c>
      <c r="H436" s="2" t="s">
        <v>997</v>
      </c>
      <c r="I436" s="2" t="s">
        <v>1994</v>
      </c>
      <c r="J436" s="2" t="s">
        <v>114</v>
      </c>
      <c r="K436" s="2" t="s">
        <v>1995</v>
      </c>
      <c r="L436" s="3">
        <v>35.71</v>
      </c>
      <c r="M436" s="3">
        <v>37.5</v>
      </c>
      <c r="N436" s="3">
        <v>74.99</v>
      </c>
      <c r="O436" s="2" t="s">
        <v>97</v>
      </c>
      <c r="P436" s="2" t="s">
        <v>98</v>
      </c>
      <c r="Q436" s="2" t="s">
        <v>99</v>
      </c>
      <c r="R436" s="2" t="s">
        <v>100</v>
      </c>
      <c r="S436" s="2" t="s">
        <v>1996</v>
      </c>
      <c r="T436" s="2" t="s">
        <v>438</v>
      </c>
      <c r="U436" s="2" t="s">
        <v>102</v>
      </c>
      <c r="V436" s="2" t="s">
        <v>192</v>
      </c>
      <c r="W436" s="2" t="s">
        <v>142</v>
      </c>
      <c r="X436" s="2" t="s">
        <v>609</v>
      </c>
      <c r="Y436" s="2" t="s">
        <v>1997</v>
      </c>
      <c r="Z436" s="4">
        <v>463</v>
      </c>
      <c r="AA436" s="4">
        <f>=ROUNDDOWN(45.3921568627451,0)</f>
      </c>
      <c r="AB436" s="5">
        <v>10.2</v>
      </c>
      <c r="AC436" s="2" t="s">
        <v>100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/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/>
      <c r="BJ436" s="4">
        <v>37</v>
      </c>
      <c r="BK436" s="8">
        <v>1458.39</v>
      </c>
      <c r="BL436" s="2" t="s">
        <v>2002</v>
      </c>
      <c r="BM436" s="7"/>
      <c r="BN436" s="7"/>
      <c r="BO436" s="4"/>
      <c r="BP436" s="8"/>
      <c r="BQ436" s="4"/>
      <c r="BR436" s="8"/>
      <c r="BS436" s="7"/>
      <c r="BT436" s="7"/>
      <c r="BU436" s="2" t="s">
        <v>171</v>
      </c>
      <c r="BV436" s="2" t="s">
        <v>97</v>
      </c>
      <c r="BW436" s="2" t="s">
        <v>100</v>
      </c>
      <c r="BX436" s="2" t="s">
        <v>100</v>
      </c>
      <c r="BY436" s="2" t="s">
        <v>112</v>
      </c>
      <c r="BZ436" s="2" t="s">
        <v>100</v>
      </c>
    </row>
    <row r="437">
      <c r="A437" s="2" t="s">
        <v>2003</v>
      </c>
      <c r="B437" s="2" t="s">
        <v>87</v>
      </c>
      <c r="C437" s="2" t="s">
        <v>1797</v>
      </c>
      <c r="D437" s="2" t="s">
        <v>89</v>
      </c>
      <c r="E437" s="2" t="s">
        <v>811</v>
      </c>
      <c r="F437" s="2" t="s">
        <v>1993</v>
      </c>
      <c r="G437" s="2" t="s">
        <v>1562</v>
      </c>
      <c r="H437" s="2" t="s">
        <v>997</v>
      </c>
      <c r="I437" s="2" t="s">
        <v>1994</v>
      </c>
      <c r="J437" s="2" t="s">
        <v>118</v>
      </c>
      <c r="K437" s="2" t="s">
        <v>1995</v>
      </c>
      <c r="L437" s="3">
        <v>35.71</v>
      </c>
      <c r="M437" s="3">
        <v>37.5</v>
      </c>
      <c r="N437" s="3">
        <v>74.99</v>
      </c>
      <c r="O437" s="2" t="s">
        <v>97</v>
      </c>
      <c r="P437" s="2" t="s">
        <v>98</v>
      </c>
      <c r="Q437" s="2" t="s">
        <v>99</v>
      </c>
      <c r="R437" s="2" t="s">
        <v>100</v>
      </c>
      <c r="S437" s="2" t="s">
        <v>1996</v>
      </c>
      <c r="T437" s="2" t="s">
        <v>438</v>
      </c>
      <c r="U437" s="2" t="s">
        <v>102</v>
      </c>
      <c r="V437" s="2" t="s">
        <v>192</v>
      </c>
      <c r="W437" s="2" t="s">
        <v>142</v>
      </c>
      <c r="X437" s="2" t="s">
        <v>609</v>
      </c>
      <c r="Y437" s="2" t="s">
        <v>1997</v>
      </c>
      <c r="Z437" s="4">
        <v>296</v>
      </c>
      <c r="AA437" s="4">
        <f>=ROUNDDOWN(42.2857142857143,0)</f>
      </c>
      <c r="AB437" s="5">
        <v>7</v>
      </c>
      <c r="AC437" s="2" t="s">
        <v>100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/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/>
      <c r="BJ437" s="4">
        <v>11</v>
      </c>
      <c r="BK437" s="8">
        <v>430.85</v>
      </c>
      <c r="BL437" s="2" t="s">
        <v>1382</v>
      </c>
      <c r="BM437" s="7"/>
      <c r="BN437" s="7"/>
      <c r="BO437" s="4"/>
      <c r="BP437" s="8"/>
      <c r="BQ437" s="4"/>
      <c r="BR437" s="8"/>
      <c r="BS437" s="7"/>
      <c r="BT437" s="7"/>
      <c r="BU437" s="2" t="s">
        <v>171</v>
      </c>
      <c r="BV437" s="2" t="s">
        <v>97</v>
      </c>
      <c r="BW437" s="2" t="s">
        <v>100</v>
      </c>
      <c r="BX437" s="2" t="s">
        <v>100</v>
      </c>
      <c r="BY437" s="2" t="s">
        <v>112</v>
      </c>
      <c r="BZ437" s="2" t="s">
        <v>100</v>
      </c>
    </row>
    <row r="438">
      <c r="A438" s="2" t="s">
        <v>2004</v>
      </c>
      <c r="B438" s="2" t="s">
        <v>87</v>
      </c>
      <c r="C438" s="2" t="s">
        <v>1797</v>
      </c>
      <c r="D438" s="2" t="s">
        <v>89</v>
      </c>
      <c r="E438" s="2" t="s">
        <v>811</v>
      </c>
      <c r="F438" s="2" t="s">
        <v>2005</v>
      </c>
      <c r="G438" s="2" t="s">
        <v>1665</v>
      </c>
      <c r="H438" s="2" t="s">
        <v>2006</v>
      </c>
      <c r="I438" s="2" t="s">
        <v>1801</v>
      </c>
      <c r="J438" s="2" t="s">
        <v>1443</v>
      </c>
      <c r="K438" s="2" t="s">
        <v>386</v>
      </c>
      <c r="L438" s="3">
        <v>51.99</v>
      </c>
      <c r="M438" s="3">
        <v>54.59</v>
      </c>
      <c r="N438" s="3">
        <v>99.99</v>
      </c>
      <c r="O438" s="2" t="s">
        <v>97</v>
      </c>
      <c r="P438" s="2" t="s">
        <v>98</v>
      </c>
      <c r="Q438" s="2" t="s">
        <v>99</v>
      </c>
      <c r="R438" s="2" t="s">
        <v>100</v>
      </c>
      <c r="S438" s="2" t="s">
        <v>2007</v>
      </c>
      <c r="T438" s="2" t="s">
        <v>100</v>
      </c>
      <c r="U438" s="2" t="s">
        <v>102</v>
      </c>
      <c r="V438" s="2" t="s">
        <v>192</v>
      </c>
      <c r="W438" s="2" t="s">
        <v>142</v>
      </c>
      <c r="X438" s="2" t="s">
        <v>211</v>
      </c>
      <c r="Y438" s="2" t="s">
        <v>144</v>
      </c>
      <c r="Z438" s="4">
        <v>69</v>
      </c>
      <c r="AA438" s="4">
        <f>=ROUNDDOWN(23,0)</f>
      </c>
      <c r="AB438" s="5">
        <v>3</v>
      </c>
      <c r="AC438" s="2" t="s">
        <v>2008</v>
      </c>
      <c r="AD438" s="4">
        <v>50</v>
      </c>
      <c r="AE438" s="4">
        <v>50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/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/>
      <c r="BJ438" s="4">
        <v>2</v>
      </c>
      <c r="BK438" s="8">
        <v>92.49</v>
      </c>
      <c r="BL438" s="2" t="s">
        <v>2009</v>
      </c>
      <c r="BM438" s="7"/>
      <c r="BN438" s="7"/>
      <c r="BO438" s="4"/>
      <c r="BP438" s="8"/>
      <c r="BQ438" s="4"/>
      <c r="BR438" s="8"/>
      <c r="BS438" s="7"/>
      <c r="BT438" s="7"/>
      <c r="BU438" s="2" t="s">
        <v>109</v>
      </c>
      <c r="BV438" s="2" t="s">
        <v>97</v>
      </c>
      <c r="BW438" s="2" t="s">
        <v>159</v>
      </c>
      <c r="BX438" s="2" t="s">
        <v>2010</v>
      </c>
      <c r="BY438" s="2" t="s">
        <v>112</v>
      </c>
      <c r="BZ438" s="2" t="s">
        <v>100</v>
      </c>
    </row>
    <row r="439">
      <c r="A439" s="2" t="s">
        <v>2011</v>
      </c>
      <c r="B439" s="2" t="s">
        <v>87</v>
      </c>
      <c r="C439" s="2" t="s">
        <v>1797</v>
      </c>
      <c r="D439" s="2" t="s">
        <v>89</v>
      </c>
      <c r="E439" s="2" t="s">
        <v>811</v>
      </c>
      <c r="F439" s="2" t="s">
        <v>2005</v>
      </c>
      <c r="G439" s="2" t="s">
        <v>1665</v>
      </c>
      <c r="H439" s="2" t="s">
        <v>2006</v>
      </c>
      <c r="I439" s="2" t="s">
        <v>1810</v>
      </c>
      <c r="J439" s="2" t="s">
        <v>490</v>
      </c>
      <c r="K439" s="2" t="s">
        <v>386</v>
      </c>
      <c r="L439" s="3">
        <v>57.19</v>
      </c>
      <c r="M439" s="3">
        <v>60.05</v>
      </c>
      <c r="N439" s="3">
        <v>109.99</v>
      </c>
      <c r="O439" s="2" t="s">
        <v>97</v>
      </c>
      <c r="P439" s="2" t="s">
        <v>98</v>
      </c>
      <c r="Q439" s="2" t="s">
        <v>99</v>
      </c>
      <c r="R439" s="2" t="s">
        <v>100</v>
      </c>
      <c r="S439" s="2" t="s">
        <v>2007</v>
      </c>
      <c r="T439" s="2" t="s">
        <v>100</v>
      </c>
      <c r="U439" s="2" t="s">
        <v>618</v>
      </c>
      <c r="V439" s="2" t="s">
        <v>192</v>
      </c>
      <c r="W439" s="2" t="s">
        <v>142</v>
      </c>
      <c r="X439" s="2" t="s">
        <v>211</v>
      </c>
      <c r="Y439" s="2" t="s">
        <v>144</v>
      </c>
      <c r="Z439" s="4">
        <v>30</v>
      </c>
      <c r="AA439" s="4">
        <f>=ROUNDDOWN(7.5,0)</f>
      </c>
      <c r="AB439" s="5">
        <v>4</v>
      </c>
      <c r="AC439" s="2" t="s">
        <v>2008</v>
      </c>
      <c r="AD439" s="4">
        <v>70</v>
      </c>
      <c r="AE439" s="4">
        <v>70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/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/>
      <c r="BJ439" s="4">
        <v>11</v>
      </c>
      <c r="BK439" s="8">
        <v>657.81</v>
      </c>
      <c r="BL439" s="2" t="s">
        <v>647</v>
      </c>
      <c r="BM439" s="7"/>
      <c r="BN439" s="7"/>
      <c r="BO439" s="4"/>
      <c r="BP439" s="8"/>
      <c r="BQ439" s="4"/>
      <c r="BR439" s="8"/>
      <c r="BS439" s="7"/>
      <c r="BT439" s="7"/>
      <c r="BU439" s="2" t="s">
        <v>109</v>
      </c>
      <c r="BV439" s="2" t="s">
        <v>97</v>
      </c>
      <c r="BW439" s="2" t="s">
        <v>159</v>
      </c>
      <c r="BX439" s="2" t="s">
        <v>1250</v>
      </c>
      <c r="BY439" s="2" t="s">
        <v>112</v>
      </c>
      <c r="BZ439" s="2" t="s">
        <v>100</v>
      </c>
    </row>
    <row r="440">
      <c r="A440" s="2" t="s">
        <v>2012</v>
      </c>
      <c r="B440" s="2" t="s">
        <v>87</v>
      </c>
      <c r="C440" s="2" t="s">
        <v>1797</v>
      </c>
      <c r="D440" s="2" t="s">
        <v>89</v>
      </c>
      <c r="E440" s="2" t="s">
        <v>811</v>
      </c>
      <c r="F440" s="2" t="s">
        <v>2005</v>
      </c>
      <c r="G440" s="2" t="s">
        <v>1665</v>
      </c>
      <c r="H440" s="2" t="s">
        <v>2006</v>
      </c>
      <c r="I440" s="2" t="s">
        <v>1810</v>
      </c>
      <c r="J440" s="2" t="s">
        <v>95</v>
      </c>
      <c r="K440" s="2" t="s">
        <v>386</v>
      </c>
      <c r="L440" s="3">
        <v>62.39</v>
      </c>
      <c r="M440" s="3">
        <v>65.51</v>
      </c>
      <c r="N440" s="3">
        <v>119.99</v>
      </c>
      <c r="O440" s="2" t="s">
        <v>97</v>
      </c>
      <c r="P440" s="2" t="s">
        <v>98</v>
      </c>
      <c r="Q440" s="2" t="s">
        <v>99</v>
      </c>
      <c r="R440" s="2" t="s">
        <v>100</v>
      </c>
      <c r="S440" s="2" t="s">
        <v>2007</v>
      </c>
      <c r="T440" s="2" t="s">
        <v>100</v>
      </c>
      <c r="U440" s="2" t="s">
        <v>618</v>
      </c>
      <c r="V440" s="2" t="s">
        <v>192</v>
      </c>
      <c r="W440" s="2" t="s">
        <v>142</v>
      </c>
      <c r="X440" s="2" t="s">
        <v>211</v>
      </c>
      <c r="Y440" s="2" t="s">
        <v>144</v>
      </c>
      <c r="Z440" s="4">
        <v>150</v>
      </c>
      <c r="AA440" s="4">
        <f>=ROUNDDOWN(12.5,0)</f>
      </c>
      <c r="AB440" s="5">
        <v>12</v>
      </c>
      <c r="AC440" s="2" t="s">
        <v>2008</v>
      </c>
      <c r="AD440" s="4">
        <v>230</v>
      </c>
      <c r="AE440" s="4">
        <v>230</v>
      </c>
      <c r="AF440" s="6">
        <v>65</v>
      </c>
      <c r="AG440" s="6"/>
      <c r="AH440" s="7">
        <v>0.6452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/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/>
      <c r="BJ440" s="4">
        <v>21</v>
      </c>
      <c r="BK440" s="8">
        <v>1384.54</v>
      </c>
      <c r="BL440" s="2" t="s">
        <v>2013</v>
      </c>
      <c r="BM440" s="7"/>
      <c r="BN440" s="7"/>
      <c r="BO440" s="4"/>
      <c r="BP440" s="8"/>
      <c r="BQ440" s="4"/>
      <c r="BR440" s="8"/>
      <c r="BS440" s="7"/>
      <c r="BT440" s="7"/>
      <c r="BU440" s="2" t="s">
        <v>109</v>
      </c>
      <c r="BV440" s="2" t="s">
        <v>97</v>
      </c>
      <c r="BW440" s="2" t="s">
        <v>159</v>
      </c>
      <c r="BX440" s="2" t="s">
        <v>2014</v>
      </c>
      <c r="BY440" s="2" t="s">
        <v>112</v>
      </c>
      <c r="BZ440" s="2" t="s">
        <v>100</v>
      </c>
    </row>
    <row r="441">
      <c r="A441" s="2" t="s">
        <v>2015</v>
      </c>
      <c r="B441" s="2" t="s">
        <v>87</v>
      </c>
      <c r="C441" s="2" t="s">
        <v>1797</v>
      </c>
      <c r="D441" s="2" t="s">
        <v>89</v>
      </c>
      <c r="E441" s="2" t="s">
        <v>811</v>
      </c>
      <c r="F441" s="2" t="s">
        <v>2005</v>
      </c>
      <c r="G441" s="2" t="s">
        <v>1665</v>
      </c>
      <c r="H441" s="2" t="s">
        <v>2006</v>
      </c>
      <c r="I441" s="2" t="s">
        <v>1810</v>
      </c>
      <c r="J441" s="2" t="s">
        <v>114</v>
      </c>
      <c r="K441" s="2" t="s">
        <v>386</v>
      </c>
      <c r="L441" s="3">
        <v>67.59</v>
      </c>
      <c r="M441" s="3">
        <v>70.97</v>
      </c>
      <c r="N441" s="3">
        <v>129.99</v>
      </c>
      <c r="O441" s="2" t="s">
        <v>97</v>
      </c>
      <c r="P441" s="2" t="s">
        <v>98</v>
      </c>
      <c r="Q441" s="2" t="s">
        <v>99</v>
      </c>
      <c r="R441" s="2" t="s">
        <v>100</v>
      </c>
      <c r="S441" s="2" t="s">
        <v>2007</v>
      </c>
      <c r="T441" s="2" t="s">
        <v>100</v>
      </c>
      <c r="U441" s="2" t="s">
        <v>618</v>
      </c>
      <c r="V441" s="2" t="s">
        <v>192</v>
      </c>
      <c r="W441" s="2" t="s">
        <v>142</v>
      </c>
      <c r="X441" s="2" t="s">
        <v>211</v>
      </c>
      <c r="Y441" s="2" t="s">
        <v>144</v>
      </c>
      <c r="Z441" s="4">
        <v>116</v>
      </c>
      <c r="AA441" s="4">
        <f>=ROUNDDOWN(19.3333333333333,0)</f>
      </c>
      <c r="AB441" s="5">
        <v>6</v>
      </c>
      <c r="AC441" s="2" t="s">
        <v>2008</v>
      </c>
      <c r="AD441" s="4">
        <v>100</v>
      </c>
      <c r="AE441" s="4">
        <v>100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/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/>
      <c r="BJ441" s="4">
        <v>11</v>
      </c>
      <c r="BK441" s="8">
        <v>820.15</v>
      </c>
      <c r="BL441" s="2" t="s">
        <v>2016</v>
      </c>
      <c r="BM441" s="7"/>
      <c r="BN441" s="7"/>
      <c r="BO441" s="4"/>
      <c r="BP441" s="8"/>
      <c r="BQ441" s="4"/>
      <c r="BR441" s="8"/>
      <c r="BS441" s="7"/>
      <c r="BT441" s="7"/>
      <c r="BU441" s="2" t="s">
        <v>109</v>
      </c>
      <c r="BV441" s="2" t="s">
        <v>97</v>
      </c>
      <c r="BW441" s="2" t="s">
        <v>159</v>
      </c>
      <c r="BX441" s="2" t="s">
        <v>2017</v>
      </c>
      <c r="BY441" s="2" t="s">
        <v>112</v>
      </c>
      <c r="BZ441" s="2" t="s">
        <v>100</v>
      </c>
    </row>
    <row r="442">
      <c r="A442" s="2" t="s">
        <v>2018</v>
      </c>
      <c r="B442" s="2" t="s">
        <v>87</v>
      </c>
      <c r="C442" s="2" t="s">
        <v>1797</v>
      </c>
      <c r="D442" s="2" t="s">
        <v>89</v>
      </c>
      <c r="E442" s="2" t="s">
        <v>811</v>
      </c>
      <c r="F442" s="2" t="s">
        <v>2005</v>
      </c>
      <c r="G442" s="2" t="s">
        <v>1665</v>
      </c>
      <c r="H442" s="2" t="s">
        <v>2006</v>
      </c>
      <c r="I442" s="2" t="s">
        <v>1810</v>
      </c>
      <c r="J442" s="2" t="s">
        <v>118</v>
      </c>
      <c r="K442" s="2" t="s">
        <v>386</v>
      </c>
      <c r="L442" s="3">
        <v>67.59</v>
      </c>
      <c r="M442" s="3">
        <v>70.97</v>
      </c>
      <c r="N442" s="3">
        <v>129.99</v>
      </c>
      <c r="O442" s="2" t="s">
        <v>97</v>
      </c>
      <c r="P442" s="2" t="s">
        <v>98</v>
      </c>
      <c r="Q442" s="2" t="s">
        <v>99</v>
      </c>
      <c r="R442" s="2" t="s">
        <v>100</v>
      </c>
      <c r="S442" s="2" t="s">
        <v>2007</v>
      </c>
      <c r="T442" s="2" t="s">
        <v>100</v>
      </c>
      <c r="U442" s="2" t="s">
        <v>618</v>
      </c>
      <c r="V442" s="2" t="s">
        <v>192</v>
      </c>
      <c r="W442" s="2" t="s">
        <v>142</v>
      </c>
      <c r="X442" s="2" t="s">
        <v>211</v>
      </c>
      <c r="Y442" s="2" t="s">
        <v>144</v>
      </c>
      <c r="Z442" s="4">
        <v>57</v>
      </c>
      <c r="AA442" s="4">
        <f>=ROUNDDOWN(14.25,0)</f>
      </c>
      <c r="AB442" s="5">
        <v>4</v>
      </c>
      <c r="AC442" s="2" t="s">
        <v>2008</v>
      </c>
      <c r="AD442" s="4">
        <v>50</v>
      </c>
      <c r="AE442" s="4">
        <v>50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/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/>
      <c r="BJ442" s="4">
        <v>14</v>
      </c>
      <c r="BK442" s="8">
        <v>1019.5</v>
      </c>
      <c r="BL442" s="2" t="s">
        <v>2019</v>
      </c>
      <c r="BM442" s="7"/>
      <c r="BN442" s="7"/>
      <c r="BO442" s="4"/>
      <c r="BP442" s="8"/>
      <c r="BQ442" s="4"/>
      <c r="BR442" s="8"/>
      <c r="BS442" s="7"/>
      <c r="BT442" s="7"/>
      <c r="BU442" s="2" t="s">
        <v>109</v>
      </c>
      <c r="BV442" s="2" t="s">
        <v>97</v>
      </c>
      <c r="BW442" s="2" t="s">
        <v>159</v>
      </c>
      <c r="BX442" s="2" t="s">
        <v>1908</v>
      </c>
      <c r="BY442" s="2" t="s">
        <v>112</v>
      </c>
      <c r="BZ442" s="2" t="s">
        <v>100</v>
      </c>
    </row>
    <row r="443">
      <c r="A443" s="2" t="s">
        <v>2020</v>
      </c>
      <c r="B443" s="2" t="s">
        <v>87</v>
      </c>
      <c r="C443" s="2" t="s">
        <v>1797</v>
      </c>
      <c r="D443" s="2" t="s">
        <v>89</v>
      </c>
      <c r="E443" s="2" t="s">
        <v>811</v>
      </c>
      <c r="F443" s="2" t="s">
        <v>2021</v>
      </c>
      <c r="G443" s="2" t="s">
        <v>2022</v>
      </c>
      <c r="H443" s="2" t="s">
        <v>2023</v>
      </c>
      <c r="I443" s="2" t="s">
        <v>2024</v>
      </c>
      <c r="J443" s="2" t="s">
        <v>1443</v>
      </c>
      <c r="K443" s="2" t="s">
        <v>2025</v>
      </c>
      <c r="L443" s="3">
        <v>39.99</v>
      </c>
      <c r="M443" s="3">
        <v>41.99</v>
      </c>
      <c r="N443" s="3">
        <v>79.99</v>
      </c>
      <c r="O443" s="2" t="s">
        <v>97</v>
      </c>
      <c r="P443" s="2" t="s">
        <v>707</v>
      </c>
      <c r="Q443" s="2" t="s">
        <v>99</v>
      </c>
      <c r="R443" s="2" t="s">
        <v>100</v>
      </c>
      <c r="S443" s="2" t="s">
        <v>2026</v>
      </c>
      <c r="T443" s="2" t="s">
        <v>438</v>
      </c>
      <c r="U443" s="2" t="s">
        <v>355</v>
      </c>
      <c r="V443" s="2" t="s">
        <v>269</v>
      </c>
      <c r="W443" s="2" t="s">
        <v>270</v>
      </c>
      <c r="X443" s="2" t="s">
        <v>609</v>
      </c>
      <c r="Y443" s="2" t="s">
        <v>2027</v>
      </c>
      <c r="Z443" s="4">
        <v>254</v>
      </c>
      <c r="AA443" s="4">
        <f>=ROUNDDOWN(63.5,0)</f>
      </c>
      <c r="AB443" s="5">
        <v>4</v>
      </c>
      <c r="AC443" s="2" t="s">
        <v>100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/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/>
      <c r="BJ443" s="4">
        <v>6</v>
      </c>
      <c r="BK443" s="8">
        <v>279.22</v>
      </c>
      <c r="BL443" s="2" t="s">
        <v>2028</v>
      </c>
      <c r="BM443" s="7"/>
      <c r="BN443" s="7"/>
      <c r="BO443" s="4"/>
      <c r="BP443" s="8"/>
      <c r="BQ443" s="4"/>
      <c r="BR443" s="8"/>
      <c r="BS443" s="7"/>
      <c r="BT443" s="7"/>
      <c r="BU443" s="2" t="s">
        <v>171</v>
      </c>
      <c r="BV443" s="2" t="s">
        <v>97</v>
      </c>
      <c r="BW443" s="2" t="s">
        <v>100</v>
      </c>
      <c r="BX443" s="2" t="s">
        <v>100</v>
      </c>
      <c r="BY443" s="2" t="s">
        <v>112</v>
      </c>
      <c r="BZ443" s="2" t="s">
        <v>149</v>
      </c>
    </row>
    <row r="444">
      <c r="A444" s="2" t="s">
        <v>2029</v>
      </c>
      <c r="B444" s="2" t="s">
        <v>87</v>
      </c>
      <c r="C444" s="2" t="s">
        <v>1797</v>
      </c>
      <c r="D444" s="2" t="s">
        <v>89</v>
      </c>
      <c r="E444" s="2" t="s">
        <v>811</v>
      </c>
      <c r="F444" s="2" t="s">
        <v>2021</v>
      </c>
      <c r="G444" s="2" t="s">
        <v>2022</v>
      </c>
      <c r="H444" s="2" t="s">
        <v>2023</v>
      </c>
      <c r="I444" s="2" t="s">
        <v>2030</v>
      </c>
      <c r="J444" s="2" t="s">
        <v>490</v>
      </c>
      <c r="K444" s="2" t="s">
        <v>2025</v>
      </c>
      <c r="L444" s="3">
        <v>44.99</v>
      </c>
      <c r="M444" s="3">
        <v>47.24</v>
      </c>
      <c r="N444" s="3">
        <v>89.99</v>
      </c>
      <c r="O444" s="2" t="s">
        <v>97</v>
      </c>
      <c r="P444" s="2" t="s">
        <v>707</v>
      </c>
      <c r="Q444" s="2" t="s">
        <v>99</v>
      </c>
      <c r="R444" s="2" t="s">
        <v>100</v>
      </c>
      <c r="S444" s="2" t="s">
        <v>2026</v>
      </c>
      <c r="T444" s="2" t="s">
        <v>438</v>
      </c>
      <c r="U444" s="2" t="s">
        <v>191</v>
      </c>
      <c r="V444" s="2" t="s">
        <v>269</v>
      </c>
      <c r="W444" s="2" t="s">
        <v>270</v>
      </c>
      <c r="X444" s="2" t="s">
        <v>609</v>
      </c>
      <c r="Y444" s="2" t="s">
        <v>2027</v>
      </c>
      <c r="Z444" s="4">
        <v>186</v>
      </c>
      <c r="AA444" s="4">
        <f>=ROUNDDOWN(26.5714285714286,0)</f>
      </c>
      <c r="AB444" s="5">
        <v>7</v>
      </c>
      <c r="AC444" s="2" t="s">
        <v>100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/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/>
      <c r="BJ444" s="4">
        <v>12</v>
      </c>
      <c r="BK444" s="8">
        <v>566.82</v>
      </c>
      <c r="BL444" s="2" t="s">
        <v>2031</v>
      </c>
      <c r="BM444" s="7"/>
      <c r="BN444" s="7"/>
      <c r="BO444" s="4"/>
      <c r="BP444" s="8"/>
      <c r="BQ444" s="4"/>
      <c r="BR444" s="8"/>
      <c r="BS444" s="7"/>
      <c r="BT444" s="7"/>
      <c r="BU444" s="2" t="s">
        <v>171</v>
      </c>
      <c r="BV444" s="2" t="s">
        <v>97</v>
      </c>
      <c r="BW444" s="2" t="s">
        <v>100</v>
      </c>
      <c r="BX444" s="2" t="s">
        <v>100</v>
      </c>
      <c r="BY444" s="2" t="s">
        <v>112</v>
      </c>
      <c r="BZ444" s="2" t="s">
        <v>100</v>
      </c>
    </row>
    <row r="445">
      <c r="A445" s="2" t="s">
        <v>2032</v>
      </c>
      <c r="B445" s="2" t="s">
        <v>87</v>
      </c>
      <c r="C445" s="2" t="s">
        <v>1797</v>
      </c>
      <c r="D445" s="2" t="s">
        <v>89</v>
      </c>
      <c r="E445" s="2" t="s">
        <v>811</v>
      </c>
      <c r="F445" s="2" t="s">
        <v>2021</v>
      </c>
      <c r="G445" s="2" t="s">
        <v>2022</v>
      </c>
      <c r="H445" s="2" t="s">
        <v>2023</v>
      </c>
      <c r="I445" s="2" t="s">
        <v>2030</v>
      </c>
      <c r="J445" s="2" t="s">
        <v>95</v>
      </c>
      <c r="K445" s="2" t="s">
        <v>2025</v>
      </c>
      <c r="L445" s="3">
        <v>49.99</v>
      </c>
      <c r="M445" s="3">
        <v>52.49</v>
      </c>
      <c r="N445" s="3">
        <v>99.99</v>
      </c>
      <c r="O445" s="2" t="s">
        <v>97</v>
      </c>
      <c r="P445" s="2" t="s">
        <v>707</v>
      </c>
      <c r="Q445" s="2" t="s">
        <v>99</v>
      </c>
      <c r="R445" s="2" t="s">
        <v>100</v>
      </c>
      <c r="S445" s="2" t="s">
        <v>2026</v>
      </c>
      <c r="T445" s="2" t="s">
        <v>438</v>
      </c>
      <c r="U445" s="2" t="s">
        <v>191</v>
      </c>
      <c r="V445" s="2" t="s">
        <v>269</v>
      </c>
      <c r="W445" s="2" t="s">
        <v>270</v>
      </c>
      <c r="X445" s="2" t="s">
        <v>609</v>
      </c>
      <c r="Y445" s="2" t="s">
        <v>2027</v>
      </c>
      <c r="Z445" s="4">
        <v>318</v>
      </c>
      <c r="AA445" s="4">
        <f>=ROUNDDOWN(31.8,0)</f>
      </c>
      <c r="AB445" s="5">
        <v>10</v>
      </c>
      <c r="AC445" s="2" t="s">
        <v>100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/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/>
      <c r="BJ445" s="4">
        <v>10</v>
      </c>
      <c r="BK445" s="8">
        <v>540.41</v>
      </c>
      <c r="BL445" s="2" t="s">
        <v>2033</v>
      </c>
      <c r="BM445" s="7"/>
      <c r="BN445" s="7"/>
      <c r="BO445" s="4"/>
      <c r="BP445" s="8"/>
      <c r="BQ445" s="4"/>
      <c r="BR445" s="8"/>
      <c r="BS445" s="7"/>
      <c r="BT445" s="7"/>
      <c r="BU445" s="2" t="s">
        <v>171</v>
      </c>
      <c r="BV445" s="2" t="s">
        <v>97</v>
      </c>
      <c r="BW445" s="2" t="s">
        <v>100</v>
      </c>
      <c r="BX445" s="2" t="s">
        <v>100</v>
      </c>
      <c r="BY445" s="2" t="s">
        <v>112</v>
      </c>
      <c r="BZ445" s="2" t="s">
        <v>100</v>
      </c>
    </row>
    <row r="446">
      <c r="A446" s="2" t="s">
        <v>2034</v>
      </c>
      <c r="B446" s="2" t="s">
        <v>87</v>
      </c>
      <c r="C446" s="2" t="s">
        <v>1797</v>
      </c>
      <c r="D446" s="2" t="s">
        <v>89</v>
      </c>
      <c r="E446" s="2" t="s">
        <v>811</v>
      </c>
      <c r="F446" s="2" t="s">
        <v>2021</v>
      </c>
      <c r="G446" s="2" t="s">
        <v>2022</v>
      </c>
      <c r="H446" s="2" t="s">
        <v>2023</v>
      </c>
      <c r="I446" s="2" t="s">
        <v>2030</v>
      </c>
      <c r="J446" s="2" t="s">
        <v>114</v>
      </c>
      <c r="K446" s="2" t="s">
        <v>2025</v>
      </c>
      <c r="L446" s="3">
        <v>54.99</v>
      </c>
      <c r="M446" s="3">
        <v>57.74</v>
      </c>
      <c r="N446" s="3">
        <v>109.99</v>
      </c>
      <c r="O446" s="2" t="s">
        <v>97</v>
      </c>
      <c r="P446" s="2" t="s">
        <v>707</v>
      </c>
      <c r="Q446" s="2" t="s">
        <v>99</v>
      </c>
      <c r="R446" s="2" t="s">
        <v>100</v>
      </c>
      <c r="S446" s="2" t="s">
        <v>2026</v>
      </c>
      <c r="T446" s="2" t="s">
        <v>438</v>
      </c>
      <c r="U446" s="2" t="s">
        <v>191</v>
      </c>
      <c r="V446" s="2" t="s">
        <v>269</v>
      </c>
      <c r="W446" s="2" t="s">
        <v>270</v>
      </c>
      <c r="X446" s="2" t="s">
        <v>609</v>
      </c>
      <c r="Y446" s="2" t="s">
        <v>2027</v>
      </c>
      <c r="Z446" s="4">
        <v>299</v>
      </c>
      <c r="AA446" s="4">
        <f>=ROUNDDOWN(59.8,0)</f>
      </c>
      <c r="AB446" s="5">
        <v>5</v>
      </c>
      <c r="AC446" s="2" t="s">
        <v>100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/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/>
      <c r="BJ446" s="4">
        <v>4</v>
      </c>
      <c r="BK446" s="8">
        <v>242.44</v>
      </c>
      <c r="BL446" s="2" t="s">
        <v>2035</v>
      </c>
      <c r="BM446" s="7"/>
      <c r="BN446" s="7"/>
      <c r="BO446" s="4"/>
      <c r="BP446" s="8"/>
      <c r="BQ446" s="4"/>
      <c r="BR446" s="8"/>
      <c r="BS446" s="7"/>
      <c r="BT446" s="7"/>
      <c r="BU446" s="2" t="s">
        <v>171</v>
      </c>
      <c r="BV446" s="2" t="s">
        <v>97</v>
      </c>
      <c r="BW446" s="2" t="s">
        <v>100</v>
      </c>
      <c r="BX446" s="2" t="s">
        <v>100</v>
      </c>
      <c r="BY446" s="2" t="s">
        <v>112</v>
      </c>
      <c r="BZ446" s="2" t="s">
        <v>100</v>
      </c>
    </row>
    <row r="447">
      <c r="A447" s="2" t="s">
        <v>2036</v>
      </c>
      <c r="B447" s="2" t="s">
        <v>87</v>
      </c>
      <c r="C447" s="2" t="s">
        <v>1797</v>
      </c>
      <c r="D447" s="2" t="s">
        <v>89</v>
      </c>
      <c r="E447" s="2" t="s">
        <v>811</v>
      </c>
      <c r="F447" s="2" t="s">
        <v>2021</v>
      </c>
      <c r="G447" s="2" t="s">
        <v>2022</v>
      </c>
      <c r="H447" s="2" t="s">
        <v>2023</v>
      </c>
      <c r="I447" s="2" t="s">
        <v>2030</v>
      </c>
      <c r="J447" s="2" t="s">
        <v>118</v>
      </c>
      <c r="K447" s="2" t="s">
        <v>2025</v>
      </c>
      <c r="L447" s="3">
        <v>54.99</v>
      </c>
      <c r="M447" s="3">
        <v>57.74</v>
      </c>
      <c r="N447" s="3">
        <v>109.99</v>
      </c>
      <c r="O447" s="2" t="s">
        <v>97</v>
      </c>
      <c r="P447" s="2" t="s">
        <v>707</v>
      </c>
      <c r="Q447" s="2" t="s">
        <v>99</v>
      </c>
      <c r="R447" s="2" t="s">
        <v>100</v>
      </c>
      <c r="S447" s="2" t="s">
        <v>2026</v>
      </c>
      <c r="T447" s="2" t="s">
        <v>438</v>
      </c>
      <c r="U447" s="2" t="s">
        <v>191</v>
      </c>
      <c r="V447" s="2" t="s">
        <v>269</v>
      </c>
      <c r="W447" s="2" t="s">
        <v>270</v>
      </c>
      <c r="X447" s="2" t="s">
        <v>609</v>
      </c>
      <c r="Y447" s="2" t="s">
        <v>2027</v>
      </c>
      <c r="Z447" s="4">
        <v>246</v>
      </c>
      <c r="AA447" s="4">
        <f>=ROUNDDOWN(61.5,0)</f>
      </c>
      <c r="AB447" s="5">
        <v>4</v>
      </c>
      <c r="AC447" s="2" t="s">
        <v>100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/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/>
      <c r="BJ447" s="4">
        <v>7</v>
      </c>
      <c r="BK447" s="8">
        <v>397.34</v>
      </c>
      <c r="BL447" s="2" t="s">
        <v>2037</v>
      </c>
      <c r="BM447" s="7"/>
      <c r="BN447" s="7"/>
      <c r="BO447" s="4"/>
      <c r="BP447" s="8"/>
      <c r="BQ447" s="4"/>
      <c r="BR447" s="8"/>
      <c r="BS447" s="7"/>
      <c r="BT447" s="7"/>
      <c r="BU447" s="2" t="s">
        <v>171</v>
      </c>
      <c r="BV447" s="2" t="s">
        <v>97</v>
      </c>
      <c r="BW447" s="2" t="s">
        <v>100</v>
      </c>
      <c r="BX447" s="2" t="s">
        <v>100</v>
      </c>
      <c r="BY447" s="2" t="s">
        <v>112</v>
      </c>
      <c r="BZ447" s="2" t="s">
        <v>149</v>
      </c>
    </row>
    <row r="448">
      <c r="A448" s="2" t="s">
        <v>2038</v>
      </c>
      <c r="B448" s="2" t="s">
        <v>87</v>
      </c>
      <c r="C448" s="2" t="s">
        <v>1797</v>
      </c>
      <c r="D448" s="2" t="s">
        <v>89</v>
      </c>
      <c r="E448" s="2" t="s">
        <v>811</v>
      </c>
      <c r="F448" s="2" t="s">
        <v>2039</v>
      </c>
      <c r="G448" s="2" t="s">
        <v>2040</v>
      </c>
      <c r="H448" s="2" t="s">
        <v>2041</v>
      </c>
      <c r="I448" s="2" t="s">
        <v>2042</v>
      </c>
      <c r="J448" s="2" t="s">
        <v>1443</v>
      </c>
      <c r="K448" s="2" t="s">
        <v>2043</v>
      </c>
      <c r="L448" s="3">
        <v>30.95</v>
      </c>
      <c r="M448" s="3">
        <v>32.5</v>
      </c>
      <c r="N448" s="3">
        <v>64.99</v>
      </c>
      <c r="O448" s="2" t="s">
        <v>97</v>
      </c>
      <c r="P448" s="2" t="s">
        <v>98</v>
      </c>
      <c r="Q448" s="2" t="s">
        <v>99</v>
      </c>
      <c r="R448" s="2" t="s">
        <v>100</v>
      </c>
      <c r="S448" s="2" t="s">
        <v>2044</v>
      </c>
      <c r="T448" s="2" t="s">
        <v>438</v>
      </c>
      <c r="U448" s="2" t="s">
        <v>460</v>
      </c>
      <c r="V448" s="2" t="s">
        <v>367</v>
      </c>
      <c r="W448" s="2" t="s">
        <v>609</v>
      </c>
      <c r="X448" s="2" t="s">
        <v>100</v>
      </c>
      <c r="Y448" s="2" t="s">
        <v>2045</v>
      </c>
      <c r="Z448" s="4">
        <v>190</v>
      </c>
      <c r="AA448" s="4">
        <f>=ROUNDDOWN(15.8333333333333,0)</f>
      </c>
      <c r="AB448" s="5">
        <v>12</v>
      </c>
      <c r="AC448" s="2" t="s">
        <v>1468</v>
      </c>
      <c r="AD448" s="4">
        <v>50</v>
      </c>
      <c r="AE448" s="4">
        <v>270</v>
      </c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/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/>
      <c r="BJ448" s="4">
        <v>16</v>
      </c>
      <c r="BK448" s="8">
        <v>540.67</v>
      </c>
      <c r="BL448" s="2" t="s">
        <v>2046</v>
      </c>
      <c r="BM448" s="7"/>
      <c r="BN448" s="7"/>
      <c r="BO448" s="4"/>
      <c r="BP448" s="8"/>
      <c r="BQ448" s="4"/>
      <c r="BR448" s="8"/>
      <c r="BS448" s="7"/>
      <c r="BT448" s="7"/>
      <c r="BU448" s="2" t="s">
        <v>171</v>
      </c>
      <c r="BV448" s="2" t="s">
        <v>97</v>
      </c>
      <c r="BW448" s="2" t="s">
        <v>100</v>
      </c>
      <c r="BX448" s="2" t="s">
        <v>100</v>
      </c>
      <c r="BY448" s="2" t="s">
        <v>112</v>
      </c>
      <c r="BZ448" s="2" t="s">
        <v>100</v>
      </c>
    </row>
    <row r="449">
      <c r="A449" s="2" t="s">
        <v>2047</v>
      </c>
      <c r="B449" s="2" t="s">
        <v>87</v>
      </c>
      <c r="C449" s="2" t="s">
        <v>1797</v>
      </c>
      <c r="D449" s="2" t="s">
        <v>89</v>
      </c>
      <c r="E449" s="2" t="s">
        <v>811</v>
      </c>
      <c r="F449" s="2" t="s">
        <v>2039</v>
      </c>
      <c r="G449" s="2" t="s">
        <v>2040</v>
      </c>
      <c r="H449" s="2" t="s">
        <v>2041</v>
      </c>
      <c r="I449" s="2" t="s">
        <v>2042</v>
      </c>
      <c r="J449" s="2" t="s">
        <v>490</v>
      </c>
      <c r="K449" s="2" t="s">
        <v>2043</v>
      </c>
      <c r="L449" s="3">
        <v>35.71</v>
      </c>
      <c r="M449" s="3">
        <v>37.5</v>
      </c>
      <c r="N449" s="3">
        <v>74.99</v>
      </c>
      <c r="O449" s="2" t="s">
        <v>97</v>
      </c>
      <c r="P449" s="2" t="s">
        <v>98</v>
      </c>
      <c r="Q449" s="2" t="s">
        <v>99</v>
      </c>
      <c r="R449" s="2" t="s">
        <v>100</v>
      </c>
      <c r="S449" s="2" t="s">
        <v>2044</v>
      </c>
      <c r="T449" s="2" t="s">
        <v>438</v>
      </c>
      <c r="U449" s="2" t="s">
        <v>102</v>
      </c>
      <c r="V449" s="2" t="s">
        <v>367</v>
      </c>
      <c r="W449" s="2" t="s">
        <v>609</v>
      </c>
      <c r="X449" s="2" t="s">
        <v>100</v>
      </c>
      <c r="Y449" s="2" t="s">
        <v>2045</v>
      </c>
      <c r="Z449" s="4">
        <v>280</v>
      </c>
      <c r="AA449" s="4">
        <f>=ROUNDDOWN(20,0)</f>
      </c>
      <c r="AB449" s="5">
        <v>14</v>
      </c>
      <c r="AC449" s="2" t="s">
        <v>1468</v>
      </c>
      <c r="AD449" s="4">
        <v>70</v>
      </c>
      <c r="AE449" s="4">
        <v>240</v>
      </c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/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/>
      <c r="BJ449" s="4">
        <v>36</v>
      </c>
      <c r="BK449" s="8">
        <v>1435.57</v>
      </c>
      <c r="BL449" s="2" t="s">
        <v>2048</v>
      </c>
      <c r="BM449" s="7"/>
      <c r="BN449" s="7"/>
      <c r="BO449" s="4"/>
      <c r="BP449" s="8"/>
      <c r="BQ449" s="4"/>
      <c r="BR449" s="8"/>
      <c r="BS449" s="7"/>
      <c r="BT449" s="7"/>
      <c r="BU449" s="2" t="s">
        <v>171</v>
      </c>
      <c r="BV449" s="2" t="s">
        <v>97</v>
      </c>
      <c r="BW449" s="2" t="s">
        <v>100</v>
      </c>
      <c r="BX449" s="2" t="s">
        <v>100</v>
      </c>
      <c r="BY449" s="2" t="s">
        <v>112</v>
      </c>
      <c r="BZ449" s="2" t="s">
        <v>100</v>
      </c>
    </row>
    <row r="450">
      <c r="A450" s="2" t="s">
        <v>2049</v>
      </c>
      <c r="B450" s="2" t="s">
        <v>87</v>
      </c>
      <c r="C450" s="2" t="s">
        <v>1797</v>
      </c>
      <c r="D450" s="2" t="s">
        <v>89</v>
      </c>
      <c r="E450" s="2" t="s">
        <v>811</v>
      </c>
      <c r="F450" s="2" t="s">
        <v>2039</v>
      </c>
      <c r="G450" s="2" t="s">
        <v>2040</v>
      </c>
      <c r="H450" s="2" t="s">
        <v>2041</v>
      </c>
      <c r="I450" s="2" t="s">
        <v>2042</v>
      </c>
      <c r="J450" s="2" t="s">
        <v>95</v>
      </c>
      <c r="K450" s="2" t="s">
        <v>2043</v>
      </c>
      <c r="L450" s="3">
        <v>38.09</v>
      </c>
      <c r="M450" s="3">
        <v>39.99</v>
      </c>
      <c r="N450" s="3">
        <v>79.99</v>
      </c>
      <c r="O450" s="2" t="s">
        <v>97</v>
      </c>
      <c r="P450" s="2" t="s">
        <v>98</v>
      </c>
      <c r="Q450" s="2" t="s">
        <v>99</v>
      </c>
      <c r="R450" s="2" t="s">
        <v>100</v>
      </c>
      <c r="S450" s="2" t="s">
        <v>2044</v>
      </c>
      <c r="T450" s="2" t="s">
        <v>438</v>
      </c>
      <c r="U450" s="2" t="s">
        <v>102</v>
      </c>
      <c r="V450" s="2" t="s">
        <v>367</v>
      </c>
      <c r="W450" s="2" t="s">
        <v>609</v>
      </c>
      <c r="X450" s="2" t="s">
        <v>100</v>
      </c>
      <c r="Y450" s="2" t="s">
        <v>2045</v>
      </c>
      <c r="Z450" s="4">
        <v>373</v>
      </c>
      <c r="AA450" s="4">
        <f>=ROUNDDOWN(12.8620689655172,0)</f>
      </c>
      <c r="AB450" s="5">
        <v>29</v>
      </c>
      <c r="AC450" s="2" t="s">
        <v>1468</v>
      </c>
      <c r="AD450" s="4">
        <v>100</v>
      </c>
      <c r="AE450" s="4">
        <v>558</v>
      </c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/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/>
      <c r="BJ450" s="4">
        <v>55</v>
      </c>
      <c r="BK450" s="8">
        <v>2291.14</v>
      </c>
      <c r="BL450" s="2" t="s">
        <v>480</v>
      </c>
      <c r="BM450" s="7"/>
      <c r="BN450" s="7"/>
      <c r="BO450" s="4"/>
      <c r="BP450" s="8"/>
      <c r="BQ450" s="4"/>
      <c r="BR450" s="8"/>
      <c r="BS450" s="7"/>
      <c r="BT450" s="7"/>
      <c r="BU450" s="2" t="s">
        <v>171</v>
      </c>
      <c r="BV450" s="2" t="s">
        <v>97</v>
      </c>
      <c r="BW450" s="2" t="s">
        <v>100</v>
      </c>
      <c r="BX450" s="2" t="s">
        <v>100</v>
      </c>
      <c r="BY450" s="2" t="s">
        <v>112</v>
      </c>
      <c r="BZ450" s="2" t="s">
        <v>100</v>
      </c>
    </row>
    <row r="451">
      <c r="A451" s="2" t="s">
        <v>2050</v>
      </c>
      <c r="B451" s="2" t="s">
        <v>87</v>
      </c>
      <c r="C451" s="2" t="s">
        <v>1797</v>
      </c>
      <c r="D451" s="2" t="s">
        <v>89</v>
      </c>
      <c r="E451" s="2" t="s">
        <v>811</v>
      </c>
      <c r="F451" s="2" t="s">
        <v>2039</v>
      </c>
      <c r="G451" s="2" t="s">
        <v>2040</v>
      </c>
      <c r="H451" s="2" t="s">
        <v>2041</v>
      </c>
      <c r="I451" s="2" t="s">
        <v>2042</v>
      </c>
      <c r="J451" s="2" t="s">
        <v>114</v>
      </c>
      <c r="K451" s="2" t="s">
        <v>2043</v>
      </c>
      <c r="L451" s="3">
        <v>42.85</v>
      </c>
      <c r="M451" s="3">
        <v>44.99</v>
      </c>
      <c r="N451" s="3">
        <v>89.99</v>
      </c>
      <c r="O451" s="2" t="s">
        <v>97</v>
      </c>
      <c r="P451" s="2" t="s">
        <v>98</v>
      </c>
      <c r="Q451" s="2" t="s">
        <v>99</v>
      </c>
      <c r="R451" s="2" t="s">
        <v>100</v>
      </c>
      <c r="S451" s="2" t="s">
        <v>2044</v>
      </c>
      <c r="T451" s="2" t="s">
        <v>438</v>
      </c>
      <c r="U451" s="2" t="s">
        <v>102</v>
      </c>
      <c r="V451" s="2" t="s">
        <v>367</v>
      </c>
      <c r="W451" s="2" t="s">
        <v>609</v>
      </c>
      <c r="X451" s="2" t="s">
        <v>100</v>
      </c>
      <c r="Y451" s="2" t="s">
        <v>2045</v>
      </c>
      <c r="Z451" s="4">
        <v>142</v>
      </c>
      <c r="AA451" s="4">
        <f>=ROUNDDOWN(8.35294117647059,0)</f>
      </c>
      <c r="AB451" s="5">
        <v>17</v>
      </c>
      <c r="AC451" s="2" t="s">
        <v>1468</v>
      </c>
      <c r="AD451" s="4">
        <v>180</v>
      </c>
      <c r="AE451" s="4">
        <v>410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/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/>
      <c r="BJ451" s="4">
        <v>52</v>
      </c>
      <c r="BK451" s="8">
        <v>2532.79</v>
      </c>
      <c r="BL451" s="2" t="s">
        <v>2051</v>
      </c>
      <c r="BM451" s="7"/>
      <c r="BN451" s="7"/>
      <c r="BO451" s="4"/>
      <c r="BP451" s="8"/>
      <c r="BQ451" s="4"/>
      <c r="BR451" s="8"/>
      <c r="BS451" s="7"/>
      <c r="BT451" s="7"/>
      <c r="BU451" s="2" t="s">
        <v>171</v>
      </c>
      <c r="BV451" s="2" t="s">
        <v>97</v>
      </c>
      <c r="BW451" s="2" t="s">
        <v>100</v>
      </c>
      <c r="BX451" s="2" t="s">
        <v>100</v>
      </c>
      <c r="BY451" s="2" t="s">
        <v>112</v>
      </c>
      <c r="BZ451" s="2" t="s">
        <v>100</v>
      </c>
    </row>
    <row r="452">
      <c r="A452" s="2" t="s">
        <v>2052</v>
      </c>
      <c r="B452" s="2" t="s">
        <v>87</v>
      </c>
      <c r="C452" s="2" t="s">
        <v>1797</v>
      </c>
      <c r="D452" s="2" t="s">
        <v>89</v>
      </c>
      <c r="E452" s="2" t="s">
        <v>811</v>
      </c>
      <c r="F452" s="2" t="s">
        <v>2039</v>
      </c>
      <c r="G452" s="2" t="s">
        <v>2040</v>
      </c>
      <c r="H452" s="2" t="s">
        <v>2041</v>
      </c>
      <c r="I452" s="2" t="s">
        <v>2042</v>
      </c>
      <c r="J452" s="2" t="s">
        <v>118</v>
      </c>
      <c r="K452" s="2" t="s">
        <v>2043</v>
      </c>
      <c r="L452" s="3">
        <v>42.85</v>
      </c>
      <c r="M452" s="3">
        <v>44.99</v>
      </c>
      <c r="N452" s="3">
        <v>89.99</v>
      </c>
      <c r="O452" s="2" t="s">
        <v>97</v>
      </c>
      <c r="P452" s="2" t="s">
        <v>98</v>
      </c>
      <c r="Q452" s="2" t="s">
        <v>99</v>
      </c>
      <c r="R452" s="2" t="s">
        <v>100</v>
      </c>
      <c r="S452" s="2" t="s">
        <v>2044</v>
      </c>
      <c r="T452" s="2" t="s">
        <v>438</v>
      </c>
      <c r="U452" s="2" t="s">
        <v>102</v>
      </c>
      <c r="V452" s="2" t="s">
        <v>367</v>
      </c>
      <c r="W452" s="2" t="s">
        <v>609</v>
      </c>
      <c r="X452" s="2" t="s">
        <v>100</v>
      </c>
      <c r="Y452" s="2" t="s">
        <v>2045</v>
      </c>
      <c r="Z452" s="4">
        <v>141</v>
      </c>
      <c r="AA452" s="4">
        <f>=ROUNDDOWN(11.75,0)</f>
      </c>
      <c r="AB452" s="5">
        <v>12</v>
      </c>
      <c r="AC452" s="2" t="s">
        <v>1468</v>
      </c>
      <c r="AD452" s="4">
        <v>50</v>
      </c>
      <c r="AE452" s="4">
        <v>290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/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/>
      <c r="BJ452" s="4">
        <v>19</v>
      </c>
      <c r="BK452" s="8">
        <v>894.4</v>
      </c>
      <c r="BL452" s="2" t="s">
        <v>2053</v>
      </c>
      <c r="BM452" s="7"/>
      <c r="BN452" s="7"/>
      <c r="BO452" s="4"/>
      <c r="BP452" s="8"/>
      <c r="BQ452" s="4"/>
      <c r="BR452" s="8"/>
      <c r="BS452" s="7"/>
      <c r="BT452" s="7"/>
      <c r="BU452" s="2" t="s">
        <v>171</v>
      </c>
      <c r="BV452" s="2" t="s">
        <v>97</v>
      </c>
      <c r="BW452" s="2" t="s">
        <v>100</v>
      </c>
      <c r="BX452" s="2" t="s">
        <v>100</v>
      </c>
      <c r="BY452" s="2" t="s">
        <v>112</v>
      </c>
      <c r="BZ452" s="2" t="s">
        <v>100</v>
      </c>
    </row>
    <row r="453">
      <c r="A453" s="2" t="s">
        <v>2054</v>
      </c>
      <c r="B453" s="2" t="s">
        <v>87</v>
      </c>
      <c r="C453" s="2" t="s">
        <v>1797</v>
      </c>
      <c r="D453" s="2" t="s">
        <v>89</v>
      </c>
      <c r="E453" s="2" t="s">
        <v>811</v>
      </c>
      <c r="F453" s="2" t="s">
        <v>2039</v>
      </c>
      <c r="G453" s="2" t="s">
        <v>2040</v>
      </c>
      <c r="H453" s="2" t="s">
        <v>2041</v>
      </c>
      <c r="I453" s="2" t="s">
        <v>2042</v>
      </c>
      <c r="J453" s="2" t="s">
        <v>1443</v>
      </c>
      <c r="K453" s="2" t="s">
        <v>2055</v>
      </c>
      <c r="L453" s="3">
        <v>30.95</v>
      </c>
      <c r="M453" s="3">
        <v>32.5</v>
      </c>
      <c r="N453" s="3">
        <v>64.99</v>
      </c>
      <c r="O453" s="2" t="s">
        <v>97</v>
      </c>
      <c r="P453" s="2" t="s">
        <v>139</v>
      </c>
      <c r="Q453" s="2" t="s">
        <v>99</v>
      </c>
      <c r="R453" s="2" t="s">
        <v>100</v>
      </c>
      <c r="S453" s="2" t="s">
        <v>2056</v>
      </c>
      <c r="T453" s="2" t="s">
        <v>438</v>
      </c>
      <c r="U453" s="2" t="s">
        <v>460</v>
      </c>
      <c r="V453" s="2" t="s">
        <v>367</v>
      </c>
      <c r="W453" s="2" t="s">
        <v>609</v>
      </c>
      <c r="X453" s="2" t="s">
        <v>100</v>
      </c>
      <c r="Y453" s="2" t="s">
        <v>2057</v>
      </c>
      <c r="Z453" s="4">
        <v>822</v>
      </c>
      <c r="AA453" s="4">
        <f>=ROUNDDOWN(25.6875,0)</f>
      </c>
      <c r="AB453" s="5">
        <v>32</v>
      </c>
      <c r="AC453" s="2" t="s">
        <v>312</v>
      </c>
      <c r="AD453" s="4">
        <v>60</v>
      </c>
      <c r="AE453" s="4">
        <v>360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/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/>
      <c r="BJ453" s="4">
        <v>120</v>
      </c>
      <c r="BK453" s="8">
        <v>4068.1</v>
      </c>
      <c r="BL453" s="2" t="s">
        <v>632</v>
      </c>
      <c r="BM453" s="7"/>
      <c r="BN453" s="7"/>
      <c r="BO453" s="4"/>
      <c r="BP453" s="8"/>
      <c r="BQ453" s="4"/>
      <c r="BR453" s="8"/>
      <c r="BS453" s="7"/>
      <c r="BT453" s="7"/>
      <c r="BU453" s="2" t="s">
        <v>171</v>
      </c>
      <c r="BV453" s="2" t="s">
        <v>97</v>
      </c>
      <c r="BW453" s="2" t="s">
        <v>100</v>
      </c>
      <c r="BX453" s="2" t="s">
        <v>100</v>
      </c>
      <c r="BY453" s="2" t="s">
        <v>112</v>
      </c>
      <c r="BZ453" s="2" t="s">
        <v>100</v>
      </c>
    </row>
    <row r="454">
      <c r="A454" s="2" t="s">
        <v>2058</v>
      </c>
      <c r="B454" s="2" t="s">
        <v>87</v>
      </c>
      <c r="C454" s="2" t="s">
        <v>1797</v>
      </c>
      <c r="D454" s="2" t="s">
        <v>89</v>
      </c>
      <c r="E454" s="2" t="s">
        <v>811</v>
      </c>
      <c r="F454" s="2" t="s">
        <v>2039</v>
      </c>
      <c r="G454" s="2" t="s">
        <v>2040</v>
      </c>
      <c r="H454" s="2" t="s">
        <v>2041</v>
      </c>
      <c r="I454" s="2" t="s">
        <v>2042</v>
      </c>
      <c r="J454" s="2" t="s">
        <v>490</v>
      </c>
      <c r="K454" s="2" t="s">
        <v>2055</v>
      </c>
      <c r="L454" s="3">
        <v>35.71</v>
      </c>
      <c r="M454" s="3">
        <v>37.5</v>
      </c>
      <c r="N454" s="3">
        <v>74.99</v>
      </c>
      <c r="O454" s="2" t="s">
        <v>97</v>
      </c>
      <c r="P454" s="2" t="s">
        <v>139</v>
      </c>
      <c r="Q454" s="2" t="s">
        <v>99</v>
      </c>
      <c r="R454" s="2" t="s">
        <v>100</v>
      </c>
      <c r="S454" s="2" t="s">
        <v>2056</v>
      </c>
      <c r="T454" s="2" t="s">
        <v>438</v>
      </c>
      <c r="U454" s="2" t="s">
        <v>102</v>
      </c>
      <c r="V454" s="2" t="s">
        <v>367</v>
      </c>
      <c r="W454" s="2" t="s">
        <v>609</v>
      </c>
      <c r="X454" s="2" t="s">
        <v>100</v>
      </c>
      <c r="Y454" s="2" t="s">
        <v>2057</v>
      </c>
      <c r="Z454" s="4">
        <v>1266</v>
      </c>
      <c r="AA454" s="4">
        <f>=ROUNDDOWN(30.1428571428571,0)</f>
      </c>
      <c r="AB454" s="5">
        <v>42</v>
      </c>
      <c r="AC454" s="2" t="s">
        <v>312</v>
      </c>
      <c r="AD454" s="4">
        <v>70</v>
      </c>
      <c r="AE454" s="4">
        <v>170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/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/>
      <c r="BJ454" s="4">
        <v>154</v>
      </c>
      <c r="BK454" s="8">
        <v>5983.98</v>
      </c>
      <c r="BL454" s="2" t="s">
        <v>2059</v>
      </c>
      <c r="BM454" s="7"/>
      <c r="BN454" s="7"/>
      <c r="BO454" s="4"/>
      <c r="BP454" s="8"/>
      <c r="BQ454" s="4"/>
      <c r="BR454" s="8"/>
      <c r="BS454" s="7"/>
      <c r="BT454" s="7"/>
      <c r="BU454" s="2" t="s">
        <v>171</v>
      </c>
      <c r="BV454" s="2" t="s">
        <v>97</v>
      </c>
      <c r="BW454" s="2" t="s">
        <v>100</v>
      </c>
      <c r="BX454" s="2" t="s">
        <v>100</v>
      </c>
      <c r="BY454" s="2" t="s">
        <v>112</v>
      </c>
      <c r="BZ454" s="2" t="s">
        <v>100</v>
      </c>
    </row>
    <row r="455">
      <c r="A455" s="2" t="s">
        <v>2060</v>
      </c>
      <c r="B455" s="2" t="s">
        <v>87</v>
      </c>
      <c r="C455" s="2" t="s">
        <v>1797</v>
      </c>
      <c r="D455" s="2" t="s">
        <v>89</v>
      </c>
      <c r="E455" s="2" t="s">
        <v>811</v>
      </c>
      <c r="F455" s="2" t="s">
        <v>2039</v>
      </c>
      <c r="G455" s="2" t="s">
        <v>2040</v>
      </c>
      <c r="H455" s="2" t="s">
        <v>2041</v>
      </c>
      <c r="I455" s="2" t="s">
        <v>2042</v>
      </c>
      <c r="J455" s="2" t="s">
        <v>95</v>
      </c>
      <c r="K455" s="2" t="s">
        <v>2055</v>
      </c>
      <c r="L455" s="3">
        <v>38.09</v>
      </c>
      <c r="M455" s="3">
        <v>39.99</v>
      </c>
      <c r="N455" s="3">
        <v>79.99</v>
      </c>
      <c r="O455" s="2" t="s">
        <v>97</v>
      </c>
      <c r="P455" s="2" t="s">
        <v>139</v>
      </c>
      <c r="Q455" s="2" t="s">
        <v>99</v>
      </c>
      <c r="R455" s="2" t="s">
        <v>100</v>
      </c>
      <c r="S455" s="2" t="s">
        <v>2056</v>
      </c>
      <c r="T455" s="2" t="s">
        <v>438</v>
      </c>
      <c r="U455" s="2" t="s">
        <v>102</v>
      </c>
      <c r="V455" s="2" t="s">
        <v>367</v>
      </c>
      <c r="W455" s="2" t="s">
        <v>609</v>
      </c>
      <c r="X455" s="2" t="s">
        <v>100</v>
      </c>
      <c r="Y455" s="2" t="s">
        <v>2057</v>
      </c>
      <c r="Z455" s="4">
        <v>1552</v>
      </c>
      <c r="AA455" s="4">
        <f>=ROUNDDOWN(22.4927536231884,0)</f>
      </c>
      <c r="AB455" s="5">
        <v>69</v>
      </c>
      <c r="AC455" s="2" t="s">
        <v>312</v>
      </c>
      <c r="AD455" s="4">
        <v>380</v>
      </c>
      <c r="AE455" s="4">
        <v>630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/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/>
      <c r="BJ455" s="4">
        <v>225</v>
      </c>
      <c r="BK455" s="8">
        <v>9380.67</v>
      </c>
      <c r="BL455" s="2" t="s">
        <v>2061</v>
      </c>
      <c r="BM455" s="7"/>
      <c r="BN455" s="7"/>
      <c r="BO455" s="4"/>
      <c r="BP455" s="8"/>
      <c r="BQ455" s="4"/>
      <c r="BR455" s="8"/>
      <c r="BS455" s="7"/>
      <c r="BT455" s="7"/>
      <c r="BU455" s="2" t="s">
        <v>171</v>
      </c>
      <c r="BV455" s="2" t="s">
        <v>97</v>
      </c>
      <c r="BW455" s="2" t="s">
        <v>100</v>
      </c>
      <c r="BX455" s="2" t="s">
        <v>100</v>
      </c>
      <c r="BY455" s="2" t="s">
        <v>112</v>
      </c>
      <c r="BZ455" s="2" t="s">
        <v>100</v>
      </c>
    </row>
    <row r="456">
      <c r="A456" s="2" t="s">
        <v>2062</v>
      </c>
      <c r="B456" s="2" t="s">
        <v>87</v>
      </c>
      <c r="C456" s="2" t="s">
        <v>1797</v>
      </c>
      <c r="D456" s="2" t="s">
        <v>89</v>
      </c>
      <c r="E456" s="2" t="s">
        <v>811</v>
      </c>
      <c r="F456" s="2" t="s">
        <v>2039</v>
      </c>
      <c r="G456" s="2" t="s">
        <v>2040</v>
      </c>
      <c r="H456" s="2" t="s">
        <v>2041</v>
      </c>
      <c r="I456" s="2" t="s">
        <v>2042</v>
      </c>
      <c r="J456" s="2" t="s">
        <v>114</v>
      </c>
      <c r="K456" s="2" t="s">
        <v>2055</v>
      </c>
      <c r="L456" s="3">
        <v>42.85</v>
      </c>
      <c r="M456" s="3">
        <v>44.99</v>
      </c>
      <c r="N456" s="3">
        <v>89.99</v>
      </c>
      <c r="O456" s="2" t="s">
        <v>97</v>
      </c>
      <c r="P456" s="2" t="s">
        <v>139</v>
      </c>
      <c r="Q456" s="2" t="s">
        <v>99</v>
      </c>
      <c r="R456" s="2" t="s">
        <v>100</v>
      </c>
      <c r="S456" s="2" t="s">
        <v>2056</v>
      </c>
      <c r="T456" s="2" t="s">
        <v>438</v>
      </c>
      <c r="U456" s="2" t="s">
        <v>102</v>
      </c>
      <c r="V456" s="2" t="s">
        <v>367</v>
      </c>
      <c r="W456" s="2" t="s">
        <v>609</v>
      </c>
      <c r="X456" s="2" t="s">
        <v>100</v>
      </c>
      <c r="Y456" s="2" t="s">
        <v>2057</v>
      </c>
      <c r="Z456" s="4">
        <v>680</v>
      </c>
      <c r="AA456" s="4">
        <f>=ROUNDDOWN(25.1851851851852,0)</f>
      </c>
      <c r="AB456" s="5">
        <v>27</v>
      </c>
      <c r="AC456" s="2" t="s">
        <v>312</v>
      </c>
      <c r="AD456" s="4">
        <v>190</v>
      </c>
      <c r="AE456" s="4">
        <v>290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/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/>
      <c r="BJ456" s="4">
        <v>86</v>
      </c>
      <c r="BK456" s="8">
        <v>4084.3</v>
      </c>
      <c r="BL456" s="2" t="s">
        <v>2063</v>
      </c>
      <c r="BM456" s="7"/>
      <c r="BN456" s="7"/>
      <c r="BO456" s="4"/>
      <c r="BP456" s="8"/>
      <c r="BQ456" s="4"/>
      <c r="BR456" s="8"/>
      <c r="BS456" s="7"/>
      <c r="BT456" s="7"/>
      <c r="BU456" s="2" t="s">
        <v>171</v>
      </c>
      <c r="BV456" s="2" t="s">
        <v>97</v>
      </c>
      <c r="BW456" s="2" t="s">
        <v>100</v>
      </c>
      <c r="BX456" s="2" t="s">
        <v>100</v>
      </c>
      <c r="BY456" s="2" t="s">
        <v>112</v>
      </c>
      <c r="BZ456" s="2" t="s">
        <v>100</v>
      </c>
    </row>
    <row r="457">
      <c r="A457" s="2" t="s">
        <v>2064</v>
      </c>
      <c r="B457" s="2" t="s">
        <v>87</v>
      </c>
      <c r="C457" s="2" t="s">
        <v>1797</v>
      </c>
      <c r="D457" s="2" t="s">
        <v>89</v>
      </c>
      <c r="E457" s="2" t="s">
        <v>811</v>
      </c>
      <c r="F457" s="2" t="s">
        <v>2039</v>
      </c>
      <c r="G457" s="2" t="s">
        <v>2040</v>
      </c>
      <c r="H457" s="2" t="s">
        <v>2041</v>
      </c>
      <c r="I457" s="2" t="s">
        <v>2042</v>
      </c>
      <c r="J457" s="2" t="s">
        <v>118</v>
      </c>
      <c r="K457" s="2" t="s">
        <v>2055</v>
      </c>
      <c r="L457" s="3">
        <v>42.85</v>
      </c>
      <c r="M457" s="3">
        <v>44.99</v>
      </c>
      <c r="N457" s="3">
        <v>89.99</v>
      </c>
      <c r="O457" s="2" t="s">
        <v>97</v>
      </c>
      <c r="P457" s="2" t="s">
        <v>139</v>
      </c>
      <c r="Q457" s="2" t="s">
        <v>99</v>
      </c>
      <c r="R457" s="2" t="s">
        <v>100</v>
      </c>
      <c r="S457" s="2" t="s">
        <v>2056</v>
      </c>
      <c r="T457" s="2" t="s">
        <v>438</v>
      </c>
      <c r="U457" s="2" t="s">
        <v>102</v>
      </c>
      <c r="V457" s="2" t="s">
        <v>367</v>
      </c>
      <c r="W457" s="2" t="s">
        <v>609</v>
      </c>
      <c r="X457" s="2" t="s">
        <v>100</v>
      </c>
      <c r="Y457" s="2" t="s">
        <v>2057</v>
      </c>
      <c r="Z457" s="4">
        <v>336</v>
      </c>
      <c r="AA457" s="4">
        <f>=ROUNDDOWN(21,0)</f>
      </c>
      <c r="AB457" s="5">
        <v>16</v>
      </c>
      <c r="AC457" s="2" t="s">
        <v>312</v>
      </c>
      <c r="AD457" s="4">
        <v>100</v>
      </c>
      <c r="AE457" s="4">
        <v>180</v>
      </c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/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/>
      <c r="BJ457" s="4">
        <v>50</v>
      </c>
      <c r="BK457" s="8">
        <v>2358.42</v>
      </c>
      <c r="BL457" s="2" t="s">
        <v>1368</v>
      </c>
      <c r="BM457" s="7"/>
      <c r="BN457" s="7"/>
      <c r="BO457" s="4"/>
      <c r="BP457" s="8"/>
      <c r="BQ457" s="4"/>
      <c r="BR457" s="8"/>
      <c r="BS457" s="7"/>
      <c r="BT457" s="7"/>
      <c r="BU457" s="2" t="s">
        <v>171</v>
      </c>
      <c r="BV457" s="2" t="s">
        <v>97</v>
      </c>
      <c r="BW457" s="2" t="s">
        <v>100</v>
      </c>
      <c r="BX457" s="2" t="s">
        <v>100</v>
      </c>
      <c r="BY457" s="2" t="s">
        <v>112</v>
      </c>
      <c r="BZ457" s="2" t="s">
        <v>100</v>
      </c>
    </row>
    <row r="458">
      <c r="A458" s="2" t="s">
        <v>2065</v>
      </c>
      <c r="B458" s="2" t="s">
        <v>87</v>
      </c>
      <c r="C458" s="2" t="s">
        <v>1797</v>
      </c>
      <c r="D458" s="2" t="s">
        <v>89</v>
      </c>
      <c r="E458" s="2" t="s">
        <v>811</v>
      </c>
      <c r="F458" s="2" t="s">
        <v>2039</v>
      </c>
      <c r="G458" s="2" t="s">
        <v>2040</v>
      </c>
      <c r="H458" s="2" t="s">
        <v>2041</v>
      </c>
      <c r="I458" s="2" t="s">
        <v>2042</v>
      </c>
      <c r="J458" s="2" t="s">
        <v>1443</v>
      </c>
      <c r="K458" s="2" t="s">
        <v>2066</v>
      </c>
      <c r="L458" s="3">
        <v>30.95</v>
      </c>
      <c r="M458" s="3">
        <v>32.5</v>
      </c>
      <c r="N458" s="3">
        <v>64.99</v>
      </c>
      <c r="O458" s="2" t="s">
        <v>97</v>
      </c>
      <c r="P458" s="2" t="s">
        <v>98</v>
      </c>
      <c r="Q458" s="2" t="s">
        <v>99</v>
      </c>
      <c r="R458" s="2" t="s">
        <v>100</v>
      </c>
      <c r="S458" s="2" t="s">
        <v>2067</v>
      </c>
      <c r="T458" s="2" t="s">
        <v>438</v>
      </c>
      <c r="U458" s="2" t="s">
        <v>460</v>
      </c>
      <c r="V458" s="2" t="s">
        <v>367</v>
      </c>
      <c r="W458" s="2" t="s">
        <v>609</v>
      </c>
      <c r="X458" s="2" t="s">
        <v>100</v>
      </c>
      <c r="Y458" s="2" t="s">
        <v>2045</v>
      </c>
      <c r="Z458" s="4">
        <v>45</v>
      </c>
      <c r="AA458" s="4">
        <f>=ROUNDDOWN(3,0)</f>
      </c>
      <c r="AB458" s="5">
        <v>15</v>
      </c>
      <c r="AC458" s="2" t="s">
        <v>1468</v>
      </c>
      <c r="AD458" s="4">
        <v>80</v>
      </c>
      <c r="AE458" s="4">
        <v>370</v>
      </c>
      <c r="AF458" s="6">
        <v>64</v>
      </c>
      <c r="AG458" s="6"/>
      <c r="AH458" s="7">
        <v>0.0968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/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/>
      <c r="BJ458" s="4">
        <v>11</v>
      </c>
      <c r="BK458" s="8">
        <v>353.13</v>
      </c>
      <c r="BL458" s="2" t="s">
        <v>2068</v>
      </c>
      <c r="BM458" s="7"/>
      <c r="BN458" s="7"/>
      <c r="BO458" s="4"/>
      <c r="BP458" s="8"/>
      <c r="BQ458" s="4"/>
      <c r="BR458" s="8"/>
      <c r="BS458" s="7"/>
      <c r="BT458" s="7"/>
      <c r="BU458" s="2" t="s">
        <v>171</v>
      </c>
      <c r="BV458" s="2" t="s">
        <v>97</v>
      </c>
      <c r="BW458" s="2" t="s">
        <v>100</v>
      </c>
      <c r="BX458" s="2" t="s">
        <v>100</v>
      </c>
      <c r="BY458" s="2" t="s">
        <v>112</v>
      </c>
      <c r="BZ458" s="2" t="s">
        <v>100</v>
      </c>
    </row>
    <row r="459">
      <c r="A459" s="2" t="s">
        <v>2069</v>
      </c>
      <c r="B459" s="2" t="s">
        <v>87</v>
      </c>
      <c r="C459" s="2" t="s">
        <v>1797</v>
      </c>
      <c r="D459" s="2" t="s">
        <v>89</v>
      </c>
      <c r="E459" s="2" t="s">
        <v>811</v>
      </c>
      <c r="F459" s="2" t="s">
        <v>2039</v>
      </c>
      <c r="G459" s="2" t="s">
        <v>2040</v>
      </c>
      <c r="H459" s="2" t="s">
        <v>2041</v>
      </c>
      <c r="I459" s="2" t="s">
        <v>2042</v>
      </c>
      <c r="J459" s="2" t="s">
        <v>490</v>
      </c>
      <c r="K459" s="2" t="s">
        <v>2066</v>
      </c>
      <c r="L459" s="3">
        <v>35.71</v>
      </c>
      <c r="M459" s="3">
        <v>37.5</v>
      </c>
      <c r="N459" s="3">
        <v>74.99</v>
      </c>
      <c r="O459" s="2" t="s">
        <v>97</v>
      </c>
      <c r="P459" s="2" t="s">
        <v>98</v>
      </c>
      <c r="Q459" s="2" t="s">
        <v>99</v>
      </c>
      <c r="R459" s="2" t="s">
        <v>100</v>
      </c>
      <c r="S459" s="2" t="s">
        <v>2067</v>
      </c>
      <c r="T459" s="2" t="s">
        <v>438</v>
      </c>
      <c r="U459" s="2" t="s">
        <v>102</v>
      </c>
      <c r="V459" s="2" t="s">
        <v>367</v>
      </c>
      <c r="W459" s="2" t="s">
        <v>609</v>
      </c>
      <c r="X459" s="2" t="s">
        <v>100</v>
      </c>
      <c r="Y459" s="2" t="s">
        <v>2045</v>
      </c>
      <c r="Z459" s="4">
        <v>24</v>
      </c>
      <c r="AA459" s="4">
        <f>=ROUNDDOWN(1.41176470588235,0)</f>
      </c>
      <c r="AB459" s="5">
        <v>17</v>
      </c>
      <c r="AC459" s="2" t="s">
        <v>1468</v>
      </c>
      <c r="AD459" s="4">
        <v>100</v>
      </c>
      <c r="AE459" s="4">
        <v>380</v>
      </c>
      <c r="AF459" s="6">
        <v>64</v>
      </c>
      <c r="AG459" s="6"/>
      <c r="AH459" s="7">
        <v>0.0968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/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/>
      <c r="BJ459" s="4">
        <v>16</v>
      </c>
      <c r="BK459" s="8">
        <v>634.98</v>
      </c>
      <c r="BL459" s="2" t="s">
        <v>2068</v>
      </c>
      <c r="BM459" s="7"/>
      <c r="BN459" s="7"/>
      <c r="BO459" s="4"/>
      <c r="BP459" s="8"/>
      <c r="BQ459" s="4"/>
      <c r="BR459" s="8"/>
      <c r="BS459" s="7"/>
      <c r="BT459" s="7"/>
      <c r="BU459" s="2" t="s">
        <v>171</v>
      </c>
      <c r="BV459" s="2" t="s">
        <v>97</v>
      </c>
      <c r="BW459" s="2" t="s">
        <v>100</v>
      </c>
      <c r="BX459" s="2" t="s">
        <v>100</v>
      </c>
      <c r="BY459" s="2" t="s">
        <v>112</v>
      </c>
      <c r="BZ459" s="2" t="s">
        <v>100</v>
      </c>
    </row>
    <row r="460">
      <c r="A460" s="2" t="s">
        <v>2070</v>
      </c>
      <c r="B460" s="2" t="s">
        <v>87</v>
      </c>
      <c r="C460" s="2" t="s">
        <v>1797</v>
      </c>
      <c r="D460" s="2" t="s">
        <v>89</v>
      </c>
      <c r="E460" s="2" t="s">
        <v>811</v>
      </c>
      <c r="F460" s="2" t="s">
        <v>2039</v>
      </c>
      <c r="G460" s="2" t="s">
        <v>2040</v>
      </c>
      <c r="H460" s="2" t="s">
        <v>2041</v>
      </c>
      <c r="I460" s="2" t="s">
        <v>2042</v>
      </c>
      <c r="J460" s="2" t="s">
        <v>95</v>
      </c>
      <c r="K460" s="2" t="s">
        <v>2066</v>
      </c>
      <c r="L460" s="3">
        <v>38.09</v>
      </c>
      <c r="M460" s="3">
        <v>39.99</v>
      </c>
      <c r="N460" s="3">
        <v>79.99</v>
      </c>
      <c r="O460" s="2" t="s">
        <v>97</v>
      </c>
      <c r="P460" s="2" t="s">
        <v>98</v>
      </c>
      <c r="Q460" s="2" t="s">
        <v>99</v>
      </c>
      <c r="R460" s="2" t="s">
        <v>100</v>
      </c>
      <c r="S460" s="2" t="s">
        <v>2067</v>
      </c>
      <c r="T460" s="2" t="s">
        <v>438</v>
      </c>
      <c r="U460" s="2" t="s">
        <v>102</v>
      </c>
      <c r="V460" s="2" t="s">
        <v>367</v>
      </c>
      <c r="W460" s="2" t="s">
        <v>609</v>
      </c>
      <c r="X460" s="2" t="s">
        <v>100</v>
      </c>
      <c r="Y460" s="2" t="s">
        <v>2045</v>
      </c>
      <c r="Z460" s="4">
        <v>84</v>
      </c>
      <c r="AA460" s="4">
        <f>=ROUNDDOWN(2.1,0)</f>
      </c>
      <c r="AB460" s="5">
        <v>40</v>
      </c>
      <c r="AC460" s="2" t="s">
        <v>1468</v>
      </c>
      <c r="AD460" s="4">
        <v>240</v>
      </c>
      <c r="AE460" s="4">
        <v>790</v>
      </c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/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/>
      <c r="BJ460" s="4">
        <v>4</v>
      </c>
      <c r="BK460" s="8">
        <v>175.2</v>
      </c>
      <c r="BL460" s="2" t="s">
        <v>2071</v>
      </c>
      <c r="BM460" s="7"/>
      <c r="BN460" s="7"/>
      <c r="BO460" s="4"/>
      <c r="BP460" s="8"/>
      <c r="BQ460" s="4"/>
      <c r="BR460" s="8"/>
      <c r="BS460" s="7"/>
      <c r="BT460" s="7"/>
      <c r="BU460" s="2" t="s">
        <v>171</v>
      </c>
      <c r="BV460" s="2" t="s">
        <v>97</v>
      </c>
      <c r="BW460" s="2" t="s">
        <v>100</v>
      </c>
      <c r="BX460" s="2" t="s">
        <v>100</v>
      </c>
      <c r="BY460" s="2" t="s">
        <v>112</v>
      </c>
      <c r="BZ460" s="2" t="s">
        <v>100</v>
      </c>
    </row>
    <row r="461">
      <c r="A461" s="2" t="s">
        <v>2072</v>
      </c>
      <c r="B461" s="2" t="s">
        <v>87</v>
      </c>
      <c r="C461" s="2" t="s">
        <v>1797</v>
      </c>
      <c r="D461" s="2" t="s">
        <v>89</v>
      </c>
      <c r="E461" s="2" t="s">
        <v>811</v>
      </c>
      <c r="F461" s="2" t="s">
        <v>2039</v>
      </c>
      <c r="G461" s="2" t="s">
        <v>2040</v>
      </c>
      <c r="H461" s="2" t="s">
        <v>2041</v>
      </c>
      <c r="I461" s="2" t="s">
        <v>2042</v>
      </c>
      <c r="J461" s="2" t="s">
        <v>114</v>
      </c>
      <c r="K461" s="2" t="s">
        <v>2066</v>
      </c>
      <c r="L461" s="3">
        <v>42.85</v>
      </c>
      <c r="M461" s="3">
        <v>44.99</v>
      </c>
      <c r="N461" s="3">
        <v>89.99</v>
      </c>
      <c r="O461" s="2" t="s">
        <v>97</v>
      </c>
      <c r="P461" s="2" t="s">
        <v>98</v>
      </c>
      <c r="Q461" s="2" t="s">
        <v>99</v>
      </c>
      <c r="R461" s="2" t="s">
        <v>100</v>
      </c>
      <c r="S461" s="2" t="s">
        <v>2067</v>
      </c>
      <c r="T461" s="2" t="s">
        <v>438</v>
      </c>
      <c r="U461" s="2" t="s">
        <v>102</v>
      </c>
      <c r="V461" s="2" t="s">
        <v>367</v>
      </c>
      <c r="W461" s="2" t="s">
        <v>609</v>
      </c>
      <c r="X461" s="2" t="s">
        <v>100</v>
      </c>
      <c r="Y461" s="2" t="s">
        <v>2045</v>
      </c>
      <c r="Z461" s="4">
        <v>4</v>
      </c>
      <c r="AA461" s="4">
        <f>=ROUNDDOWN(0.16,0)</f>
      </c>
      <c r="AB461" s="5">
        <v>25</v>
      </c>
      <c r="AC461" s="2" t="s">
        <v>1468</v>
      </c>
      <c r="AD461" s="4">
        <v>160</v>
      </c>
      <c r="AE461" s="4">
        <v>510</v>
      </c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/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/>
      <c r="BJ461" s="4"/>
      <c r="BK461" s="8"/>
      <c r="BL461" s="2" t="s">
        <v>100</v>
      </c>
      <c r="BM461" s="7"/>
      <c r="BN461" s="7"/>
      <c r="BO461" s="4"/>
      <c r="BP461" s="8"/>
      <c r="BQ461" s="4"/>
      <c r="BR461" s="8"/>
      <c r="BS461" s="7"/>
      <c r="BT461" s="7"/>
      <c r="BU461" s="2" t="s">
        <v>171</v>
      </c>
      <c r="BV461" s="2" t="s">
        <v>97</v>
      </c>
      <c r="BW461" s="2" t="s">
        <v>100</v>
      </c>
      <c r="BX461" s="2" t="s">
        <v>100</v>
      </c>
      <c r="BY461" s="2" t="s">
        <v>112</v>
      </c>
      <c r="BZ461" s="2" t="s">
        <v>100</v>
      </c>
    </row>
    <row r="462">
      <c r="A462" s="2" t="s">
        <v>2073</v>
      </c>
      <c r="B462" s="2" t="s">
        <v>87</v>
      </c>
      <c r="C462" s="2" t="s">
        <v>1797</v>
      </c>
      <c r="D462" s="2" t="s">
        <v>89</v>
      </c>
      <c r="E462" s="2" t="s">
        <v>811</v>
      </c>
      <c r="F462" s="2" t="s">
        <v>2039</v>
      </c>
      <c r="G462" s="2" t="s">
        <v>2040</v>
      </c>
      <c r="H462" s="2" t="s">
        <v>2041</v>
      </c>
      <c r="I462" s="2" t="s">
        <v>2042</v>
      </c>
      <c r="J462" s="2" t="s">
        <v>118</v>
      </c>
      <c r="K462" s="2" t="s">
        <v>2066</v>
      </c>
      <c r="L462" s="3">
        <v>42.85</v>
      </c>
      <c r="M462" s="3">
        <v>44.99</v>
      </c>
      <c r="N462" s="3">
        <v>89.99</v>
      </c>
      <c r="O462" s="2" t="s">
        <v>97</v>
      </c>
      <c r="P462" s="2" t="s">
        <v>98</v>
      </c>
      <c r="Q462" s="2" t="s">
        <v>99</v>
      </c>
      <c r="R462" s="2" t="s">
        <v>100</v>
      </c>
      <c r="S462" s="2" t="s">
        <v>2067</v>
      </c>
      <c r="T462" s="2" t="s">
        <v>438</v>
      </c>
      <c r="U462" s="2" t="s">
        <v>102</v>
      </c>
      <c r="V462" s="2" t="s">
        <v>367</v>
      </c>
      <c r="W462" s="2" t="s">
        <v>609</v>
      </c>
      <c r="X462" s="2" t="s">
        <v>100</v>
      </c>
      <c r="Y462" s="2" t="s">
        <v>2045</v>
      </c>
      <c r="Z462" s="4">
        <v>22</v>
      </c>
      <c r="AA462" s="4">
        <f>=ROUNDDOWN(1.57142857142857,0)</f>
      </c>
      <c r="AB462" s="5">
        <v>14</v>
      </c>
      <c r="AC462" s="2" t="s">
        <v>1468</v>
      </c>
      <c r="AD462" s="4">
        <v>100</v>
      </c>
      <c r="AE462" s="4">
        <v>320</v>
      </c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/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/>
      <c r="BJ462" s="4"/>
      <c r="BK462" s="8"/>
      <c r="BL462" s="2" t="s">
        <v>100</v>
      </c>
      <c r="BM462" s="7"/>
      <c r="BN462" s="7"/>
      <c r="BO462" s="4"/>
      <c r="BP462" s="8"/>
      <c r="BQ462" s="4"/>
      <c r="BR462" s="8"/>
      <c r="BS462" s="7"/>
      <c r="BT462" s="7"/>
      <c r="BU462" s="2" t="s">
        <v>171</v>
      </c>
      <c r="BV462" s="2" t="s">
        <v>97</v>
      </c>
      <c r="BW462" s="2" t="s">
        <v>100</v>
      </c>
      <c r="BX462" s="2" t="s">
        <v>100</v>
      </c>
      <c r="BY462" s="2" t="s">
        <v>112</v>
      </c>
      <c r="BZ462" s="2" t="s">
        <v>100</v>
      </c>
    </row>
    <row r="463">
      <c r="A463" s="2" t="s">
        <v>2074</v>
      </c>
      <c r="B463" s="2" t="s">
        <v>87</v>
      </c>
      <c r="C463" s="2" t="s">
        <v>1797</v>
      </c>
      <c r="D463" s="2" t="s">
        <v>89</v>
      </c>
      <c r="E463" s="2" t="s">
        <v>811</v>
      </c>
      <c r="F463" s="2" t="s">
        <v>2075</v>
      </c>
      <c r="G463" s="2" t="s">
        <v>2076</v>
      </c>
      <c r="H463" s="2" t="s">
        <v>2077</v>
      </c>
      <c r="I463" s="2" t="s">
        <v>2078</v>
      </c>
      <c r="J463" s="2" t="s">
        <v>1443</v>
      </c>
      <c r="K463" s="2" t="s">
        <v>96</v>
      </c>
      <c r="L463" s="3">
        <v>38.09</v>
      </c>
      <c r="M463" s="3">
        <v>39.99</v>
      </c>
      <c r="N463" s="3">
        <v>79.99</v>
      </c>
      <c r="O463" s="2" t="s">
        <v>97</v>
      </c>
      <c r="P463" s="2" t="s">
        <v>98</v>
      </c>
      <c r="Q463" s="2" t="s">
        <v>99</v>
      </c>
      <c r="R463" s="2" t="s">
        <v>100</v>
      </c>
      <c r="S463" s="2" t="s">
        <v>2079</v>
      </c>
      <c r="T463" s="2" t="s">
        <v>100</v>
      </c>
      <c r="U463" s="2" t="s">
        <v>460</v>
      </c>
      <c r="V463" s="2" t="s">
        <v>461</v>
      </c>
      <c r="W463" s="2" t="s">
        <v>609</v>
      </c>
      <c r="X463" s="2" t="s">
        <v>493</v>
      </c>
      <c r="Y463" s="2" t="s">
        <v>2080</v>
      </c>
      <c r="Z463" s="4">
        <v>124</v>
      </c>
      <c r="AA463" s="4">
        <f>=ROUNDDOWN(31,0)</f>
      </c>
      <c r="AB463" s="5">
        <v>4</v>
      </c>
      <c r="AC463" s="2" t="s">
        <v>100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/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/>
      <c r="BJ463" s="4">
        <v>1492</v>
      </c>
      <c r="BK463" s="8">
        <v>59661.08</v>
      </c>
      <c r="BL463" s="2" t="s">
        <v>2081</v>
      </c>
      <c r="BM463" s="7"/>
      <c r="BN463" s="7"/>
      <c r="BO463" s="4"/>
      <c r="BP463" s="8"/>
      <c r="BQ463" s="4"/>
      <c r="BR463" s="8"/>
      <c r="BS463" s="7"/>
      <c r="BT463" s="7"/>
      <c r="BU463" s="2" t="s">
        <v>171</v>
      </c>
      <c r="BV463" s="2" t="s">
        <v>97</v>
      </c>
      <c r="BW463" s="2" t="s">
        <v>100</v>
      </c>
      <c r="BX463" s="2" t="s">
        <v>100</v>
      </c>
      <c r="BY463" s="2" t="s">
        <v>112</v>
      </c>
      <c r="BZ463" s="2" t="s">
        <v>149</v>
      </c>
    </row>
    <row r="464">
      <c r="A464" s="2" t="s">
        <v>2082</v>
      </c>
      <c r="B464" s="2" t="s">
        <v>87</v>
      </c>
      <c r="C464" s="2" t="s">
        <v>1797</v>
      </c>
      <c r="D464" s="2" t="s">
        <v>89</v>
      </c>
      <c r="E464" s="2" t="s">
        <v>811</v>
      </c>
      <c r="F464" s="2" t="s">
        <v>2075</v>
      </c>
      <c r="G464" s="2" t="s">
        <v>2076</v>
      </c>
      <c r="H464" s="2" t="s">
        <v>2077</v>
      </c>
      <c r="I464" s="2" t="s">
        <v>2083</v>
      </c>
      <c r="J464" s="2" t="s">
        <v>490</v>
      </c>
      <c r="K464" s="2" t="s">
        <v>96</v>
      </c>
      <c r="L464" s="3">
        <v>42.85</v>
      </c>
      <c r="M464" s="3">
        <v>44.99</v>
      </c>
      <c r="N464" s="3">
        <v>89.99</v>
      </c>
      <c r="O464" s="2" t="s">
        <v>97</v>
      </c>
      <c r="P464" s="2" t="s">
        <v>98</v>
      </c>
      <c r="Q464" s="2" t="s">
        <v>99</v>
      </c>
      <c r="R464" s="2" t="s">
        <v>100</v>
      </c>
      <c r="S464" s="2" t="s">
        <v>2079</v>
      </c>
      <c r="T464" s="2" t="s">
        <v>100</v>
      </c>
      <c r="U464" s="2" t="s">
        <v>102</v>
      </c>
      <c r="V464" s="2" t="s">
        <v>461</v>
      </c>
      <c r="W464" s="2" t="s">
        <v>609</v>
      </c>
      <c r="X464" s="2" t="s">
        <v>493</v>
      </c>
      <c r="Y464" s="2" t="s">
        <v>2080</v>
      </c>
      <c r="Z464" s="4">
        <v>213</v>
      </c>
      <c r="AA464" s="4">
        <f>=ROUNDDOWN(53.25,0)</f>
      </c>
      <c r="AB464" s="5">
        <v>4</v>
      </c>
      <c r="AC464" s="2" t="s">
        <v>100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/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/>
      <c r="BJ464" s="4">
        <v>4</v>
      </c>
      <c r="BK464" s="8">
        <v>178.16</v>
      </c>
      <c r="BL464" s="2" t="s">
        <v>2084</v>
      </c>
      <c r="BM464" s="7"/>
      <c r="BN464" s="7"/>
      <c r="BO464" s="4"/>
      <c r="BP464" s="8"/>
      <c r="BQ464" s="4"/>
      <c r="BR464" s="8"/>
      <c r="BS464" s="7"/>
      <c r="BT464" s="7"/>
      <c r="BU464" s="2" t="s">
        <v>171</v>
      </c>
      <c r="BV464" s="2" t="s">
        <v>97</v>
      </c>
      <c r="BW464" s="2" t="s">
        <v>100</v>
      </c>
      <c r="BX464" s="2" t="s">
        <v>100</v>
      </c>
      <c r="BY464" s="2" t="s">
        <v>112</v>
      </c>
      <c r="BZ464" s="2" t="s">
        <v>149</v>
      </c>
    </row>
    <row r="465">
      <c r="A465" s="2" t="s">
        <v>2085</v>
      </c>
      <c r="B465" s="2" t="s">
        <v>87</v>
      </c>
      <c r="C465" s="2" t="s">
        <v>1797</v>
      </c>
      <c r="D465" s="2" t="s">
        <v>89</v>
      </c>
      <c r="E465" s="2" t="s">
        <v>811</v>
      </c>
      <c r="F465" s="2" t="s">
        <v>2075</v>
      </c>
      <c r="G465" s="2" t="s">
        <v>2076</v>
      </c>
      <c r="H465" s="2" t="s">
        <v>2077</v>
      </c>
      <c r="I465" s="2" t="s">
        <v>2083</v>
      </c>
      <c r="J465" s="2" t="s">
        <v>95</v>
      </c>
      <c r="K465" s="2" t="s">
        <v>96</v>
      </c>
      <c r="L465" s="3">
        <v>47.61</v>
      </c>
      <c r="M465" s="3">
        <v>49.99</v>
      </c>
      <c r="N465" s="3">
        <v>99.99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2079</v>
      </c>
      <c r="T465" s="2" t="s">
        <v>100</v>
      </c>
      <c r="U465" s="2" t="s">
        <v>102</v>
      </c>
      <c r="V465" s="2" t="s">
        <v>461</v>
      </c>
      <c r="W465" s="2" t="s">
        <v>609</v>
      </c>
      <c r="X465" s="2" t="s">
        <v>493</v>
      </c>
      <c r="Y465" s="2" t="s">
        <v>2080</v>
      </c>
      <c r="Z465" s="4">
        <v>201</v>
      </c>
      <c r="AA465" s="4">
        <f>=ROUNDDOWN(33.5,0)</f>
      </c>
      <c r="AB465" s="5">
        <v>6</v>
      </c>
      <c r="AC465" s="2" t="s">
        <v>100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/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/>
      <c r="BJ465" s="4">
        <v>14</v>
      </c>
      <c r="BK465" s="8">
        <v>701.86</v>
      </c>
      <c r="BL465" s="2" t="s">
        <v>2086</v>
      </c>
      <c r="BM465" s="7"/>
      <c r="BN465" s="7"/>
      <c r="BO465" s="4"/>
      <c r="BP465" s="8"/>
      <c r="BQ465" s="4"/>
      <c r="BR465" s="8"/>
      <c r="BS465" s="7"/>
      <c r="BT465" s="7"/>
      <c r="BU465" s="2" t="s">
        <v>171</v>
      </c>
      <c r="BV465" s="2" t="s">
        <v>97</v>
      </c>
      <c r="BW465" s="2" t="s">
        <v>100</v>
      </c>
      <c r="BX465" s="2" t="s">
        <v>100</v>
      </c>
      <c r="BY465" s="2" t="s">
        <v>112</v>
      </c>
      <c r="BZ465" s="2" t="s">
        <v>149</v>
      </c>
    </row>
    <row r="466">
      <c r="A466" s="2" t="s">
        <v>2087</v>
      </c>
      <c r="B466" s="2" t="s">
        <v>87</v>
      </c>
      <c r="C466" s="2" t="s">
        <v>1797</v>
      </c>
      <c r="D466" s="2" t="s">
        <v>89</v>
      </c>
      <c r="E466" s="2" t="s">
        <v>811</v>
      </c>
      <c r="F466" s="2" t="s">
        <v>2075</v>
      </c>
      <c r="G466" s="2" t="s">
        <v>2076</v>
      </c>
      <c r="H466" s="2" t="s">
        <v>2077</v>
      </c>
      <c r="I466" s="2" t="s">
        <v>2083</v>
      </c>
      <c r="J466" s="2" t="s">
        <v>114</v>
      </c>
      <c r="K466" s="2" t="s">
        <v>96</v>
      </c>
      <c r="L466" s="3">
        <v>52.38</v>
      </c>
      <c r="M466" s="3">
        <v>55</v>
      </c>
      <c r="N466" s="3">
        <v>109.99</v>
      </c>
      <c r="O466" s="2" t="s">
        <v>97</v>
      </c>
      <c r="P466" s="2" t="s">
        <v>98</v>
      </c>
      <c r="Q466" s="2" t="s">
        <v>99</v>
      </c>
      <c r="R466" s="2" t="s">
        <v>100</v>
      </c>
      <c r="S466" s="2" t="s">
        <v>2079</v>
      </c>
      <c r="T466" s="2" t="s">
        <v>100</v>
      </c>
      <c r="U466" s="2" t="s">
        <v>102</v>
      </c>
      <c r="V466" s="2" t="s">
        <v>461</v>
      </c>
      <c r="W466" s="2" t="s">
        <v>609</v>
      </c>
      <c r="X466" s="2" t="s">
        <v>493</v>
      </c>
      <c r="Y466" s="2" t="s">
        <v>2080</v>
      </c>
      <c r="Z466" s="4">
        <v>173</v>
      </c>
      <c r="AA466" s="4">
        <f>=ROUNDDOWN(34.6,0)</f>
      </c>
      <c r="AB466" s="5">
        <v>5</v>
      </c>
      <c r="AC466" s="2" t="s">
        <v>100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/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/>
      <c r="BJ466" s="4">
        <v>7</v>
      </c>
      <c r="BK466" s="8">
        <v>403.7</v>
      </c>
      <c r="BL466" s="2" t="s">
        <v>644</v>
      </c>
      <c r="BM466" s="7"/>
      <c r="BN466" s="7"/>
      <c r="BO466" s="4"/>
      <c r="BP466" s="8"/>
      <c r="BQ466" s="4"/>
      <c r="BR466" s="8"/>
      <c r="BS466" s="7"/>
      <c r="BT466" s="7"/>
      <c r="BU466" s="2" t="s">
        <v>171</v>
      </c>
      <c r="BV466" s="2" t="s">
        <v>97</v>
      </c>
      <c r="BW466" s="2" t="s">
        <v>100</v>
      </c>
      <c r="BX466" s="2" t="s">
        <v>100</v>
      </c>
      <c r="BY466" s="2" t="s">
        <v>112</v>
      </c>
      <c r="BZ466" s="2" t="s">
        <v>149</v>
      </c>
    </row>
    <row r="467">
      <c r="A467" s="2" t="s">
        <v>2088</v>
      </c>
      <c r="B467" s="2" t="s">
        <v>87</v>
      </c>
      <c r="C467" s="2" t="s">
        <v>1797</v>
      </c>
      <c r="D467" s="2" t="s">
        <v>89</v>
      </c>
      <c r="E467" s="2" t="s">
        <v>811</v>
      </c>
      <c r="F467" s="2" t="s">
        <v>2075</v>
      </c>
      <c r="G467" s="2" t="s">
        <v>2076</v>
      </c>
      <c r="H467" s="2" t="s">
        <v>2077</v>
      </c>
      <c r="I467" s="2" t="s">
        <v>2083</v>
      </c>
      <c r="J467" s="2" t="s">
        <v>118</v>
      </c>
      <c r="K467" s="2" t="s">
        <v>96</v>
      </c>
      <c r="L467" s="3">
        <v>52.38</v>
      </c>
      <c r="M467" s="3">
        <v>55</v>
      </c>
      <c r="N467" s="3">
        <v>109.99</v>
      </c>
      <c r="O467" s="2" t="s">
        <v>97</v>
      </c>
      <c r="P467" s="2" t="s">
        <v>98</v>
      </c>
      <c r="Q467" s="2" t="s">
        <v>99</v>
      </c>
      <c r="R467" s="2" t="s">
        <v>100</v>
      </c>
      <c r="S467" s="2" t="s">
        <v>2079</v>
      </c>
      <c r="T467" s="2" t="s">
        <v>100</v>
      </c>
      <c r="U467" s="2" t="s">
        <v>102</v>
      </c>
      <c r="V467" s="2" t="s">
        <v>461</v>
      </c>
      <c r="W467" s="2" t="s">
        <v>609</v>
      </c>
      <c r="X467" s="2" t="s">
        <v>493</v>
      </c>
      <c r="Y467" s="2" t="s">
        <v>2080</v>
      </c>
      <c r="Z467" s="4">
        <v>254</v>
      </c>
      <c r="AA467" s="4">
        <f>=ROUNDDOWN(63.5,0)</f>
      </c>
      <c r="AB467" s="5">
        <v>4</v>
      </c>
      <c r="AC467" s="2" t="s">
        <v>100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/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/>
      <c r="BJ467" s="4">
        <v>7</v>
      </c>
      <c r="BK467" s="8">
        <v>406.45</v>
      </c>
      <c r="BL467" s="2" t="s">
        <v>2089</v>
      </c>
      <c r="BM467" s="7"/>
      <c r="BN467" s="7"/>
      <c r="BO467" s="4"/>
      <c r="BP467" s="8"/>
      <c r="BQ467" s="4"/>
      <c r="BR467" s="8"/>
      <c r="BS467" s="7"/>
      <c r="BT467" s="7"/>
      <c r="BU467" s="2" t="s">
        <v>171</v>
      </c>
      <c r="BV467" s="2" t="s">
        <v>97</v>
      </c>
      <c r="BW467" s="2" t="s">
        <v>100</v>
      </c>
      <c r="BX467" s="2" t="s">
        <v>100</v>
      </c>
      <c r="BY467" s="2" t="s">
        <v>112</v>
      </c>
      <c r="BZ467" s="2" t="s">
        <v>149</v>
      </c>
    </row>
    <row r="468">
      <c r="A468" s="2" t="s">
        <v>2090</v>
      </c>
      <c r="B468" s="2" t="s">
        <v>87</v>
      </c>
      <c r="C468" s="2" t="s">
        <v>1797</v>
      </c>
      <c r="D468" s="2" t="s">
        <v>89</v>
      </c>
      <c r="E468" s="2" t="s">
        <v>811</v>
      </c>
      <c r="F468" s="2" t="s">
        <v>2091</v>
      </c>
      <c r="G468" s="2" t="s">
        <v>2092</v>
      </c>
      <c r="H468" s="2" t="s">
        <v>2093</v>
      </c>
      <c r="I468" s="2" t="s">
        <v>2094</v>
      </c>
      <c r="J468" s="2" t="s">
        <v>95</v>
      </c>
      <c r="K468" s="2" t="s">
        <v>138</v>
      </c>
      <c r="L468" s="3">
        <v>79.9</v>
      </c>
      <c r="M468" s="3">
        <v>83.89</v>
      </c>
      <c r="N468" s="3">
        <v>169.99</v>
      </c>
      <c r="O468" s="2" t="s">
        <v>97</v>
      </c>
      <c r="P468" s="2" t="s">
        <v>98</v>
      </c>
      <c r="Q468" s="2" t="s">
        <v>99</v>
      </c>
      <c r="R468" s="2" t="s">
        <v>100</v>
      </c>
      <c r="S468" s="2" t="s">
        <v>2095</v>
      </c>
      <c r="T468" s="2" t="s">
        <v>100</v>
      </c>
      <c r="U468" s="2" t="s">
        <v>2096</v>
      </c>
      <c r="V468" s="2" t="s">
        <v>141</v>
      </c>
      <c r="W468" s="2" t="s">
        <v>104</v>
      </c>
      <c r="X468" s="2" t="s">
        <v>305</v>
      </c>
      <c r="Y468" s="2" t="s">
        <v>2097</v>
      </c>
      <c r="Z468" s="4">
        <v>346</v>
      </c>
      <c r="AA468" s="4">
        <f>=ROUNDDOWN(28.8333333333333,0)</f>
      </c>
      <c r="AB468" s="5">
        <v>12</v>
      </c>
      <c r="AC468" s="2" t="s">
        <v>173</v>
      </c>
      <c r="AD468" s="4">
        <v>110</v>
      </c>
      <c r="AE468" s="4">
        <v>110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100</v>
      </c>
      <c r="AW468" s="8" t="s">
        <v>100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/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/>
      <c r="BJ468" s="4">
        <v>20</v>
      </c>
      <c r="BK468" s="8">
        <v>1719.18</v>
      </c>
      <c r="BL468" s="2" t="s">
        <v>2098</v>
      </c>
      <c r="BM468" s="7"/>
      <c r="BN468" s="7"/>
      <c r="BO468" s="4"/>
      <c r="BP468" s="8"/>
      <c r="BQ468" s="4"/>
      <c r="BR468" s="8"/>
      <c r="BS468" s="7"/>
      <c r="BT468" s="7"/>
      <c r="BU468" s="2" t="s">
        <v>109</v>
      </c>
      <c r="BV468" s="2" t="s">
        <v>97</v>
      </c>
      <c r="BW468" s="2" t="s">
        <v>1531</v>
      </c>
      <c r="BX468" s="2" t="s">
        <v>2099</v>
      </c>
      <c r="BY468" s="2" t="s">
        <v>112</v>
      </c>
      <c r="BZ468" s="2" t="s">
        <v>100</v>
      </c>
    </row>
    <row r="469">
      <c r="A469" s="2" t="s">
        <v>2100</v>
      </c>
      <c r="B469" s="2" t="s">
        <v>87</v>
      </c>
      <c r="C469" s="2" t="s">
        <v>1797</v>
      </c>
      <c r="D469" s="2" t="s">
        <v>89</v>
      </c>
      <c r="E469" s="2" t="s">
        <v>811</v>
      </c>
      <c r="F469" s="2" t="s">
        <v>2091</v>
      </c>
      <c r="G469" s="2" t="s">
        <v>2092</v>
      </c>
      <c r="H469" s="2" t="s">
        <v>2093</v>
      </c>
      <c r="I469" s="2" t="s">
        <v>2094</v>
      </c>
      <c r="J469" s="2" t="s">
        <v>114</v>
      </c>
      <c r="K469" s="2" t="s">
        <v>138</v>
      </c>
      <c r="L469" s="3">
        <v>84.6</v>
      </c>
      <c r="M469" s="3">
        <v>88.83</v>
      </c>
      <c r="N469" s="3">
        <v>179.99</v>
      </c>
      <c r="O469" s="2" t="s">
        <v>97</v>
      </c>
      <c r="P469" s="2" t="s">
        <v>98</v>
      </c>
      <c r="Q469" s="2" t="s">
        <v>99</v>
      </c>
      <c r="R469" s="2" t="s">
        <v>100</v>
      </c>
      <c r="S469" s="2" t="s">
        <v>2095</v>
      </c>
      <c r="T469" s="2" t="s">
        <v>100</v>
      </c>
      <c r="U469" s="2" t="s">
        <v>2096</v>
      </c>
      <c r="V469" s="2" t="s">
        <v>141</v>
      </c>
      <c r="W469" s="2" t="s">
        <v>104</v>
      </c>
      <c r="X469" s="2" t="s">
        <v>305</v>
      </c>
      <c r="Y469" s="2" t="s">
        <v>2097</v>
      </c>
      <c r="Z469" s="4">
        <v>342</v>
      </c>
      <c r="AA469" s="4">
        <f>=ROUNDDOWN(28.5,0)</f>
      </c>
      <c r="AB469" s="5">
        <v>12</v>
      </c>
      <c r="AC469" s="2" t="s">
        <v>173</v>
      </c>
      <c r="AD469" s="4">
        <v>80</v>
      </c>
      <c r="AE469" s="4">
        <v>80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/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/>
      <c r="BJ469" s="4">
        <v>40</v>
      </c>
      <c r="BK469" s="8">
        <v>3646.1</v>
      </c>
      <c r="BL469" s="2" t="s">
        <v>2101</v>
      </c>
      <c r="BM469" s="7"/>
      <c r="BN469" s="7"/>
      <c r="BO469" s="4"/>
      <c r="BP469" s="8"/>
      <c r="BQ469" s="4"/>
      <c r="BR469" s="8"/>
      <c r="BS469" s="7"/>
      <c r="BT469" s="7"/>
      <c r="BU469" s="2" t="s">
        <v>109</v>
      </c>
      <c r="BV469" s="2" t="s">
        <v>97</v>
      </c>
      <c r="BW469" s="2" t="s">
        <v>1531</v>
      </c>
      <c r="BX469" s="2" t="s">
        <v>2102</v>
      </c>
      <c r="BY469" s="2" t="s">
        <v>112</v>
      </c>
      <c r="BZ469" s="2" t="s">
        <v>100</v>
      </c>
    </row>
    <row r="470">
      <c r="A470" s="2" t="s">
        <v>2103</v>
      </c>
      <c r="B470" s="2" t="s">
        <v>87</v>
      </c>
      <c r="C470" s="2" t="s">
        <v>1797</v>
      </c>
      <c r="D470" s="2" t="s">
        <v>89</v>
      </c>
      <c r="E470" s="2" t="s">
        <v>811</v>
      </c>
      <c r="F470" s="2" t="s">
        <v>2091</v>
      </c>
      <c r="G470" s="2" t="s">
        <v>2092</v>
      </c>
      <c r="H470" s="2" t="s">
        <v>2093</v>
      </c>
      <c r="I470" s="2" t="s">
        <v>2094</v>
      </c>
      <c r="J470" s="2" t="s">
        <v>118</v>
      </c>
      <c r="K470" s="2" t="s">
        <v>138</v>
      </c>
      <c r="L470" s="3">
        <v>84.6</v>
      </c>
      <c r="M470" s="3">
        <v>88.83</v>
      </c>
      <c r="N470" s="3">
        <v>179.99</v>
      </c>
      <c r="O470" s="2" t="s">
        <v>97</v>
      </c>
      <c r="P470" s="2" t="s">
        <v>98</v>
      </c>
      <c r="Q470" s="2" t="s">
        <v>99</v>
      </c>
      <c r="R470" s="2" t="s">
        <v>100</v>
      </c>
      <c r="S470" s="2" t="s">
        <v>2095</v>
      </c>
      <c r="T470" s="2" t="s">
        <v>100</v>
      </c>
      <c r="U470" s="2" t="s">
        <v>2096</v>
      </c>
      <c r="V470" s="2" t="s">
        <v>141</v>
      </c>
      <c r="W470" s="2" t="s">
        <v>104</v>
      </c>
      <c r="X470" s="2" t="s">
        <v>305</v>
      </c>
      <c r="Y470" s="2" t="s">
        <v>2097</v>
      </c>
      <c r="Z470" s="4">
        <v>153</v>
      </c>
      <c r="AA470" s="4">
        <f>=ROUNDDOWN(19.125,0)</f>
      </c>
      <c r="AB470" s="5">
        <v>8</v>
      </c>
      <c r="AC470" s="2" t="s">
        <v>173</v>
      </c>
      <c r="AD470" s="4">
        <v>100</v>
      </c>
      <c r="AE470" s="4">
        <v>100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100</v>
      </c>
      <c r="AW470" s="8" t="s">
        <v>100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/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/>
      <c r="BJ470" s="4">
        <v>24</v>
      </c>
      <c r="BK470" s="8">
        <v>2184.02</v>
      </c>
      <c r="BL470" s="2" t="s">
        <v>2104</v>
      </c>
      <c r="BM470" s="7"/>
      <c r="BN470" s="7"/>
      <c r="BO470" s="4"/>
      <c r="BP470" s="8"/>
      <c r="BQ470" s="4"/>
      <c r="BR470" s="8"/>
      <c r="BS470" s="7"/>
      <c r="BT470" s="7"/>
      <c r="BU470" s="2" t="s">
        <v>109</v>
      </c>
      <c r="BV470" s="2" t="s">
        <v>97</v>
      </c>
      <c r="BW470" s="2" t="s">
        <v>1531</v>
      </c>
      <c r="BX470" s="2" t="s">
        <v>1606</v>
      </c>
      <c r="BY470" s="2" t="s">
        <v>112</v>
      </c>
      <c r="BZ470" s="2" t="s">
        <v>100</v>
      </c>
    </row>
    <row r="471">
      <c r="A471" s="2" t="s">
        <v>2105</v>
      </c>
      <c r="B471" s="2" t="s">
        <v>87</v>
      </c>
      <c r="C471" s="2" t="s">
        <v>1797</v>
      </c>
      <c r="D471" s="2" t="s">
        <v>89</v>
      </c>
      <c r="E471" s="2" t="s">
        <v>2106</v>
      </c>
      <c r="F471" s="2" t="s">
        <v>2107</v>
      </c>
      <c r="G471" s="2" t="s">
        <v>2108</v>
      </c>
      <c r="H471" s="2" t="s">
        <v>2109</v>
      </c>
      <c r="I471" s="2" t="s">
        <v>2110</v>
      </c>
      <c r="J471" s="2" t="s">
        <v>95</v>
      </c>
      <c r="K471" s="2" t="s">
        <v>507</v>
      </c>
      <c r="L471" s="3">
        <v>88.19</v>
      </c>
      <c r="M471" s="3">
        <v>92.6</v>
      </c>
      <c r="N471" s="3">
        <v>179.99</v>
      </c>
      <c r="O471" s="2" t="s">
        <v>97</v>
      </c>
      <c r="P471" s="2" t="s">
        <v>139</v>
      </c>
      <c r="Q471" s="2" t="s">
        <v>99</v>
      </c>
      <c r="R471" s="2" t="s">
        <v>100</v>
      </c>
      <c r="S471" s="2" t="s">
        <v>2111</v>
      </c>
      <c r="T471" s="2" t="s">
        <v>100</v>
      </c>
      <c r="U471" s="2" t="s">
        <v>2112</v>
      </c>
      <c r="V471" s="2" t="s">
        <v>461</v>
      </c>
      <c r="W471" s="2" t="s">
        <v>142</v>
      </c>
      <c r="X471" s="2" t="s">
        <v>2113</v>
      </c>
      <c r="Y471" s="2" t="s">
        <v>1792</v>
      </c>
      <c r="Z471" s="4">
        <v>1107</v>
      </c>
      <c r="AA471" s="4">
        <f>=ROUNDDOWN(30.75,0)</f>
      </c>
      <c r="AB471" s="5">
        <v>36</v>
      </c>
      <c r="AC471" s="2" t="s">
        <v>312</v>
      </c>
      <c r="AD471" s="4">
        <v>190</v>
      </c>
      <c r="AE471" s="4">
        <v>190</v>
      </c>
      <c r="AF471" s="6">
        <v>64</v>
      </c>
      <c r="AG471" s="6">
        <v>47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1</v>
      </c>
      <c r="AQ471" s="8">
        <v>99.23</v>
      </c>
      <c r="AR471" s="4"/>
      <c r="AS471" s="8"/>
      <c r="AT471" s="7"/>
      <c r="AU471" s="7"/>
      <c r="AV471" s="4">
        <v>10</v>
      </c>
      <c r="AW471" s="8">
        <v>1091.48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0.0909</v>
      </c>
      <c r="BC471" s="4">
        <v>19</v>
      </c>
      <c r="BD471" s="8">
        <v>2017.61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>
        <v>0.541</v>
      </c>
      <c r="BJ471" s="4">
        <v>108</v>
      </c>
      <c r="BK471" s="8">
        <v>10835.96</v>
      </c>
      <c r="BL471" s="2" t="s">
        <v>2114</v>
      </c>
      <c r="BM471" s="7">
        <v>0.0093</v>
      </c>
      <c r="BN471" s="7">
        <v>0.0092</v>
      </c>
      <c r="BO471" s="4">
        <v>1</v>
      </c>
      <c r="BP471" s="8">
        <v>99.23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2115</v>
      </c>
      <c r="BX471" s="2" t="s">
        <v>882</v>
      </c>
      <c r="BY471" s="2" t="s">
        <v>112</v>
      </c>
      <c r="BZ471" s="2" t="s">
        <v>100</v>
      </c>
    </row>
    <row r="472">
      <c r="A472" s="2" t="s">
        <v>2116</v>
      </c>
      <c r="B472" s="2" t="s">
        <v>87</v>
      </c>
      <c r="C472" s="2" t="s">
        <v>1797</v>
      </c>
      <c r="D472" s="2" t="s">
        <v>89</v>
      </c>
      <c r="E472" s="2" t="s">
        <v>2106</v>
      </c>
      <c r="F472" s="2" t="s">
        <v>2107</v>
      </c>
      <c r="G472" s="2" t="s">
        <v>2108</v>
      </c>
      <c r="H472" s="2" t="s">
        <v>2109</v>
      </c>
      <c r="I472" s="2" t="s">
        <v>2117</v>
      </c>
      <c r="J472" s="2" t="s">
        <v>114</v>
      </c>
      <c r="K472" s="2" t="s">
        <v>507</v>
      </c>
      <c r="L472" s="3">
        <v>98.99</v>
      </c>
      <c r="M472" s="3">
        <v>103.94</v>
      </c>
      <c r="N472" s="3">
        <v>199.99</v>
      </c>
      <c r="O472" s="2" t="s">
        <v>97</v>
      </c>
      <c r="P472" s="2" t="s">
        <v>139</v>
      </c>
      <c r="Q472" s="2" t="s">
        <v>99</v>
      </c>
      <c r="R472" s="2" t="s">
        <v>100</v>
      </c>
      <c r="S472" s="2" t="s">
        <v>2111</v>
      </c>
      <c r="T472" s="2" t="s">
        <v>100</v>
      </c>
      <c r="U472" s="2" t="s">
        <v>2112</v>
      </c>
      <c r="V472" s="2" t="s">
        <v>461</v>
      </c>
      <c r="W472" s="2" t="s">
        <v>142</v>
      </c>
      <c r="X472" s="2" t="s">
        <v>2113</v>
      </c>
      <c r="Y472" s="2" t="s">
        <v>1792</v>
      </c>
      <c r="Z472" s="4">
        <v>518</v>
      </c>
      <c r="AA472" s="4">
        <f>=ROUNDDOWN(16.7096774193548,0)</f>
      </c>
      <c r="AB472" s="5">
        <v>31</v>
      </c>
      <c r="AC472" s="2" t="s">
        <v>173</v>
      </c>
      <c r="AD472" s="4">
        <v>350</v>
      </c>
      <c r="AE472" s="4">
        <v>550</v>
      </c>
      <c r="AF472" s="6">
        <v>64</v>
      </c>
      <c r="AG472" s="6">
        <v>47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7</v>
      </c>
      <c r="AQ472" s="8">
        <v>771.75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0.7071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110</v>
      </c>
      <c r="BK472" s="8">
        <v>12672.75</v>
      </c>
      <c r="BL472" s="2" t="s">
        <v>2118</v>
      </c>
      <c r="BM472" s="7">
        <v>0.0636</v>
      </c>
      <c r="BN472" s="7">
        <v>0.0609</v>
      </c>
      <c r="BO472" s="4">
        <v>7</v>
      </c>
      <c r="BP472" s="8">
        <v>771.75</v>
      </c>
      <c r="BQ472" s="4"/>
      <c r="BR472" s="8"/>
      <c r="BS472" s="7"/>
      <c r="BT472" s="7"/>
      <c r="BU472" s="2" t="s">
        <v>109</v>
      </c>
      <c r="BV472" s="2" t="s">
        <v>97</v>
      </c>
      <c r="BW472" s="2" t="s">
        <v>2115</v>
      </c>
      <c r="BX472" s="2" t="s">
        <v>2119</v>
      </c>
      <c r="BY472" s="2" t="s">
        <v>112</v>
      </c>
      <c r="BZ472" s="2" t="s">
        <v>100</v>
      </c>
    </row>
    <row r="473">
      <c r="A473" s="2" t="s">
        <v>2120</v>
      </c>
      <c r="B473" s="2" t="s">
        <v>87</v>
      </c>
      <c r="C473" s="2" t="s">
        <v>1797</v>
      </c>
      <c r="D473" s="2" t="s">
        <v>89</v>
      </c>
      <c r="E473" s="2" t="s">
        <v>2106</v>
      </c>
      <c r="F473" s="2" t="s">
        <v>2107</v>
      </c>
      <c r="G473" s="2" t="s">
        <v>2108</v>
      </c>
      <c r="H473" s="2" t="s">
        <v>2109</v>
      </c>
      <c r="I473" s="2" t="s">
        <v>2117</v>
      </c>
      <c r="J473" s="2" t="s">
        <v>118</v>
      </c>
      <c r="K473" s="2" t="s">
        <v>507</v>
      </c>
      <c r="L473" s="3">
        <v>98.99</v>
      </c>
      <c r="M473" s="3">
        <v>103.94</v>
      </c>
      <c r="N473" s="3">
        <v>199.99</v>
      </c>
      <c r="O473" s="2" t="s">
        <v>97</v>
      </c>
      <c r="P473" s="2" t="s">
        <v>139</v>
      </c>
      <c r="Q473" s="2" t="s">
        <v>99</v>
      </c>
      <c r="R473" s="2" t="s">
        <v>100</v>
      </c>
      <c r="S473" s="2" t="s">
        <v>2111</v>
      </c>
      <c r="T473" s="2" t="s">
        <v>100</v>
      </c>
      <c r="U473" s="2" t="s">
        <v>2112</v>
      </c>
      <c r="V473" s="2" t="s">
        <v>461</v>
      </c>
      <c r="W473" s="2" t="s">
        <v>142</v>
      </c>
      <c r="X473" s="2" t="s">
        <v>2113</v>
      </c>
      <c r="Y473" s="2" t="s">
        <v>1792</v>
      </c>
      <c r="Z473" s="4">
        <v>516</v>
      </c>
      <c r="AA473" s="4">
        <f>=ROUNDDOWN(34.4,0)</f>
      </c>
      <c r="AB473" s="5">
        <v>15</v>
      </c>
      <c r="AC473" s="2" t="s">
        <v>2121</v>
      </c>
      <c r="AD473" s="4">
        <v>50</v>
      </c>
      <c r="AE473" s="4">
        <v>50</v>
      </c>
      <c r="AF473" s="6">
        <v>64</v>
      </c>
      <c r="AG473" s="6">
        <v>47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2</v>
      </c>
      <c r="AQ473" s="8">
        <v>220.5</v>
      </c>
      <c r="AR473" s="4"/>
      <c r="AS473" s="8"/>
      <c r="AT473" s="7"/>
      <c r="AU473" s="7"/>
      <c r="AV473" s="4" t="s">
        <v>100</v>
      </c>
      <c r="AW473" s="8" t="s">
        <v>100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0.202</v>
      </c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 t="s">
        <v>100</v>
      </c>
      <c r="BJ473" s="4">
        <v>42</v>
      </c>
      <c r="BK473" s="8">
        <v>4765.65</v>
      </c>
      <c r="BL473" s="2" t="s">
        <v>2122</v>
      </c>
      <c r="BM473" s="7">
        <v>0.0476</v>
      </c>
      <c r="BN473" s="7">
        <v>0.0463</v>
      </c>
      <c r="BO473" s="4">
        <v>2</v>
      </c>
      <c r="BP473" s="8">
        <v>220.5</v>
      </c>
      <c r="BQ473" s="4"/>
      <c r="BR473" s="8"/>
      <c r="BS473" s="7"/>
      <c r="BT473" s="7"/>
      <c r="BU473" s="2" t="s">
        <v>109</v>
      </c>
      <c r="BV473" s="2" t="s">
        <v>97</v>
      </c>
      <c r="BW473" s="2" t="s">
        <v>2115</v>
      </c>
      <c r="BX473" s="2" t="s">
        <v>2123</v>
      </c>
      <c r="BY473" s="2" t="s">
        <v>112</v>
      </c>
      <c r="BZ473" s="2" t="s">
        <v>100</v>
      </c>
    </row>
    <row r="474">
      <c r="A474" s="2" t="s">
        <v>2124</v>
      </c>
      <c r="B474" s="2" t="s">
        <v>87</v>
      </c>
      <c r="C474" s="2" t="s">
        <v>1797</v>
      </c>
      <c r="D474" s="2" t="s">
        <v>89</v>
      </c>
      <c r="E474" s="2" t="s">
        <v>2106</v>
      </c>
      <c r="F474" s="2" t="s">
        <v>2107</v>
      </c>
      <c r="G474" s="2" t="s">
        <v>2108</v>
      </c>
      <c r="H474" s="2" t="s">
        <v>2109</v>
      </c>
      <c r="I474" s="2" t="s">
        <v>2117</v>
      </c>
      <c r="J474" s="2" t="s">
        <v>95</v>
      </c>
      <c r="K474" s="2" t="s">
        <v>1373</v>
      </c>
      <c r="L474" s="3">
        <v>88.19</v>
      </c>
      <c r="M474" s="3">
        <v>92.6</v>
      </c>
      <c r="N474" s="3">
        <v>179.99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2125</v>
      </c>
      <c r="T474" s="2" t="s">
        <v>100</v>
      </c>
      <c r="U474" s="2" t="s">
        <v>2112</v>
      </c>
      <c r="V474" s="2" t="s">
        <v>461</v>
      </c>
      <c r="W474" s="2" t="s">
        <v>142</v>
      </c>
      <c r="X474" s="2" t="s">
        <v>2113</v>
      </c>
      <c r="Y474" s="2" t="s">
        <v>2126</v>
      </c>
      <c r="Z474" s="4">
        <v>645</v>
      </c>
      <c r="AA474" s="4">
        <f>=ROUNDDOWN(43,0)</f>
      </c>
      <c r="AB474" s="5">
        <v>15</v>
      </c>
      <c r="AC474" s="2" t="s">
        <v>100</v>
      </c>
      <c r="AD474" s="4"/>
      <c r="AE474" s="4"/>
      <c r="AF474" s="6">
        <v>64</v>
      </c>
      <c r="AG474" s="6">
        <v>47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3</v>
      </c>
      <c r="AQ474" s="8">
        <v>297.69</v>
      </c>
      <c r="AR474" s="4"/>
      <c r="AS474" s="8"/>
      <c r="AT474" s="7"/>
      <c r="AU474" s="7"/>
      <c r="AV474" s="4">
        <v>5</v>
      </c>
      <c r="AW474" s="8">
        <v>518.19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0.5745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>
        <v>0.2568</v>
      </c>
      <c r="BJ474" s="4">
        <v>46</v>
      </c>
      <c r="BK474" s="8">
        <v>4590.06</v>
      </c>
      <c r="BL474" s="2" t="s">
        <v>2127</v>
      </c>
      <c r="BM474" s="7">
        <v>0.0652</v>
      </c>
      <c r="BN474" s="7">
        <v>0.0649</v>
      </c>
      <c r="BO474" s="4">
        <v>3</v>
      </c>
      <c r="BP474" s="8">
        <v>297.69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127</v>
      </c>
      <c r="BX474" s="2" t="s">
        <v>2128</v>
      </c>
      <c r="BY474" s="2" t="s">
        <v>112</v>
      </c>
      <c r="BZ474" s="2" t="s">
        <v>100</v>
      </c>
    </row>
    <row r="475">
      <c r="A475" s="2" t="s">
        <v>2129</v>
      </c>
      <c r="B475" s="2" t="s">
        <v>87</v>
      </c>
      <c r="C475" s="2" t="s">
        <v>1797</v>
      </c>
      <c r="D475" s="2" t="s">
        <v>89</v>
      </c>
      <c r="E475" s="2" t="s">
        <v>2106</v>
      </c>
      <c r="F475" s="2" t="s">
        <v>2107</v>
      </c>
      <c r="G475" s="2" t="s">
        <v>2108</v>
      </c>
      <c r="H475" s="2" t="s">
        <v>2109</v>
      </c>
      <c r="I475" s="2" t="s">
        <v>2117</v>
      </c>
      <c r="J475" s="2" t="s">
        <v>114</v>
      </c>
      <c r="K475" s="2" t="s">
        <v>1373</v>
      </c>
      <c r="L475" s="3">
        <v>98.99</v>
      </c>
      <c r="M475" s="3">
        <v>103.94</v>
      </c>
      <c r="N475" s="3">
        <v>199.99</v>
      </c>
      <c r="O475" s="2" t="s">
        <v>97</v>
      </c>
      <c r="P475" s="2" t="s">
        <v>98</v>
      </c>
      <c r="Q475" s="2" t="s">
        <v>99</v>
      </c>
      <c r="R475" s="2" t="s">
        <v>100</v>
      </c>
      <c r="S475" s="2" t="s">
        <v>2125</v>
      </c>
      <c r="T475" s="2" t="s">
        <v>100</v>
      </c>
      <c r="U475" s="2" t="s">
        <v>2112</v>
      </c>
      <c r="V475" s="2" t="s">
        <v>461</v>
      </c>
      <c r="W475" s="2" t="s">
        <v>142</v>
      </c>
      <c r="X475" s="2" t="s">
        <v>2113</v>
      </c>
      <c r="Y475" s="2" t="s">
        <v>2126</v>
      </c>
      <c r="Z475" s="4">
        <v>522</v>
      </c>
      <c r="AA475" s="4">
        <f>=ROUNDDOWN(37.2857142857143,0)</f>
      </c>
      <c r="AB475" s="5">
        <v>14</v>
      </c>
      <c r="AC475" s="2" t="s">
        <v>100</v>
      </c>
      <c r="AD475" s="4"/>
      <c r="AE475" s="4"/>
      <c r="AF475" s="6">
        <v>64</v>
      </c>
      <c r="AG475" s="6">
        <v>47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2</v>
      </c>
      <c r="AQ475" s="8">
        <v>220.5</v>
      </c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0.4255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43</v>
      </c>
      <c r="BK475" s="8">
        <v>4958.67</v>
      </c>
      <c r="BL475" s="2" t="s">
        <v>2130</v>
      </c>
      <c r="BM475" s="7">
        <v>0.0465</v>
      </c>
      <c r="BN475" s="7">
        <v>0.0445</v>
      </c>
      <c r="BO475" s="4">
        <v>2</v>
      </c>
      <c r="BP475" s="8">
        <v>220.5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127</v>
      </c>
      <c r="BX475" s="2" t="s">
        <v>2131</v>
      </c>
      <c r="BY475" s="2" t="s">
        <v>112</v>
      </c>
      <c r="BZ475" s="2" t="s">
        <v>100</v>
      </c>
    </row>
    <row r="476">
      <c r="A476" s="2" t="s">
        <v>2132</v>
      </c>
      <c r="B476" s="2" t="s">
        <v>87</v>
      </c>
      <c r="C476" s="2" t="s">
        <v>1797</v>
      </c>
      <c r="D476" s="2" t="s">
        <v>89</v>
      </c>
      <c r="E476" s="2" t="s">
        <v>2106</v>
      </c>
      <c r="F476" s="2" t="s">
        <v>2107</v>
      </c>
      <c r="G476" s="2" t="s">
        <v>2108</v>
      </c>
      <c r="H476" s="2" t="s">
        <v>2109</v>
      </c>
      <c r="I476" s="2" t="s">
        <v>2117</v>
      </c>
      <c r="J476" s="2" t="s">
        <v>118</v>
      </c>
      <c r="K476" s="2" t="s">
        <v>1373</v>
      </c>
      <c r="L476" s="3">
        <v>98.99</v>
      </c>
      <c r="M476" s="3">
        <v>103.94</v>
      </c>
      <c r="N476" s="3">
        <v>199.99</v>
      </c>
      <c r="O476" s="2" t="s">
        <v>97</v>
      </c>
      <c r="P476" s="2" t="s">
        <v>98</v>
      </c>
      <c r="Q476" s="2" t="s">
        <v>99</v>
      </c>
      <c r="R476" s="2" t="s">
        <v>100</v>
      </c>
      <c r="S476" s="2" t="s">
        <v>2125</v>
      </c>
      <c r="T476" s="2" t="s">
        <v>100</v>
      </c>
      <c r="U476" s="2" t="s">
        <v>2112</v>
      </c>
      <c r="V476" s="2" t="s">
        <v>461</v>
      </c>
      <c r="W476" s="2" t="s">
        <v>142</v>
      </c>
      <c r="X476" s="2" t="s">
        <v>2113</v>
      </c>
      <c r="Y476" s="2" t="s">
        <v>2126</v>
      </c>
      <c r="Z476" s="4">
        <v>330</v>
      </c>
      <c r="AA476" s="4">
        <f>=ROUNDDOWN(47.1428571428571,0)</f>
      </c>
      <c r="AB476" s="5">
        <v>7</v>
      </c>
      <c r="AC476" s="2" t="s">
        <v>100</v>
      </c>
      <c r="AD476" s="4"/>
      <c r="AE476" s="4"/>
      <c r="AF476" s="6">
        <v>64</v>
      </c>
      <c r="AG476" s="6">
        <v>47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/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 t="s">
        <v>100</v>
      </c>
      <c r="BJ476" s="4">
        <v>16</v>
      </c>
      <c r="BK476" s="8">
        <v>1732.83</v>
      </c>
      <c r="BL476" s="2" t="s">
        <v>2133</v>
      </c>
      <c r="BM476" s="7"/>
      <c r="BN476" s="7"/>
      <c r="BO476" s="4"/>
      <c r="BP476" s="8"/>
      <c r="BQ476" s="4"/>
      <c r="BR476" s="8"/>
      <c r="BS476" s="7"/>
      <c r="BT476" s="7"/>
      <c r="BU476" s="2" t="s">
        <v>109</v>
      </c>
      <c r="BV476" s="2" t="s">
        <v>97</v>
      </c>
      <c r="BW476" s="2" t="s">
        <v>127</v>
      </c>
      <c r="BX476" s="2" t="s">
        <v>2134</v>
      </c>
      <c r="BY476" s="2" t="s">
        <v>112</v>
      </c>
      <c r="BZ476" s="2" t="s">
        <v>100</v>
      </c>
    </row>
    <row r="477">
      <c r="A477" s="2" t="s">
        <v>2135</v>
      </c>
      <c r="B477" s="2" t="s">
        <v>87</v>
      </c>
      <c r="C477" s="2" t="s">
        <v>1797</v>
      </c>
      <c r="D477" s="2" t="s">
        <v>89</v>
      </c>
      <c r="E477" s="2" t="s">
        <v>2106</v>
      </c>
      <c r="F477" s="2" t="s">
        <v>2107</v>
      </c>
      <c r="G477" s="2" t="s">
        <v>2108</v>
      </c>
      <c r="H477" s="2" t="s">
        <v>2109</v>
      </c>
      <c r="I477" s="2" t="s">
        <v>2117</v>
      </c>
      <c r="J477" s="2" t="s">
        <v>95</v>
      </c>
      <c r="K477" s="2" t="s">
        <v>96</v>
      </c>
      <c r="L477" s="3">
        <v>88.19</v>
      </c>
      <c r="M477" s="3">
        <v>92.6</v>
      </c>
      <c r="N477" s="3">
        <v>179.99</v>
      </c>
      <c r="O477" s="2" t="s">
        <v>97</v>
      </c>
      <c r="P477" s="2" t="s">
        <v>98</v>
      </c>
      <c r="Q477" s="2" t="s">
        <v>99</v>
      </c>
      <c r="R477" s="2" t="s">
        <v>100</v>
      </c>
      <c r="S477" s="2" t="s">
        <v>2136</v>
      </c>
      <c r="T477" s="2" t="s">
        <v>100</v>
      </c>
      <c r="U477" s="2" t="s">
        <v>2112</v>
      </c>
      <c r="V477" s="2" t="s">
        <v>461</v>
      </c>
      <c r="W477" s="2" t="s">
        <v>142</v>
      </c>
      <c r="X477" s="2" t="s">
        <v>2137</v>
      </c>
      <c r="Y477" s="2" t="s">
        <v>2138</v>
      </c>
      <c r="Z477" s="4">
        <v>168</v>
      </c>
      <c r="AA477" s="4">
        <f>=ROUNDDOWN(7.77777777777778,0)</f>
      </c>
      <c r="AB477" s="5">
        <v>21.6</v>
      </c>
      <c r="AC477" s="2" t="s">
        <v>130</v>
      </c>
      <c r="AD477" s="4">
        <v>210</v>
      </c>
      <c r="AE477" s="4">
        <v>610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1</v>
      </c>
      <c r="AQ477" s="8">
        <v>99.23</v>
      </c>
      <c r="AR477" s="4"/>
      <c r="AS477" s="8"/>
      <c r="AT477" s="7"/>
      <c r="AU477" s="7"/>
      <c r="AV477" s="4">
        <v>2</v>
      </c>
      <c r="AW477" s="8">
        <v>209.48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0.4737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>
        <v>0.1038</v>
      </c>
      <c r="BJ477" s="4">
        <v>86</v>
      </c>
      <c r="BK477" s="8">
        <v>9101.41</v>
      </c>
      <c r="BL477" s="2" t="s">
        <v>981</v>
      </c>
      <c r="BM477" s="7">
        <v>0.0116</v>
      </c>
      <c r="BN477" s="7">
        <v>0.0109</v>
      </c>
      <c r="BO477" s="4">
        <v>1</v>
      </c>
      <c r="BP477" s="8">
        <v>99.23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2139</v>
      </c>
      <c r="BX477" s="2" t="s">
        <v>1529</v>
      </c>
      <c r="BY477" s="2" t="s">
        <v>112</v>
      </c>
      <c r="BZ477" s="2" t="s">
        <v>149</v>
      </c>
    </row>
    <row r="478">
      <c r="A478" s="2" t="s">
        <v>2140</v>
      </c>
      <c r="B478" s="2" t="s">
        <v>87</v>
      </c>
      <c r="C478" s="2" t="s">
        <v>1797</v>
      </c>
      <c r="D478" s="2" t="s">
        <v>89</v>
      </c>
      <c r="E478" s="2" t="s">
        <v>2106</v>
      </c>
      <c r="F478" s="2" t="s">
        <v>2107</v>
      </c>
      <c r="G478" s="2" t="s">
        <v>2108</v>
      </c>
      <c r="H478" s="2" t="s">
        <v>2109</v>
      </c>
      <c r="I478" s="2" t="s">
        <v>2117</v>
      </c>
      <c r="J478" s="2" t="s">
        <v>118</v>
      </c>
      <c r="K478" s="2" t="s">
        <v>96</v>
      </c>
      <c r="L478" s="3">
        <v>98.99</v>
      </c>
      <c r="M478" s="3">
        <v>103.94</v>
      </c>
      <c r="N478" s="3">
        <v>199.99</v>
      </c>
      <c r="O478" s="2" t="s">
        <v>97</v>
      </c>
      <c r="P478" s="2" t="s">
        <v>98</v>
      </c>
      <c r="Q478" s="2" t="s">
        <v>99</v>
      </c>
      <c r="R478" s="2" t="s">
        <v>100</v>
      </c>
      <c r="S478" s="2" t="s">
        <v>2136</v>
      </c>
      <c r="T478" s="2" t="s">
        <v>100</v>
      </c>
      <c r="U478" s="2" t="s">
        <v>2112</v>
      </c>
      <c r="V478" s="2" t="s">
        <v>461</v>
      </c>
      <c r="W478" s="2" t="s">
        <v>142</v>
      </c>
      <c r="X478" s="2" t="s">
        <v>2137</v>
      </c>
      <c r="Y478" s="2" t="s">
        <v>2138</v>
      </c>
      <c r="Z478" s="4">
        <v>135</v>
      </c>
      <c r="AA478" s="4">
        <f>=ROUNDDOWN(13.5,0)</f>
      </c>
      <c r="AB478" s="5">
        <v>10</v>
      </c>
      <c r="AC478" s="2" t="s">
        <v>1452</v>
      </c>
      <c r="AD478" s="4">
        <v>50</v>
      </c>
      <c r="AE478" s="4">
        <v>250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1</v>
      </c>
      <c r="AQ478" s="8">
        <v>110.25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0.5263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35</v>
      </c>
      <c r="BK478" s="8">
        <v>4165.81</v>
      </c>
      <c r="BL478" s="2" t="s">
        <v>2141</v>
      </c>
      <c r="BM478" s="7">
        <v>0.0286</v>
      </c>
      <c r="BN478" s="7">
        <v>0.0265</v>
      </c>
      <c r="BO478" s="4">
        <v>1</v>
      </c>
      <c r="BP478" s="8">
        <v>110.25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2139</v>
      </c>
      <c r="BX478" s="2" t="s">
        <v>1841</v>
      </c>
      <c r="BY478" s="2" t="s">
        <v>112</v>
      </c>
      <c r="BZ478" s="2" t="s">
        <v>149</v>
      </c>
    </row>
    <row r="479">
      <c r="A479" s="2" t="s">
        <v>2142</v>
      </c>
      <c r="B479" s="2" t="s">
        <v>87</v>
      </c>
      <c r="C479" s="2" t="s">
        <v>1797</v>
      </c>
      <c r="D479" s="2" t="s">
        <v>89</v>
      </c>
      <c r="E479" s="2" t="s">
        <v>2106</v>
      </c>
      <c r="F479" s="2" t="s">
        <v>2107</v>
      </c>
      <c r="G479" s="2" t="s">
        <v>2108</v>
      </c>
      <c r="H479" s="2" t="s">
        <v>2109</v>
      </c>
      <c r="I479" s="2" t="s">
        <v>2117</v>
      </c>
      <c r="J479" s="2" t="s">
        <v>95</v>
      </c>
      <c r="K479" s="2" t="s">
        <v>673</v>
      </c>
      <c r="L479" s="3">
        <v>88.19</v>
      </c>
      <c r="M479" s="3">
        <v>92.6</v>
      </c>
      <c r="N479" s="3">
        <v>179.99</v>
      </c>
      <c r="O479" s="2" t="s">
        <v>97</v>
      </c>
      <c r="P479" s="2" t="s">
        <v>139</v>
      </c>
      <c r="Q479" s="2" t="s">
        <v>99</v>
      </c>
      <c r="R479" s="2" t="s">
        <v>100</v>
      </c>
      <c r="S479" s="2" t="s">
        <v>2143</v>
      </c>
      <c r="T479" s="2" t="s">
        <v>100</v>
      </c>
      <c r="U479" s="2" t="s">
        <v>2112</v>
      </c>
      <c r="V479" s="2" t="s">
        <v>461</v>
      </c>
      <c r="W479" s="2" t="s">
        <v>142</v>
      </c>
      <c r="X479" s="2" t="s">
        <v>2113</v>
      </c>
      <c r="Y479" s="2" t="s">
        <v>229</v>
      </c>
      <c r="Z479" s="4">
        <v>583</v>
      </c>
      <c r="AA479" s="4">
        <f>=ROUNDDOWN(12.6739130434783,0)</f>
      </c>
      <c r="AB479" s="5">
        <v>46</v>
      </c>
      <c r="AC479" s="2" t="s">
        <v>312</v>
      </c>
      <c r="AD479" s="4">
        <v>230</v>
      </c>
      <c r="AE479" s="4">
        <v>840</v>
      </c>
      <c r="AF479" s="6">
        <v>64</v>
      </c>
      <c r="AG479" s="6">
        <v>47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2</v>
      </c>
      <c r="AQ479" s="8">
        <v>198.46</v>
      </c>
      <c r="AR479" s="4"/>
      <c r="AS479" s="8"/>
      <c r="AT479" s="7"/>
      <c r="AU479" s="7"/>
      <c r="AV479" s="4">
        <v>2</v>
      </c>
      <c r="AW479" s="8">
        <v>198.46</v>
      </c>
      <c r="AX479" s="4"/>
      <c r="AY479" s="8"/>
      <c r="AZ479" s="7"/>
      <c r="BA479" s="7"/>
      <c r="BB479" s="7">
        <v>1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>
        <v>0.0984</v>
      </c>
      <c r="BJ479" s="4">
        <v>154</v>
      </c>
      <c r="BK479" s="8">
        <v>15994.69</v>
      </c>
      <c r="BL479" s="2" t="s">
        <v>2144</v>
      </c>
      <c r="BM479" s="7">
        <v>0.013</v>
      </c>
      <c r="BN479" s="7">
        <v>0.0124</v>
      </c>
      <c r="BO479" s="4">
        <v>2</v>
      </c>
      <c r="BP479" s="8">
        <v>198.46</v>
      </c>
      <c r="BQ479" s="4"/>
      <c r="BR479" s="8"/>
      <c r="BS479" s="7"/>
      <c r="BT479" s="7"/>
      <c r="BU479" s="2" t="s">
        <v>109</v>
      </c>
      <c r="BV479" s="2" t="s">
        <v>97</v>
      </c>
      <c r="BW479" s="2" t="s">
        <v>127</v>
      </c>
      <c r="BX479" s="2" t="s">
        <v>2145</v>
      </c>
      <c r="BY479" s="2" t="s">
        <v>112</v>
      </c>
      <c r="BZ479" s="2" t="s">
        <v>149</v>
      </c>
    </row>
    <row r="480">
      <c r="A480" s="2" t="s">
        <v>2146</v>
      </c>
      <c r="B480" s="2" t="s">
        <v>87</v>
      </c>
      <c r="C480" s="2" t="s">
        <v>1797</v>
      </c>
      <c r="D480" s="2" t="s">
        <v>89</v>
      </c>
      <c r="E480" s="2" t="s">
        <v>2106</v>
      </c>
      <c r="F480" s="2" t="s">
        <v>2107</v>
      </c>
      <c r="G480" s="2" t="s">
        <v>2108</v>
      </c>
      <c r="H480" s="2" t="s">
        <v>2109</v>
      </c>
      <c r="I480" s="2" t="s">
        <v>2117</v>
      </c>
      <c r="J480" s="2" t="s">
        <v>114</v>
      </c>
      <c r="K480" s="2" t="s">
        <v>188</v>
      </c>
      <c r="L480" s="3">
        <v>98.99</v>
      </c>
      <c r="M480" s="3">
        <v>103.94</v>
      </c>
      <c r="N480" s="3">
        <v>199.99</v>
      </c>
      <c r="O480" s="2" t="s">
        <v>97</v>
      </c>
      <c r="P480" s="2" t="s">
        <v>98</v>
      </c>
      <c r="Q480" s="2" t="s">
        <v>99</v>
      </c>
      <c r="R480" s="2" t="s">
        <v>100</v>
      </c>
      <c r="S480" s="2" t="s">
        <v>2147</v>
      </c>
      <c r="T480" s="2" t="s">
        <v>100</v>
      </c>
      <c r="U480" s="2" t="s">
        <v>2112</v>
      </c>
      <c r="V480" s="2" t="s">
        <v>461</v>
      </c>
      <c r="W480" s="2" t="s">
        <v>142</v>
      </c>
      <c r="X480" s="2" t="s">
        <v>2137</v>
      </c>
      <c r="Y480" s="2" t="s">
        <v>2148</v>
      </c>
      <c r="Z480" s="4">
        <v>91</v>
      </c>
      <c r="AA480" s="4">
        <f>=ROUNDDOWN(9.1,0)</f>
      </c>
      <c r="AB480" s="5">
        <v>10</v>
      </c>
      <c r="AC480" s="2" t="s">
        <v>130</v>
      </c>
      <c r="AD480" s="4">
        <v>60</v>
      </c>
      <c r="AE480" s="4">
        <v>160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/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30</v>
      </c>
      <c r="BK480" s="8">
        <v>3493.08</v>
      </c>
      <c r="BL480" s="2" t="s">
        <v>1039</v>
      </c>
      <c r="BM480" s="7"/>
      <c r="BN480" s="7"/>
      <c r="BO480" s="4"/>
      <c r="BP480" s="8"/>
      <c r="BQ480" s="4"/>
      <c r="BR480" s="8"/>
      <c r="BS480" s="7"/>
      <c r="BT480" s="7"/>
      <c r="BU480" s="2" t="s">
        <v>569</v>
      </c>
      <c r="BV480" s="2" t="s">
        <v>97</v>
      </c>
      <c r="BW480" s="2" t="s">
        <v>100</v>
      </c>
      <c r="BX480" s="2" t="s">
        <v>100</v>
      </c>
      <c r="BY480" s="2" t="s">
        <v>112</v>
      </c>
      <c r="BZ480" s="2" t="s">
        <v>149</v>
      </c>
    </row>
    <row r="481">
      <c r="A481" s="2" t="s">
        <v>2149</v>
      </c>
      <c r="B481" s="2" t="s">
        <v>87</v>
      </c>
      <c r="C481" s="2" t="s">
        <v>1797</v>
      </c>
      <c r="D481" s="2" t="s">
        <v>89</v>
      </c>
      <c r="E481" s="2" t="s">
        <v>2106</v>
      </c>
      <c r="F481" s="2" t="s">
        <v>2107</v>
      </c>
      <c r="G481" s="2" t="s">
        <v>2108</v>
      </c>
      <c r="H481" s="2" t="s">
        <v>2109</v>
      </c>
      <c r="I481" s="2" t="s">
        <v>2117</v>
      </c>
      <c r="J481" s="2" t="s">
        <v>118</v>
      </c>
      <c r="K481" s="2" t="s">
        <v>188</v>
      </c>
      <c r="L481" s="3">
        <v>98.99</v>
      </c>
      <c r="M481" s="3">
        <v>103.94</v>
      </c>
      <c r="N481" s="3">
        <v>199.99</v>
      </c>
      <c r="O481" s="2" t="s">
        <v>97</v>
      </c>
      <c r="P481" s="2" t="s">
        <v>98</v>
      </c>
      <c r="Q481" s="2" t="s">
        <v>99</v>
      </c>
      <c r="R481" s="2" t="s">
        <v>100</v>
      </c>
      <c r="S481" s="2" t="s">
        <v>2147</v>
      </c>
      <c r="T481" s="2" t="s">
        <v>100</v>
      </c>
      <c r="U481" s="2" t="s">
        <v>2112</v>
      </c>
      <c r="V481" s="2" t="s">
        <v>461</v>
      </c>
      <c r="W481" s="2" t="s">
        <v>142</v>
      </c>
      <c r="X481" s="2" t="s">
        <v>2137</v>
      </c>
      <c r="Y481" s="2" t="s">
        <v>2148</v>
      </c>
      <c r="Z481" s="4">
        <v>93</v>
      </c>
      <c r="AA481" s="4">
        <f>=ROUNDDOWN(77.5,0)</f>
      </c>
      <c r="AB481" s="5">
        <v>1.2</v>
      </c>
      <c r="AC481" s="2" t="s">
        <v>2150</v>
      </c>
      <c r="AD481" s="4">
        <v>70</v>
      </c>
      <c r="AE481" s="4">
        <v>70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/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 t="s">
        <v>100</v>
      </c>
      <c r="BJ481" s="4">
        <v>16</v>
      </c>
      <c r="BK481" s="8">
        <v>1920.64</v>
      </c>
      <c r="BL481" s="2" t="s">
        <v>2151</v>
      </c>
      <c r="BM481" s="7"/>
      <c r="BN481" s="7"/>
      <c r="BO481" s="4"/>
      <c r="BP481" s="8"/>
      <c r="BQ481" s="4"/>
      <c r="BR481" s="8"/>
      <c r="BS481" s="7"/>
      <c r="BT481" s="7"/>
      <c r="BU481" s="2" t="s">
        <v>569</v>
      </c>
      <c r="BV481" s="2" t="s">
        <v>97</v>
      </c>
      <c r="BW481" s="2" t="s">
        <v>100</v>
      </c>
      <c r="BX481" s="2" t="s">
        <v>100</v>
      </c>
      <c r="BY481" s="2" t="s">
        <v>112</v>
      </c>
      <c r="BZ481" s="2" t="s">
        <v>149</v>
      </c>
    </row>
    <row r="482">
      <c r="A482" s="2" t="s">
        <v>2152</v>
      </c>
      <c r="B482" s="2" t="s">
        <v>87</v>
      </c>
      <c r="C482" s="2" t="s">
        <v>1797</v>
      </c>
      <c r="D482" s="2" t="s">
        <v>89</v>
      </c>
      <c r="E482" s="2" t="s">
        <v>2106</v>
      </c>
      <c r="F482" s="2" t="s">
        <v>2153</v>
      </c>
      <c r="G482" s="2" t="s">
        <v>2154</v>
      </c>
      <c r="H482" s="2" t="s">
        <v>2155</v>
      </c>
      <c r="I482" s="2" t="s">
        <v>2110</v>
      </c>
      <c r="J482" s="2" t="s">
        <v>95</v>
      </c>
      <c r="K482" s="2" t="s">
        <v>223</v>
      </c>
      <c r="L482" s="3">
        <v>100</v>
      </c>
      <c r="M482" s="3">
        <v>104.99</v>
      </c>
      <c r="N482" s="3">
        <v>199.99</v>
      </c>
      <c r="O482" s="2" t="s">
        <v>97</v>
      </c>
      <c r="P482" s="2" t="s">
        <v>98</v>
      </c>
      <c r="Q482" s="2" t="s">
        <v>99</v>
      </c>
      <c r="R482" s="2" t="s">
        <v>100</v>
      </c>
      <c r="S482" s="2" t="s">
        <v>2156</v>
      </c>
      <c r="T482" s="2" t="s">
        <v>100</v>
      </c>
      <c r="U482" s="2" t="s">
        <v>2112</v>
      </c>
      <c r="V482" s="2" t="s">
        <v>141</v>
      </c>
      <c r="W482" s="2" t="s">
        <v>104</v>
      </c>
      <c r="X482" s="2" t="s">
        <v>305</v>
      </c>
      <c r="Y482" s="2" t="s">
        <v>2157</v>
      </c>
      <c r="Z482" s="4">
        <v>433</v>
      </c>
      <c r="AA482" s="4">
        <f>=ROUNDDOWN(21.65,0)</f>
      </c>
      <c r="AB482" s="5">
        <v>20</v>
      </c>
      <c r="AC482" s="2" t="s">
        <v>1468</v>
      </c>
      <c r="AD482" s="4">
        <v>100</v>
      </c>
      <c r="AE482" s="4">
        <v>480</v>
      </c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4</v>
      </c>
      <c r="AQ482" s="8">
        <v>396.92</v>
      </c>
      <c r="AR482" s="4"/>
      <c r="AS482" s="8"/>
      <c r="AT482" s="7"/>
      <c r="AU482" s="7"/>
      <c r="AV482" s="4">
        <v>5</v>
      </c>
      <c r="AW482" s="8">
        <v>507.17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0.7826</v>
      </c>
      <c r="BC482" s="4">
        <v>6</v>
      </c>
      <c r="BD482" s="8">
        <v>606.4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>
        <v>0.8364</v>
      </c>
      <c r="BJ482" s="4">
        <v>66</v>
      </c>
      <c r="BK482" s="8">
        <v>6958.7</v>
      </c>
      <c r="BL482" s="2" t="s">
        <v>2158</v>
      </c>
      <c r="BM482" s="7">
        <v>0.0606</v>
      </c>
      <c r="BN482" s="7">
        <v>0.057</v>
      </c>
      <c r="BO482" s="4">
        <v>4</v>
      </c>
      <c r="BP482" s="8">
        <v>396.92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309</v>
      </c>
      <c r="BX482" s="2" t="s">
        <v>910</v>
      </c>
      <c r="BY482" s="2" t="s">
        <v>112</v>
      </c>
      <c r="BZ482" s="2" t="s">
        <v>149</v>
      </c>
    </row>
    <row r="483">
      <c r="A483" s="2" t="s">
        <v>2159</v>
      </c>
      <c r="B483" s="2" t="s">
        <v>87</v>
      </c>
      <c r="C483" s="2" t="s">
        <v>1797</v>
      </c>
      <c r="D483" s="2" t="s">
        <v>89</v>
      </c>
      <c r="E483" s="2" t="s">
        <v>2106</v>
      </c>
      <c r="F483" s="2" t="s">
        <v>2153</v>
      </c>
      <c r="G483" s="2" t="s">
        <v>2154</v>
      </c>
      <c r="H483" s="2" t="s">
        <v>2155</v>
      </c>
      <c r="I483" s="2" t="s">
        <v>2110</v>
      </c>
      <c r="J483" s="2" t="s">
        <v>118</v>
      </c>
      <c r="K483" s="2" t="s">
        <v>223</v>
      </c>
      <c r="L483" s="3">
        <v>110</v>
      </c>
      <c r="M483" s="3">
        <v>115.49</v>
      </c>
      <c r="N483" s="3">
        <v>219.99</v>
      </c>
      <c r="O483" s="2" t="s">
        <v>97</v>
      </c>
      <c r="P483" s="2" t="s">
        <v>98</v>
      </c>
      <c r="Q483" s="2" t="s">
        <v>99</v>
      </c>
      <c r="R483" s="2" t="s">
        <v>100</v>
      </c>
      <c r="S483" s="2" t="s">
        <v>2156</v>
      </c>
      <c r="T483" s="2" t="s">
        <v>100</v>
      </c>
      <c r="U483" s="2" t="s">
        <v>2112</v>
      </c>
      <c r="V483" s="2" t="s">
        <v>141</v>
      </c>
      <c r="W483" s="2" t="s">
        <v>104</v>
      </c>
      <c r="X483" s="2" t="s">
        <v>305</v>
      </c>
      <c r="Y483" s="2" t="s">
        <v>2157</v>
      </c>
      <c r="Z483" s="4">
        <v>231</v>
      </c>
      <c r="AA483" s="4">
        <f>=ROUNDDOWN(25.6666666666667,0)</f>
      </c>
      <c r="AB483" s="5">
        <v>9</v>
      </c>
      <c r="AC483" s="2" t="s">
        <v>330</v>
      </c>
      <c r="AD483" s="4">
        <v>60</v>
      </c>
      <c r="AE483" s="4">
        <v>150</v>
      </c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1</v>
      </c>
      <c r="AQ483" s="8">
        <v>110.25</v>
      </c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0.2174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 t="s">
        <v>100</v>
      </c>
      <c r="BJ483" s="4">
        <v>38</v>
      </c>
      <c r="BK483" s="8">
        <v>4573.94</v>
      </c>
      <c r="BL483" s="2" t="s">
        <v>2160</v>
      </c>
      <c r="BM483" s="7">
        <v>0.0263</v>
      </c>
      <c r="BN483" s="7">
        <v>0.0241</v>
      </c>
      <c r="BO483" s="4">
        <v>1</v>
      </c>
      <c r="BP483" s="8">
        <v>110.25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309</v>
      </c>
      <c r="BX483" s="2" t="s">
        <v>2161</v>
      </c>
      <c r="BY483" s="2" t="s">
        <v>112</v>
      </c>
      <c r="BZ483" s="2" t="s">
        <v>149</v>
      </c>
    </row>
    <row r="484">
      <c r="A484" s="2" t="s">
        <v>2162</v>
      </c>
      <c r="B484" s="2" t="s">
        <v>87</v>
      </c>
      <c r="C484" s="2" t="s">
        <v>1797</v>
      </c>
      <c r="D484" s="2" t="s">
        <v>89</v>
      </c>
      <c r="E484" s="2" t="s">
        <v>2106</v>
      </c>
      <c r="F484" s="2" t="s">
        <v>2153</v>
      </c>
      <c r="G484" s="2" t="s">
        <v>2154</v>
      </c>
      <c r="H484" s="2" t="s">
        <v>2155</v>
      </c>
      <c r="I484" s="2" t="s">
        <v>2110</v>
      </c>
      <c r="J484" s="2" t="s">
        <v>95</v>
      </c>
      <c r="K484" s="2" t="s">
        <v>236</v>
      </c>
      <c r="L484" s="3">
        <v>100</v>
      </c>
      <c r="M484" s="3">
        <v>104.99</v>
      </c>
      <c r="N484" s="3">
        <v>199.99</v>
      </c>
      <c r="O484" s="2" t="s">
        <v>97</v>
      </c>
      <c r="P484" s="2" t="s">
        <v>123</v>
      </c>
      <c r="Q484" s="2" t="s">
        <v>99</v>
      </c>
      <c r="R484" s="2" t="s">
        <v>100</v>
      </c>
      <c r="S484" s="2" t="s">
        <v>2163</v>
      </c>
      <c r="T484" s="2" t="s">
        <v>100</v>
      </c>
      <c r="U484" s="2" t="s">
        <v>2112</v>
      </c>
      <c r="V484" s="2" t="s">
        <v>141</v>
      </c>
      <c r="W484" s="2" t="s">
        <v>104</v>
      </c>
      <c r="X484" s="2" t="s">
        <v>305</v>
      </c>
      <c r="Y484" s="2" t="s">
        <v>1792</v>
      </c>
      <c r="Z484" s="4">
        <v>711</v>
      </c>
      <c r="AA484" s="4">
        <f>=ROUNDDOWN(35.55,0)</f>
      </c>
      <c r="AB484" s="5">
        <v>20</v>
      </c>
      <c r="AC484" s="2" t="s">
        <v>100</v>
      </c>
      <c r="AD484" s="4"/>
      <c r="AE484" s="4"/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1</v>
      </c>
      <c r="AQ484" s="8">
        <v>99.23</v>
      </c>
      <c r="AR484" s="4"/>
      <c r="AS484" s="8"/>
      <c r="AT484" s="7"/>
      <c r="AU484" s="7"/>
      <c r="AV484" s="4">
        <v>1</v>
      </c>
      <c r="AW484" s="8">
        <v>99.23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1</v>
      </c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>
        <v>0.1636</v>
      </c>
      <c r="BJ484" s="4">
        <v>47</v>
      </c>
      <c r="BK484" s="8">
        <v>5091.9</v>
      </c>
      <c r="BL484" s="2" t="s">
        <v>2164</v>
      </c>
      <c r="BM484" s="7">
        <v>0.0213</v>
      </c>
      <c r="BN484" s="7">
        <v>0.0195</v>
      </c>
      <c r="BO484" s="4">
        <v>1</v>
      </c>
      <c r="BP484" s="8">
        <v>99.23</v>
      </c>
      <c r="BQ484" s="4"/>
      <c r="BR484" s="8"/>
      <c r="BS484" s="7"/>
      <c r="BT484" s="7"/>
      <c r="BU484" s="2" t="s">
        <v>109</v>
      </c>
      <c r="BV484" s="2" t="s">
        <v>97</v>
      </c>
      <c r="BW484" s="2" t="s">
        <v>2115</v>
      </c>
      <c r="BX484" s="2" t="s">
        <v>2165</v>
      </c>
      <c r="BY484" s="2" t="s">
        <v>112</v>
      </c>
      <c r="BZ484" s="2" t="s">
        <v>100</v>
      </c>
    </row>
    <row r="485">
      <c r="A485" s="2" t="s">
        <v>2166</v>
      </c>
      <c r="B485" s="2" t="s">
        <v>87</v>
      </c>
      <c r="C485" s="2" t="s">
        <v>1797</v>
      </c>
      <c r="D485" s="2" t="s">
        <v>89</v>
      </c>
      <c r="E485" s="2" t="s">
        <v>2106</v>
      </c>
      <c r="F485" s="2" t="s">
        <v>2153</v>
      </c>
      <c r="G485" s="2" t="s">
        <v>2154</v>
      </c>
      <c r="H485" s="2" t="s">
        <v>2155</v>
      </c>
      <c r="I485" s="2" t="s">
        <v>2110</v>
      </c>
      <c r="J485" s="2" t="s">
        <v>114</v>
      </c>
      <c r="K485" s="2" t="s">
        <v>236</v>
      </c>
      <c r="L485" s="3">
        <v>110</v>
      </c>
      <c r="M485" s="3">
        <v>115.49</v>
      </c>
      <c r="N485" s="3">
        <v>219.99</v>
      </c>
      <c r="O485" s="2" t="s">
        <v>97</v>
      </c>
      <c r="P485" s="2" t="s">
        <v>123</v>
      </c>
      <c r="Q485" s="2" t="s">
        <v>99</v>
      </c>
      <c r="R485" s="2" t="s">
        <v>100</v>
      </c>
      <c r="S485" s="2" t="s">
        <v>2163</v>
      </c>
      <c r="T485" s="2" t="s">
        <v>100</v>
      </c>
      <c r="U485" s="2" t="s">
        <v>2112</v>
      </c>
      <c r="V485" s="2" t="s">
        <v>141</v>
      </c>
      <c r="W485" s="2" t="s">
        <v>104</v>
      </c>
      <c r="X485" s="2" t="s">
        <v>305</v>
      </c>
      <c r="Y485" s="2" t="s">
        <v>1792</v>
      </c>
      <c r="Z485" s="4">
        <v>526</v>
      </c>
      <c r="AA485" s="4">
        <f>=ROUNDDOWN(37.5714285714286,0)</f>
      </c>
      <c r="AB485" s="5">
        <v>14</v>
      </c>
      <c r="AC485" s="2" t="s">
        <v>100</v>
      </c>
      <c r="AD485" s="4"/>
      <c r="AE485" s="4"/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100</v>
      </c>
      <c r="AW485" s="8" t="s">
        <v>100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/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 t="s">
        <v>100</v>
      </c>
      <c r="BJ485" s="4">
        <v>58</v>
      </c>
      <c r="BK485" s="8">
        <v>7197.63</v>
      </c>
      <c r="BL485" s="2" t="s">
        <v>2167</v>
      </c>
      <c r="BM485" s="7"/>
      <c r="BN485" s="7"/>
      <c r="BO485" s="4"/>
      <c r="BP485" s="8"/>
      <c r="BQ485" s="4"/>
      <c r="BR485" s="8"/>
      <c r="BS485" s="7"/>
      <c r="BT485" s="7"/>
      <c r="BU485" s="2" t="s">
        <v>109</v>
      </c>
      <c r="BV485" s="2" t="s">
        <v>97</v>
      </c>
      <c r="BW485" s="2" t="s">
        <v>2168</v>
      </c>
      <c r="BX485" s="2" t="s">
        <v>2169</v>
      </c>
      <c r="BY485" s="2" t="s">
        <v>112</v>
      </c>
      <c r="BZ485" s="2" t="s">
        <v>100</v>
      </c>
    </row>
    <row r="486">
      <c r="A486" s="2" t="s">
        <v>2170</v>
      </c>
      <c r="B486" s="2" t="s">
        <v>87</v>
      </c>
      <c r="C486" s="2" t="s">
        <v>1797</v>
      </c>
      <c r="D486" s="2" t="s">
        <v>89</v>
      </c>
      <c r="E486" s="2" t="s">
        <v>2106</v>
      </c>
      <c r="F486" s="2" t="s">
        <v>2153</v>
      </c>
      <c r="G486" s="2" t="s">
        <v>2154</v>
      </c>
      <c r="H486" s="2" t="s">
        <v>2155</v>
      </c>
      <c r="I486" s="2" t="s">
        <v>2110</v>
      </c>
      <c r="J486" s="2" t="s">
        <v>118</v>
      </c>
      <c r="K486" s="2" t="s">
        <v>236</v>
      </c>
      <c r="L486" s="3">
        <v>110</v>
      </c>
      <c r="M486" s="3">
        <v>115.49</v>
      </c>
      <c r="N486" s="3">
        <v>219.99</v>
      </c>
      <c r="O486" s="2" t="s">
        <v>97</v>
      </c>
      <c r="P486" s="2" t="s">
        <v>123</v>
      </c>
      <c r="Q486" s="2" t="s">
        <v>99</v>
      </c>
      <c r="R486" s="2" t="s">
        <v>100</v>
      </c>
      <c r="S486" s="2" t="s">
        <v>2163</v>
      </c>
      <c r="T486" s="2" t="s">
        <v>100</v>
      </c>
      <c r="U486" s="2" t="s">
        <v>2112</v>
      </c>
      <c r="V486" s="2" t="s">
        <v>141</v>
      </c>
      <c r="W486" s="2" t="s">
        <v>104</v>
      </c>
      <c r="X486" s="2" t="s">
        <v>305</v>
      </c>
      <c r="Y486" s="2" t="s">
        <v>1792</v>
      </c>
      <c r="Z486" s="4">
        <v>513</v>
      </c>
      <c r="AA486" s="4">
        <f>=ROUNDDOWN(73.2857142857143,0)</f>
      </c>
      <c r="AB486" s="5">
        <v>7</v>
      </c>
      <c r="AC486" s="2" t="s">
        <v>100</v>
      </c>
      <c r="AD486" s="4"/>
      <c r="AE486" s="4"/>
      <c r="AF486" s="6">
        <v>65</v>
      </c>
      <c r="AG486" s="6">
        <v>48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/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25</v>
      </c>
      <c r="BK486" s="8">
        <v>2995.77</v>
      </c>
      <c r="BL486" s="2" t="s">
        <v>2171</v>
      </c>
      <c r="BM486" s="7"/>
      <c r="BN486" s="7"/>
      <c r="BO486" s="4"/>
      <c r="BP486" s="8"/>
      <c r="BQ486" s="4"/>
      <c r="BR486" s="8"/>
      <c r="BS486" s="7"/>
      <c r="BT486" s="7"/>
      <c r="BU486" s="2" t="s">
        <v>109</v>
      </c>
      <c r="BV486" s="2" t="s">
        <v>97</v>
      </c>
      <c r="BW486" s="2" t="s">
        <v>2115</v>
      </c>
      <c r="BX486" s="2" t="s">
        <v>2172</v>
      </c>
      <c r="BY486" s="2" t="s">
        <v>112</v>
      </c>
      <c r="BZ486" s="2" t="s">
        <v>100</v>
      </c>
    </row>
    <row r="487">
      <c r="A487" s="2" t="s">
        <v>2173</v>
      </c>
      <c r="B487" s="2" t="s">
        <v>87</v>
      </c>
      <c r="C487" s="2" t="s">
        <v>1797</v>
      </c>
      <c r="D487" s="2" t="s">
        <v>89</v>
      </c>
      <c r="E487" s="2" t="s">
        <v>2106</v>
      </c>
      <c r="F487" s="2" t="s">
        <v>2174</v>
      </c>
      <c r="G487" s="2" t="s">
        <v>2175</v>
      </c>
      <c r="H487" s="2" t="s">
        <v>2176</v>
      </c>
      <c r="I487" s="2" t="s">
        <v>2117</v>
      </c>
      <c r="J487" s="2" t="s">
        <v>114</v>
      </c>
      <c r="K487" s="2" t="s">
        <v>236</v>
      </c>
      <c r="L487" s="3">
        <v>105.56</v>
      </c>
      <c r="M487" s="3">
        <v>110.84</v>
      </c>
      <c r="N487" s="3">
        <v>204.99</v>
      </c>
      <c r="O487" s="2" t="s">
        <v>97</v>
      </c>
      <c r="P487" s="2" t="s">
        <v>707</v>
      </c>
      <c r="Q487" s="2" t="s">
        <v>99</v>
      </c>
      <c r="R487" s="2" t="s">
        <v>100</v>
      </c>
      <c r="S487" s="2" t="s">
        <v>2177</v>
      </c>
      <c r="T487" s="2" t="s">
        <v>100</v>
      </c>
      <c r="U487" s="2" t="s">
        <v>2112</v>
      </c>
      <c r="V487" s="2" t="s">
        <v>141</v>
      </c>
      <c r="W487" s="2" t="s">
        <v>104</v>
      </c>
      <c r="X487" s="2" t="s">
        <v>305</v>
      </c>
      <c r="Y487" s="2" t="s">
        <v>144</v>
      </c>
      <c r="Z487" s="4">
        <v>299</v>
      </c>
      <c r="AA487" s="4">
        <f>=ROUNDDOWN(42.7142857142857,0)</f>
      </c>
      <c r="AB487" s="5">
        <v>7</v>
      </c>
      <c r="AC487" s="2" t="s">
        <v>1468</v>
      </c>
      <c r="AD487" s="4">
        <v>20</v>
      </c>
      <c r="AE487" s="4">
        <v>20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3</v>
      </c>
      <c r="AQ487" s="8">
        <v>330.75</v>
      </c>
      <c r="AR487" s="4"/>
      <c r="AS487" s="8"/>
      <c r="AT487" s="7"/>
      <c r="AU487" s="7"/>
      <c r="AV487" s="4">
        <v>4</v>
      </c>
      <c r="AW487" s="8">
        <v>441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0.75</v>
      </c>
      <c r="BC487" s="4">
        <v>4</v>
      </c>
      <c r="BD487" s="8">
        <v>441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>
        <v>1</v>
      </c>
      <c r="BJ487" s="4">
        <v>15</v>
      </c>
      <c r="BK487" s="8">
        <v>1679.5</v>
      </c>
      <c r="BL487" s="2" t="s">
        <v>2178</v>
      </c>
      <c r="BM487" s="7">
        <v>0.2</v>
      </c>
      <c r="BN487" s="7">
        <v>0.1969</v>
      </c>
      <c r="BO487" s="4">
        <v>3</v>
      </c>
      <c r="BP487" s="8">
        <v>330.75</v>
      </c>
      <c r="BQ487" s="4"/>
      <c r="BR487" s="8"/>
      <c r="BS487" s="7"/>
      <c r="BT487" s="7"/>
      <c r="BU487" s="2" t="s">
        <v>109</v>
      </c>
      <c r="BV487" s="2" t="s">
        <v>97</v>
      </c>
      <c r="BW487" s="2" t="s">
        <v>475</v>
      </c>
      <c r="BX487" s="2" t="s">
        <v>2179</v>
      </c>
      <c r="BY487" s="2" t="s">
        <v>112</v>
      </c>
      <c r="BZ487" s="2" t="s">
        <v>149</v>
      </c>
    </row>
    <row r="488">
      <c r="A488" s="2" t="s">
        <v>2180</v>
      </c>
      <c r="B488" s="2" t="s">
        <v>87</v>
      </c>
      <c r="C488" s="2" t="s">
        <v>1797</v>
      </c>
      <c r="D488" s="2" t="s">
        <v>89</v>
      </c>
      <c r="E488" s="2" t="s">
        <v>2106</v>
      </c>
      <c r="F488" s="2" t="s">
        <v>2174</v>
      </c>
      <c r="G488" s="2" t="s">
        <v>2175</v>
      </c>
      <c r="H488" s="2" t="s">
        <v>2176</v>
      </c>
      <c r="I488" s="2" t="s">
        <v>2117</v>
      </c>
      <c r="J488" s="2" t="s">
        <v>118</v>
      </c>
      <c r="K488" s="2" t="s">
        <v>236</v>
      </c>
      <c r="L488" s="3">
        <v>105.56</v>
      </c>
      <c r="M488" s="3">
        <v>110.84</v>
      </c>
      <c r="N488" s="3">
        <v>204.99</v>
      </c>
      <c r="O488" s="2" t="s">
        <v>97</v>
      </c>
      <c r="P488" s="2" t="s">
        <v>707</v>
      </c>
      <c r="Q488" s="2" t="s">
        <v>99</v>
      </c>
      <c r="R488" s="2" t="s">
        <v>100</v>
      </c>
      <c r="S488" s="2" t="s">
        <v>2177</v>
      </c>
      <c r="T488" s="2" t="s">
        <v>100</v>
      </c>
      <c r="U488" s="2" t="s">
        <v>2112</v>
      </c>
      <c r="V488" s="2" t="s">
        <v>141</v>
      </c>
      <c r="W488" s="2" t="s">
        <v>104</v>
      </c>
      <c r="X488" s="2" t="s">
        <v>305</v>
      </c>
      <c r="Y488" s="2" t="s">
        <v>144</v>
      </c>
      <c r="Z488" s="4">
        <v>164</v>
      </c>
      <c r="AA488" s="4">
        <f>=ROUNDDOWN(27.3333333333333,0)</f>
      </c>
      <c r="AB488" s="5">
        <v>6</v>
      </c>
      <c r="AC488" s="2" t="s">
        <v>1468</v>
      </c>
      <c r="AD488" s="4">
        <v>168</v>
      </c>
      <c r="AE488" s="4">
        <v>170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1</v>
      </c>
      <c r="AQ488" s="8">
        <v>110.25</v>
      </c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0.25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 t="s">
        <v>100</v>
      </c>
      <c r="BJ488" s="4">
        <v>19</v>
      </c>
      <c r="BK488" s="8">
        <v>2128.77</v>
      </c>
      <c r="BL488" s="2" t="s">
        <v>2178</v>
      </c>
      <c r="BM488" s="7">
        <v>0.0526</v>
      </c>
      <c r="BN488" s="7">
        <v>0.0518</v>
      </c>
      <c r="BO488" s="4">
        <v>1</v>
      </c>
      <c r="BP488" s="8">
        <v>110.25</v>
      </c>
      <c r="BQ488" s="4"/>
      <c r="BR488" s="8"/>
      <c r="BS488" s="7"/>
      <c r="BT488" s="7"/>
      <c r="BU488" s="2" t="s">
        <v>109</v>
      </c>
      <c r="BV488" s="2" t="s">
        <v>97</v>
      </c>
      <c r="BW488" s="2" t="s">
        <v>475</v>
      </c>
      <c r="BX488" s="2" t="s">
        <v>870</v>
      </c>
      <c r="BY488" s="2" t="s">
        <v>112</v>
      </c>
      <c r="BZ488" s="2" t="s">
        <v>149</v>
      </c>
    </row>
    <row r="489">
      <c r="A489" s="2" t="s">
        <v>2181</v>
      </c>
      <c r="B489" s="2" t="s">
        <v>87</v>
      </c>
      <c r="C489" s="2" t="s">
        <v>1797</v>
      </c>
      <c r="D489" s="2" t="s">
        <v>963</v>
      </c>
      <c r="E489" s="2" t="s">
        <v>811</v>
      </c>
      <c r="F489" s="2" t="s">
        <v>1888</v>
      </c>
      <c r="G489" s="2" t="s">
        <v>1889</v>
      </c>
      <c r="H489" s="2" t="s">
        <v>1890</v>
      </c>
      <c r="I489" s="2" t="s">
        <v>2182</v>
      </c>
      <c r="J489" s="2" t="s">
        <v>1443</v>
      </c>
      <c r="K489" s="2" t="s">
        <v>96</v>
      </c>
      <c r="L489" s="3">
        <v>47.17</v>
      </c>
      <c r="M489" s="3">
        <v>49.53</v>
      </c>
      <c r="N489" s="3">
        <v>89</v>
      </c>
      <c r="O489" s="2" t="s">
        <v>97</v>
      </c>
      <c r="P489" s="2" t="s">
        <v>98</v>
      </c>
      <c r="Q489" s="2" t="s">
        <v>99</v>
      </c>
      <c r="R489" s="2" t="s">
        <v>100</v>
      </c>
      <c r="S489" s="2" t="s">
        <v>2183</v>
      </c>
      <c r="T489" s="2" t="s">
        <v>100</v>
      </c>
      <c r="U489" s="2" t="s">
        <v>355</v>
      </c>
      <c r="V489" s="2" t="s">
        <v>473</v>
      </c>
      <c r="W489" s="2" t="s">
        <v>609</v>
      </c>
      <c r="X489" s="2" t="s">
        <v>1791</v>
      </c>
      <c r="Y489" s="2" t="s">
        <v>144</v>
      </c>
      <c r="Z489" s="4">
        <v>49</v>
      </c>
      <c r="AA489" s="4">
        <f>=ROUNDDOWN(16.3333333333333,0)</f>
      </c>
      <c r="AB489" s="5">
        <v>3</v>
      </c>
      <c r="AC489" s="2" t="s">
        <v>783</v>
      </c>
      <c r="AD489" s="4">
        <v>60</v>
      </c>
      <c r="AE489" s="4">
        <v>60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1</v>
      </c>
      <c r="AQ489" s="8">
        <v>49.27</v>
      </c>
      <c r="AR489" s="4"/>
      <c r="AS489" s="8"/>
      <c r="AT489" s="7"/>
      <c r="AU489" s="7"/>
      <c r="AV489" s="4">
        <v>2</v>
      </c>
      <c r="AW489" s="8">
        <v>111.12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0.4434</v>
      </c>
      <c r="BC489" s="4">
        <v>2</v>
      </c>
      <c r="BD489" s="8">
        <v>111.12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>
        <v>1</v>
      </c>
      <c r="BJ489" s="4">
        <v>13</v>
      </c>
      <c r="BK489" s="8">
        <v>585.37</v>
      </c>
      <c r="BL489" s="2" t="s">
        <v>2184</v>
      </c>
      <c r="BM489" s="7">
        <v>0.0769</v>
      </c>
      <c r="BN489" s="7">
        <v>0.0842</v>
      </c>
      <c r="BO489" s="4">
        <v>1</v>
      </c>
      <c r="BP489" s="8">
        <v>49.27</v>
      </c>
      <c r="BQ489" s="4"/>
      <c r="BR489" s="8"/>
      <c r="BS489" s="7"/>
      <c r="BT489" s="7"/>
      <c r="BU489" s="2" t="s">
        <v>109</v>
      </c>
      <c r="BV489" s="2" t="s">
        <v>97</v>
      </c>
      <c r="BW489" s="2" t="s">
        <v>153</v>
      </c>
      <c r="BX489" s="2" t="s">
        <v>2185</v>
      </c>
      <c r="BY489" s="2" t="s">
        <v>112</v>
      </c>
      <c r="BZ489" s="2" t="s">
        <v>100</v>
      </c>
    </row>
    <row r="490">
      <c r="A490" s="2" t="s">
        <v>2186</v>
      </c>
      <c r="B490" s="2" t="s">
        <v>87</v>
      </c>
      <c r="C490" s="2" t="s">
        <v>1797</v>
      </c>
      <c r="D490" s="2" t="s">
        <v>963</v>
      </c>
      <c r="E490" s="2" t="s">
        <v>811</v>
      </c>
      <c r="F490" s="2" t="s">
        <v>1888</v>
      </c>
      <c r="G490" s="2" t="s">
        <v>1889</v>
      </c>
      <c r="H490" s="2" t="s">
        <v>1890</v>
      </c>
      <c r="I490" s="2" t="s">
        <v>2187</v>
      </c>
      <c r="J490" s="2" t="s">
        <v>490</v>
      </c>
      <c r="K490" s="2" t="s">
        <v>96</v>
      </c>
      <c r="L490" s="3">
        <v>54.45</v>
      </c>
      <c r="M490" s="3">
        <v>57.17</v>
      </c>
      <c r="N490" s="3">
        <v>99</v>
      </c>
      <c r="O490" s="2" t="s">
        <v>97</v>
      </c>
      <c r="P490" s="2" t="s">
        <v>98</v>
      </c>
      <c r="Q490" s="2" t="s">
        <v>99</v>
      </c>
      <c r="R490" s="2" t="s">
        <v>100</v>
      </c>
      <c r="S490" s="2" t="s">
        <v>2183</v>
      </c>
      <c r="T490" s="2" t="s">
        <v>100</v>
      </c>
      <c r="U490" s="2" t="s">
        <v>191</v>
      </c>
      <c r="V490" s="2" t="s">
        <v>473</v>
      </c>
      <c r="W490" s="2" t="s">
        <v>609</v>
      </c>
      <c r="X490" s="2" t="s">
        <v>1791</v>
      </c>
      <c r="Y490" s="2" t="s">
        <v>144</v>
      </c>
      <c r="Z490" s="4">
        <v>107</v>
      </c>
      <c r="AA490" s="4">
        <f>=ROUNDDOWN(35.6666666666667,0)</f>
      </c>
      <c r="AB490" s="5">
        <v>3</v>
      </c>
      <c r="AC490" s="2" t="s">
        <v>100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/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 t="s">
        <v>100</v>
      </c>
      <c r="BJ490" s="4">
        <v>5</v>
      </c>
      <c r="BK490" s="8">
        <v>274.32</v>
      </c>
      <c r="BL490" s="2" t="s">
        <v>1811</v>
      </c>
      <c r="BM490" s="7"/>
      <c r="BN490" s="7"/>
      <c r="BO490" s="4"/>
      <c r="BP490" s="8"/>
      <c r="BQ490" s="4"/>
      <c r="BR490" s="8"/>
      <c r="BS490" s="7"/>
      <c r="BT490" s="7"/>
      <c r="BU490" s="2" t="s">
        <v>109</v>
      </c>
      <c r="BV490" s="2" t="s">
        <v>97</v>
      </c>
      <c r="BW490" s="2" t="s">
        <v>147</v>
      </c>
      <c r="BX490" s="2" t="s">
        <v>902</v>
      </c>
      <c r="BY490" s="2" t="s">
        <v>112</v>
      </c>
      <c r="BZ490" s="2" t="s">
        <v>100</v>
      </c>
    </row>
    <row r="491">
      <c r="A491" s="2" t="s">
        <v>2188</v>
      </c>
      <c r="B491" s="2" t="s">
        <v>87</v>
      </c>
      <c r="C491" s="2" t="s">
        <v>1797</v>
      </c>
      <c r="D491" s="2" t="s">
        <v>963</v>
      </c>
      <c r="E491" s="2" t="s">
        <v>811</v>
      </c>
      <c r="F491" s="2" t="s">
        <v>1888</v>
      </c>
      <c r="G491" s="2" t="s">
        <v>1889</v>
      </c>
      <c r="H491" s="2" t="s">
        <v>1890</v>
      </c>
      <c r="I491" s="2" t="s">
        <v>2187</v>
      </c>
      <c r="J491" s="2" t="s">
        <v>95</v>
      </c>
      <c r="K491" s="2" t="s">
        <v>96</v>
      </c>
      <c r="L491" s="3">
        <v>59.95</v>
      </c>
      <c r="M491" s="3">
        <v>62.95</v>
      </c>
      <c r="N491" s="3">
        <v>109</v>
      </c>
      <c r="O491" s="2" t="s">
        <v>97</v>
      </c>
      <c r="P491" s="2" t="s">
        <v>98</v>
      </c>
      <c r="Q491" s="2" t="s">
        <v>99</v>
      </c>
      <c r="R491" s="2" t="s">
        <v>100</v>
      </c>
      <c r="S491" s="2" t="s">
        <v>2183</v>
      </c>
      <c r="T491" s="2" t="s">
        <v>100</v>
      </c>
      <c r="U491" s="2" t="s">
        <v>191</v>
      </c>
      <c r="V491" s="2" t="s">
        <v>473</v>
      </c>
      <c r="W491" s="2" t="s">
        <v>609</v>
      </c>
      <c r="X491" s="2" t="s">
        <v>1791</v>
      </c>
      <c r="Y491" s="2" t="s">
        <v>144</v>
      </c>
      <c r="Z491" s="4">
        <v>86</v>
      </c>
      <c r="AA491" s="4">
        <f>=ROUNDDOWN(9.14893617021277,0)</f>
      </c>
      <c r="AB491" s="5">
        <v>9.4</v>
      </c>
      <c r="AC491" s="2" t="s">
        <v>783</v>
      </c>
      <c r="AD491" s="4">
        <v>100</v>
      </c>
      <c r="AE491" s="4">
        <v>100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1</v>
      </c>
      <c r="AQ491" s="8">
        <v>61.85</v>
      </c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0.5566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 t="s">
        <v>100</v>
      </c>
      <c r="BJ491" s="4">
        <v>33</v>
      </c>
      <c r="BK491" s="8">
        <v>2045.21</v>
      </c>
      <c r="BL491" s="2" t="s">
        <v>2189</v>
      </c>
      <c r="BM491" s="7">
        <v>0.0303</v>
      </c>
      <c r="BN491" s="7">
        <v>0.0302</v>
      </c>
      <c r="BO491" s="4">
        <v>1</v>
      </c>
      <c r="BP491" s="8">
        <v>61.85</v>
      </c>
      <c r="BQ491" s="4"/>
      <c r="BR491" s="8"/>
      <c r="BS491" s="7"/>
      <c r="BT491" s="7"/>
      <c r="BU491" s="2" t="s">
        <v>109</v>
      </c>
      <c r="BV491" s="2" t="s">
        <v>97</v>
      </c>
      <c r="BW491" s="2" t="s">
        <v>147</v>
      </c>
      <c r="BX491" s="2" t="s">
        <v>2190</v>
      </c>
      <c r="BY491" s="2" t="s">
        <v>112</v>
      </c>
      <c r="BZ491" s="2" t="s">
        <v>100</v>
      </c>
    </row>
    <row r="492">
      <c r="A492" s="2" t="s">
        <v>2191</v>
      </c>
      <c r="B492" s="2" t="s">
        <v>87</v>
      </c>
      <c r="C492" s="2" t="s">
        <v>1797</v>
      </c>
      <c r="D492" s="2" t="s">
        <v>963</v>
      </c>
      <c r="E492" s="2" t="s">
        <v>811</v>
      </c>
      <c r="F492" s="2" t="s">
        <v>1888</v>
      </c>
      <c r="G492" s="2" t="s">
        <v>1889</v>
      </c>
      <c r="H492" s="2" t="s">
        <v>1890</v>
      </c>
      <c r="I492" s="2" t="s">
        <v>2187</v>
      </c>
      <c r="J492" s="2" t="s">
        <v>114</v>
      </c>
      <c r="K492" s="2" t="s">
        <v>96</v>
      </c>
      <c r="L492" s="3">
        <v>65.45</v>
      </c>
      <c r="M492" s="3">
        <v>68.72</v>
      </c>
      <c r="N492" s="3">
        <v>119</v>
      </c>
      <c r="O492" s="2" t="s">
        <v>97</v>
      </c>
      <c r="P492" s="2" t="s">
        <v>98</v>
      </c>
      <c r="Q492" s="2" t="s">
        <v>99</v>
      </c>
      <c r="R492" s="2" t="s">
        <v>100</v>
      </c>
      <c r="S492" s="2" t="s">
        <v>2183</v>
      </c>
      <c r="T492" s="2" t="s">
        <v>100</v>
      </c>
      <c r="U492" s="2" t="s">
        <v>191</v>
      </c>
      <c r="V492" s="2" t="s">
        <v>473</v>
      </c>
      <c r="W492" s="2" t="s">
        <v>609</v>
      </c>
      <c r="X492" s="2" t="s">
        <v>1791</v>
      </c>
      <c r="Y492" s="2" t="s">
        <v>144</v>
      </c>
      <c r="Z492" s="4">
        <v>123</v>
      </c>
      <c r="AA492" s="4">
        <f>=ROUNDDOWN(20.5,0)</f>
      </c>
      <c r="AB492" s="5">
        <v>6</v>
      </c>
      <c r="AC492" s="2" t="s">
        <v>783</v>
      </c>
      <c r="AD492" s="4">
        <v>80</v>
      </c>
      <c r="AE492" s="4">
        <v>80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/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 t="s">
        <v>100</v>
      </c>
      <c r="BJ492" s="4">
        <v>15</v>
      </c>
      <c r="BK492" s="8">
        <v>1035.12</v>
      </c>
      <c r="BL492" s="2" t="s">
        <v>2192</v>
      </c>
      <c r="BM492" s="7"/>
      <c r="BN492" s="7"/>
      <c r="BO492" s="4"/>
      <c r="BP492" s="8"/>
      <c r="BQ492" s="4"/>
      <c r="BR492" s="8"/>
      <c r="BS492" s="7"/>
      <c r="BT492" s="7"/>
      <c r="BU492" s="2" t="s">
        <v>109</v>
      </c>
      <c r="BV492" s="2" t="s">
        <v>97</v>
      </c>
      <c r="BW492" s="2" t="s">
        <v>147</v>
      </c>
      <c r="BX492" s="2" t="s">
        <v>1709</v>
      </c>
      <c r="BY492" s="2" t="s">
        <v>112</v>
      </c>
      <c r="BZ492" s="2" t="s">
        <v>100</v>
      </c>
    </row>
    <row r="493">
      <c r="A493" s="2" t="s">
        <v>2193</v>
      </c>
      <c r="B493" s="2" t="s">
        <v>87</v>
      </c>
      <c r="C493" s="2" t="s">
        <v>1797</v>
      </c>
      <c r="D493" s="2" t="s">
        <v>963</v>
      </c>
      <c r="E493" s="2" t="s">
        <v>811</v>
      </c>
      <c r="F493" s="2" t="s">
        <v>1931</v>
      </c>
      <c r="G493" s="2" t="s">
        <v>1932</v>
      </c>
      <c r="H493" s="2" t="s">
        <v>1933</v>
      </c>
      <c r="I493" s="2" t="s">
        <v>2182</v>
      </c>
      <c r="J493" s="2" t="s">
        <v>1443</v>
      </c>
      <c r="K493" s="2" t="s">
        <v>673</v>
      </c>
      <c r="L493" s="3">
        <v>46.28</v>
      </c>
      <c r="M493" s="3">
        <v>48.59</v>
      </c>
      <c r="N493" s="3">
        <v>89</v>
      </c>
      <c r="O493" s="2" t="s">
        <v>97</v>
      </c>
      <c r="P493" s="2" t="s">
        <v>98</v>
      </c>
      <c r="Q493" s="2" t="s">
        <v>99</v>
      </c>
      <c r="R493" s="2" t="s">
        <v>100</v>
      </c>
      <c r="S493" s="2" t="s">
        <v>2194</v>
      </c>
      <c r="T493" s="2" t="s">
        <v>100</v>
      </c>
      <c r="U493" s="2" t="s">
        <v>355</v>
      </c>
      <c r="V493" s="2" t="s">
        <v>367</v>
      </c>
      <c r="W493" s="2" t="s">
        <v>609</v>
      </c>
      <c r="X493" s="2" t="s">
        <v>493</v>
      </c>
      <c r="Y493" s="2" t="s">
        <v>144</v>
      </c>
      <c r="Z493" s="4">
        <v>88</v>
      </c>
      <c r="AA493" s="4">
        <f>=ROUNDDOWN(29.3333333333333,0)</f>
      </c>
      <c r="AB493" s="5">
        <v>3</v>
      </c>
      <c r="AC493" s="2" t="s">
        <v>1142</v>
      </c>
      <c r="AD493" s="4">
        <v>30</v>
      </c>
      <c r="AE493" s="4">
        <v>30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>
        <v>1</v>
      </c>
      <c r="AW493" s="8">
        <v>66.1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/>
      <c r="BC493" s="4">
        <v>1</v>
      </c>
      <c r="BD493" s="8">
        <v>66.1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>
        <v>1</v>
      </c>
      <c r="BJ493" s="4">
        <v>6</v>
      </c>
      <c r="BK493" s="8">
        <v>294.26</v>
      </c>
      <c r="BL493" s="2" t="s">
        <v>2195</v>
      </c>
      <c r="BM493" s="7"/>
      <c r="BN493" s="7"/>
      <c r="BO493" s="4"/>
      <c r="BP493" s="8"/>
      <c r="BQ493" s="4"/>
      <c r="BR493" s="8"/>
      <c r="BS493" s="7"/>
      <c r="BT493" s="7"/>
      <c r="BU493" s="2" t="s">
        <v>109</v>
      </c>
      <c r="BV493" s="2" t="s">
        <v>97</v>
      </c>
      <c r="BW493" s="2" t="s">
        <v>475</v>
      </c>
      <c r="BX493" s="2" t="s">
        <v>2196</v>
      </c>
      <c r="BY493" s="2" t="s">
        <v>112</v>
      </c>
      <c r="BZ493" s="2" t="s">
        <v>149</v>
      </c>
    </row>
    <row r="494">
      <c r="A494" s="2" t="s">
        <v>2197</v>
      </c>
      <c r="B494" s="2" t="s">
        <v>87</v>
      </c>
      <c r="C494" s="2" t="s">
        <v>1797</v>
      </c>
      <c r="D494" s="2" t="s">
        <v>963</v>
      </c>
      <c r="E494" s="2" t="s">
        <v>811</v>
      </c>
      <c r="F494" s="2" t="s">
        <v>1931</v>
      </c>
      <c r="G494" s="2" t="s">
        <v>1932</v>
      </c>
      <c r="H494" s="2" t="s">
        <v>1933</v>
      </c>
      <c r="I494" s="2" t="s">
        <v>2187</v>
      </c>
      <c r="J494" s="2" t="s">
        <v>490</v>
      </c>
      <c r="K494" s="2" t="s">
        <v>673</v>
      </c>
      <c r="L494" s="3">
        <v>54.45</v>
      </c>
      <c r="M494" s="3">
        <v>57.17</v>
      </c>
      <c r="N494" s="3">
        <v>99</v>
      </c>
      <c r="O494" s="2" t="s">
        <v>97</v>
      </c>
      <c r="P494" s="2" t="s">
        <v>98</v>
      </c>
      <c r="Q494" s="2" t="s">
        <v>99</v>
      </c>
      <c r="R494" s="2" t="s">
        <v>100</v>
      </c>
      <c r="S494" s="2" t="s">
        <v>2194</v>
      </c>
      <c r="T494" s="2" t="s">
        <v>100</v>
      </c>
      <c r="U494" s="2" t="s">
        <v>191</v>
      </c>
      <c r="V494" s="2" t="s">
        <v>367</v>
      </c>
      <c r="W494" s="2" t="s">
        <v>609</v>
      </c>
      <c r="X494" s="2" t="s">
        <v>493</v>
      </c>
      <c r="Y494" s="2" t="s">
        <v>144</v>
      </c>
      <c r="Z494" s="4">
        <v>109</v>
      </c>
      <c r="AA494" s="4">
        <f>=ROUNDDOWN(27.25,0)</f>
      </c>
      <c r="AB494" s="5">
        <v>4</v>
      </c>
      <c r="AC494" s="2" t="s">
        <v>1142</v>
      </c>
      <c r="AD494" s="4">
        <v>30</v>
      </c>
      <c r="AE494" s="4">
        <v>30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/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 t="s">
        <v>100</v>
      </c>
      <c r="BJ494" s="4">
        <v>11</v>
      </c>
      <c r="BK494" s="8">
        <v>612.44</v>
      </c>
      <c r="BL494" s="2" t="s">
        <v>1517</v>
      </c>
      <c r="BM494" s="7"/>
      <c r="BN494" s="7"/>
      <c r="BO494" s="4"/>
      <c r="BP494" s="8"/>
      <c r="BQ494" s="4"/>
      <c r="BR494" s="8"/>
      <c r="BS494" s="7"/>
      <c r="BT494" s="7"/>
      <c r="BU494" s="2" t="s">
        <v>109</v>
      </c>
      <c r="BV494" s="2" t="s">
        <v>97</v>
      </c>
      <c r="BW494" s="2" t="s">
        <v>475</v>
      </c>
      <c r="BX494" s="2" t="s">
        <v>2198</v>
      </c>
      <c r="BY494" s="2" t="s">
        <v>112</v>
      </c>
      <c r="BZ494" s="2" t="s">
        <v>100</v>
      </c>
    </row>
    <row r="495">
      <c r="A495" s="2" t="s">
        <v>2199</v>
      </c>
      <c r="B495" s="2" t="s">
        <v>87</v>
      </c>
      <c r="C495" s="2" t="s">
        <v>1797</v>
      </c>
      <c r="D495" s="2" t="s">
        <v>963</v>
      </c>
      <c r="E495" s="2" t="s">
        <v>811</v>
      </c>
      <c r="F495" s="2" t="s">
        <v>1931</v>
      </c>
      <c r="G495" s="2" t="s">
        <v>1932</v>
      </c>
      <c r="H495" s="2" t="s">
        <v>1933</v>
      </c>
      <c r="I495" s="2" t="s">
        <v>2187</v>
      </c>
      <c r="J495" s="2" t="s">
        <v>114</v>
      </c>
      <c r="K495" s="2" t="s">
        <v>673</v>
      </c>
      <c r="L495" s="3">
        <v>65.45</v>
      </c>
      <c r="M495" s="3">
        <v>68.72</v>
      </c>
      <c r="N495" s="3">
        <v>119</v>
      </c>
      <c r="O495" s="2" t="s">
        <v>97</v>
      </c>
      <c r="P495" s="2" t="s">
        <v>98</v>
      </c>
      <c r="Q495" s="2" t="s">
        <v>99</v>
      </c>
      <c r="R495" s="2" t="s">
        <v>100</v>
      </c>
      <c r="S495" s="2" t="s">
        <v>2194</v>
      </c>
      <c r="T495" s="2" t="s">
        <v>100</v>
      </c>
      <c r="U495" s="2" t="s">
        <v>191</v>
      </c>
      <c r="V495" s="2" t="s">
        <v>367</v>
      </c>
      <c r="W495" s="2" t="s">
        <v>609</v>
      </c>
      <c r="X495" s="2" t="s">
        <v>493</v>
      </c>
      <c r="Y495" s="2" t="s">
        <v>144</v>
      </c>
      <c r="Z495" s="4">
        <v>134</v>
      </c>
      <c r="AA495" s="4">
        <f>=ROUNDDOWN(22.3333333333333,0)</f>
      </c>
      <c r="AB495" s="5">
        <v>6</v>
      </c>
      <c r="AC495" s="2" t="s">
        <v>1142</v>
      </c>
      <c r="AD495" s="4">
        <v>120</v>
      </c>
      <c r="AE495" s="4">
        <v>120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1</v>
      </c>
      <c r="AQ495" s="8">
        <v>66.1</v>
      </c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1</v>
      </c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 t="s">
        <v>100</v>
      </c>
      <c r="BJ495" s="4">
        <v>11</v>
      </c>
      <c r="BK495" s="8">
        <v>752.59</v>
      </c>
      <c r="BL495" s="2" t="s">
        <v>2200</v>
      </c>
      <c r="BM495" s="7">
        <v>0.0909</v>
      </c>
      <c r="BN495" s="7">
        <v>0.0878</v>
      </c>
      <c r="BO495" s="4">
        <v>1</v>
      </c>
      <c r="BP495" s="8">
        <v>66.1</v>
      </c>
      <c r="BQ495" s="4"/>
      <c r="BR495" s="8"/>
      <c r="BS495" s="7"/>
      <c r="BT495" s="7"/>
      <c r="BU495" s="2" t="s">
        <v>109</v>
      </c>
      <c r="BV495" s="2" t="s">
        <v>97</v>
      </c>
      <c r="BW495" s="2" t="s">
        <v>475</v>
      </c>
      <c r="BX495" s="2" t="s">
        <v>873</v>
      </c>
      <c r="BY495" s="2" t="s">
        <v>112</v>
      </c>
      <c r="BZ495" s="2" t="s">
        <v>149</v>
      </c>
    </row>
    <row r="496">
      <c r="A496" s="2" t="s">
        <v>2201</v>
      </c>
      <c r="B496" s="2" t="s">
        <v>87</v>
      </c>
      <c r="C496" s="2" t="s">
        <v>1797</v>
      </c>
      <c r="D496" s="2" t="s">
        <v>963</v>
      </c>
      <c r="E496" s="2" t="s">
        <v>811</v>
      </c>
      <c r="F496" s="2" t="s">
        <v>1931</v>
      </c>
      <c r="G496" s="2" t="s">
        <v>1932</v>
      </c>
      <c r="H496" s="2" t="s">
        <v>1933</v>
      </c>
      <c r="I496" s="2" t="s">
        <v>2187</v>
      </c>
      <c r="J496" s="2" t="s">
        <v>118</v>
      </c>
      <c r="K496" s="2" t="s">
        <v>673</v>
      </c>
      <c r="L496" s="3">
        <v>65.45</v>
      </c>
      <c r="M496" s="3">
        <v>68.72</v>
      </c>
      <c r="N496" s="3">
        <v>119</v>
      </c>
      <c r="O496" s="2" t="s">
        <v>97</v>
      </c>
      <c r="P496" s="2" t="s">
        <v>98</v>
      </c>
      <c r="Q496" s="2" t="s">
        <v>99</v>
      </c>
      <c r="R496" s="2" t="s">
        <v>100</v>
      </c>
      <c r="S496" s="2" t="s">
        <v>2194</v>
      </c>
      <c r="T496" s="2" t="s">
        <v>100</v>
      </c>
      <c r="U496" s="2" t="s">
        <v>191</v>
      </c>
      <c r="V496" s="2" t="s">
        <v>367</v>
      </c>
      <c r="W496" s="2" t="s">
        <v>609</v>
      </c>
      <c r="X496" s="2" t="s">
        <v>493</v>
      </c>
      <c r="Y496" s="2" t="s">
        <v>144</v>
      </c>
      <c r="Z496" s="4">
        <v>172</v>
      </c>
      <c r="AA496" s="4">
        <f>=ROUNDDOWN(43,0)</f>
      </c>
      <c r="AB496" s="5">
        <v>4</v>
      </c>
      <c r="AC496" s="2" t="s">
        <v>100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/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>
        <v>1</v>
      </c>
      <c r="BK496" s="8">
        <v>68.93</v>
      </c>
      <c r="BL496" s="2" t="s">
        <v>2202</v>
      </c>
      <c r="BM496" s="7"/>
      <c r="BN496" s="7"/>
      <c r="BO496" s="4"/>
      <c r="BP496" s="8"/>
      <c r="BQ496" s="4"/>
      <c r="BR496" s="8"/>
      <c r="BS496" s="7"/>
      <c r="BT496" s="7"/>
      <c r="BU496" s="2" t="s">
        <v>109</v>
      </c>
      <c r="BV496" s="2" t="s">
        <v>97</v>
      </c>
      <c r="BW496" s="2" t="s">
        <v>475</v>
      </c>
      <c r="BX496" s="2" t="s">
        <v>2203</v>
      </c>
      <c r="BY496" s="2" t="s">
        <v>112</v>
      </c>
      <c r="BZ496" s="2" t="s">
        <v>100</v>
      </c>
    </row>
    <row r="497">
      <c r="A497" s="2" t="s">
        <v>2204</v>
      </c>
      <c r="B497" s="2" t="s">
        <v>87</v>
      </c>
      <c r="C497" s="2" t="s">
        <v>1797</v>
      </c>
      <c r="D497" s="2" t="s">
        <v>963</v>
      </c>
      <c r="E497" s="2" t="s">
        <v>811</v>
      </c>
      <c r="F497" s="2" t="s">
        <v>1931</v>
      </c>
      <c r="G497" s="2" t="s">
        <v>1932</v>
      </c>
      <c r="H497" s="2" t="s">
        <v>1933</v>
      </c>
      <c r="I497" s="2" t="s">
        <v>2182</v>
      </c>
      <c r="J497" s="2" t="s">
        <v>1443</v>
      </c>
      <c r="K497" s="2" t="s">
        <v>471</v>
      </c>
      <c r="L497" s="3">
        <v>46.28</v>
      </c>
      <c r="M497" s="3">
        <v>48.59</v>
      </c>
      <c r="N497" s="3">
        <v>89</v>
      </c>
      <c r="O497" s="2" t="s">
        <v>97</v>
      </c>
      <c r="P497" s="2" t="s">
        <v>98</v>
      </c>
      <c r="Q497" s="2" t="s">
        <v>99</v>
      </c>
      <c r="R497" s="2" t="s">
        <v>100</v>
      </c>
      <c r="S497" s="2" t="s">
        <v>1934</v>
      </c>
      <c r="T497" s="2" t="s">
        <v>100</v>
      </c>
      <c r="U497" s="2" t="s">
        <v>355</v>
      </c>
      <c r="V497" s="2" t="s">
        <v>367</v>
      </c>
      <c r="W497" s="2" t="s">
        <v>609</v>
      </c>
      <c r="X497" s="2" t="s">
        <v>493</v>
      </c>
      <c r="Y497" s="2" t="s">
        <v>2205</v>
      </c>
      <c r="Z497" s="4">
        <v>82</v>
      </c>
      <c r="AA497" s="4">
        <f>=ROUNDDOWN(16.4,0)</f>
      </c>
      <c r="AB497" s="5">
        <v>5</v>
      </c>
      <c r="AC497" s="2" t="s">
        <v>629</v>
      </c>
      <c r="AD497" s="4">
        <v>30</v>
      </c>
      <c r="AE497" s="4">
        <v>60</v>
      </c>
      <c r="AF497" s="6">
        <v>65</v>
      </c>
      <c r="AG497" s="6">
        <v>73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/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 t="s">
        <v>100</v>
      </c>
      <c r="BJ497" s="4">
        <v>13</v>
      </c>
      <c r="BK497" s="8">
        <v>630.92</v>
      </c>
      <c r="BL497" s="2" t="s">
        <v>2206</v>
      </c>
      <c r="BM497" s="7"/>
      <c r="BN497" s="7"/>
      <c r="BO497" s="4"/>
      <c r="BP497" s="8"/>
      <c r="BQ497" s="4"/>
      <c r="BR497" s="8"/>
      <c r="BS497" s="7"/>
      <c r="BT497" s="7"/>
      <c r="BU497" s="2" t="s">
        <v>109</v>
      </c>
      <c r="BV497" s="2" t="s">
        <v>97</v>
      </c>
      <c r="BW497" s="2" t="s">
        <v>309</v>
      </c>
      <c r="BX497" s="2" t="s">
        <v>2207</v>
      </c>
      <c r="BY497" s="2" t="s">
        <v>112</v>
      </c>
      <c r="BZ497" s="2" t="s">
        <v>100</v>
      </c>
    </row>
    <row r="498">
      <c r="A498" s="2" t="s">
        <v>2208</v>
      </c>
      <c r="B498" s="2" t="s">
        <v>87</v>
      </c>
      <c r="C498" s="2" t="s">
        <v>1797</v>
      </c>
      <c r="D498" s="2" t="s">
        <v>963</v>
      </c>
      <c r="E498" s="2" t="s">
        <v>811</v>
      </c>
      <c r="F498" s="2" t="s">
        <v>1931</v>
      </c>
      <c r="G498" s="2" t="s">
        <v>1932</v>
      </c>
      <c r="H498" s="2" t="s">
        <v>1933</v>
      </c>
      <c r="I498" s="2" t="s">
        <v>2187</v>
      </c>
      <c r="J498" s="2" t="s">
        <v>490</v>
      </c>
      <c r="K498" s="2" t="s">
        <v>471</v>
      </c>
      <c r="L498" s="3">
        <v>54.45</v>
      </c>
      <c r="M498" s="3">
        <v>57.17</v>
      </c>
      <c r="N498" s="3">
        <v>99</v>
      </c>
      <c r="O498" s="2" t="s">
        <v>97</v>
      </c>
      <c r="P498" s="2" t="s">
        <v>98</v>
      </c>
      <c r="Q498" s="2" t="s">
        <v>99</v>
      </c>
      <c r="R498" s="2" t="s">
        <v>100</v>
      </c>
      <c r="S498" s="2" t="s">
        <v>1934</v>
      </c>
      <c r="T498" s="2" t="s">
        <v>100</v>
      </c>
      <c r="U498" s="2" t="s">
        <v>191</v>
      </c>
      <c r="V498" s="2" t="s">
        <v>367</v>
      </c>
      <c r="W498" s="2" t="s">
        <v>609</v>
      </c>
      <c r="X498" s="2" t="s">
        <v>493</v>
      </c>
      <c r="Y498" s="2" t="s">
        <v>2205</v>
      </c>
      <c r="Z498" s="4">
        <v>111</v>
      </c>
      <c r="AA498" s="4">
        <f>=ROUNDDOWN(22.2,0)</f>
      </c>
      <c r="AB498" s="5">
        <v>5</v>
      </c>
      <c r="AC498" s="2" t="s">
        <v>629</v>
      </c>
      <c r="AD498" s="4">
        <v>30</v>
      </c>
      <c r="AE498" s="4">
        <v>60</v>
      </c>
      <c r="AF498" s="6">
        <v>65</v>
      </c>
      <c r="AG498" s="6">
        <v>73</v>
      </c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/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 t="s">
        <v>100</v>
      </c>
      <c r="BJ498" s="4">
        <v>15</v>
      </c>
      <c r="BK498" s="8">
        <v>853.62</v>
      </c>
      <c r="BL498" s="2" t="s">
        <v>2209</v>
      </c>
      <c r="BM498" s="7"/>
      <c r="BN498" s="7"/>
      <c r="BO498" s="4"/>
      <c r="BP498" s="8"/>
      <c r="BQ498" s="4"/>
      <c r="BR498" s="8"/>
      <c r="BS498" s="7"/>
      <c r="BT498" s="7"/>
      <c r="BU498" s="2" t="s">
        <v>109</v>
      </c>
      <c r="BV498" s="2" t="s">
        <v>97</v>
      </c>
      <c r="BW498" s="2" t="s">
        <v>309</v>
      </c>
      <c r="BX498" s="2" t="s">
        <v>2210</v>
      </c>
      <c r="BY498" s="2" t="s">
        <v>112</v>
      </c>
      <c r="BZ498" s="2" t="s">
        <v>100</v>
      </c>
    </row>
    <row r="499">
      <c r="A499" s="2" t="s">
        <v>2211</v>
      </c>
      <c r="B499" s="2" t="s">
        <v>87</v>
      </c>
      <c r="C499" s="2" t="s">
        <v>1797</v>
      </c>
      <c r="D499" s="2" t="s">
        <v>963</v>
      </c>
      <c r="E499" s="2" t="s">
        <v>811</v>
      </c>
      <c r="F499" s="2" t="s">
        <v>1931</v>
      </c>
      <c r="G499" s="2" t="s">
        <v>1932</v>
      </c>
      <c r="H499" s="2" t="s">
        <v>1933</v>
      </c>
      <c r="I499" s="2" t="s">
        <v>2187</v>
      </c>
      <c r="J499" s="2" t="s">
        <v>95</v>
      </c>
      <c r="K499" s="2" t="s">
        <v>471</v>
      </c>
      <c r="L499" s="3">
        <v>59.95</v>
      </c>
      <c r="M499" s="3">
        <v>62.95</v>
      </c>
      <c r="N499" s="3">
        <v>109</v>
      </c>
      <c r="O499" s="2" t="s">
        <v>97</v>
      </c>
      <c r="P499" s="2" t="s">
        <v>98</v>
      </c>
      <c r="Q499" s="2" t="s">
        <v>99</v>
      </c>
      <c r="R499" s="2" t="s">
        <v>100</v>
      </c>
      <c r="S499" s="2" t="s">
        <v>1934</v>
      </c>
      <c r="T499" s="2" t="s">
        <v>100</v>
      </c>
      <c r="U499" s="2" t="s">
        <v>191</v>
      </c>
      <c r="V499" s="2" t="s">
        <v>367</v>
      </c>
      <c r="W499" s="2" t="s">
        <v>609</v>
      </c>
      <c r="X499" s="2" t="s">
        <v>493</v>
      </c>
      <c r="Y499" s="2" t="s">
        <v>2205</v>
      </c>
      <c r="Z499" s="4">
        <v>463</v>
      </c>
      <c r="AA499" s="4">
        <f>=ROUNDDOWN(28.9375,0)</f>
      </c>
      <c r="AB499" s="5">
        <v>16</v>
      </c>
      <c r="AC499" s="2" t="s">
        <v>629</v>
      </c>
      <c r="AD499" s="4">
        <v>40</v>
      </c>
      <c r="AE499" s="4">
        <v>130</v>
      </c>
      <c r="AF499" s="6">
        <v>65</v>
      </c>
      <c r="AG499" s="6">
        <v>73</v>
      </c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/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 t="s">
        <v>100</v>
      </c>
      <c r="BJ499" s="4">
        <v>43</v>
      </c>
      <c r="BK499" s="8">
        <v>2808.49</v>
      </c>
      <c r="BL499" s="2" t="s">
        <v>2212</v>
      </c>
      <c r="BM499" s="7"/>
      <c r="BN499" s="7"/>
      <c r="BO499" s="4"/>
      <c r="BP499" s="8"/>
      <c r="BQ499" s="4"/>
      <c r="BR499" s="8"/>
      <c r="BS499" s="7"/>
      <c r="BT499" s="7"/>
      <c r="BU499" s="2" t="s">
        <v>109</v>
      </c>
      <c r="BV499" s="2" t="s">
        <v>97</v>
      </c>
      <c r="BW499" s="2" t="s">
        <v>309</v>
      </c>
      <c r="BX499" s="2" t="s">
        <v>2213</v>
      </c>
      <c r="BY499" s="2" t="s">
        <v>112</v>
      </c>
      <c r="BZ499" s="2" t="s">
        <v>100</v>
      </c>
    </row>
    <row r="500">
      <c r="A500" s="2" t="s">
        <v>2214</v>
      </c>
      <c r="B500" s="2" t="s">
        <v>87</v>
      </c>
      <c r="C500" s="2" t="s">
        <v>1797</v>
      </c>
      <c r="D500" s="2" t="s">
        <v>963</v>
      </c>
      <c r="E500" s="2" t="s">
        <v>811</v>
      </c>
      <c r="F500" s="2" t="s">
        <v>1931</v>
      </c>
      <c r="G500" s="2" t="s">
        <v>1932</v>
      </c>
      <c r="H500" s="2" t="s">
        <v>1933</v>
      </c>
      <c r="I500" s="2" t="s">
        <v>2187</v>
      </c>
      <c r="J500" s="2" t="s">
        <v>114</v>
      </c>
      <c r="K500" s="2" t="s">
        <v>471</v>
      </c>
      <c r="L500" s="3">
        <v>65.45</v>
      </c>
      <c r="M500" s="3">
        <v>68.72</v>
      </c>
      <c r="N500" s="3">
        <v>119</v>
      </c>
      <c r="O500" s="2" t="s">
        <v>97</v>
      </c>
      <c r="P500" s="2" t="s">
        <v>98</v>
      </c>
      <c r="Q500" s="2" t="s">
        <v>99</v>
      </c>
      <c r="R500" s="2" t="s">
        <v>100</v>
      </c>
      <c r="S500" s="2" t="s">
        <v>1934</v>
      </c>
      <c r="T500" s="2" t="s">
        <v>100</v>
      </c>
      <c r="U500" s="2" t="s">
        <v>191</v>
      </c>
      <c r="V500" s="2" t="s">
        <v>367</v>
      </c>
      <c r="W500" s="2" t="s">
        <v>609</v>
      </c>
      <c r="X500" s="2" t="s">
        <v>493</v>
      </c>
      <c r="Y500" s="2" t="s">
        <v>2205</v>
      </c>
      <c r="Z500" s="4">
        <v>219</v>
      </c>
      <c r="AA500" s="4">
        <f>=ROUNDDOWN(19.9090909090909,0)</f>
      </c>
      <c r="AB500" s="5">
        <v>11</v>
      </c>
      <c r="AC500" s="2" t="s">
        <v>629</v>
      </c>
      <c r="AD500" s="4">
        <v>50</v>
      </c>
      <c r="AE500" s="4">
        <v>160</v>
      </c>
      <c r="AF500" s="6">
        <v>65</v>
      </c>
      <c r="AG500" s="6">
        <v>73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/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 t="s">
        <v>100</v>
      </c>
      <c r="BJ500" s="4">
        <v>32</v>
      </c>
      <c r="BK500" s="8">
        <v>2248.71</v>
      </c>
      <c r="BL500" s="2" t="s">
        <v>2215</v>
      </c>
      <c r="BM500" s="7"/>
      <c r="BN500" s="7"/>
      <c r="BO500" s="4"/>
      <c r="BP500" s="8"/>
      <c r="BQ500" s="4"/>
      <c r="BR500" s="8"/>
      <c r="BS500" s="7"/>
      <c r="BT500" s="7"/>
      <c r="BU500" s="2" t="s">
        <v>109</v>
      </c>
      <c r="BV500" s="2" t="s">
        <v>97</v>
      </c>
      <c r="BW500" s="2" t="s">
        <v>309</v>
      </c>
      <c r="BX500" s="2" t="s">
        <v>2216</v>
      </c>
      <c r="BY500" s="2" t="s">
        <v>112</v>
      </c>
      <c r="BZ500" s="2" t="s">
        <v>100</v>
      </c>
    </row>
    <row r="501">
      <c r="A501" s="2" t="s">
        <v>2217</v>
      </c>
      <c r="B501" s="2" t="s">
        <v>87</v>
      </c>
      <c r="C501" s="2" t="s">
        <v>1797</v>
      </c>
      <c r="D501" s="2" t="s">
        <v>963</v>
      </c>
      <c r="E501" s="2" t="s">
        <v>811</v>
      </c>
      <c r="F501" s="2" t="s">
        <v>1931</v>
      </c>
      <c r="G501" s="2" t="s">
        <v>1932</v>
      </c>
      <c r="H501" s="2" t="s">
        <v>1933</v>
      </c>
      <c r="I501" s="2" t="s">
        <v>2187</v>
      </c>
      <c r="J501" s="2" t="s">
        <v>118</v>
      </c>
      <c r="K501" s="2" t="s">
        <v>471</v>
      </c>
      <c r="L501" s="3">
        <v>65.45</v>
      </c>
      <c r="M501" s="3">
        <v>68.72</v>
      </c>
      <c r="N501" s="3">
        <v>119</v>
      </c>
      <c r="O501" s="2" t="s">
        <v>97</v>
      </c>
      <c r="P501" s="2" t="s">
        <v>98</v>
      </c>
      <c r="Q501" s="2" t="s">
        <v>99</v>
      </c>
      <c r="R501" s="2" t="s">
        <v>100</v>
      </c>
      <c r="S501" s="2" t="s">
        <v>1934</v>
      </c>
      <c r="T501" s="2" t="s">
        <v>100</v>
      </c>
      <c r="U501" s="2" t="s">
        <v>191</v>
      </c>
      <c r="V501" s="2" t="s">
        <v>367</v>
      </c>
      <c r="W501" s="2" t="s">
        <v>609</v>
      </c>
      <c r="X501" s="2" t="s">
        <v>493</v>
      </c>
      <c r="Y501" s="2" t="s">
        <v>2205</v>
      </c>
      <c r="Z501" s="4">
        <v>80</v>
      </c>
      <c r="AA501" s="4">
        <f>=ROUNDDOWN(13.3333333333333,0)</f>
      </c>
      <c r="AB501" s="5">
        <v>6</v>
      </c>
      <c r="AC501" s="2" t="s">
        <v>629</v>
      </c>
      <c r="AD501" s="4">
        <v>29</v>
      </c>
      <c r="AE501" s="4">
        <v>69</v>
      </c>
      <c r="AF501" s="6">
        <v>65</v>
      </c>
      <c r="AG501" s="6">
        <v>73</v>
      </c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/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 t="s">
        <v>100</v>
      </c>
      <c r="BJ501" s="4">
        <v>11</v>
      </c>
      <c r="BK501" s="8">
        <v>723.68</v>
      </c>
      <c r="BL501" s="2" t="s">
        <v>2218</v>
      </c>
      <c r="BM501" s="7"/>
      <c r="BN501" s="7"/>
      <c r="BO501" s="4"/>
      <c r="BP501" s="8"/>
      <c r="BQ501" s="4"/>
      <c r="BR501" s="8"/>
      <c r="BS501" s="7"/>
      <c r="BT501" s="7"/>
      <c r="BU501" s="2" t="s">
        <v>109</v>
      </c>
      <c r="BV501" s="2" t="s">
        <v>97</v>
      </c>
      <c r="BW501" s="2" t="s">
        <v>2219</v>
      </c>
      <c r="BX501" s="2" t="s">
        <v>1844</v>
      </c>
      <c r="BY501" s="2" t="s">
        <v>112</v>
      </c>
      <c r="BZ501" s="2" t="s">
        <v>100</v>
      </c>
    </row>
    <row r="502">
      <c r="A502" s="2" t="s">
        <v>2220</v>
      </c>
      <c r="B502" s="2" t="s">
        <v>87</v>
      </c>
      <c r="C502" s="2" t="s">
        <v>1797</v>
      </c>
      <c r="D502" s="2" t="s">
        <v>963</v>
      </c>
      <c r="E502" s="2" t="s">
        <v>811</v>
      </c>
      <c r="F502" s="2" t="s">
        <v>2221</v>
      </c>
      <c r="G502" s="2" t="s">
        <v>2222</v>
      </c>
      <c r="H502" s="2" t="s">
        <v>2223</v>
      </c>
      <c r="I502" s="2" t="s">
        <v>2182</v>
      </c>
      <c r="J502" s="2" t="s">
        <v>1443</v>
      </c>
      <c r="K502" s="2" t="s">
        <v>179</v>
      </c>
      <c r="L502" s="3">
        <v>44.5</v>
      </c>
      <c r="M502" s="3">
        <v>46.73</v>
      </c>
      <c r="N502" s="3">
        <v>89</v>
      </c>
      <c r="O502" s="2" t="s">
        <v>97</v>
      </c>
      <c r="P502" s="2" t="s">
        <v>98</v>
      </c>
      <c r="Q502" s="2" t="s">
        <v>99</v>
      </c>
      <c r="R502" s="2" t="s">
        <v>100</v>
      </c>
      <c r="S502" s="2" t="s">
        <v>2224</v>
      </c>
      <c r="T502" s="2" t="s">
        <v>100</v>
      </c>
      <c r="U502" s="2" t="s">
        <v>355</v>
      </c>
      <c r="V502" s="2" t="s">
        <v>103</v>
      </c>
      <c r="W502" s="2" t="s">
        <v>525</v>
      </c>
      <c r="X502" s="2" t="s">
        <v>2225</v>
      </c>
      <c r="Y502" s="2" t="s">
        <v>2226</v>
      </c>
      <c r="Z502" s="4">
        <v>160</v>
      </c>
      <c r="AA502" s="4">
        <f>=ROUNDDOWN(40,0)</f>
      </c>
      <c r="AB502" s="5">
        <v>4</v>
      </c>
      <c r="AC502" s="2" t="s">
        <v>100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1</v>
      </c>
      <c r="AQ502" s="8">
        <v>45.2</v>
      </c>
      <c r="AR502" s="4"/>
      <c r="AS502" s="8"/>
      <c r="AT502" s="7"/>
      <c r="AU502" s="7"/>
      <c r="AV502" s="4">
        <v>1</v>
      </c>
      <c r="AW502" s="8">
        <v>45.2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1</v>
      </c>
      <c r="BC502" s="4">
        <v>1</v>
      </c>
      <c r="BD502" s="8">
        <v>45.2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>
        <v>1</v>
      </c>
      <c r="BJ502" s="4">
        <v>6</v>
      </c>
      <c r="BK502" s="8">
        <v>265.44</v>
      </c>
      <c r="BL502" s="2" t="s">
        <v>2227</v>
      </c>
      <c r="BM502" s="7">
        <v>0.1667</v>
      </c>
      <c r="BN502" s="7">
        <v>0.1703</v>
      </c>
      <c r="BO502" s="4">
        <v>1</v>
      </c>
      <c r="BP502" s="8">
        <v>45.2</v>
      </c>
      <c r="BQ502" s="4"/>
      <c r="BR502" s="8"/>
      <c r="BS502" s="7"/>
      <c r="BT502" s="7"/>
      <c r="BU502" s="2" t="s">
        <v>109</v>
      </c>
      <c r="BV502" s="2" t="s">
        <v>97</v>
      </c>
      <c r="BW502" s="2" t="s">
        <v>127</v>
      </c>
      <c r="BX502" s="2" t="s">
        <v>2228</v>
      </c>
      <c r="BY502" s="2" t="s">
        <v>112</v>
      </c>
      <c r="BZ502" s="2" t="s">
        <v>100</v>
      </c>
    </row>
    <row r="503">
      <c r="A503" s="2" t="s">
        <v>2229</v>
      </c>
      <c r="B503" s="2" t="s">
        <v>87</v>
      </c>
      <c r="C503" s="2" t="s">
        <v>1797</v>
      </c>
      <c r="D503" s="2" t="s">
        <v>963</v>
      </c>
      <c r="E503" s="2" t="s">
        <v>811</v>
      </c>
      <c r="F503" s="2" t="s">
        <v>2221</v>
      </c>
      <c r="G503" s="2" t="s">
        <v>2222</v>
      </c>
      <c r="H503" s="2" t="s">
        <v>2223</v>
      </c>
      <c r="I503" s="2" t="s">
        <v>2187</v>
      </c>
      <c r="J503" s="2" t="s">
        <v>490</v>
      </c>
      <c r="K503" s="2" t="s">
        <v>179</v>
      </c>
      <c r="L503" s="3">
        <v>51.48</v>
      </c>
      <c r="M503" s="3">
        <v>54.05</v>
      </c>
      <c r="N503" s="3">
        <v>99</v>
      </c>
      <c r="O503" s="2" t="s">
        <v>97</v>
      </c>
      <c r="P503" s="2" t="s">
        <v>98</v>
      </c>
      <c r="Q503" s="2" t="s">
        <v>99</v>
      </c>
      <c r="R503" s="2" t="s">
        <v>100</v>
      </c>
      <c r="S503" s="2" t="s">
        <v>2224</v>
      </c>
      <c r="T503" s="2" t="s">
        <v>100</v>
      </c>
      <c r="U503" s="2" t="s">
        <v>191</v>
      </c>
      <c r="V503" s="2" t="s">
        <v>103</v>
      </c>
      <c r="W503" s="2" t="s">
        <v>525</v>
      </c>
      <c r="X503" s="2" t="s">
        <v>2225</v>
      </c>
      <c r="Y503" s="2" t="s">
        <v>2226</v>
      </c>
      <c r="Z503" s="4">
        <v>147</v>
      </c>
      <c r="AA503" s="4">
        <f>=ROUNDDOWN(29.4,0)</f>
      </c>
      <c r="AB503" s="5">
        <v>5</v>
      </c>
      <c r="AC503" s="2" t="s">
        <v>100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100</v>
      </c>
      <c r="AW503" s="8" t="s">
        <v>100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/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 t="s">
        <v>100</v>
      </c>
      <c r="BJ503" s="4">
        <v>5</v>
      </c>
      <c r="BK503" s="8">
        <v>249.69</v>
      </c>
      <c r="BL503" s="2" t="s">
        <v>2230</v>
      </c>
      <c r="BM503" s="7"/>
      <c r="BN503" s="7"/>
      <c r="BO503" s="4"/>
      <c r="BP503" s="8"/>
      <c r="BQ503" s="4"/>
      <c r="BR503" s="8"/>
      <c r="BS503" s="7"/>
      <c r="BT503" s="7"/>
      <c r="BU503" s="2" t="s">
        <v>109</v>
      </c>
      <c r="BV503" s="2" t="s">
        <v>97</v>
      </c>
      <c r="BW503" s="2" t="s">
        <v>127</v>
      </c>
      <c r="BX503" s="2" t="s">
        <v>1663</v>
      </c>
      <c r="BY503" s="2" t="s">
        <v>112</v>
      </c>
      <c r="BZ503" s="2" t="s">
        <v>100</v>
      </c>
    </row>
    <row r="504">
      <c r="A504" s="2" t="s">
        <v>2231</v>
      </c>
      <c r="B504" s="2" t="s">
        <v>87</v>
      </c>
      <c r="C504" s="2" t="s">
        <v>1797</v>
      </c>
      <c r="D504" s="2" t="s">
        <v>963</v>
      </c>
      <c r="E504" s="2" t="s">
        <v>811</v>
      </c>
      <c r="F504" s="2" t="s">
        <v>2221</v>
      </c>
      <c r="G504" s="2" t="s">
        <v>2222</v>
      </c>
      <c r="H504" s="2" t="s">
        <v>2223</v>
      </c>
      <c r="I504" s="2" t="s">
        <v>2187</v>
      </c>
      <c r="J504" s="2" t="s">
        <v>95</v>
      </c>
      <c r="K504" s="2" t="s">
        <v>179</v>
      </c>
      <c r="L504" s="3">
        <v>56.68</v>
      </c>
      <c r="M504" s="3">
        <v>59.51</v>
      </c>
      <c r="N504" s="3">
        <v>109</v>
      </c>
      <c r="O504" s="2" t="s">
        <v>97</v>
      </c>
      <c r="P504" s="2" t="s">
        <v>98</v>
      </c>
      <c r="Q504" s="2" t="s">
        <v>99</v>
      </c>
      <c r="R504" s="2" t="s">
        <v>100</v>
      </c>
      <c r="S504" s="2" t="s">
        <v>2224</v>
      </c>
      <c r="T504" s="2" t="s">
        <v>100</v>
      </c>
      <c r="U504" s="2" t="s">
        <v>191</v>
      </c>
      <c r="V504" s="2" t="s">
        <v>103</v>
      </c>
      <c r="W504" s="2" t="s">
        <v>525</v>
      </c>
      <c r="X504" s="2" t="s">
        <v>2225</v>
      </c>
      <c r="Y504" s="2" t="s">
        <v>2226</v>
      </c>
      <c r="Z504" s="4">
        <v>390</v>
      </c>
      <c r="AA504" s="4">
        <f>=ROUNDDOWN(39,0)</f>
      </c>
      <c r="AB504" s="5">
        <v>10</v>
      </c>
      <c r="AC504" s="2" t="s">
        <v>100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/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 t="s">
        <v>100</v>
      </c>
      <c r="BJ504" s="4">
        <v>21</v>
      </c>
      <c r="BK504" s="8">
        <v>1187.26</v>
      </c>
      <c r="BL504" s="2" t="s">
        <v>1375</v>
      </c>
      <c r="BM504" s="7"/>
      <c r="BN504" s="7"/>
      <c r="BO504" s="4"/>
      <c r="BP504" s="8"/>
      <c r="BQ504" s="4"/>
      <c r="BR504" s="8"/>
      <c r="BS504" s="7"/>
      <c r="BT504" s="7"/>
      <c r="BU504" s="2" t="s">
        <v>109</v>
      </c>
      <c r="BV504" s="2" t="s">
        <v>97</v>
      </c>
      <c r="BW504" s="2" t="s">
        <v>127</v>
      </c>
      <c r="BX504" s="2" t="s">
        <v>405</v>
      </c>
      <c r="BY504" s="2" t="s">
        <v>112</v>
      </c>
      <c r="BZ504" s="2" t="s">
        <v>100</v>
      </c>
    </row>
    <row r="505">
      <c r="A505" s="2" t="s">
        <v>2232</v>
      </c>
      <c r="B505" s="2" t="s">
        <v>87</v>
      </c>
      <c r="C505" s="2" t="s">
        <v>1797</v>
      </c>
      <c r="D505" s="2" t="s">
        <v>963</v>
      </c>
      <c r="E505" s="2" t="s">
        <v>811</v>
      </c>
      <c r="F505" s="2" t="s">
        <v>2221</v>
      </c>
      <c r="G505" s="2" t="s">
        <v>2222</v>
      </c>
      <c r="H505" s="2" t="s">
        <v>2223</v>
      </c>
      <c r="I505" s="2" t="s">
        <v>2187</v>
      </c>
      <c r="J505" s="2" t="s">
        <v>114</v>
      </c>
      <c r="K505" s="2" t="s">
        <v>179</v>
      </c>
      <c r="L505" s="3">
        <v>61.88</v>
      </c>
      <c r="M505" s="3">
        <v>64.97</v>
      </c>
      <c r="N505" s="3">
        <v>119</v>
      </c>
      <c r="O505" s="2" t="s">
        <v>97</v>
      </c>
      <c r="P505" s="2" t="s">
        <v>98</v>
      </c>
      <c r="Q505" s="2" t="s">
        <v>99</v>
      </c>
      <c r="R505" s="2" t="s">
        <v>100</v>
      </c>
      <c r="S505" s="2" t="s">
        <v>2224</v>
      </c>
      <c r="T505" s="2" t="s">
        <v>100</v>
      </c>
      <c r="U505" s="2" t="s">
        <v>191</v>
      </c>
      <c r="V505" s="2" t="s">
        <v>103</v>
      </c>
      <c r="W505" s="2" t="s">
        <v>525</v>
      </c>
      <c r="X505" s="2" t="s">
        <v>2225</v>
      </c>
      <c r="Y505" s="2" t="s">
        <v>2226</v>
      </c>
      <c r="Z505" s="4">
        <v>198</v>
      </c>
      <c r="AA505" s="4">
        <f>=ROUNDDOWN(24.75,0)</f>
      </c>
      <c r="AB505" s="5">
        <v>8</v>
      </c>
      <c r="AC505" s="2" t="s">
        <v>100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/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 t="s">
        <v>100</v>
      </c>
      <c r="BJ505" s="4">
        <v>19</v>
      </c>
      <c r="BK505" s="8">
        <v>1156.67</v>
      </c>
      <c r="BL505" s="2" t="s">
        <v>935</v>
      </c>
      <c r="BM505" s="7"/>
      <c r="BN505" s="7"/>
      <c r="BO505" s="4"/>
      <c r="BP505" s="8"/>
      <c r="BQ505" s="4"/>
      <c r="BR505" s="8"/>
      <c r="BS505" s="7"/>
      <c r="BT505" s="7"/>
      <c r="BU505" s="2" t="s">
        <v>109</v>
      </c>
      <c r="BV505" s="2" t="s">
        <v>97</v>
      </c>
      <c r="BW505" s="2" t="s">
        <v>127</v>
      </c>
      <c r="BX505" s="2" t="s">
        <v>2233</v>
      </c>
      <c r="BY505" s="2" t="s">
        <v>112</v>
      </c>
      <c r="BZ505" s="2" t="s">
        <v>100</v>
      </c>
    </row>
    <row r="506">
      <c r="A506" s="2" t="s">
        <v>2234</v>
      </c>
      <c r="B506" s="2" t="s">
        <v>87</v>
      </c>
      <c r="C506" s="2" t="s">
        <v>1797</v>
      </c>
      <c r="D506" s="2" t="s">
        <v>963</v>
      </c>
      <c r="E506" s="2" t="s">
        <v>811</v>
      </c>
      <c r="F506" s="2" t="s">
        <v>2221</v>
      </c>
      <c r="G506" s="2" t="s">
        <v>2222</v>
      </c>
      <c r="H506" s="2" t="s">
        <v>2223</v>
      </c>
      <c r="I506" s="2" t="s">
        <v>2187</v>
      </c>
      <c r="J506" s="2" t="s">
        <v>118</v>
      </c>
      <c r="K506" s="2" t="s">
        <v>179</v>
      </c>
      <c r="L506" s="3">
        <v>61.88</v>
      </c>
      <c r="M506" s="3">
        <v>64.97</v>
      </c>
      <c r="N506" s="3">
        <v>119</v>
      </c>
      <c r="O506" s="2" t="s">
        <v>97</v>
      </c>
      <c r="P506" s="2" t="s">
        <v>98</v>
      </c>
      <c r="Q506" s="2" t="s">
        <v>99</v>
      </c>
      <c r="R506" s="2" t="s">
        <v>100</v>
      </c>
      <c r="S506" s="2" t="s">
        <v>2224</v>
      </c>
      <c r="T506" s="2" t="s">
        <v>100</v>
      </c>
      <c r="U506" s="2" t="s">
        <v>191</v>
      </c>
      <c r="V506" s="2" t="s">
        <v>103</v>
      </c>
      <c r="W506" s="2" t="s">
        <v>525</v>
      </c>
      <c r="X506" s="2" t="s">
        <v>2225</v>
      </c>
      <c r="Y506" s="2" t="s">
        <v>2226</v>
      </c>
      <c r="Z506" s="4">
        <v>190</v>
      </c>
      <c r="AA506" s="4">
        <f>=ROUNDDOWN(31.6666666666667,0)</f>
      </c>
      <c r="AB506" s="5">
        <v>6</v>
      </c>
      <c r="AC506" s="2" t="s">
        <v>100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/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 t="s">
        <v>100</v>
      </c>
      <c r="BJ506" s="4">
        <v>14</v>
      </c>
      <c r="BK506" s="8">
        <v>897.88</v>
      </c>
      <c r="BL506" s="2" t="s">
        <v>2235</v>
      </c>
      <c r="BM506" s="7"/>
      <c r="BN506" s="7"/>
      <c r="BO506" s="4"/>
      <c r="BP506" s="8"/>
      <c r="BQ506" s="4"/>
      <c r="BR506" s="8"/>
      <c r="BS506" s="7"/>
      <c r="BT506" s="7"/>
      <c r="BU506" s="2" t="s">
        <v>109</v>
      </c>
      <c r="BV506" s="2" t="s">
        <v>97</v>
      </c>
      <c r="BW506" s="2" t="s">
        <v>127</v>
      </c>
      <c r="BX506" s="2" t="s">
        <v>2236</v>
      </c>
      <c r="BY506" s="2" t="s">
        <v>112</v>
      </c>
      <c r="BZ506" s="2" t="s">
        <v>100</v>
      </c>
    </row>
    <row r="507">
      <c r="A507" s="2" t="s">
        <v>2237</v>
      </c>
      <c r="B507" s="2" t="s">
        <v>87</v>
      </c>
      <c r="C507" s="2" t="s">
        <v>2238</v>
      </c>
      <c r="D507" s="2" t="s">
        <v>963</v>
      </c>
      <c r="E507" s="2" t="s">
        <v>1409</v>
      </c>
      <c r="F507" s="2" t="s">
        <v>2239</v>
      </c>
      <c r="G507" s="2" t="s">
        <v>2240</v>
      </c>
      <c r="H507" s="2" t="s">
        <v>2241</v>
      </c>
      <c r="I507" s="2" t="s">
        <v>2242</v>
      </c>
      <c r="J507" s="2" t="s">
        <v>522</v>
      </c>
      <c r="K507" s="2" t="s">
        <v>1090</v>
      </c>
      <c r="L507" s="3">
        <v>32</v>
      </c>
      <c r="M507" s="3">
        <v>33.6</v>
      </c>
      <c r="N507" s="3">
        <v>79.99</v>
      </c>
      <c r="O507" s="2" t="s">
        <v>97</v>
      </c>
      <c r="P507" s="2" t="s">
        <v>123</v>
      </c>
      <c r="Q507" s="2" t="s">
        <v>99</v>
      </c>
      <c r="R507" s="2" t="s">
        <v>100</v>
      </c>
      <c r="S507" s="2" t="s">
        <v>2243</v>
      </c>
      <c r="T507" s="2" t="s">
        <v>438</v>
      </c>
      <c r="U507" s="2" t="s">
        <v>901</v>
      </c>
      <c r="V507" s="2" t="s">
        <v>461</v>
      </c>
      <c r="W507" s="2" t="s">
        <v>609</v>
      </c>
      <c r="X507" s="2" t="s">
        <v>142</v>
      </c>
      <c r="Y507" s="2" t="s">
        <v>2244</v>
      </c>
      <c r="Z507" s="4">
        <v>579</v>
      </c>
      <c r="AA507" s="4">
        <f>=ROUNDDOWN(23.16,0)</f>
      </c>
      <c r="AB507" s="5">
        <v>25</v>
      </c>
      <c r="AC507" s="2" t="s">
        <v>145</v>
      </c>
      <c r="AD507" s="4">
        <v>40</v>
      </c>
      <c r="AE507" s="4">
        <v>510</v>
      </c>
      <c r="AF507" s="6">
        <v>65</v>
      </c>
      <c r="AG507" s="6">
        <v>48</v>
      </c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12</v>
      </c>
      <c r="AQ507" s="8">
        <v>391.92</v>
      </c>
      <c r="AR507" s="4"/>
      <c r="AS507" s="8"/>
      <c r="AT507" s="7"/>
      <c r="AU507" s="7"/>
      <c r="AV507" s="4">
        <v>21</v>
      </c>
      <c r="AW507" s="8">
        <v>734.82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0.5334</v>
      </c>
      <c r="BC507" s="4">
        <v>28</v>
      </c>
      <c r="BD507" s="8">
        <v>963.44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>
        <v>0.7627</v>
      </c>
      <c r="BJ507" s="4">
        <v>80</v>
      </c>
      <c r="BK507" s="8">
        <v>2715.82</v>
      </c>
      <c r="BL507" s="2" t="s">
        <v>2245</v>
      </c>
      <c r="BM507" s="7">
        <v>0.15</v>
      </c>
      <c r="BN507" s="7">
        <v>0.1443</v>
      </c>
      <c r="BO507" s="4">
        <v>12</v>
      </c>
      <c r="BP507" s="8">
        <v>391.92</v>
      </c>
      <c r="BQ507" s="4"/>
      <c r="BR507" s="8"/>
      <c r="BS507" s="7"/>
      <c r="BT507" s="7"/>
      <c r="BU507" s="2" t="s">
        <v>109</v>
      </c>
      <c r="BV507" s="2" t="s">
        <v>97</v>
      </c>
      <c r="BW507" s="2" t="s">
        <v>2246</v>
      </c>
      <c r="BX507" s="2" t="s">
        <v>2216</v>
      </c>
      <c r="BY507" s="2" t="s">
        <v>112</v>
      </c>
      <c r="BZ507" s="2" t="s">
        <v>100</v>
      </c>
    </row>
    <row r="508">
      <c r="A508" s="2" t="s">
        <v>2247</v>
      </c>
      <c r="B508" s="2" t="s">
        <v>87</v>
      </c>
      <c r="C508" s="2" t="s">
        <v>2238</v>
      </c>
      <c r="D508" s="2" t="s">
        <v>963</v>
      </c>
      <c r="E508" s="2" t="s">
        <v>1409</v>
      </c>
      <c r="F508" s="2" t="s">
        <v>2239</v>
      </c>
      <c r="G508" s="2" t="s">
        <v>2240</v>
      </c>
      <c r="H508" s="2" t="s">
        <v>2241</v>
      </c>
      <c r="I508" s="2" t="s">
        <v>2242</v>
      </c>
      <c r="J508" s="2" t="s">
        <v>529</v>
      </c>
      <c r="K508" s="2" t="s">
        <v>1090</v>
      </c>
      <c r="L508" s="3">
        <v>37.8</v>
      </c>
      <c r="M508" s="3">
        <v>39.69</v>
      </c>
      <c r="N508" s="3">
        <v>89.99</v>
      </c>
      <c r="O508" s="2" t="s">
        <v>97</v>
      </c>
      <c r="P508" s="2" t="s">
        <v>123</v>
      </c>
      <c r="Q508" s="2" t="s">
        <v>99</v>
      </c>
      <c r="R508" s="2" t="s">
        <v>100</v>
      </c>
      <c r="S508" s="2" t="s">
        <v>2243</v>
      </c>
      <c r="T508" s="2" t="s">
        <v>438</v>
      </c>
      <c r="U508" s="2" t="s">
        <v>901</v>
      </c>
      <c r="V508" s="2" t="s">
        <v>461</v>
      </c>
      <c r="W508" s="2" t="s">
        <v>609</v>
      </c>
      <c r="X508" s="2" t="s">
        <v>142</v>
      </c>
      <c r="Y508" s="2" t="s">
        <v>2244</v>
      </c>
      <c r="Z508" s="4">
        <v>1173</v>
      </c>
      <c r="AA508" s="4">
        <f>=ROUNDDOWN(25.5,0)</f>
      </c>
      <c r="AB508" s="5">
        <v>46</v>
      </c>
      <c r="AC508" s="2" t="s">
        <v>145</v>
      </c>
      <c r="AD508" s="4">
        <v>90</v>
      </c>
      <c r="AE508" s="4">
        <v>480</v>
      </c>
      <c r="AF508" s="6">
        <v>65</v>
      </c>
      <c r="AG508" s="6">
        <v>48</v>
      </c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9</v>
      </c>
      <c r="AQ508" s="8">
        <v>342.9</v>
      </c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0.4666</v>
      </c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 t="s">
        <v>100</v>
      </c>
      <c r="BJ508" s="4">
        <v>151</v>
      </c>
      <c r="BK508" s="8">
        <v>6096.98</v>
      </c>
      <c r="BL508" s="2" t="s">
        <v>2248</v>
      </c>
      <c r="BM508" s="7">
        <v>0.0596</v>
      </c>
      <c r="BN508" s="7">
        <v>0.0562</v>
      </c>
      <c r="BO508" s="4">
        <v>9</v>
      </c>
      <c r="BP508" s="8">
        <v>342.9</v>
      </c>
      <c r="BQ508" s="4"/>
      <c r="BR508" s="8"/>
      <c r="BS508" s="7"/>
      <c r="BT508" s="7"/>
      <c r="BU508" s="2" t="s">
        <v>109</v>
      </c>
      <c r="BV508" s="2" t="s">
        <v>97</v>
      </c>
      <c r="BW508" s="2" t="s">
        <v>2249</v>
      </c>
      <c r="BX508" s="2" t="s">
        <v>1221</v>
      </c>
      <c r="BY508" s="2" t="s">
        <v>112</v>
      </c>
      <c r="BZ508" s="2" t="s">
        <v>100</v>
      </c>
    </row>
    <row r="509">
      <c r="A509" s="2" t="s">
        <v>2250</v>
      </c>
      <c r="B509" s="2" t="s">
        <v>87</v>
      </c>
      <c r="C509" s="2" t="s">
        <v>2238</v>
      </c>
      <c r="D509" s="2" t="s">
        <v>963</v>
      </c>
      <c r="E509" s="2" t="s">
        <v>1409</v>
      </c>
      <c r="F509" s="2" t="s">
        <v>2239</v>
      </c>
      <c r="G509" s="2" t="s">
        <v>2240</v>
      </c>
      <c r="H509" s="2" t="s">
        <v>2241</v>
      </c>
      <c r="I509" s="2" t="s">
        <v>2242</v>
      </c>
      <c r="J509" s="2" t="s">
        <v>522</v>
      </c>
      <c r="K509" s="2" t="s">
        <v>1173</v>
      </c>
      <c r="L509" s="3">
        <v>32</v>
      </c>
      <c r="M509" s="3">
        <v>33.6</v>
      </c>
      <c r="N509" s="3">
        <v>79.99</v>
      </c>
      <c r="O509" s="2" t="s">
        <v>97</v>
      </c>
      <c r="P509" s="2" t="s">
        <v>123</v>
      </c>
      <c r="Q509" s="2" t="s">
        <v>99</v>
      </c>
      <c r="R509" s="2" t="s">
        <v>100</v>
      </c>
      <c r="S509" s="2" t="s">
        <v>2251</v>
      </c>
      <c r="T509" s="2" t="s">
        <v>438</v>
      </c>
      <c r="U509" s="2" t="s">
        <v>901</v>
      </c>
      <c r="V509" s="2" t="s">
        <v>461</v>
      </c>
      <c r="W509" s="2" t="s">
        <v>609</v>
      </c>
      <c r="X509" s="2" t="s">
        <v>142</v>
      </c>
      <c r="Y509" s="2" t="s">
        <v>2244</v>
      </c>
      <c r="Z509" s="4">
        <v>725</v>
      </c>
      <c r="AA509" s="4">
        <f>=ROUNDDOWN(27.8846153846154,0)</f>
      </c>
      <c r="AB509" s="5">
        <v>26</v>
      </c>
      <c r="AC509" s="2" t="s">
        <v>145</v>
      </c>
      <c r="AD509" s="4">
        <v>110</v>
      </c>
      <c r="AE509" s="4">
        <v>490</v>
      </c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5</v>
      </c>
      <c r="AQ509" s="8">
        <v>163.3</v>
      </c>
      <c r="AR509" s="4"/>
      <c r="AS509" s="8"/>
      <c r="AT509" s="7"/>
      <c r="AU509" s="7"/>
      <c r="AV509" s="4">
        <v>5</v>
      </c>
      <c r="AW509" s="8">
        <v>163.3</v>
      </c>
      <c r="AX509" s="4"/>
      <c r="AY509" s="8"/>
      <c r="AZ509" s="7"/>
      <c r="BA509" s="7"/>
      <c r="BB509" s="7">
        <v>1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>
        <v>0.1695</v>
      </c>
      <c r="BJ509" s="4">
        <v>88</v>
      </c>
      <c r="BK509" s="8">
        <v>3012.88</v>
      </c>
      <c r="BL509" s="2" t="s">
        <v>2252</v>
      </c>
      <c r="BM509" s="7">
        <v>0.0568</v>
      </c>
      <c r="BN509" s="7">
        <v>0.0542</v>
      </c>
      <c r="BO509" s="4">
        <v>5</v>
      </c>
      <c r="BP509" s="8">
        <v>163.3</v>
      </c>
      <c r="BQ509" s="4"/>
      <c r="BR509" s="8"/>
      <c r="BS509" s="7"/>
      <c r="BT509" s="7"/>
      <c r="BU509" s="2" t="s">
        <v>109</v>
      </c>
      <c r="BV509" s="2" t="s">
        <v>97</v>
      </c>
      <c r="BW509" s="2" t="s">
        <v>2249</v>
      </c>
      <c r="BX509" s="2" t="s">
        <v>2253</v>
      </c>
      <c r="BY509" s="2" t="s">
        <v>112</v>
      </c>
      <c r="BZ509" s="2" t="s">
        <v>100</v>
      </c>
    </row>
    <row r="510">
      <c r="A510" s="2" t="s">
        <v>2254</v>
      </c>
      <c r="B510" s="2" t="s">
        <v>87</v>
      </c>
      <c r="C510" s="2" t="s">
        <v>2238</v>
      </c>
      <c r="D510" s="2" t="s">
        <v>963</v>
      </c>
      <c r="E510" s="2" t="s">
        <v>1409</v>
      </c>
      <c r="F510" s="2" t="s">
        <v>2239</v>
      </c>
      <c r="G510" s="2" t="s">
        <v>2240</v>
      </c>
      <c r="H510" s="2" t="s">
        <v>2241</v>
      </c>
      <c r="I510" s="2" t="s">
        <v>2242</v>
      </c>
      <c r="J510" s="2" t="s">
        <v>522</v>
      </c>
      <c r="K510" s="2" t="s">
        <v>856</v>
      </c>
      <c r="L510" s="3">
        <v>32</v>
      </c>
      <c r="M510" s="3">
        <v>33.6</v>
      </c>
      <c r="N510" s="3">
        <v>79.99</v>
      </c>
      <c r="O510" s="2" t="s">
        <v>97</v>
      </c>
      <c r="P510" s="2" t="s">
        <v>123</v>
      </c>
      <c r="Q510" s="2" t="s">
        <v>99</v>
      </c>
      <c r="R510" s="2" t="s">
        <v>100</v>
      </c>
      <c r="S510" s="2" t="s">
        <v>2255</v>
      </c>
      <c r="T510" s="2" t="s">
        <v>438</v>
      </c>
      <c r="U510" s="2" t="s">
        <v>901</v>
      </c>
      <c r="V510" s="2" t="s">
        <v>461</v>
      </c>
      <c r="W510" s="2" t="s">
        <v>609</v>
      </c>
      <c r="X510" s="2" t="s">
        <v>142</v>
      </c>
      <c r="Y510" s="2" t="s">
        <v>2244</v>
      </c>
      <c r="Z510" s="4">
        <v>333</v>
      </c>
      <c r="AA510" s="4">
        <f>=ROUNDDOWN(13.32,0)</f>
      </c>
      <c r="AB510" s="5">
        <v>25</v>
      </c>
      <c r="AC510" s="2" t="s">
        <v>307</v>
      </c>
      <c r="AD510" s="4">
        <v>90</v>
      </c>
      <c r="AE510" s="4">
        <v>520</v>
      </c>
      <c r="AF510" s="6">
        <v>65</v>
      </c>
      <c r="AG510" s="6">
        <v>48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2</v>
      </c>
      <c r="AQ510" s="8">
        <v>65.32</v>
      </c>
      <c r="AR510" s="4"/>
      <c r="AS510" s="8"/>
      <c r="AT510" s="7"/>
      <c r="AU510" s="7"/>
      <c r="AV510" s="4">
        <v>2</v>
      </c>
      <c r="AW510" s="8">
        <v>65.32</v>
      </c>
      <c r="AX510" s="4"/>
      <c r="AY510" s="8"/>
      <c r="AZ510" s="7"/>
      <c r="BA510" s="7"/>
      <c r="BB510" s="7">
        <v>1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>
        <v>0.0678</v>
      </c>
      <c r="BJ510" s="4">
        <v>68</v>
      </c>
      <c r="BK510" s="8">
        <v>2352.47</v>
      </c>
      <c r="BL510" s="2" t="s">
        <v>2252</v>
      </c>
      <c r="BM510" s="7">
        <v>0.0294</v>
      </c>
      <c r="BN510" s="7">
        <v>0.0278</v>
      </c>
      <c r="BO510" s="4">
        <v>2</v>
      </c>
      <c r="BP510" s="8">
        <v>65.32</v>
      </c>
      <c r="BQ510" s="4"/>
      <c r="BR510" s="8"/>
      <c r="BS510" s="7"/>
      <c r="BT510" s="7"/>
      <c r="BU510" s="2" t="s">
        <v>109</v>
      </c>
      <c r="BV510" s="2" t="s">
        <v>97</v>
      </c>
      <c r="BW510" s="2" t="s">
        <v>2249</v>
      </c>
      <c r="BX510" s="2" t="s">
        <v>2256</v>
      </c>
      <c r="BY510" s="2" t="s">
        <v>112</v>
      </c>
      <c r="BZ510" s="2" t="s">
        <v>100</v>
      </c>
    </row>
    <row r="511">
      <c r="A511" s="2" t="s">
        <v>2257</v>
      </c>
      <c r="B511" s="2" t="s">
        <v>87</v>
      </c>
      <c r="C511" s="2" t="s">
        <v>2238</v>
      </c>
      <c r="D511" s="2" t="s">
        <v>963</v>
      </c>
      <c r="E511" s="2" t="s">
        <v>1409</v>
      </c>
      <c r="F511" s="2" t="s">
        <v>2239</v>
      </c>
      <c r="G511" s="2" t="s">
        <v>2240</v>
      </c>
      <c r="H511" s="2" t="s">
        <v>2241</v>
      </c>
      <c r="I511" s="2" t="s">
        <v>2242</v>
      </c>
      <c r="J511" s="2" t="s">
        <v>522</v>
      </c>
      <c r="K511" s="2" t="s">
        <v>223</v>
      </c>
      <c r="L511" s="3">
        <v>32</v>
      </c>
      <c r="M511" s="3">
        <v>33.6</v>
      </c>
      <c r="N511" s="3">
        <v>79.99</v>
      </c>
      <c r="O511" s="2" t="s">
        <v>97</v>
      </c>
      <c r="P511" s="2" t="s">
        <v>98</v>
      </c>
      <c r="Q511" s="2" t="s">
        <v>99</v>
      </c>
      <c r="R511" s="2" t="s">
        <v>100</v>
      </c>
      <c r="S511" s="2" t="s">
        <v>2258</v>
      </c>
      <c r="T511" s="2" t="s">
        <v>438</v>
      </c>
      <c r="U511" s="2" t="s">
        <v>901</v>
      </c>
      <c r="V511" s="2" t="s">
        <v>461</v>
      </c>
      <c r="W511" s="2" t="s">
        <v>609</v>
      </c>
      <c r="X511" s="2" t="s">
        <v>142</v>
      </c>
      <c r="Y511" s="2" t="s">
        <v>2259</v>
      </c>
      <c r="Z511" s="4">
        <v>394</v>
      </c>
      <c r="AA511" s="4">
        <f>=ROUNDDOWN(20.7368421052632,0)</f>
      </c>
      <c r="AB511" s="5">
        <v>19</v>
      </c>
      <c r="AC511" s="2" t="s">
        <v>173</v>
      </c>
      <c r="AD511" s="4">
        <v>170</v>
      </c>
      <c r="AE511" s="4">
        <v>170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/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 t="s">
        <v>100</v>
      </c>
      <c r="BJ511" s="4">
        <v>13</v>
      </c>
      <c r="BK511" s="8">
        <v>462.83</v>
      </c>
      <c r="BL511" s="2" t="s">
        <v>1904</v>
      </c>
      <c r="BM511" s="7"/>
      <c r="BN511" s="7"/>
      <c r="BO511" s="4"/>
      <c r="BP511" s="8"/>
      <c r="BQ511" s="4"/>
      <c r="BR511" s="8"/>
      <c r="BS511" s="7"/>
      <c r="BT511" s="7"/>
      <c r="BU511" s="2" t="s">
        <v>171</v>
      </c>
      <c r="BV511" s="2" t="s">
        <v>97</v>
      </c>
      <c r="BW511" s="2" t="s">
        <v>100</v>
      </c>
      <c r="BX511" s="2" t="s">
        <v>100</v>
      </c>
      <c r="BY511" s="2" t="s">
        <v>112</v>
      </c>
      <c r="BZ511" s="2" t="s">
        <v>100</v>
      </c>
    </row>
    <row r="512">
      <c r="A512" s="2" t="s">
        <v>2260</v>
      </c>
      <c r="B512" s="2" t="s">
        <v>87</v>
      </c>
      <c r="C512" s="2" t="s">
        <v>2238</v>
      </c>
      <c r="D512" s="2" t="s">
        <v>963</v>
      </c>
      <c r="E512" s="2" t="s">
        <v>1409</v>
      </c>
      <c r="F512" s="2" t="s">
        <v>2239</v>
      </c>
      <c r="G512" s="2" t="s">
        <v>2240</v>
      </c>
      <c r="H512" s="2" t="s">
        <v>2241</v>
      </c>
      <c r="I512" s="2" t="s">
        <v>2242</v>
      </c>
      <c r="J512" s="2" t="s">
        <v>529</v>
      </c>
      <c r="K512" s="2" t="s">
        <v>223</v>
      </c>
      <c r="L512" s="3">
        <v>37.8</v>
      </c>
      <c r="M512" s="3">
        <v>39.69</v>
      </c>
      <c r="N512" s="3">
        <v>89.99</v>
      </c>
      <c r="O512" s="2" t="s">
        <v>97</v>
      </c>
      <c r="P512" s="2" t="s">
        <v>98</v>
      </c>
      <c r="Q512" s="2" t="s">
        <v>99</v>
      </c>
      <c r="R512" s="2" t="s">
        <v>100</v>
      </c>
      <c r="S512" s="2" t="s">
        <v>2258</v>
      </c>
      <c r="T512" s="2" t="s">
        <v>438</v>
      </c>
      <c r="U512" s="2" t="s">
        <v>901</v>
      </c>
      <c r="V512" s="2" t="s">
        <v>461</v>
      </c>
      <c r="W512" s="2" t="s">
        <v>609</v>
      </c>
      <c r="X512" s="2" t="s">
        <v>142</v>
      </c>
      <c r="Y512" s="2" t="s">
        <v>2259</v>
      </c>
      <c r="Z512" s="4">
        <v>520</v>
      </c>
      <c r="AA512" s="4">
        <f>=ROUNDDOWN(16.7741935483871,0)</f>
      </c>
      <c r="AB512" s="5">
        <v>31</v>
      </c>
      <c r="AC512" s="2" t="s">
        <v>173</v>
      </c>
      <c r="AD512" s="4">
        <v>430</v>
      </c>
      <c r="AE512" s="4">
        <v>430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/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 t="s">
        <v>100</v>
      </c>
      <c r="BJ512" s="4">
        <v>41</v>
      </c>
      <c r="BK512" s="8">
        <v>1710.97</v>
      </c>
      <c r="BL512" s="2" t="s">
        <v>884</v>
      </c>
      <c r="BM512" s="7"/>
      <c r="BN512" s="7"/>
      <c r="BO512" s="4"/>
      <c r="BP512" s="8"/>
      <c r="BQ512" s="4"/>
      <c r="BR512" s="8"/>
      <c r="BS512" s="7"/>
      <c r="BT512" s="7"/>
      <c r="BU512" s="2" t="s">
        <v>171</v>
      </c>
      <c r="BV512" s="2" t="s">
        <v>97</v>
      </c>
      <c r="BW512" s="2" t="s">
        <v>100</v>
      </c>
      <c r="BX512" s="2" t="s">
        <v>100</v>
      </c>
      <c r="BY512" s="2" t="s">
        <v>112</v>
      </c>
      <c r="BZ512" s="2" t="s">
        <v>100</v>
      </c>
    </row>
    <row r="513">
      <c r="A513" s="2" t="s">
        <v>2261</v>
      </c>
      <c r="B513" s="2" t="s">
        <v>87</v>
      </c>
      <c r="C513" s="2" t="s">
        <v>2238</v>
      </c>
      <c r="D513" s="2" t="s">
        <v>963</v>
      </c>
      <c r="E513" s="2" t="s">
        <v>1409</v>
      </c>
      <c r="F513" s="2" t="s">
        <v>2239</v>
      </c>
      <c r="G513" s="2" t="s">
        <v>2240</v>
      </c>
      <c r="H513" s="2" t="s">
        <v>2241</v>
      </c>
      <c r="I513" s="2" t="s">
        <v>2242</v>
      </c>
      <c r="J513" s="2" t="s">
        <v>522</v>
      </c>
      <c r="K513" s="2" t="s">
        <v>458</v>
      </c>
      <c r="L513" s="3">
        <v>32</v>
      </c>
      <c r="M513" s="3">
        <v>33.6</v>
      </c>
      <c r="N513" s="3">
        <v>79.99</v>
      </c>
      <c r="O513" s="2" t="s">
        <v>97</v>
      </c>
      <c r="P513" s="2" t="s">
        <v>98</v>
      </c>
      <c r="Q513" s="2" t="s">
        <v>99</v>
      </c>
      <c r="R513" s="2" t="s">
        <v>100</v>
      </c>
      <c r="S513" s="2" t="s">
        <v>2262</v>
      </c>
      <c r="T513" s="2" t="s">
        <v>438</v>
      </c>
      <c r="U513" s="2" t="s">
        <v>901</v>
      </c>
      <c r="V513" s="2" t="s">
        <v>461</v>
      </c>
      <c r="W513" s="2" t="s">
        <v>609</v>
      </c>
      <c r="X513" s="2" t="s">
        <v>142</v>
      </c>
      <c r="Y513" s="2" t="s">
        <v>2259</v>
      </c>
      <c r="Z513" s="4">
        <v>405</v>
      </c>
      <c r="AA513" s="4">
        <f>=ROUNDDOWN(33.75,0)</f>
      </c>
      <c r="AB513" s="5">
        <v>12</v>
      </c>
      <c r="AC513" s="2" t="s">
        <v>100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/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 t="s">
        <v>100</v>
      </c>
      <c r="BJ513" s="4">
        <v>7</v>
      </c>
      <c r="BK513" s="8">
        <v>253.77</v>
      </c>
      <c r="BL513" s="2" t="s">
        <v>2263</v>
      </c>
      <c r="BM513" s="7"/>
      <c r="BN513" s="7"/>
      <c r="BO513" s="4"/>
      <c r="BP513" s="8"/>
      <c r="BQ513" s="4"/>
      <c r="BR513" s="8"/>
      <c r="BS513" s="7"/>
      <c r="BT513" s="7"/>
      <c r="BU513" s="2" t="s">
        <v>171</v>
      </c>
      <c r="BV513" s="2" t="s">
        <v>97</v>
      </c>
      <c r="BW513" s="2" t="s">
        <v>100</v>
      </c>
      <c r="BX513" s="2" t="s">
        <v>100</v>
      </c>
      <c r="BY513" s="2" t="s">
        <v>112</v>
      </c>
      <c r="BZ513" s="2" t="s">
        <v>100</v>
      </c>
    </row>
    <row r="514">
      <c r="A514" s="2" t="s">
        <v>2264</v>
      </c>
      <c r="B514" s="2" t="s">
        <v>87</v>
      </c>
      <c r="C514" s="2" t="s">
        <v>2238</v>
      </c>
      <c r="D514" s="2" t="s">
        <v>963</v>
      </c>
      <c r="E514" s="2" t="s">
        <v>1409</v>
      </c>
      <c r="F514" s="2" t="s">
        <v>2239</v>
      </c>
      <c r="G514" s="2" t="s">
        <v>2240</v>
      </c>
      <c r="H514" s="2" t="s">
        <v>2241</v>
      </c>
      <c r="I514" s="2" t="s">
        <v>2242</v>
      </c>
      <c r="J514" s="2" t="s">
        <v>529</v>
      </c>
      <c r="K514" s="2" t="s">
        <v>458</v>
      </c>
      <c r="L514" s="3">
        <v>37.8</v>
      </c>
      <c r="M514" s="3">
        <v>39.69</v>
      </c>
      <c r="N514" s="3">
        <v>89.99</v>
      </c>
      <c r="O514" s="2" t="s">
        <v>97</v>
      </c>
      <c r="P514" s="2" t="s">
        <v>98</v>
      </c>
      <c r="Q514" s="2" t="s">
        <v>99</v>
      </c>
      <c r="R514" s="2" t="s">
        <v>100</v>
      </c>
      <c r="S514" s="2" t="s">
        <v>2262</v>
      </c>
      <c r="T514" s="2" t="s">
        <v>438</v>
      </c>
      <c r="U514" s="2" t="s">
        <v>901</v>
      </c>
      <c r="V514" s="2" t="s">
        <v>461</v>
      </c>
      <c r="W514" s="2" t="s">
        <v>609</v>
      </c>
      <c r="X514" s="2" t="s">
        <v>142</v>
      </c>
      <c r="Y514" s="2" t="s">
        <v>2259</v>
      </c>
      <c r="Z514" s="4">
        <v>736</v>
      </c>
      <c r="AA514" s="4">
        <f>=ROUNDDOWN(38.7368421052632,0)</f>
      </c>
      <c r="AB514" s="5">
        <v>19</v>
      </c>
      <c r="AC514" s="2" t="s">
        <v>100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/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 t="s">
        <v>100</v>
      </c>
      <c r="BJ514" s="4">
        <v>21</v>
      </c>
      <c r="BK514" s="8">
        <v>883.51</v>
      </c>
      <c r="BL514" s="2" t="s">
        <v>786</v>
      </c>
      <c r="BM514" s="7"/>
      <c r="BN514" s="7"/>
      <c r="BO514" s="4"/>
      <c r="BP514" s="8"/>
      <c r="BQ514" s="4"/>
      <c r="BR514" s="8"/>
      <c r="BS514" s="7"/>
      <c r="BT514" s="7"/>
      <c r="BU514" s="2" t="s">
        <v>171</v>
      </c>
      <c r="BV514" s="2" t="s">
        <v>97</v>
      </c>
      <c r="BW514" s="2" t="s">
        <v>100</v>
      </c>
      <c r="BX514" s="2" t="s">
        <v>100</v>
      </c>
      <c r="BY514" s="2" t="s">
        <v>112</v>
      </c>
      <c r="BZ514" s="2" t="s">
        <v>100</v>
      </c>
    </row>
    <row r="515">
      <c r="A515" s="2" t="s">
        <v>2265</v>
      </c>
      <c r="B515" s="2" t="s">
        <v>87</v>
      </c>
      <c r="C515" s="2" t="s">
        <v>2238</v>
      </c>
      <c r="D515" s="2" t="s">
        <v>963</v>
      </c>
      <c r="E515" s="2" t="s">
        <v>1232</v>
      </c>
      <c r="F515" s="2" t="s">
        <v>2266</v>
      </c>
      <c r="G515" s="2" t="s">
        <v>2267</v>
      </c>
      <c r="H515" s="2" t="s">
        <v>2268</v>
      </c>
      <c r="I515" s="2" t="s">
        <v>2269</v>
      </c>
      <c r="J515" s="2" t="s">
        <v>522</v>
      </c>
      <c r="K515" s="2" t="s">
        <v>856</v>
      </c>
      <c r="L515" s="3">
        <v>21.6</v>
      </c>
      <c r="M515" s="3">
        <v>22.68</v>
      </c>
      <c r="N515" s="3">
        <v>59.99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2270</v>
      </c>
      <c r="T515" s="2" t="s">
        <v>100</v>
      </c>
      <c r="U515" s="2" t="s">
        <v>901</v>
      </c>
      <c r="V515" s="2" t="s">
        <v>461</v>
      </c>
      <c r="W515" s="2" t="s">
        <v>609</v>
      </c>
      <c r="X515" s="2" t="s">
        <v>1068</v>
      </c>
      <c r="Y515" s="2" t="s">
        <v>2271</v>
      </c>
      <c r="Z515" s="4">
        <v>571</v>
      </c>
      <c r="AA515" s="4">
        <f>=ROUNDDOWN(47.5833333333333,0)</f>
      </c>
      <c r="AB515" s="5">
        <v>12</v>
      </c>
      <c r="AC515" s="2" t="s">
        <v>100</v>
      </c>
      <c r="AD515" s="4"/>
      <c r="AE515" s="4"/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1</v>
      </c>
      <c r="AQ515" s="8">
        <v>21.77</v>
      </c>
      <c r="AR515" s="4"/>
      <c r="AS515" s="8"/>
      <c r="AT515" s="7"/>
      <c r="AU515" s="7"/>
      <c r="AV515" s="4">
        <v>1</v>
      </c>
      <c r="AW515" s="8">
        <v>21.77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>
        <v>1</v>
      </c>
      <c r="BC515" s="4">
        <v>1</v>
      </c>
      <c r="BD515" s="8">
        <v>21.77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>
        <v>1</v>
      </c>
      <c r="BJ515" s="4">
        <v>53</v>
      </c>
      <c r="BK515" s="8">
        <v>1105.59</v>
      </c>
      <c r="BL515" s="2" t="s">
        <v>2272</v>
      </c>
      <c r="BM515" s="7">
        <v>0.0189</v>
      </c>
      <c r="BN515" s="7">
        <v>0.0197</v>
      </c>
      <c r="BO515" s="4">
        <v>1</v>
      </c>
      <c r="BP515" s="8">
        <v>21.77</v>
      </c>
      <c r="BQ515" s="4"/>
      <c r="BR515" s="8"/>
      <c r="BS515" s="7"/>
      <c r="BT515" s="7"/>
      <c r="BU515" s="2" t="s">
        <v>109</v>
      </c>
      <c r="BV515" s="2" t="s">
        <v>97</v>
      </c>
      <c r="BW515" s="2" t="s">
        <v>2273</v>
      </c>
      <c r="BX515" s="2" t="s">
        <v>885</v>
      </c>
      <c r="BY515" s="2" t="s">
        <v>112</v>
      </c>
      <c r="BZ515" s="2" t="s">
        <v>100</v>
      </c>
    </row>
    <row r="516">
      <c r="A516" s="2" t="s">
        <v>2274</v>
      </c>
      <c r="B516" s="2" t="s">
        <v>87</v>
      </c>
      <c r="C516" s="2" t="s">
        <v>2238</v>
      </c>
      <c r="D516" s="2" t="s">
        <v>963</v>
      </c>
      <c r="E516" s="2" t="s">
        <v>1232</v>
      </c>
      <c r="F516" s="2" t="s">
        <v>2266</v>
      </c>
      <c r="G516" s="2" t="s">
        <v>2267</v>
      </c>
      <c r="H516" s="2" t="s">
        <v>2268</v>
      </c>
      <c r="I516" s="2" t="s">
        <v>2269</v>
      </c>
      <c r="J516" s="2" t="s">
        <v>529</v>
      </c>
      <c r="K516" s="2" t="s">
        <v>856</v>
      </c>
      <c r="L516" s="3">
        <v>26.6</v>
      </c>
      <c r="M516" s="3">
        <v>27.93</v>
      </c>
      <c r="N516" s="3">
        <v>69.99</v>
      </c>
      <c r="O516" s="2" t="s">
        <v>97</v>
      </c>
      <c r="P516" s="2" t="s">
        <v>98</v>
      </c>
      <c r="Q516" s="2" t="s">
        <v>99</v>
      </c>
      <c r="R516" s="2" t="s">
        <v>100</v>
      </c>
      <c r="S516" s="2" t="s">
        <v>2270</v>
      </c>
      <c r="T516" s="2" t="s">
        <v>100</v>
      </c>
      <c r="U516" s="2" t="s">
        <v>901</v>
      </c>
      <c r="V516" s="2" t="s">
        <v>461</v>
      </c>
      <c r="W516" s="2" t="s">
        <v>609</v>
      </c>
      <c r="X516" s="2" t="s">
        <v>1068</v>
      </c>
      <c r="Y516" s="2" t="s">
        <v>2271</v>
      </c>
      <c r="Z516" s="4">
        <v>189</v>
      </c>
      <c r="AA516" s="4">
        <f>=ROUNDDOWN(23.625,0)</f>
      </c>
      <c r="AB516" s="5">
        <v>8</v>
      </c>
      <c r="AC516" s="2" t="s">
        <v>145</v>
      </c>
      <c r="AD516" s="4">
        <v>90</v>
      </c>
      <c r="AE516" s="4">
        <v>90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/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 t="s">
        <v>100</v>
      </c>
      <c r="BJ516" s="4">
        <v>42</v>
      </c>
      <c r="BK516" s="8">
        <v>1050.53</v>
      </c>
      <c r="BL516" s="2" t="s">
        <v>2275</v>
      </c>
      <c r="BM516" s="7"/>
      <c r="BN516" s="7"/>
      <c r="BO516" s="4"/>
      <c r="BP516" s="8"/>
      <c r="BQ516" s="4"/>
      <c r="BR516" s="8"/>
      <c r="BS516" s="7"/>
      <c r="BT516" s="7"/>
      <c r="BU516" s="2" t="s">
        <v>109</v>
      </c>
      <c r="BV516" s="2" t="s">
        <v>97</v>
      </c>
      <c r="BW516" s="2" t="s">
        <v>2273</v>
      </c>
      <c r="BX516" s="2" t="s">
        <v>2276</v>
      </c>
      <c r="BY516" s="2" t="s">
        <v>112</v>
      </c>
      <c r="BZ516" s="2" t="s">
        <v>100</v>
      </c>
    </row>
    <row r="517">
      <c r="A517" s="2" t="s">
        <v>2277</v>
      </c>
      <c r="B517" s="2" t="s">
        <v>87</v>
      </c>
      <c r="C517" s="2" t="s">
        <v>2238</v>
      </c>
      <c r="D517" s="2" t="s">
        <v>963</v>
      </c>
      <c r="E517" s="2" t="s">
        <v>1232</v>
      </c>
      <c r="F517" s="2" t="s">
        <v>2266</v>
      </c>
      <c r="G517" s="2" t="s">
        <v>2267</v>
      </c>
      <c r="H517" s="2" t="s">
        <v>2268</v>
      </c>
      <c r="I517" s="2" t="s">
        <v>2269</v>
      </c>
      <c r="J517" s="2" t="s">
        <v>522</v>
      </c>
      <c r="K517" s="2" t="s">
        <v>96</v>
      </c>
      <c r="L517" s="3">
        <v>21.6</v>
      </c>
      <c r="M517" s="3">
        <v>22.68</v>
      </c>
      <c r="N517" s="3">
        <v>59.99</v>
      </c>
      <c r="O517" s="2" t="s">
        <v>97</v>
      </c>
      <c r="P517" s="2" t="s">
        <v>98</v>
      </c>
      <c r="Q517" s="2" t="s">
        <v>99</v>
      </c>
      <c r="R517" s="2" t="s">
        <v>100</v>
      </c>
      <c r="S517" s="2" t="s">
        <v>2278</v>
      </c>
      <c r="T517" s="2" t="s">
        <v>100</v>
      </c>
      <c r="U517" s="2" t="s">
        <v>901</v>
      </c>
      <c r="V517" s="2" t="s">
        <v>461</v>
      </c>
      <c r="W517" s="2" t="s">
        <v>609</v>
      </c>
      <c r="X517" s="2" t="s">
        <v>1068</v>
      </c>
      <c r="Y517" s="2" t="s">
        <v>2271</v>
      </c>
      <c r="Z517" s="4">
        <v>252</v>
      </c>
      <c r="AA517" s="4">
        <f>=ROUNDDOWN(36,0)</f>
      </c>
      <c r="AB517" s="5">
        <v>7</v>
      </c>
      <c r="AC517" s="2" t="s">
        <v>107</v>
      </c>
      <c r="AD517" s="4">
        <v>170</v>
      </c>
      <c r="AE517" s="4">
        <v>170</v>
      </c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/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 t="s">
        <v>100</v>
      </c>
      <c r="BJ517" s="4">
        <v>42</v>
      </c>
      <c r="BK517" s="8">
        <v>936.39</v>
      </c>
      <c r="BL517" s="2" t="s">
        <v>2279</v>
      </c>
      <c r="BM517" s="7"/>
      <c r="BN517" s="7"/>
      <c r="BO517" s="4"/>
      <c r="BP517" s="8"/>
      <c r="BQ517" s="4"/>
      <c r="BR517" s="8"/>
      <c r="BS517" s="7"/>
      <c r="BT517" s="7"/>
      <c r="BU517" s="2" t="s">
        <v>109</v>
      </c>
      <c r="BV517" s="2" t="s">
        <v>97</v>
      </c>
      <c r="BW517" s="2" t="s">
        <v>2273</v>
      </c>
      <c r="BX517" s="2" t="s">
        <v>2280</v>
      </c>
      <c r="BY517" s="2" t="s">
        <v>112</v>
      </c>
      <c r="BZ517" s="2" t="s">
        <v>100</v>
      </c>
    </row>
    <row r="518">
      <c r="A518" s="2" t="s">
        <v>2281</v>
      </c>
      <c r="B518" s="2" t="s">
        <v>87</v>
      </c>
      <c r="C518" s="2" t="s">
        <v>2238</v>
      </c>
      <c r="D518" s="2" t="s">
        <v>963</v>
      </c>
      <c r="E518" s="2" t="s">
        <v>1232</v>
      </c>
      <c r="F518" s="2" t="s">
        <v>2266</v>
      </c>
      <c r="G518" s="2" t="s">
        <v>2267</v>
      </c>
      <c r="H518" s="2" t="s">
        <v>2268</v>
      </c>
      <c r="I518" s="2" t="s">
        <v>2269</v>
      </c>
      <c r="J518" s="2" t="s">
        <v>529</v>
      </c>
      <c r="K518" s="2" t="s">
        <v>96</v>
      </c>
      <c r="L518" s="3">
        <v>26.6</v>
      </c>
      <c r="M518" s="3">
        <v>27.93</v>
      </c>
      <c r="N518" s="3">
        <v>69.99</v>
      </c>
      <c r="O518" s="2" t="s">
        <v>97</v>
      </c>
      <c r="P518" s="2" t="s">
        <v>98</v>
      </c>
      <c r="Q518" s="2" t="s">
        <v>99</v>
      </c>
      <c r="R518" s="2" t="s">
        <v>100</v>
      </c>
      <c r="S518" s="2" t="s">
        <v>2278</v>
      </c>
      <c r="T518" s="2" t="s">
        <v>100</v>
      </c>
      <c r="U518" s="2" t="s">
        <v>901</v>
      </c>
      <c r="V518" s="2" t="s">
        <v>461</v>
      </c>
      <c r="W518" s="2" t="s">
        <v>609</v>
      </c>
      <c r="X518" s="2" t="s">
        <v>1068</v>
      </c>
      <c r="Y518" s="2" t="s">
        <v>2271</v>
      </c>
      <c r="Z518" s="4">
        <v>233</v>
      </c>
      <c r="AA518" s="4">
        <f>=ROUNDDOWN(25.8888888888889,0)</f>
      </c>
      <c r="AB518" s="5">
        <v>9</v>
      </c>
      <c r="AC518" s="2" t="s">
        <v>107</v>
      </c>
      <c r="AD518" s="4">
        <v>160</v>
      </c>
      <c r="AE518" s="4">
        <v>160</v>
      </c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/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 t="s">
        <v>100</v>
      </c>
      <c r="BJ518" s="4">
        <v>40</v>
      </c>
      <c r="BK518" s="8">
        <v>1095.81</v>
      </c>
      <c r="BL518" s="2" t="s">
        <v>2282</v>
      </c>
      <c r="BM518" s="7"/>
      <c r="BN518" s="7"/>
      <c r="BO518" s="4"/>
      <c r="BP518" s="8"/>
      <c r="BQ518" s="4"/>
      <c r="BR518" s="8"/>
      <c r="BS518" s="7"/>
      <c r="BT518" s="7"/>
      <c r="BU518" s="2" t="s">
        <v>109</v>
      </c>
      <c r="BV518" s="2" t="s">
        <v>97</v>
      </c>
      <c r="BW518" s="2" t="s">
        <v>2273</v>
      </c>
      <c r="BX518" s="2" t="s">
        <v>2283</v>
      </c>
      <c r="BY518" s="2" t="s">
        <v>112</v>
      </c>
      <c r="BZ518" s="2" t="s">
        <v>100</v>
      </c>
    </row>
    <row r="519">
      <c r="A519" s="2" t="s">
        <v>2284</v>
      </c>
      <c r="B519" s="2" t="s">
        <v>87</v>
      </c>
      <c r="C519" s="2" t="s">
        <v>2238</v>
      </c>
      <c r="D519" s="2" t="s">
        <v>963</v>
      </c>
      <c r="E519" s="2" t="s">
        <v>1232</v>
      </c>
      <c r="F519" s="2" t="s">
        <v>2266</v>
      </c>
      <c r="G519" s="2" t="s">
        <v>2267</v>
      </c>
      <c r="H519" s="2" t="s">
        <v>2268</v>
      </c>
      <c r="I519" s="2" t="s">
        <v>2269</v>
      </c>
      <c r="J519" s="2" t="s">
        <v>522</v>
      </c>
      <c r="K519" s="2" t="s">
        <v>458</v>
      </c>
      <c r="L519" s="3">
        <v>21.6</v>
      </c>
      <c r="M519" s="3">
        <v>22.68</v>
      </c>
      <c r="N519" s="3">
        <v>59.99</v>
      </c>
      <c r="O519" s="2" t="s">
        <v>97</v>
      </c>
      <c r="P519" s="2" t="s">
        <v>98</v>
      </c>
      <c r="Q519" s="2" t="s">
        <v>99</v>
      </c>
      <c r="R519" s="2" t="s">
        <v>100</v>
      </c>
      <c r="S519" s="2" t="s">
        <v>2285</v>
      </c>
      <c r="T519" s="2" t="s">
        <v>100</v>
      </c>
      <c r="U519" s="2" t="s">
        <v>901</v>
      </c>
      <c r="V519" s="2" t="s">
        <v>461</v>
      </c>
      <c r="W519" s="2" t="s">
        <v>609</v>
      </c>
      <c r="X519" s="2" t="s">
        <v>1068</v>
      </c>
      <c r="Y519" s="2" t="s">
        <v>2271</v>
      </c>
      <c r="Z519" s="4">
        <v>598</v>
      </c>
      <c r="AA519" s="4">
        <f>=ROUNDDOWN(39.8666666666667,0)</f>
      </c>
      <c r="AB519" s="5">
        <v>15</v>
      </c>
      <c r="AC519" s="2" t="s">
        <v>2286</v>
      </c>
      <c r="AD519" s="4">
        <v>50</v>
      </c>
      <c r="AE519" s="4">
        <v>150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/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 t="s">
        <v>100</v>
      </c>
      <c r="BJ519" s="4">
        <v>81</v>
      </c>
      <c r="BK519" s="8">
        <v>1832.21</v>
      </c>
      <c r="BL519" s="2" t="s">
        <v>2287</v>
      </c>
      <c r="BM519" s="7"/>
      <c r="BN519" s="7"/>
      <c r="BO519" s="4"/>
      <c r="BP519" s="8"/>
      <c r="BQ519" s="4"/>
      <c r="BR519" s="8"/>
      <c r="BS519" s="7"/>
      <c r="BT519" s="7"/>
      <c r="BU519" s="2" t="s">
        <v>109</v>
      </c>
      <c r="BV519" s="2" t="s">
        <v>97</v>
      </c>
      <c r="BW519" s="2" t="s">
        <v>2273</v>
      </c>
      <c r="BX519" s="2" t="s">
        <v>374</v>
      </c>
      <c r="BY519" s="2" t="s">
        <v>112</v>
      </c>
      <c r="BZ519" s="2" t="s">
        <v>100</v>
      </c>
    </row>
    <row r="520">
      <c r="A520" s="2" t="s">
        <v>2288</v>
      </c>
      <c r="B520" s="2" t="s">
        <v>87</v>
      </c>
      <c r="C520" s="2" t="s">
        <v>2238</v>
      </c>
      <c r="D520" s="2" t="s">
        <v>963</v>
      </c>
      <c r="E520" s="2" t="s">
        <v>1232</v>
      </c>
      <c r="F520" s="2" t="s">
        <v>2266</v>
      </c>
      <c r="G520" s="2" t="s">
        <v>2267</v>
      </c>
      <c r="H520" s="2" t="s">
        <v>2268</v>
      </c>
      <c r="I520" s="2" t="s">
        <v>2269</v>
      </c>
      <c r="J520" s="2" t="s">
        <v>529</v>
      </c>
      <c r="K520" s="2" t="s">
        <v>458</v>
      </c>
      <c r="L520" s="3">
        <v>26.6</v>
      </c>
      <c r="M520" s="3">
        <v>27.93</v>
      </c>
      <c r="N520" s="3">
        <v>69.99</v>
      </c>
      <c r="O520" s="2" t="s">
        <v>97</v>
      </c>
      <c r="P520" s="2" t="s">
        <v>98</v>
      </c>
      <c r="Q520" s="2" t="s">
        <v>99</v>
      </c>
      <c r="R520" s="2" t="s">
        <v>100</v>
      </c>
      <c r="S520" s="2" t="s">
        <v>2285</v>
      </c>
      <c r="T520" s="2" t="s">
        <v>100</v>
      </c>
      <c r="U520" s="2" t="s">
        <v>901</v>
      </c>
      <c r="V520" s="2" t="s">
        <v>461</v>
      </c>
      <c r="W520" s="2" t="s">
        <v>609</v>
      </c>
      <c r="X520" s="2" t="s">
        <v>1068</v>
      </c>
      <c r="Y520" s="2" t="s">
        <v>2271</v>
      </c>
      <c r="Z520" s="4">
        <v>347</v>
      </c>
      <c r="AA520" s="4">
        <f>=ROUNDDOWN(21.6875,0)</f>
      </c>
      <c r="AB520" s="5">
        <v>16</v>
      </c>
      <c r="AC520" s="2" t="s">
        <v>2286</v>
      </c>
      <c r="AD520" s="4">
        <v>160</v>
      </c>
      <c r="AE520" s="4">
        <v>350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/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 t="s">
        <v>100</v>
      </c>
      <c r="BJ520" s="4">
        <v>63</v>
      </c>
      <c r="BK520" s="8">
        <v>1636.33</v>
      </c>
      <c r="BL520" s="2" t="s">
        <v>2289</v>
      </c>
      <c r="BM520" s="7"/>
      <c r="BN520" s="7"/>
      <c r="BO520" s="4"/>
      <c r="BP520" s="8"/>
      <c r="BQ520" s="4"/>
      <c r="BR520" s="8"/>
      <c r="BS520" s="7"/>
      <c r="BT520" s="7"/>
      <c r="BU520" s="2" t="s">
        <v>109</v>
      </c>
      <c r="BV520" s="2" t="s">
        <v>97</v>
      </c>
      <c r="BW520" s="2" t="s">
        <v>2273</v>
      </c>
      <c r="BX520" s="2" t="s">
        <v>505</v>
      </c>
      <c r="BY520" s="2" t="s">
        <v>112</v>
      </c>
      <c r="BZ520" s="2" t="s">
        <v>100</v>
      </c>
    </row>
    <row r="521">
      <c r="A521" s="2" t="s">
        <v>2290</v>
      </c>
      <c r="B521" s="2" t="s">
        <v>87</v>
      </c>
      <c r="C521" s="2" t="s">
        <v>2238</v>
      </c>
      <c r="D521" s="2" t="s">
        <v>89</v>
      </c>
      <c r="E521" s="2" t="s">
        <v>90</v>
      </c>
      <c r="F521" s="2" t="s">
        <v>2291</v>
      </c>
      <c r="G521" s="2" t="s">
        <v>2292</v>
      </c>
      <c r="H521" s="2" t="s">
        <v>2293</v>
      </c>
      <c r="I521" s="2" t="s">
        <v>2294</v>
      </c>
      <c r="J521" s="2" t="s">
        <v>95</v>
      </c>
      <c r="K521" s="2" t="s">
        <v>1173</v>
      </c>
      <c r="L521" s="3">
        <v>43.85</v>
      </c>
      <c r="M521" s="3">
        <v>46.04</v>
      </c>
      <c r="N521" s="3">
        <v>99.99</v>
      </c>
      <c r="O521" s="2" t="s">
        <v>97</v>
      </c>
      <c r="P521" s="2" t="s">
        <v>139</v>
      </c>
      <c r="Q521" s="2" t="s">
        <v>99</v>
      </c>
      <c r="R521" s="2" t="s">
        <v>100</v>
      </c>
      <c r="S521" s="2" t="s">
        <v>2295</v>
      </c>
      <c r="T521" s="2" t="s">
        <v>438</v>
      </c>
      <c r="U521" s="2" t="s">
        <v>191</v>
      </c>
      <c r="V521" s="2" t="s">
        <v>141</v>
      </c>
      <c r="W521" s="2" t="s">
        <v>142</v>
      </c>
      <c r="X521" s="2" t="s">
        <v>143</v>
      </c>
      <c r="Y521" s="2" t="s">
        <v>116</v>
      </c>
      <c r="Z521" s="4">
        <v>1848</v>
      </c>
      <c r="AA521" s="4">
        <f>=ROUNDDOWN(24,0)</f>
      </c>
      <c r="AB521" s="5">
        <v>77</v>
      </c>
      <c r="AC521" s="2" t="s">
        <v>173</v>
      </c>
      <c r="AD521" s="4">
        <v>250</v>
      </c>
      <c r="AE521" s="4">
        <v>1000</v>
      </c>
      <c r="AF521" s="6">
        <v>69</v>
      </c>
      <c r="AG521" s="6">
        <v>77</v>
      </c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8</v>
      </c>
      <c r="AQ521" s="8">
        <v>348.4</v>
      </c>
      <c r="AR521" s="4"/>
      <c r="AS521" s="8"/>
      <c r="AT521" s="7"/>
      <c r="AU521" s="7"/>
      <c r="AV521" s="4">
        <v>16</v>
      </c>
      <c r="AW521" s="8">
        <v>740.32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0.4706</v>
      </c>
      <c r="BC521" s="4">
        <v>16</v>
      </c>
      <c r="BD521" s="8">
        <v>740.32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>
        <v>1</v>
      </c>
      <c r="BJ521" s="4">
        <v>265</v>
      </c>
      <c r="BK521" s="8">
        <v>13134.31</v>
      </c>
      <c r="BL521" s="2" t="s">
        <v>2296</v>
      </c>
      <c r="BM521" s="7">
        <v>0.0302</v>
      </c>
      <c r="BN521" s="7">
        <v>0.0265</v>
      </c>
      <c r="BO521" s="4">
        <v>8</v>
      </c>
      <c r="BP521" s="8">
        <v>348.4</v>
      </c>
      <c r="BQ521" s="4"/>
      <c r="BR521" s="8"/>
      <c r="BS521" s="7"/>
      <c r="BT521" s="7"/>
      <c r="BU521" s="2" t="s">
        <v>109</v>
      </c>
      <c r="BV521" s="2" t="s">
        <v>97</v>
      </c>
      <c r="BW521" s="2" t="s">
        <v>2115</v>
      </c>
      <c r="BX521" s="2" t="s">
        <v>2297</v>
      </c>
      <c r="BY521" s="2" t="s">
        <v>112</v>
      </c>
      <c r="BZ521" s="2" t="s">
        <v>100</v>
      </c>
    </row>
    <row r="522">
      <c r="A522" s="2" t="s">
        <v>2298</v>
      </c>
      <c r="B522" s="2" t="s">
        <v>87</v>
      </c>
      <c r="C522" s="2" t="s">
        <v>2238</v>
      </c>
      <c r="D522" s="2" t="s">
        <v>89</v>
      </c>
      <c r="E522" s="2" t="s">
        <v>90</v>
      </c>
      <c r="F522" s="2" t="s">
        <v>2291</v>
      </c>
      <c r="G522" s="2" t="s">
        <v>2292</v>
      </c>
      <c r="H522" s="2" t="s">
        <v>2293</v>
      </c>
      <c r="I522" s="2" t="s">
        <v>2294</v>
      </c>
      <c r="J522" s="2" t="s">
        <v>118</v>
      </c>
      <c r="K522" s="2" t="s">
        <v>1173</v>
      </c>
      <c r="L522" s="3">
        <v>48.99</v>
      </c>
      <c r="M522" s="3">
        <v>51.44</v>
      </c>
      <c r="N522" s="3">
        <v>109.99</v>
      </c>
      <c r="O522" s="2" t="s">
        <v>97</v>
      </c>
      <c r="P522" s="2" t="s">
        <v>139</v>
      </c>
      <c r="Q522" s="2" t="s">
        <v>99</v>
      </c>
      <c r="R522" s="2" t="s">
        <v>100</v>
      </c>
      <c r="S522" s="2" t="s">
        <v>2299</v>
      </c>
      <c r="T522" s="2" t="s">
        <v>438</v>
      </c>
      <c r="U522" s="2" t="s">
        <v>191</v>
      </c>
      <c r="V522" s="2" t="s">
        <v>141</v>
      </c>
      <c r="W522" s="2" t="s">
        <v>142</v>
      </c>
      <c r="X522" s="2" t="s">
        <v>143</v>
      </c>
      <c r="Y522" s="2" t="s">
        <v>116</v>
      </c>
      <c r="Z522" s="4">
        <v>682</v>
      </c>
      <c r="AA522" s="4">
        <f>=ROUNDDOWN(32.4761904761905,0)</f>
      </c>
      <c r="AB522" s="5">
        <v>21</v>
      </c>
      <c r="AC522" s="2" t="s">
        <v>173</v>
      </c>
      <c r="AD522" s="4">
        <v>50</v>
      </c>
      <c r="AE522" s="4">
        <v>350</v>
      </c>
      <c r="AF522" s="6">
        <v>69</v>
      </c>
      <c r="AG522" s="6">
        <v>77</v>
      </c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8</v>
      </c>
      <c r="AQ522" s="8">
        <v>391.92</v>
      </c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>
        <v>0.5294</v>
      </c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 t="s">
        <v>100</v>
      </c>
      <c r="BJ522" s="4">
        <v>77</v>
      </c>
      <c r="BK522" s="8">
        <v>4209.89</v>
      </c>
      <c r="BL522" s="2" t="s">
        <v>2300</v>
      </c>
      <c r="BM522" s="7">
        <v>0.1039</v>
      </c>
      <c r="BN522" s="7">
        <v>0.0931</v>
      </c>
      <c r="BO522" s="4">
        <v>8</v>
      </c>
      <c r="BP522" s="8">
        <v>391.92</v>
      </c>
      <c r="BQ522" s="4"/>
      <c r="BR522" s="8"/>
      <c r="BS522" s="7"/>
      <c r="BT522" s="7"/>
      <c r="BU522" s="2" t="s">
        <v>109</v>
      </c>
      <c r="BV522" s="2" t="s">
        <v>97</v>
      </c>
      <c r="BW522" s="2" t="s">
        <v>2115</v>
      </c>
      <c r="BX522" s="2" t="s">
        <v>2301</v>
      </c>
      <c r="BY522" s="2" t="s">
        <v>112</v>
      </c>
      <c r="BZ522" s="2" t="s">
        <v>100</v>
      </c>
    </row>
    <row r="523">
      <c r="A523" s="2" t="s">
        <v>2302</v>
      </c>
      <c r="B523" s="2" t="s">
        <v>87</v>
      </c>
      <c r="C523" s="2" t="s">
        <v>2238</v>
      </c>
      <c r="D523" s="2" t="s">
        <v>89</v>
      </c>
      <c r="E523" s="2" t="s">
        <v>90</v>
      </c>
      <c r="F523" s="2" t="s">
        <v>2291</v>
      </c>
      <c r="G523" s="2" t="s">
        <v>2292</v>
      </c>
      <c r="H523" s="2" t="s">
        <v>2293</v>
      </c>
      <c r="I523" s="2" t="s">
        <v>2303</v>
      </c>
      <c r="J523" s="2" t="s">
        <v>95</v>
      </c>
      <c r="K523" s="2" t="s">
        <v>179</v>
      </c>
      <c r="L523" s="3">
        <v>43.85</v>
      </c>
      <c r="M523" s="3">
        <v>46.04</v>
      </c>
      <c r="N523" s="3">
        <v>99.99</v>
      </c>
      <c r="O523" s="2" t="s">
        <v>97</v>
      </c>
      <c r="P523" s="2" t="s">
        <v>98</v>
      </c>
      <c r="Q523" s="2" t="s">
        <v>99</v>
      </c>
      <c r="R523" s="2" t="s">
        <v>100</v>
      </c>
      <c r="S523" s="2" t="s">
        <v>2304</v>
      </c>
      <c r="T523" s="2" t="s">
        <v>438</v>
      </c>
      <c r="U523" s="2" t="s">
        <v>191</v>
      </c>
      <c r="V523" s="2" t="s">
        <v>141</v>
      </c>
      <c r="W523" s="2" t="s">
        <v>142</v>
      </c>
      <c r="X523" s="2" t="s">
        <v>168</v>
      </c>
      <c r="Y523" s="2" t="s">
        <v>2305</v>
      </c>
      <c r="Z523" s="4">
        <v>400</v>
      </c>
      <c r="AA523" s="4">
        <f>=ROUNDDOWN(26.6666666666667,0)</f>
      </c>
      <c r="AB523" s="5">
        <v>15</v>
      </c>
      <c r="AC523" s="2" t="s">
        <v>958</v>
      </c>
      <c r="AD523" s="4">
        <v>30</v>
      </c>
      <c r="AE523" s="4">
        <v>30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/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 t="s">
        <v>100</v>
      </c>
      <c r="BJ523" s="4">
        <v>61</v>
      </c>
      <c r="BK523" s="8">
        <v>3090.57</v>
      </c>
      <c r="BL523" s="2" t="s">
        <v>2306</v>
      </c>
      <c r="BM523" s="7"/>
      <c r="BN523" s="7"/>
      <c r="BO523" s="4"/>
      <c r="BP523" s="8"/>
      <c r="BQ523" s="4"/>
      <c r="BR523" s="8"/>
      <c r="BS523" s="7"/>
      <c r="BT523" s="7"/>
      <c r="BU523" s="2" t="s">
        <v>171</v>
      </c>
      <c r="BV523" s="2" t="s">
        <v>97</v>
      </c>
      <c r="BW523" s="2" t="s">
        <v>100</v>
      </c>
      <c r="BX523" s="2" t="s">
        <v>100</v>
      </c>
      <c r="BY523" s="2" t="s">
        <v>112</v>
      </c>
      <c r="BZ523" s="2" t="s">
        <v>100</v>
      </c>
    </row>
    <row r="524">
      <c r="A524" s="2" t="s">
        <v>2307</v>
      </c>
      <c r="B524" s="2" t="s">
        <v>87</v>
      </c>
      <c r="C524" s="2" t="s">
        <v>2238</v>
      </c>
      <c r="D524" s="2" t="s">
        <v>89</v>
      </c>
      <c r="E524" s="2" t="s">
        <v>90</v>
      </c>
      <c r="F524" s="2" t="s">
        <v>2291</v>
      </c>
      <c r="G524" s="2" t="s">
        <v>2292</v>
      </c>
      <c r="H524" s="2" t="s">
        <v>2293</v>
      </c>
      <c r="I524" s="2" t="s">
        <v>2303</v>
      </c>
      <c r="J524" s="2" t="s">
        <v>114</v>
      </c>
      <c r="K524" s="2" t="s">
        <v>179</v>
      </c>
      <c r="L524" s="3">
        <v>48.99</v>
      </c>
      <c r="M524" s="3">
        <v>51.44</v>
      </c>
      <c r="N524" s="3">
        <v>109.99</v>
      </c>
      <c r="O524" s="2" t="s">
        <v>97</v>
      </c>
      <c r="P524" s="2" t="s">
        <v>98</v>
      </c>
      <c r="Q524" s="2" t="s">
        <v>99</v>
      </c>
      <c r="R524" s="2" t="s">
        <v>100</v>
      </c>
      <c r="S524" s="2" t="s">
        <v>2304</v>
      </c>
      <c r="T524" s="2" t="s">
        <v>438</v>
      </c>
      <c r="U524" s="2" t="s">
        <v>191</v>
      </c>
      <c r="V524" s="2" t="s">
        <v>141</v>
      </c>
      <c r="W524" s="2" t="s">
        <v>142</v>
      </c>
      <c r="X524" s="2" t="s">
        <v>168</v>
      </c>
      <c r="Y524" s="2" t="s">
        <v>2305</v>
      </c>
      <c r="Z524" s="4">
        <v>260</v>
      </c>
      <c r="AA524" s="4">
        <f>=ROUNDDOWN(16.25,0)</f>
      </c>
      <c r="AB524" s="5">
        <v>16</v>
      </c>
      <c r="AC524" s="2" t="s">
        <v>958</v>
      </c>
      <c r="AD524" s="4">
        <v>200</v>
      </c>
      <c r="AE524" s="4">
        <v>200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/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 t="s">
        <v>100</v>
      </c>
      <c r="BJ524" s="4">
        <v>56</v>
      </c>
      <c r="BK524" s="8">
        <v>3136.02</v>
      </c>
      <c r="BL524" s="2" t="s">
        <v>2308</v>
      </c>
      <c r="BM524" s="7"/>
      <c r="BN524" s="7"/>
      <c r="BO524" s="4"/>
      <c r="BP524" s="8"/>
      <c r="BQ524" s="4"/>
      <c r="BR524" s="8"/>
      <c r="BS524" s="7"/>
      <c r="BT524" s="7"/>
      <c r="BU524" s="2" t="s">
        <v>171</v>
      </c>
      <c r="BV524" s="2" t="s">
        <v>97</v>
      </c>
      <c r="BW524" s="2" t="s">
        <v>100</v>
      </c>
      <c r="BX524" s="2" t="s">
        <v>100</v>
      </c>
      <c r="BY524" s="2" t="s">
        <v>112</v>
      </c>
      <c r="BZ524" s="2" t="s">
        <v>100</v>
      </c>
    </row>
    <row r="525">
      <c r="A525" s="2" t="s">
        <v>2309</v>
      </c>
      <c r="B525" s="2" t="s">
        <v>87</v>
      </c>
      <c r="C525" s="2" t="s">
        <v>2238</v>
      </c>
      <c r="D525" s="2" t="s">
        <v>89</v>
      </c>
      <c r="E525" s="2" t="s">
        <v>90</v>
      </c>
      <c r="F525" s="2" t="s">
        <v>2291</v>
      </c>
      <c r="G525" s="2" t="s">
        <v>2292</v>
      </c>
      <c r="H525" s="2" t="s">
        <v>2293</v>
      </c>
      <c r="I525" s="2" t="s">
        <v>2303</v>
      </c>
      <c r="J525" s="2" t="s">
        <v>118</v>
      </c>
      <c r="K525" s="2" t="s">
        <v>179</v>
      </c>
      <c r="L525" s="3">
        <v>48.99</v>
      </c>
      <c r="M525" s="3">
        <v>51.44</v>
      </c>
      <c r="N525" s="3">
        <v>109.99</v>
      </c>
      <c r="O525" s="2" t="s">
        <v>97</v>
      </c>
      <c r="P525" s="2" t="s">
        <v>98</v>
      </c>
      <c r="Q525" s="2" t="s">
        <v>99</v>
      </c>
      <c r="R525" s="2" t="s">
        <v>100</v>
      </c>
      <c r="S525" s="2" t="s">
        <v>2304</v>
      </c>
      <c r="T525" s="2" t="s">
        <v>438</v>
      </c>
      <c r="U525" s="2" t="s">
        <v>191</v>
      </c>
      <c r="V525" s="2" t="s">
        <v>141</v>
      </c>
      <c r="W525" s="2" t="s">
        <v>142</v>
      </c>
      <c r="X525" s="2" t="s">
        <v>168</v>
      </c>
      <c r="Y525" s="2" t="s">
        <v>2305</v>
      </c>
      <c r="Z525" s="4">
        <v>111</v>
      </c>
      <c r="AA525" s="4">
        <f>=ROUNDDOWN(27.75,0)</f>
      </c>
      <c r="AB525" s="5">
        <v>4</v>
      </c>
      <c r="AC525" s="2" t="s">
        <v>100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/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 t="s">
        <v>100</v>
      </c>
      <c r="BJ525" s="4">
        <v>17</v>
      </c>
      <c r="BK525" s="8">
        <v>931.7</v>
      </c>
      <c r="BL525" s="2" t="s">
        <v>2310</v>
      </c>
      <c r="BM525" s="7"/>
      <c r="BN525" s="7"/>
      <c r="BO525" s="4"/>
      <c r="BP525" s="8"/>
      <c r="BQ525" s="4"/>
      <c r="BR525" s="8"/>
      <c r="BS525" s="7"/>
      <c r="BT525" s="7"/>
      <c r="BU525" s="2" t="s">
        <v>171</v>
      </c>
      <c r="BV525" s="2" t="s">
        <v>97</v>
      </c>
      <c r="BW525" s="2" t="s">
        <v>100</v>
      </c>
      <c r="BX525" s="2" t="s">
        <v>100</v>
      </c>
      <c r="BY525" s="2" t="s">
        <v>112</v>
      </c>
      <c r="BZ525" s="2" t="s">
        <v>100</v>
      </c>
    </row>
    <row r="526">
      <c r="A526" s="2" t="s">
        <v>2311</v>
      </c>
      <c r="B526" s="2" t="s">
        <v>87</v>
      </c>
      <c r="C526" s="2" t="s">
        <v>2238</v>
      </c>
      <c r="D526" s="2" t="s">
        <v>89</v>
      </c>
      <c r="E526" s="2" t="s">
        <v>90</v>
      </c>
      <c r="F526" s="2" t="s">
        <v>2291</v>
      </c>
      <c r="G526" s="2" t="s">
        <v>2292</v>
      </c>
      <c r="H526" s="2" t="s">
        <v>2293</v>
      </c>
      <c r="I526" s="2" t="s">
        <v>2294</v>
      </c>
      <c r="J526" s="2" t="s">
        <v>95</v>
      </c>
      <c r="K526" s="2" t="s">
        <v>188</v>
      </c>
      <c r="L526" s="3">
        <v>43.85</v>
      </c>
      <c r="M526" s="3">
        <v>46.04</v>
      </c>
      <c r="N526" s="3">
        <v>99.99</v>
      </c>
      <c r="O526" s="2" t="s">
        <v>97</v>
      </c>
      <c r="P526" s="2" t="s">
        <v>156</v>
      </c>
      <c r="Q526" s="2" t="s">
        <v>99</v>
      </c>
      <c r="R526" s="2" t="s">
        <v>100</v>
      </c>
      <c r="S526" s="2" t="s">
        <v>2312</v>
      </c>
      <c r="T526" s="2" t="s">
        <v>438</v>
      </c>
      <c r="U526" s="2" t="s">
        <v>191</v>
      </c>
      <c r="V526" s="2" t="s">
        <v>141</v>
      </c>
      <c r="W526" s="2" t="s">
        <v>142</v>
      </c>
      <c r="X526" s="2" t="s">
        <v>168</v>
      </c>
      <c r="Y526" s="2" t="s">
        <v>2313</v>
      </c>
      <c r="Z526" s="4">
        <v>393</v>
      </c>
      <c r="AA526" s="4">
        <f>=ROUNDDOWN(14.0357142857143,0)</f>
      </c>
      <c r="AB526" s="5">
        <v>28</v>
      </c>
      <c r="AC526" s="2" t="s">
        <v>107</v>
      </c>
      <c r="AD526" s="4">
        <v>180</v>
      </c>
      <c r="AE526" s="4">
        <v>430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/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 t="s">
        <v>100</v>
      </c>
      <c r="BJ526" s="4">
        <v>87</v>
      </c>
      <c r="BK526" s="8">
        <v>4495.01</v>
      </c>
      <c r="BL526" s="2" t="s">
        <v>2314</v>
      </c>
      <c r="BM526" s="7"/>
      <c r="BN526" s="7"/>
      <c r="BO526" s="4"/>
      <c r="BP526" s="8"/>
      <c r="BQ526" s="4"/>
      <c r="BR526" s="8"/>
      <c r="BS526" s="7"/>
      <c r="BT526" s="7"/>
      <c r="BU526" s="2" t="s">
        <v>2315</v>
      </c>
      <c r="BV526" s="2" t="s">
        <v>97</v>
      </c>
      <c r="BW526" s="2" t="s">
        <v>496</v>
      </c>
      <c r="BX526" s="2" t="s">
        <v>100</v>
      </c>
      <c r="BY526" s="2" t="s">
        <v>112</v>
      </c>
      <c r="BZ526" s="2" t="s">
        <v>100</v>
      </c>
    </row>
    <row r="527">
      <c r="A527" s="2" t="s">
        <v>2316</v>
      </c>
      <c r="B527" s="2" t="s">
        <v>87</v>
      </c>
      <c r="C527" s="2" t="s">
        <v>2238</v>
      </c>
      <c r="D527" s="2" t="s">
        <v>89</v>
      </c>
      <c r="E527" s="2" t="s">
        <v>90</v>
      </c>
      <c r="F527" s="2" t="s">
        <v>2291</v>
      </c>
      <c r="G527" s="2" t="s">
        <v>2292</v>
      </c>
      <c r="H527" s="2" t="s">
        <v>2293</v>
      </c>
      <c r="I527" s="2" t="s">
        <v>2294</v>
      </c>
      <c r="J527" s="2" t="s">
        <v>114</v>
      </c>
      <c r="K527" s="2" t="s">
        <v>188</v>
      </c>
      <c r="L527" s="3">
        <v>48.99</v>
      </c>
      <c r="M527" s="3">
        <v>51.44</v>
      </c>
      <c r="N527" s="3">
        <v>109.99</v>
      </c>
      <c r="O527" s="2" t="s">
        <v>97</v>
      </c>
      <c r="P527" s="2" t="s">
        <v>156</v>
      </c>
      <c r="Q527" s="2" t="s">
        <v>99</v>
      </c>
      <c r="R527" s="2" t="s">
        <v>100</v>
      </c>
      <c r="S527" s="2" t="s">
        <v>2312</v>
      </c>
      <c r="T527" s="2" t="s">
        <v>438</v>
      </c>
      <c r="U527" s="2" t="s">
        <v>191</v>
      </c>
      <c r="V527" s="2" t="s">
        <v>141</v>
      </c>
      <c r="W527" s="2" t="s">
        <v>142</v>
      </c>
      <c r="X527" s="2" t="s">
        <v>168</v>
      </c>
      <c r="Y527" s="2" t="s">
        <v>2313</v>
      </c>
      <c r="Z527" s="4">
        <v>367</v>
      </c>
      <c r="AA527" s="4">
        <f>=ROUNDDOWN(22.9375,0)</f>
      </c>
      <c r="AB527" s="5">
        <v>16</v>
      </c>
      <c r="AC527" s="2" t="s">
        <v>2008</v>
      </c>
      <c r="AD527" s="4">
        <v>130</v>
      </c>
      <c r="AE527" s="4">
        <v>130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/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 t="s">
        <v>100</v>
      </c>
      <c r="BJ527" s="4">
        <v>47</v>
      </c>
      <c r="BK527" s="8">
        <v>2744.15</v>
      </c>
      <c r="BL527" s="2" t="s">
        <v>2317</v>
      </c>
      <c r="BM527" s="7"/>
      <c r="BN527" s="7"/>
      <c r="BO527" s="4"/>
      <c r="BP527" s="8"/>
      <c r="BQ527" s="4"/>
      <c r="BR527" s="8"/>
      <c r="BS527" s="7"/>
      <c r="BT527" s="7"/>
      <c r="BU527" s="2" t="s">
        <v>2315</v>
      </c>
      <c r="BV527" s="2" t="s">
        <v>97</v>
      </c>
      <c r="BW527" s="2" t="s">
        <v>496</v>
      </c>
      <c r="BX527" s="2" t="s">
        <v>100</v>
      </c>
      <c r="BY527" s="2" t="s">
        <v>112</v>
      </c>
      <c r="BZ527" s="2" t="s">
        <v>100</v>
      </c>
    </row>
    <row r="528">
      <c r="A528" s="2" t="s">
        <v>2318</v>
      </c>
      <c r="B528" s="2" t="s">
        <v>87</v>
      </c>
      <c r="C528" s="2" t="s">
        <v>2238</v>
      </c>
      <c r="D528" s="2" t="s">
        <v>89</v>
      </c>
      <c r="E528" s="2" t="s">
        <v>90</v>
      </c>
      <c r="F528" s="2" t="s">
        <v>2291</v>
      </c>
      <c r="G528" s="2" t="s">
        <v>2292</v>
      </c>
      <c r="H528" s="2" t="s">
        <v>2293</v>
      </c>
      <c r="I528" s="2" t="s">
        <v>2294</v>
      </c>
      <c r="J528" s="2" t="s">
        <v>118</v>
      </c>
      <c r="K528" s="2" t="s">
        <v>188</v>
      </c>
      <c r="L528" s="3">
        <v>48.99</v>
      </c>
      <c r="M528" s="3">
        <v>51.44</v>
      </c>
      <c r="N528" s="3">
        <v>109.99</v>
      </c>
      <c r="O528" s="2" t="s">
        <v>97</v>
      </c>
      <c r="P528" s="2" t="s">
        <v>156</v>
      </c>
      <c r="Q528" s="2" t="s">
        <v>99</v>
      </c>
      <c r="R528" s="2" t="s">
        <v>100</v>
      </c>
      <c r="S528" s="2" t="s">
        <v>2312</v>
      </c>
      <c r="T528" s="2" t="s">
        <v>438</v>
      </c>
      <c r="U528" s="2" t="s">
        <v>191</v>
      </c>
      <c r="V528" s="2" t="s">
        <v>141</v>
      </c>
      <c r="W528" s="2" t="s">
        <v>142</v>
      </c>
      <c r="X528" s="2" t="s">
        <v>168</v>
      </c>
      <c r="Y528" s="2" t="s">
        <v>2313</v>
      </c>
      <c r="Z528" s="4">
        <v>87</v>
      </c>
      <c r="AA528" s="4">
        <f>=ROUNDDOWN(17.4,0)</f>
      </c>
      <c r="AB528" s="5">
        <v>5</v>
      </c>
      <c r="AC528" s="2" t="s">
        <v>107</v>
      </c>
      <c r="AD528" s="4">
        <v>30</v>
      </c>
      <c r="AE528" s="4">
        <v>80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/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 t="s">
        <v>100</v>
      </c>
      <c r="BJ528" s="4">
        <v>11</v>
      </c>
      <c r="BK528" s="8">
        <v>653.2</v>
      </c>
      <c r="BL528" s="2" t="s">
        <v>2319</v>
      </c>
      <c r="BM528" s="7"/>
      <c r="BN528" s="7"/>
      <c r="BO528" s="4"/>
      <c r="BP528" s="8"/>
      <c r="BQ528" s="4"/>
      <c r="BR528" s="8"/>
      <c r="BS528" s="7"/>
      <c r="BT528" s="7"/>
      <c r="BU528" s="2" t="s">
        <v>2315</v>
      </c>
      <c r="BV528" s="2" t="s">
        <v>97</v>
      </c>
      <c r="BW528" s="2" t="s">
        <v>496</v>
      </c>
      <c r="BX528" s="2" t="s">
        <v>100</v>
      </c>
      <c r="BY528" s="2" t="s">
        <v>112</v>
      </c>
      <c r="BZ528" s="2" t="s">
        <v>100</v>
      </c>
    </row>
    <row r="529">
      <c r="A529" s="2" t="s">
        <v>2320</v>
      </c>
      <c r="B529" s="2" t="s">
        <v>87</v>
      </c>
      <c r="C529" s="2" t="s">
        <v>2238</v>
      </c>
      <c r="D529" s="2" t="s">
        <v>89</v>
      </c>
      <c r="E529" s="2" t="s">
        <v>90</v>
      </c>
      <c r="F529" s="2" t="s">
        <v>2291</v>
      </c>
      <c r="G529" s="2" t="s">
        <v>2292</v>
      </c>
      <c r="H529" s="2" t="s">
        <v>2293</v>
      </c>
      <c r="I529" s="2" t="s">
        <v>2294</v>
      </c>
      <c r="J529" s="2" t="s">
        <v>95</v>
      </c>
      <c r="K529" s="2" t="s">
        <v>626</v>
      </c>
      <c r="L529" s="3">
        <v>43.85</v>
      </c>
      <c r="M529" s="3">
        <v>46.04</v>
      </c>
      <c r="N529" s="3">
        <v>99.99</v>
      </c>
      <c r="O529" s="2" t="s">
        <v>97</v>
      </c>
      <c r="P529" s="2" t="s">
        <v>98</v>
      </c>
      <c r="Q529" s="2" t="s">
        <v>99</v>
      </c>
      <c r="R529" s="2" t="s">
        <v>100</v>
      </c>
      <c r="S529" s="2" t="s">
        <v>2321</v>
      </c>
      <c r="T529" s="2" t="s">
        <v>438</v>
      </c>
      <c r="U529" s="2" t="s">
        <v>191</v>
      </c>
      <c r="V529" s="2" t="s">
        <v>141</v>
      </c>
      <c r="W529" s="2" t="s">
        <v>142</v>
      </c>
      <c r="X529" s="2" t="s">
        <v>143</v>
      </c>
      <c r="Y529" s="2" t="s">
        <v>2322</v>
      </c>
      <c r="Z529" s="4">
        <v>112</v>
      </c>
      <c r="AA529" s="4">
        <f>=ROUNDDOWN(8,0)</f>
      </c>
      <c r="AB529" s="5">
        <v>14</v>
      </c>
      <c r="AC529" s="2" t="s">
        <v>107</v>
      </c>
      <c r="AD529" s="4">
        <v>100</v>
      </c>
      <c r="AE529" s="4">
        <v>350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/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 t="s">
        <v>100</v>
      </c>
      <c r="BJ529" s="4">
        <v>52</v>
      </c>
      <c r="BK529" s="8">
        <v>2618.77</v>
      </c>
      <c r="BL529" s="2" t="s">
        <v>2323</v>
      </c>
      <c r="BM529" s="7"/>
      <c r="BN529" s="7"/>
      <c r="BO529" s="4"/>
      <c r="BP529" s="8"/>
      <c r="BQ529" s="4"/>
      <c r="BR529" s="8"/>
      <c r="BS529" s="7"/>
      <c r="BT529" s="7"/>
      <c r="BU529" s="2" t="s">
        <v>171</v>
      </c>
      <c r="BV529" s="2" t="s">
        <v>97</v>
      </c>
      <c r="BW529" s="2" t="s">
        <v>100</v>
      </c>
      <c r="BX529" s="2" t="s">
        <v>100</v>
      </c>
      <c r="BY529" s="2" t="s">
        <v>112</v>
      </c>
      <c r="BZ529" s="2" t="s">
        <v>100</v>
      </c>
    </row>
    <row r="530">
      <c r="A530" s="2" t="s">
        <v>2324</v>
      </c>
      <c r="B530" s="2" t="s">
        <v>87</v>
      </c>
      <c r="C530" s="2" t="s">
        <v>2238</v>
      </c>
      <c r="D530" s="2" t="s">
        <v>89</v>
      </c>
      <c r="E530" s="2" t="s">
        <v>90</v>
      </c>
      <c r="F530" s="2" t="s">
        <v>2291</v>
      </c>
      <c r="G530" s="2" t="s">
        <v>2292</v>
      </c>
      <c r="H530" s="2" t="s">
        <v>2293</v>
      </c>
      <c r="I530" s="2" t="s">
        <v>2294</v>
      </c>
      <c r="J530" s="2" t="s">
        <v>114</v>
      </c>
      <c r="K530" s="2" t="s">
        <v>626</v>
      </c>
      <c r="L530" s="3">
        <v>48.99</v>
      </c>
      <c r="M530" s="3">
        <v>51.44</v>
      </c>
      <c r="N530" s="3">
        <v>109.99</v>
      </c>
      <c r="O530" s="2" t="s">
        <v>97</v>
      </c>
      <c r="P530" s="2" t="s">
        <v>98</v>
      </c>
      <c r="Q530" s="2" t="s">
        <v>99</v>
      </c>
      <c r="R530" s="2" t="s">
        <v>100</v>
      </c>
      <c r="S530" s="2" t="s">
        <v>2321</v>
      </c>
      <c r="T530" s="2" t="s">
        <v>438</v>
      </c>
      <c r="U530" s="2" t="s">
        <v>191</v>
      </c>
      <c r="V530" s="2" t="s">
        <v>141</v>
      </c>
      <c r="W530" s="2" t="s">
        <v>142</v>
      </c>
      <c r="X530" s="2" t="s">
        <v>143</v>
      </c>
      <c r="Y530" s="2" t="s">
        <v>2322</v>
      </c>
      <c r="Z530" s="4">
        <v>151</v>
      </c>
      <c r="AA530" s="4">
        <f>=ROUNDDOWN(16.7777777777778,0)</f>
      </c>
      <c r="AB530" s="5">
        <v>9</v>
      </c>
      <c r="AC530" s="2" t="s">
        <v>312</v>
      </c>
      <c r="AD530" s="4">
        <v>160</v>
      </c>
      <c r="AE530" s="4">
        <v>160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/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 t="s">
        <v>100</v>
      </c>
      <c r="BJ530" s="4">
        <v>22</v>
      </c>
      <c r="BK530" s="8">
        <v>1258.09</v>
      </c>
      <c r="BL530" s="2" t="s">
        <v>1612</v>
      </c>
      <c r="BM530" s="7"/>
      <c r="BN530" s="7"/>
      <c r="BO530" s="4"/>
      <c r="BP530" s="8"/>
      <c r="BQ530" s="4"/>
      <c r="BR530" s="8"/>
      <c r="BS530" s="7"/>
      <c r="BT530" s="7"/>
      <c r="BU530" s="2" t="s">
        <v>171</v>
      </c>
      <c r="BV530" s="2" t="s">
        <v>97</v>
      </c>
      <c r="BW530" s="2" t="s">
        <v>100</v>
      </c>
      <c r="BX530" s="2" t="s">
        <v>100</v>
      </c>
      <c r="BY530" s="2" t="s">
        <v>112</v>
      </c>
      <c r="BZ530" s="2" t="s">
        <v>149</v>
      </c>
    </row>
    <row r="531">
      <c r="A531" s="2" t="s">
        <v>2325</v>
      </c>
      <c r="B531" s="2" t="s">
        <v>87</v>
      </c>
      <c r="C531" s="2" t="s">
        <v>2238</v>
      </c>
      <c r="D531" s="2" t="s">
        <v>89</v>
      </c>
      <c r="E531" s="2" t="s">
        <v>90</v>
      </c>
      <c r="F531" s="2" t="s">
        <v>2291</v>
      </c>
      <c r="G531" s="2" t="s">
        <v>2292</v>
      </c>
      <c r="H531" s="2" t="s">
        <v>2293</v>
      </c>
      <c r="I531" s="2" t="s">
        <v>2294</v>
      </c>
      <c r="J531" s="2" t="s">
        <v>118</v>
      </c>
      <c r="K531" s="2" t="s">
        <v>626</v>
      </c>
      <c r="L531" s="3">
        <v>48.99</v>
      </c>
      <c r="M531" s="3">
        <v>51.44</v>
      </c>
      <c r="N531" s="3">
        <v>109.99</v>
      </c>
      <c r="O531" s="2" t="s">
        <v>97</v>
      </c>
      <c r="P531" s="2" t="s">
        <v>98</v>
      </c>
      <c r="Q531" s="2" t="s">
        <v>99</v>
      </c>
      <c r="R531" s="2" t="s">
        <v>100</v>
      </c>
      <c r="S531" s="2" t="s">
        <v>2321</v>
      </c>
      <c r="T531" s="2" t="s">
        <v>438</v>
      </c>
      <c r="U531" s="2" t="s">
        <v>191</v>
      </c>
      <c r="V531" s="2" t="s">
        <v>141</v>
      </c>
      <c r="W531" s="2" t="s">
        <v>142</v>
      </c>
      <c r="X531" s="2" t="s">
        <v>143</v>
      </c>
      <c r="Y531" s="2" t="s">
        <v>2322</v>
      </c>
      <c r="Z531" s="4">
        <v>107</v>
      </c>
      <c r="AA531" s="4">
        <f>=ROUNDDOWN(17.8333333333333,0)</f>
      </c>
      <c r="AB531" s="5">
        <v>6</v>
      </c>
      <c r="AC531" s="2" t="s">
        <v>312</v>
      </c>
      <c r="AD531" s="4">
        <v>170</v>
      </c>
      <c r="AE531" s="4">
        <v>170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100</v>
      </c>
      <c r="AW531" s="8" t="s">
        <v>100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/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 t="s">
        <v>100</v>
      </c>
      <c r="BJ531" s="4">
        <v>24</v>
      </c>
      <c r="BK531" s="8">
        <v>1435.47</v>
      </c>
      <c r="BL531" s="2" t="s">
        <v>2326</v>
      </c>
      <c r="BM531" s="7"/>
      <c r="BN531" s="7"/>
      <c r="BO531" s="4"/>
      <c r="BP531" s="8"/>
      <c r="BQ531" s="4"/>
      <c r="BR531" s="8"/>
      <c r="BS531" s="7"/>
      <c r="BT531" s="7"/>
      <c r="BU531" s="2" t="s">
        <v>171</v>
      </c>
      <c r="BV531" s="2" t="s">
        <v>97</v>
      </c>
      <c r="BW531" s="2" t="s">
        <v>100</v>
      </c>
      <c r="BX531" s="2" t="s">
        <v>100</v>
      </c>
      <c r="BY531" s="2" t="s">
        <v>112</v>
      </c>
      <c r="BZ531" s="2" t="s">
        <v>149</v>
      </c>
    </row>
    <row r="532">
      <c r="A532" s="2" t="s">
        <v>2327</v>
      </c>
      <c r="B532" s="2" t="s">
        <v>87</v>
      </c>
      <c r="C532" s="2" t="s">
        <v>2238</v>
      </c>
      <c r="D532" s="2" t="s">
        <v>89</v>
      </c>
      <c r="E532" s="2" t="s">
        <v>90</v>
      </c>
      <c r="F532" s="2" t="s">
        <v>565</v>
      </c>
      <c r="G532" s="2" t="s">
        <v>2328</v>
      </c>
      <c r="H532" s="2" t="s">
        <v>2329</v>
      </c>
      <c r="I532" s="2" t="s">
        <v>2330</v>
      </c>
      <c r="J532" s="2" t="s">
        <v>95</v>
      </c>
      <c r="K532" s="2" t="s">
        <v>223</v>
      </c>
      <c r="L532" s="3">
        <v>48.71</v>
      </c>
      <c r="M532" s="3">
        <v>51.15</v>
      </c>
      <c r="N532" s="3">
        <v>109.99</v>
      </c>
      <c r="O532" s="2" t="s">
        <v>97</v>
      </c>
      <c r="P532" s="2" t="s">
        <v>123</v>
      </c>
      <c r="Q532" s="2" t="s">
        <v>99</v>
      </c>
      <c r="R532" s="2" t="s">
        <v>100</v>
      </c>
      <c r="S532" s="2" t="s">
        <v>2331</v>
      </c>
      <c r="T532" s="2" t="s">
        <v>438</v>
      </c>
      <c r="U532" s="2" t="s">
        <v>191</v>
      </c>
      <c r="V532" s="2" t="s">
        <v>492</v>
      </c>
      <c r="W532" s="2" t="s">
        <v>493</v>
      </c>
      <c r="X532" s="2" t="s">
        <v>142</v>
      </c>
      <c r="Y532" s="2" t="s">
        <v>2332</v>
      </c>
      <c r="Z532" s="4">
        <v>341</v>
      </c>
      <c r="AA532" s="4">
        <f>=ROUNDDOWN(8.97368421052632,0)</f>
      </c>
      <c r="AB532" s="5">
        <v>38</v>
      </c>
      <c r="AC532" s="2" t="s">
        <v>107</v>
      </c>
      <c r="AD532" s="4">
        <v>50</v>
      </c>
      <c r="AE532" s="4">
        <v>710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/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/>
      <c r="BJ532" s="4">
        <v>131</v>
      </c>
      <c r="BK532" s="8">
        <v>7164.91</v>
      </c>
      <c r="BL532" s="2" t="s">
        <v>2333</v>
      </c>
      <c r="BM532" s="7"/>
      <c r="BN532" s="7"/>
      <c r="BO532" s="4"/>
      <c r="BP532" s="8"/>
      <c r="BQ532" s="4"/>
      <c r="BR532" s="8"/>
      <c r="BS532" s="7"/>
      <c r="BT532" s="7"/>
      <c r="BU532" s="2" t="s">
        <v>171</v>
      </c>
      <c r="BV532" s="2" t="s">
        <v>97</v>
      </c>
      <c r="BW532" s="2" t="s">
        <v>100</v>
      </c>
      <c r="BX532" s="2" t="s">
        <v>100</v>
      </c>
      <c r="BY532" s="2" t="s">
        <v>112</v>
      </c>
      <c r="BZ532" s="2" t="s">
        <v>149</v>
      </c>
    </row>
    <row r="533">
      <c r="A533" s="2" t="s">
        <v>2334</v>
      </c>
      <c r="B533" s="2" t="s">
        <v>87</v>
      </c>
      <c r="C533" s="2" t="s">
        <v>2238</v>
      </c>
      <c r="D533" s="2" t="s">
        <v>89</v>
      </c>
      <c r="E533" s="2" t="s">
        <v>90</v>
      </c>
      <c r="F533" s="2" t="s">
        <v>565</v>
      </c>
      <c r="G533" s="2" t="s">
        <v>2328</v>
      </c>
      <c r="H533" s="2" t="s">
        <v>2329</v>
      </c>
      <c r="I533" s="2" t="s">
        <v>2330</v>
      </c>
      <c r="J533" s="2" t="s">
        <v>114</v>
      </c>
      <c r="K533" s="2" t="s">
        <v>223</v>
      </c>
      <c r="L533" s="3">
        <v>54.43</v>
      </c>
      <c r="M533" s="3">
        <v>57.15</v>
      </c>
      <c r="N533" s="3">
        <v>119.99</v>
      </c>
      <c r="O533" s="2" t="s">
        <v>97</v>
      </c>
      <c r="P533" s="2" t="s">
        <v>123</v>
      </c>
      <c r="Q533" s="2" t="s">
        <v>99</v>
      </c>
      <c r="R533" s="2" t="s">
        <v>100</v>
      </c>
      <c r="S533" s="2" t="s">
        <v>2331</v>
      </c>
      <c r="T533" s="2" t="s">
        <v>438</v>
      </c>
      <c r="U533" s="2" t="s">
        <v>191</v>
      </c>
      <c r="V533" s="2" t="s">
        <v>492</v>
      </c>
      <c r="W533" s="2" t="s">
        <v>493</v>
      </c>
      <c r="X533" s="2" t="s">
        <v>142</v>
      </c>
      <c r="Y533" s="2" t="s">
        <v>2332</v>
      </c>
      <c r="Z533" s="4">
        <v>38</v>
      </c>
      <c r="AA533" s="4">
        <f>=ROUNDDOWN(1.26666666666667,0)</f>
      </c>
      <c r="AB533" s="5">
        <v>30</v>
      </c>
      <c r="AC533" s="2" t="s">
        <v>107</v>
      </c>
      <c r="AD533" s="4">
        <v>190</v>
      </c>
      <c r="AE533" s="4">
        <v>820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/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/>
      <c r="BJ533" s="4">
        <v>96</v>
      </c>
      <c r="BK533" s="8">
        <v>5798.93</v>
      </c>
      <c r="BL533" s="2" t="s">
        <v>2335</v>
      </c>
      <c r="BM533" s="7"/>
      <c r="BN533" s="7"/>
      <c r="BO533" s="4"/>
      <c r="BP533" s="8"/>
      <c r="BQ533" s="4"/>
      <c r="BR533" s="8"/>
      <c r="BS533" s="7"/>
      <c r="BT533" s="7"/>
      <c r="BU533" s="2" t="s">
        <v>171</v>
      </c>
      <c r="BV533" s="2" t="s">
        <v>97</v>
      </c>
      <c r="BW533" s="2" t="s">
        <v>100</v>
      </c>
      <c r="BX533" s="2" t="s">
        <v>100</v>
      </c>
      <c r="BY533" s="2" t="s">
        <v>112</v>
      </c>
      <c r="BZ533" s="2" t="s">
        <v>149</v>
      </c>
    </row>
    <row r="534">
      <c r="A534" s="2" t="s">
        <v>2336</v>
      </c>
      <c r="B534" s="2" t="s">
        <v>87</v>
      </c>
      <c r="C534" s="2" t="s">
        <v>2238</v>
      </c>
      <c r="D534" s="2" t="s">
        <v>89</v>
      </c>
      <c r="E534" s="2" t="s">
        <v>90</v>
      </c>
      <c r="F534" s="2" t="s">
        <v>565</v>
      </c>
      <c r="G534" s="2" t="s">
        <v>2328</v>
      </c>
      <c r="H534" s="2" t="s">
        <v>2329</v>
      </c>
      <c r="I534" s="2" t="s">
        <v>2330</v>
      </c>
      <c r="J534" s="2" t="s">
        <v>118</v>
      </c>
      <c r="K534" s="2" t="s">
        <v>223</v>
      </c>
      <c r="L534" s="3">
        <v>54.43</v>
      </c>
      <c r="M534" s="3">
        <v>57.15</v>
      </c>
      <c r="N534" s="3">
        <v>119.99</v>
      </c>
      <c r="O534" s="2" t="s">
        <v>97</v>
      </c>
      <c r="P534" s="2" t="s">
        <v>123</v>
      </c>
      <c r="Q534" s="2" t="s">
        <v>99</v>
      </c>
      <c r="R534" s="2" t="s">
        <v>100</v>
      </c>
      <c r="S534" s="2" t="s">
        <v>2331</v>
      </c>
      <c r="T534" s="2" t="s">
        <v>438</v>
      </c>
      <c r="U534" s="2" t="s">
        <v>191</v>
      </c>
      <c r="V534" s="2" t="s">
        <v>492</v>
      </c>
      <c r="W534" s="2" t="s">
        <v>493</v>
      </c>
      <c r="X534" s="2" t="s">
        <v>142</v>
      </c>
      <c r="Y534" s="2" t="s">
        <v>2332</v>
      </c>
      <c r="Z534" s="4">
        <v>226</v>
      </c>
      <c r="AA534" s="4">
        <f>=ROUNDDOWN(17.3846153846154,0)</f>
      </c>
      <c r="AB534" s="5">
        <v>13</v>
      </c>
      <c r="AC534" s="2" t="s">
        <v>1452</v>
      </c>
      <c r="AD534" s="4">
        <v>240</v>
      </c>
      <c r="AE534" s="4">
        <v>240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/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/>
      <c r="BJ534" s="4">
        <v>37</v>
      </c>
      <c r="BK534" s="8">
        <v>2256.92</v>
      </c>
      <c r="BL534" s="2" t="s">
        <v>2337</v>
      </c>
      <c r="BM534" s="7"/>
      <c r="BN534" s="7"/>
      <c r="BO534" s="4"/>
      <c r="BP534" s="8"/>
      <c r="BQ534" s="4"/>
      <c r="BR534" s="8"/>
      <c r="BS534" s="7"/>
      <c r="BT534" s="7"/>
      <c r="BU534" s="2" t="s">
        <v>171</v>
      </c>
      <c r="BV534" s="2" t="s">
        <v>97</v>
      </c>
      <c r="BW534" s="2" t="s">
        <v>100</v>
      </c>
      <c r="BX534" s="2" t="s">
        <v>100</v>
      </c>
      <c r="BY534" s="2" t="s">
        <v>112</v>
      </c>
      <c r="BZ534" s="2" t="s">
        <v>100</v>
      </c>
    </row>
    <row r="535">
      <c r="A535" s="2" t="s">
        <v>2338</v>
      </c>
      <c r="B535" s="2" t="s">
        <v>87</v>
      </c>
      <c r="C535" s="2" t="s">
        <v>2238</v>
      </c>
      <c r="D535" s="2" t="s">
        <v>89</v>
      </c>
      <c r="E535" s="2" t="s">
        <v>90</v>
      </c>
      <c r="F535" s="2" t="s">
        <v>565</v>
      </c>
      <c r="G535" s="2" t="s">
        <v>2328</v>
      </c>
      <c r="H535" s="2" t="s">
        <v>2329</v>
      </c>
      <c r="I535" s="2" t="s">
        <v>2330</v>
      </c>
      <c r="J535" s="2" t="s">
        <v>95</v>
      </c>
      <c r="K535" s="2" t="s">
        <v>458</v>
      </c>
      <c r="L535" s="3">
        <v>48.71</v>
      </c>
      <c r="M535" s="3">
        <v>51.15</v>
      </c>
      <c r="N535" s="3">
        <v>109.99</v>
      </c>
      <c r="O535" s="2" t="s">
        <v>97</v>
      </c>
      <c r="P535" s="2" t="s">
        <v>98</v>
      </c>
      <c r="Q535" s="2" t="s">
        <v>99</v>
      </c>
      <c r="R535" s="2" t="s">
        <v>100</v>
      </c>
      <c r="S535" s="2" t="s">
        <v>2339</v>
      </c>
      <c r="T535" s="2" t="s">
        <v>438</v>
      </c>
      <c r="U535" s="2" t="s">
        <v>191</v>
      </c>
      <c r="V535" s="2" t="s">
        <v>492</v>
      </c>
      <c r="W535" s="2" t="s">
        <v>493</v>
      </c>
      <c r="X535" s="2" t="s">
        <v>142</v>
      </c>
      <c r="Y535" s="2" t="s">
        <v>2332</v>
      </c>
      <c r="Z535" s="4">
        <v>63</v>
      </c>
      <c r="AA535" s="4">
        <f>=ROUNDDOWN(3.31578947368421,0)</f>
      </c>
      <c r="AB535" s="5">
        <v>19</v>
      </c>
      <c r="AC535" s="2" t="s">
        <v>107</v>
      </c>
      <c r="AD535" s="4">
        <v>240</v>
      </c>
      <c r="AE535" s="4">
        <v>520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/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/>
      <c r="BJ535" s="4">
        <v>55</v>
      </c>
      <c r="BK535" s="8">
        <v>2712.66</v>
      </c>
      <c r="BL535" s="2" t="s">
        <v>2340</v>
      </c>
      <c r="BM535" s="7"/>
      <c r="BN535" s="7"/>
      <c r="BO535" s="4"/>
      <c r="BP535" s="8"/>
      <c r="BQ535" s="4"/>
      <c r="BR535" s="8"/>
      <c r="BS535" s="7"/>
      <c r="BT535" s="7"/>
      <c r="BU535" s="2" t="s">
        <v>171</v>
      </c>
      <c r="BV535" s="2" t="s">
        <v>97</v>
      </c>
      <c r="BW535" s="2" t="s">
        <v>100</v>
      </c>
      <c r="BX535" s="2" t="s">
        <v>100</v>
      </c>
      <c r="BY535" s="2" t="s">
        <v>112</v>
      </c>
      <c r="BZ535" s="2" t="s">
        <v>100</v>
      </c>
    </row>
    <row r="536">
      <c r="A536" s="2" t="s">
        <v>2341</v>
      </c>
      <c r="B536" s="2" t="s">
        <v>87</v>
      </c>
      <c r="C536" s="2" t="s">
        <v>2238</v>
      </c>
      <c r="D536" s="2" t="s">
        <v>89</v>
      </c>
      <c r="E536" s="2" t="s">
        <v>90</v>
      </c>
      <c r="F536" s="2" t="s">
        <v>565</v>
      </c>
      <c r="G536" s="2" t="s">
        <v>2328</v>
      </c>
      <c r="H536" s="2" t="s">
        <v>2329</v>
      </c>
      <c r="I536" s="2" t="s">
        <v>2330</v>
      </c>
      <c r="J536" s="2" t="s">
        <v>114</v>
      </c>
      <c r="K536" s="2" t="s">
        <v>458</v>
      </c>
      <c r="L536" s="3">
        <v>54.43</v>
      </c>
      <c r="M536" s="3">
        <v>57.15</v>
      </c>
      <c r="N536" s="3">
        <v>119.99</v>
      </c>
      <c r="O536" s="2" t="s">
        <v>97</v>
      </c>
      <c r="P536" s="2" t="s">
        <v>98</v>
      </c>
      <c r="Q536" s="2" t="s">
        <v>99</v>
      </c>
      <c r="R536" s="2" t="s">
        <v>100</v>
      </c>
      <c r="S536" s="2" t="s">
        <v>2339</v>
      </c>
      <c r="T536" s="2" t="s">
        <v>438</v>
      </c>
      <c r="U536" s="2" t="s">
        <v>191</v>
      </c>
      <c r="V536" s="2" t="s">
        <v>492</v>
      </c>
      <c r="W536" s="2" t="s">
        <v>493</v>
      </c>
      <c r="X536" s="2" t="s">
        <v>142</v>
      </c>
      <c r="Y536" s="2" t="s">
        <v>2332</v>
      </c>
      <c r="Z536" s="4">
        <v>259</v>
      </c>
      <c r="AA536" s="4">
        <f>=ROUNDDOWN(16.1875,0)</f>
      </c>
      <c r="AB536" s="5">
        <v>16</v>
      </c>
      <c r="AC536" s="2" t="s">
        <v>1142</v>
      </c>
      <c r="AD536" s="4">
        <v>70</v>
      </c>
      <c r="AE536" s="4">
        <v>180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/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/>
      <c r="BJ536" s="4">
        <v>46</v>
      </c>
      <c r="BK536" s="8">
        <v>2570.9</v>
      </c>
      <c r="BL536" s="2" t="s">
        <v>2342</v>
      </c>
      <c r="BM536" s="7"/>
      <c r="BN536" s="7"/>
      <c r="BO536" s="4"/>
      <c r="BP536" s="8"/>
      <c r="BQ536" s="4"/>
      <c r="BR536" s="8"/>
      <c r="BS536" s="7"/>
      <c r="BT536" s="7"/>
      <c r="BU536" s="2" t="s">
        <v>171</v>
      </c>
      <c r="BV536" s="2" t="s">
        <v>97</v>
      </c>
      <c r="BW536" s="2" t="s">
        <v>100</v>
      </c>
      <c r="BX536" s="2" t="s">
        <v>100</v>
      </c>
      <c r="BY536" s="2" t="s">
        <v>112</v>
      </c>
      <c r="BZ536" s="2" t="s">
        <v>100</v>
      </c>
    </row>
    <row r="537">
      <c r="A537" s="2" t="s">
        <v>2343</v>
      </c>
      <c r="B537" s="2" t="s">
        <v>87</v>
      </c>
      <c r="C537" s="2" t="s">
        <v>2238</v>
      </c>
      <c r="D537" s="2" t="s">
        <v>89</v>
      </c>
      <c r="E537" s="2" t="s">
        <v>90</v>
      </c>
      <c r="F537" s="2" t="s">
        <v>565</v>
      </c>
      <c r="G537" s="2" t="s">
        <v>2328</v>
      </c>
      <c r="H537" s="2" t="s">
        <v>2329</v>
      </c>
      <c r="I537" s="2" t="s">
        <v>2330</v>
      </c>
      <c r="J537" s="2" t="s">
        <v>118</v>
      </c>
      <c r="K537" s="2" t="s">
        <v>458</v>
      </c>
      <c r="L537" s="3">
        <v>54.43</v>
      </c>
      <c r="M537" s="3">
        <v>57.15</v>
      </c>
      <c r="N537" s="3">
        <v>119.99</v>
      </c>
      <c r="O537" s="2" t="s">
        <v>97</v>
      </c>
      <c r="P537" s="2" t="s">
        <v>98</v>
      </c>
      <c r="Q537" s="2" t="s">
        <v>99</v>
      </c>
      <c r="R537" s="2" t="s">
        <v>100</v>
      </c>
      <c r="S537" s="2" t="s">
        <v>2339</v>
      </c>
      <c r="T537" s="2" t="s">
        <v>438</v>
      </c>
      <c r="U537" s="2" t="s">
        <v>191</v>
      </c>
      <c r="V537" s="2" t="s">
        <v>492</v>
      </c>
      <c r="W537" s="2" t="s">
        <v>493</v>
      </c>
      <c r="X537" s="2" t="s">
        <v>142</v>
      </c>
      <c r="Y537" s="2" t="s">
        <v>2332</v>
      </c>
      <c r="Z537" s="4">
        <v>109</v>
      </c>
      <c r="AA537" s="4">
        <f>=ROUNDDOWN(9.90909090909091,0)</f>
      </c>
      <c r="AB537" s="5">
        <v>11</v>
      </c>
      <c r="AC537" s="2" t="s">
        <v>107</v>
      </c>
      <c r="AD537" s="4">
        <v>160</v>
      </c>
      <c r="AE537" s="4">
        <v>300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/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/>
      <c r="BJ537" s="4">
        <v>30</v>
      </c>
      <c r="BK537" s="8">
        <v>1706.52</v>
      </c>
      <c r="BL537" s="2" t="s">
        <v>788</v>
      </c>
      <c r="BM537" s="7"/>
      <c r="BN537" s="7"/>
      <c r="BO537" s="4"/>
      <c r="BP537" s="8"/>
      <c r="BQ537" s="4"/>
      <c r="BR537" s="8"/>
      <c r="BS537" s="7"/>
      <c r="BT537" s="7"/>
      <c r="BU537" s="2" t="s">
        <v>171</v>
      </c>
      <c r="BV537" s="2" t="s">
        <v>97</v>
      </c>
      <c r="BW537" s="2" t="s">
        <v>100</v>
      </c>
      <c r="BX537" s="2" t="s">
        <v>100</v>
      </c>
      <c r="BY537" s="2" t="s">
        <v>112</v>
      </c>
      <c r="BZ537" s="2" t="s">
        <v>149</v>
      </c>
    </row>
    <row r="538">
      <c r="A538" s="2" t="s">
        <v>2344</v>
      </c>
      <c r="B538" s="2" t="s">
        <v>87</v>
      </c>
      <c r="C538" s="2" t="s">
        <v>2238</v>
      </c>
      <c r="D538" s="2" t="s">
        <v>89</v>
      </c>
      <c r="E538" s="2" t="s">
        <v>90</v>
      </c>
      <c r="F538" s="2" t="s">
        <v>2345</v>
      </c>
      <c r="G538" s="2" t="s">
        <v>2346</v>
      </c>
      <c r="H538" s="2" t="s">
        <v>2347</v>
      </c>
      <c r="I538" s="2" t="s">
        <v>2348</v>
      </c>
      <c r="J538" s="2" t="s">
        <v>95</v>
      </c>
      <c r="K538" s="2" t="s">
        <v>96</v>
      </c>
      <c r="L538" s="3">
        <v>49.61</v>
      </c>
      <c r="M538" s="3">
        <v>52.09</v>
      </c>
      <c r="N538" s="3">
        <v>109.99</v>
      </c>
      <c r="O538" s="2" t="s">
        <v>97</v>
      </c>
      <c r="P538" s="2" t="s">
        <v>156</v>
      </c>
      <c r="Q538" s="2" t="s">
        <v>99</v>
      </c>
      <c r="R538" s="2" t="s">
        <v>100</v>
      </c>
      <c r="S538" s="2" t="s">
        <v>2349</v>
      </c>
      <c r="T538" s="2" t="s">
        <v>438</v>
      </c>
      <c r="U538" s="2" t="s">
        <v>191</v>
      </c>
      <c r="V538" s="2" t="s">
        <v>141</v>
      </c>
      <c r="W538" s="2" t="s">
        <v>142</v>
      </c>
      <c r="X538" s="2" t="s">
        <v>143</v>
      </c>
      <c r="Y538" s="2" t="s">
        <v>2350</v>
      </c>
      <c r="Z538" s="4">
        <v>543</v>
      </c>
      <c r="AA538" s="4">
        <f>=ROUNDDOWN(33.9375,0)</f>
      </c>
      <c r="AB538" s="5">
        <v>16</v>
      </c>
      <c r="AC538" s="2" t="s">
        <v>100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/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/>
      <c r="BJ538" s="4">
        <v>56</v>
      </c>
      <c r="BK538" s="8">
        <v>2914.35</v>
      </c>
      <c r="BL538" s="2" t="s">
        <v>2351</v>
      </c>
      <c r="BM538" s="7"/>
      <c r="BN538" s="7"/>
      <c r="BO538" s="4"/>
      <c r="BP538" s="8"/>
      <c r="BQ538" s="4"/>
      <c r="BR538" s="8"/>
      <c r="BS538" s="7"/>
      <c r="BT538" s="7"/>
      <c r="BU538" s="2" t="s">
        <v>569</v>
      </c>
      <c r="BV538" s="2" t="s">
        <v>97</v>
      </c>
      <c r="BW538" s="2" t="s">
        <v>100</v>
      </c>
      <c r="BX538" s="2" t="s">
        <v>100</v>
      </c>
      <c r="BY538" s="2" t="s">
        <v>112</v>
      </c>
      <c r="BZ538" s="2" t="s">
        <v>100</v>
      </c>
    </row>
    <row r="539">
      <c r="A539" s="2" t="s">
        <v>2352</v>
      </c>
      <c r="B539" s="2" t="s">
        <v>87</v>
      </c>
      <c r="C539" s="2" t="s">
        <v>2238</v>
      </c>
      <c r="D539" s="2" t="s">
        <v>89</v>
      </c>
      <c r="E539" s="2" t="s">
        <v>90</v>
      </c>
      <c r="F539" s="2" t="s">
        <v>2345</v>
      </c>
      <c r="G539" s="2" t="s">
        <v>2346</v>
      </c>
      <c r="H539" s="2" t="s">
        <v>2347</v>
      </c>
      <c r="I539" s="2" t="s">
        <v>2348</v>
      </c>
      <c r="J539" s="2" t="s">
        <v>114</v>
      </c>
      <c r="K539" s="2" t="s">
        <v>96</v>
      </c>
      <c r="L539" s="3">
        <v>55.44</v>
      </c>
      <c r="M539" s="3">
        <v>58.21</v>
      </c>
      <c r="N539" s="3">
        <v>119.99</v>
      </c>
      <c r="O539" s="2" t="s">
        <v>97</v>
      </c>
      <c r="P539" s="2" t="s">
        <v>156</v>
      </c>
      <c r="Q539" s="2" t="s">
        <v>99</v>
      </c>
      <c r="R539" s="2" t="s">
        <v>100</v>
      </c>
      <c r="S539" s="2" t="s">
        <v>2349</v>
      </c>
      <c r="T539" s="2" t="s">
        <v>438</v>
      </c>
      <c r="U539" s="2" t="s">
        <v>191</v>
      </c>
      <c r="V539" s="2" t="s">
        <v>141</v>
      </c>
      <c r="W539" s="2" t="s">
        <v>142</v>
      </c>
      <c r="X539" s="2" t="s">
        <v>143</v>
      </c>
      <c r="Y539" s="2" t="s">
        <v>2350</v>
      </c>
      <c r="Z539" s="4">
        <v>280</v>
      </c>
      <c r="AA539" s="4">
        <f>=ROUNDDOWN(16.4705882352941,0)</f>
      </c>
      <c r="AB539" s="5">
        <v>17</v>
      </c>
      <c r="AC539" s="2" t="s">
        <v>389</v>
      </c>
      <c r="AD539" s="4">
        <v>320</v>
      </c>
      <c r="AE539" s="4">
        <v>320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100</v>
      </c>
      <c r="AW539" s="8" t="s">
        <v>100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/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/>
      <c r="BJ539" s="4">
        <v>77</v>
      </c>
      <c r="BK539" s="8">
        <v>4467.57</v>
      </c>
      <c r="BL539" s="2" t="s">
        <v>2353</v>
      </c>
      <c r="BM539" s="7"/>
      <c r="BN539" s="7"/>
      <c r="BO539" s="4"/>
      <c r="BP539" s="8"/>
      <c r="BQ539" s="4"/>
      <c r="BR539" s="8"/>
      <c r="BS539" s="7"/>
      <c r="BT539" s="7"/>
      <c r="BU539" s="2" t="s">
        <v>569</v>
      </c>
      <c r="BV539" s="2" t="s">
        <v>97</v>
      </c>
      <c r="BW539" s="2" t="s">
        <v>100</v>
      </c>
      <c r="BX539" s="2" t="s">
        <v>100</v>
      </c>
      <c r="BY539" s="2" t="s">
        <v>112</v>
      </c>
      <c r="BZ539" s="2" t="s">
        <v>100</v>
      </c>
    </row>
    <row r="540">
      <c r="A540" s="2" t="s">
        <v>2354</v>
      </c>
      <c r="B540" s="2" t="s">
        <v>87</v>
      </c>
      <c r="C540" s="2" t="s">
        <v>2238</v>
      </c>
      <c r="D540" s="2" t="s">
        <v>89</v>
      </c>
      <c r="E540" s="2" t="s">
        <v>90</v>
      </c>
      <c r="F540" s="2" t="s">
        <v>2345</v>
      </c>
      <c r="G540" s="2" t="s">
        <v>2346</v>
      </c>
      <c r="H540" s="2" t="s">
        <v>2347</v>
      </c>
      <c r="I540" s="2" t="s">
        <v>2348</v>
      </c>
      <c r="J540" s="2" t="s">
        <v>118</v>
      </c>
      <c r="K540" s="2" t="s">
        <v>96</v>
      </c>
      <c r="L540" s="3">
        <v>55.44</v>
      </c>
      <c r="M540" s="3">
        <v>58.21</v>
      </c>
      <c r="N540" s="3">
        <v>119.99</v>
      </c>
      <c r="O540" s="2" t="s">
        <v>97</v>
      </c>
      <c r="P540" s="2" t="s">
        <v>156</v>
      </c>
      <c r="Q540" s="2" t="s">
        <v>99</v>
      </c>
      <c r="R540" s="2" t="s">
        <v>100</v>
      </c>
      <c r="S540" s="2" t="s">
        <v>2349</v>
      </c>
      <c r="T540" s="2" t="s">
        <v>438</v>
      </c>
      <c r="U540" s="2" t="s">
        <v>191</v>
      </c>
      <c r="V540" s="2" t="s">
        <v>141</v>
      </c>
      <c r="W540" s="2" t="s">
        <v>142</v>
      </c>
      <c r="X540" s="2" t="s">
        <v>143</v>
      </c>
      <c r="Y540" s="2" t="s">
        <v>2350</v>
      </c>
      <c r="Z540" s="4">
        <v>417</v>
      </c>
      <c r="AA540" s="4">
        <f>=ROUNDDOWN(46.3333333333333,0)</f>
      </c>
      <c r="AB540" s="5">
        <v>9</v>
      </c>
      <c r="AC540" s="2" t="s">
        <v>100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/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/>
      <c r="BJ540" s="4">
        <v>30</v>
      </c>
      <c r="BK540" s="8">
        <v>1700.81</v>
      </c>
      <c r="BL540" s="2" t="s">
        <v>2355</v>
      </c>
      <c r="BM540" s="7"/>
      <c r="BN540" s="7"/>
      <c r="BO540" s="4"/>
      <c r="BP540" s="8"/>
      <c r="BQ540" s="4"/>
      <c r="BR540" s="8"/>
      <c r="BS540" s="7"/>
      <c r="BT540" s="7"/>
      <c r="BU540" s="2" t="s">
        <v>569</v>
      </c>
      <c r="BV540" s="2" t="s">
        <v>97</v>
      </c>
      <c r="BW540" s="2" t="s">
        <v>100</v>
      </c>
      <c r="BX540" s="2" t="s">
        <v>100</v>
      </c>
      <c r="BY540" s="2" t="s">
        <v>112</v>
      </c>
      <c r="BZ540" s="2" t="s">
        <v>100</v>
      </c>
    </row>
    <row r="541">
      <c r="A541" s="2" t="s">
        <v>2356</v>
      </c>
      <c r="B541" s="2" t="s">
        <v>87</v>
      </c>
      <c r="C541" s="2" t="s">
        <v>2357</v>
      </c>
      <c r="D541" s="2" t="s">
        <v>963</v>
      </c>
      <c r="E541" s="2" t="s">
        <v>2358</v>
      </c>
      <c r="F541" s="2" t="s">
        <v>2359</v>
      </c>
      <c r="G541" s="2" t="s">
        <v>2359</v>
      </c>
      <c r="H541" s="2" t="s">
        <v>2359</v>
      </c>
      <c r="I541" s="2" t="s">
        <v>2360</v>
      </c>
      <c r="J541" s="2" t="s">
        <v>522</v>
      </c>
      <c r="K541" s="2" t="s">
        <v>523</v>
      </c>
      <c r="L541" s="3">
        <v>50.6</v>
      </c>
      <c r="M541" s="3">
        <v>53.13</v>
      </c>
      <c r="N541" s="3">
        <v>109.99</v>
      </c>
      <c r="O541" s="2" t="s">
        <v>97</v>
      </c>
      <c r="P541" s="2" t="s">
        <v>98</v>
      </c>
      <c r="Q541" s="2" t="s">
        <v>99</v>
      </c>
      <c r="R541" s="2" t="s">
        <v>100</v>
      </c>
      <c r="S541" s="2" t="s">
        <v>2361</v>
      </c>
      <c r="T541" s="2" t="s">
        <v>190</v>
      </c>
      <c r="U541" s="2" t="s">
        <v>901</v>
      </c>
      <c r="V541" s="2" t="s">
        <v>1009</v>
      </c>
      <c r="W541" s="2" t="s">
        <v>270</v>
      </c>
      <c r="X541" s="2" t="s">
        <v>525</v>
      </c>
      <c r="Y541" s="2" t="s">
        <v>2362</v>
      </c>
      <c r="Z541" s="4">
        <v>167</v>
      </c>
      <c r="AA541" s="4">
        <f>=ROUNDDOWN(20.875,0)</f>
      </c>
      <c r="AB541" s="5">
        <v>8</v>
      </c>
      <c r="AC541" s="2" t="s">
        <v>2363</v>
      </c>
      <c r="AD541" s="4">
        <v>140</v>
      </c>
      <c r="AE541" s="4">
        <v>370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>
        <v>2</v>
      </c>
      <c r="AW541" s="8">
        <v>139.1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/>
      <c r="BC541" s="4">
        <v>2</v>
      </c>
      <c r="BD541" s="8">
        <v>139.1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>
        <v>1</v>
      </c>
      <c r="BJ541" s="4">
        <v>33</v>
      </c>
      <c r="BK541" s="8">
        <v>1846.98</v>
      </c>
      <c r="BL541" s="2" t="s">
        <v>2364</v>
      </c>
      <c r="BM541" s="7"/>
      <c r="BN541" s="7"/>
      <c r="BO541" s="4"/>
      <c r="BP541" s="8"/>
      <c r="BQ541" s="4"/>
      <c r="BR541" s="8"/>
      <c r="BS541" s="7"/>
      <c r="BT541" s="7"/>
      <c r="BU541" s="2" t="s">
        <v>109</v>
      </c>
      <c r="BV541" s="2" t="s">
        <v>97</v>
      </c>
      <c r="BW541" s="2" t="s">
        <v>2365</v>
      </c>
      <c r="BX541" s="2" t="s">
        <v>2366</v>
      </c>
      <c r="BY541" s="2" t="s">
        <v>112</v>
      </c>
      <c r="BZ541" s="2" t="s">
        <v>100</v>
      </c>
    </row>
    <row r="542">
      <c r="A542" s="2" t="s">
        <v>2367</v>
      </c>
      <c r="B542" s="2" t="s">
        <v>87</v>
      </c>
      <c r="C542" s="2" t="s">
        <v>2357</v>
      </c>
      <c r="D542" s="2" t="s">
        <v>963</v>
      </c>
      <c r="E542" s="2" t="s">
        <v>2358</v>
      </c>
      <c r="F542" s="2" t="s">
        <v>2359</v>
      </c>
      <c r="G542" s="2" t="s">
        <v>2359</v>
      </c>
      <c r="H542" s="2" t="s">
        <v>2359</v>
      </c>
      <c r="I542" s="2" t="s">
        <v>2360</v>
      </c>
      <c r="J542" s="2" t="s">
        <v>529</v>
      </c>
      <c r="K542" s="2" t="s">
        <v>523</v>
      </c>
      <c r="L542" s="3">
        <v>57.6</v>
      </c>
      <c r="M542" s="3">
        <v>60.47</v>
      </c>
      <c r="N542" s="3">
        <v>119.99</v>
      </c>
      <c r="O542" s="2" t="s">
        <v>97</v>
      </c>
      <c r="P542" s="2" t="s">
        <v>98</v>
      </c>
      <c r="Q542" s="2" t="s">
        <v>99</v>
      </c>
      <c r="R542" s="2" t="s">
        <v>100</v>
      </c>
      <c r="S542" s="2" t="s">
        <v>2361</v>
      </c>
      <c r="T542" s="2" t="s">
        <v>190</v>
      </c>
      <c r="U542" s="2" t="s">
        <v>901</v>
      </c>
      <c r="V542" s="2" t="s">
        <v>1009</v>
      </c>
      <c r="W542" s="2" t="s">
        <v>270</v>
      </c>
      <c r="X542" s="2" t="s">
        <v>525</v>
      </c>
      <c r="Y542" s="2" t="s">
        <v>2362</v>
      </c>
      <c r="Z542" s="4">
        <v>305</v>
      </c>
      <c r="AA542" s="4">
        <f>=ROUNDDOWN(25.4166666666667,0)</f>
      </c>
      <c r="AB542" s="5">
        <v>12</v>
      </c>
      <c r="AC542" s="2" t="s">
        <v>2363</v>
      </c>
      <c r="AD542" s="4">
        <v>40</v>
      </c>
      <c r="AE542" s="4">
        <v>230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2</v>
      </c>
      <c r="AQ542" s="8">
        <v>139.1</v>
      </c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>
        <v>1</v>
      </c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 t="s">
        <v>100</v>
      </c>
      <c r="BJ542" s="4">
        <v>43</v>
      </c>
      <c r="BK542" s="8">
        <v>2775.28</v>
      </c>
      <c r="BL542" s="2" t="s">
        <v>2368</v>
      </c>
      <c r="BM542" s="7">
        <v>0.0465</v>
      </c>
      <c r="BN542" s="7">
        <v>0.0501</v>
      </c>
      <c r="BO542" s="4">
        <v>2</v>
      </c>
      <c r="BP542" s="8">
        <v>139.1</v>
      </c>
      <c r="BQ542" s="4"/>
      <c r="BR542" s="8"/>
      <c r="BS542" s="7"/>
      <c r="BT542" s="7"/>
      <c r="BU542" s="2" t="s">
        <v>109</v>
      </c>
      <c r="BV542" s="2" t="s">
        <v>97</v>
      </c>
      <c r="BW542" s="2" t="s">
        <v>2365</v>
      </c>
      <c r="BX542" s="2" t="s">
        <v>2369</v>
      </c>
      <c r="BY542" s="2" t="s">
        <v>112</v>
      </c>
      <c r="BZ542" s="2" t="s">
        <v>100</v>
      </c>
    </row>
    <row r="543">
      <c r="A543" s="2" t="s">
        <v>2370</v>
      </c>
      <c r="B543" s="2" t="s">
        <v>87</v>
      </c>
      <c r="C543" s="2" t="s">
        <v>2357</v>
      </c>
      <c r="D543" s="2" t="s">
        <v>963</v>
      </c>
      <c r="E543" s="2" t="s">
        <v>2358</v>
      </c>
      <c r="F543" s="2" t="s">
        <v>2371</v>
      </c>
      <c r="G543" s="2" t="s">
        <v>2371</v>
      </c>
      <c r="H543" s="2" t="s">
        <v>2371</v>
      </c>
      <c r="I543" s="2" t="s">
        <v>2372</v>
      </c>
      <c r="J543" s="2" t="s">
        <v>522</v>
      </c>
      <c r="K543" s="2" t="s">
        <v>236</v>
      </c>
      <c r="L543" s="3">
        <v>49.99</v>
      </c>
      <c r="M543" s="3">
        <v>52.49</v>
      </c>
      <c r="N543" s="3">
        <v>109.99</v>
      </c>
      <c r="O543" s="2" t="s">
        <v>97</v>
      </c>
      <c r="P543" s="2" t="s">
        <v>123</v>
      </c>
      <c r="Q543" s="2" t="s">
        <v>99</v>
      </c>
      <c r="R543" s="2" t="s">
        <v>100</v>
      </c>
      <c r="S543" s="2" t="s">
        <v>2373</v>
      </c>
      <c r="T543" s="2" t="s">
        <v>100</v>
      </c>
      <c r="U543" s="2" t="s">
        <v>100</v>
      </c>
      <c r="V543" s="2" t="s">
        <v>269</v>
      </c>
      <c r="W543" s="2" t="s">
        <v>270</v>
      </c>
      <c r="X543" s="2" t="s">
        <v>271</v>
      </c>
      <c r="Y543" s="2" t="s">
        <v>144</v>
      </c>
      <c r="Z543" s="4">
        <v>46</v>
      </c>
      <c r="AA543" s="4">
        <f>=ROUNDDOWN(7.66666666666667,0)</f>
      </c>
      <c r="AB543" s="5">
        <v>6</v>
      </c>
      <c r="AC543" s="2" t="s">
        <v>1767</v>
      </c>
      <c r="AD543" s="4">
        <v>80</v>
      </c>
      <c r="AE543" s="4">
        <v>320</v>
      </c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/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/>
      <c r="BJ543" s="4">
        <v>21</v>
      </c>
      <c r="BK543" s="8">
        <v>1130.22</v>
      </c>
      <c r="BL543" s="2" t="s">
        <v>2374</v>
      </c>
      <c r="BM543" s="7"/>
      <c r="BN543" s="7"/>
      <c r="BO543" s="4"/>
      <c r="BP543" s="8"/>
      <c r="BQ543" s="4"/>
      <c r="BR543" s="8"/>
      <c r="BS543" s="7"/>
      <c r="BT543" s="7"/>
      <c r="BU543" s="2" t="s">
        <v>171</v>
      </c>
      <c r="BV543" s="2" t="s">
        <v>97</v>
      </c>
      <c r="BW543" s="2" t="s">
        <v>100</v>
      </c>
      <c r="BX543" s="2" t="s">
        <v>100</v>
      </c>
      <c r="BY543" s="2" t="s">
        <v>112</v>
      </c>
      <c r="BZ543" s="2" t="s">
        <v>100</v>
      </c>
    </row>
    <row r="544">
      <c r="A544" s="2" t="s">
        <v>2375</v>
      </c>
      <c r="B544" s="2" t="s">
        <v>87</v>
      </c>
      <c r="C544" s="2" t="s">
        <v>2357</v>
      </c>
      <c r="D544" s="2" t="s">
        <v>963</v>
      </c>
      <c r="E544" s="2" t="s">
        <v>2358</v>
      </c>
      <c r="F544" s="2" t="s">
        <v>2371</v>
      </c>
      <c r="G544" s="2" t="s">
        <v>2371</v>
      </c>
      <c r="H544" s="2" t="s">
        <v>2371</v>
      </c>
      <c r="I544" s="2" t="s">
        <v>2372</v>
      </c>
      <c r="J544" s="2" t="s">
        <v>529</v>
      </c>
      <c r="K544" s="2" t="s">
        <v>236</v>
      </c>
      <c r="L544" s="3">
        <v>54.99</v>
      </c>
      <c r="M544" s="3">
        <v>57.74</v>
      </c>
      <c r="N544" s="3">
        <v>119.99</v>
      </c>
      <c r="O544" s="2" t="s">
        <v>97</v>
      </c>
      <c r="P544" s="2" t="s">
        <v>123</v>
      </c>
      <c r="Q544" s="2" t="s">
        <v>99</v>
      </c>
      <c r="R544" s="2" t="s">
        <v>100</v>
      </c>
      <c r="S544" s="2" t="s">
        <v>2373</v>
      </c>
      <c r="T544" s="2" t="s">
        <v>100</v>
      </c>
      <c r="U544" s="2" t="s">
        <v>100</v>
      </c>
      <c r="V544" s="2" t="s">
        <v>269</v>
      </c>
      <c r="W544" s="2" t="s">
        <v>270</v>
      </c>
      <c r="X544" s="2" t="s">
        <v>271</v>
      </c>
      <c r="Y544" s="2" t="s">
        <v>144</v>
      </c>
      <c r="Z544" s="4">
        <v>16</v>
      </c>
      <c r="AA544" s="4">
        <f>=ROUNDDOWN(2.28571428571429,0)</f>
      </c>
      <c r="AB544" s="5">
        <v>7</v>
      </c>
      <c r="AC544" s="2" t="s">
        <v>1767</v>
      </c>
      <c r="AD544" s="4">
        <v>100</v>
      </c>
      <c r="AE544" s="4">
        <v>420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/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/>
      <c r="BJ544" s="4">
        <v>26</v>
      </c>
      <c r="BK544" s="8">
        <v>1549.84</v>
      </c>
      <c r="BL544" s="2" t="s">
        <v>384</v>
      </c>
      <c r="BM544" s="7"/>
      <c r="BN544" s="7"/>
      <c r="BO544" s="4"/>
      <c r="BP544" s="8"/>
      <c r="BQ544" s="4"/>
      <c r="BR544" s="8"/>
      <c r="BS544" s="7"/>
      <c r="BT544" s="7"/>
      <c r="BU544" s="2" t="s">
        <v>171</v>
      </c>
      <c r="BV544" s="2" t="s">
        <v>97</v>
      </c>
      <c r="BW544" s="2" t="s">
        <v>100</v>
      </c>
      <c r="BX544" s="2" t="s">
        <v>100</v>
      </c>
      <c r="BY544" s="2" t="s">
        <v>112</v>
      </c>
      <c r="BZ544" s="2" t="s">
        <v>100</v>
      </c>
    </row>
    <row r="545">
      <c r="A545" s="2" t="s">
        <v>2376</v>
      </c>
      <c r="B545" s="2" t="s">
        <v>87</v>
      </c>
      <c r="C545" s="2" t="s">
        <v>2357</v>
      </c>
      <c r="D545" s="2" t="s">
        <v>963</v>
      </c>
      <c r="E545" s="2" t="s">
        <v>2358</v>
      </c>
      <c r="F545" s="2" t="s">
        <v>2377</v>
      </c>
      <c r="G545" s="2" t="s">
        <v>2377</v>
      </c>
      <c r="H545" s="2" t="s">
        <v>2377</v>
      </c>
      <c r="I545" s="2" t="s">
        <v>2378</v>
      </c>
      <c r="J545" s="2" t="s">
        <v>352</v>
      </c>
      <c r="K545" s="2" t="s">
        <v>256</v>
      </c>
      <c r="L545" s="3">
        <v>39</v>
      </c>
      <c r="M545" s="3">
        <v>40.95</v>
      </c>
      <c r="N545" s="3">
        <v>89.99</v>
      </c>
      <c r="O545" s="2" t="s">
        <v>97</v>
      </c>
      <c r="P545" s="2" t="s">
        <v>98</v>
      </c>
      <c r="Q545" s="2" t="s">
        <v>99</v>
      </c>
      <c r="R545" s="2" t="s">
        <v>100</v>
      </c>
      <c r="S545" s="2" t="s">
        <v>2379</v>
      </c>
      <c r="T545" s="2" t="s">
        <v>190</v>
      </c>
      <c r="U545" s="2" t="s">
        <v>894</v>
      </c>
      <c r="V545" s="2" t="s">
        <v>2380</v>
      </c>
      <c r="W545" s="2" t="s">
        <v>270</v>
      </c>
      <c r="X545" s="2" t="s">
        <v>104</v>
      </c>
      <c r="Y545" s="2" t="s">
        <v>2381</v>
      </c>
      <c r="Z545" s="4">
        <v>300</v>
      </c>
      <c r="AA545" s="4">
        <f>=ROUNDDOWN(20,0)</f>
      </c>
      <c r="AB545" s="5">
        <v>15</v>
      </c>
      <c r="AC545" s="2" t="s">
        <v>2363</v>
      </c>
      <c r="AD545" s="4">
        <v>170</v>
      </c>
      <c r="AE545" s="4">
        <v>420</v>
      </c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100</v>
      </c>
      <c r="AW545" s="8" t="s">
        <v>100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/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/>
      <c r="BJ545" s="4">
        <v>38</v>
      </c>
      <c r="BK545" s="8">
        <v>1664.54</v>
      </c>
      <c r="BL545" s="2" t="s">
        <v>1694</v>
      </c>
      <c r="BM545" s="7"/>
      <c r="BN545" s="7"/>
      <c r="BO545" s="4"/>
      <c r="BP545" s="8"/>
      <c r="BQ545" s="4"/>
      <c r="BR545" s="8"/>
      <c r="BS545" s="7"/>
      <c r="BT545" s="7"/>
      <c r="BU545" s="2" t="s">
        <v>171</v>
      </c>
      <c r="BV545" s="2" t="s">
        <v>97</v>
      </c>
      <c r="BW545" s="2" t="s">
        <v>100</v>
      </c>
      <c r="BX545" s="2" t="s">
        <v>100</v>
      </c>
      <c r="BY545" s="2" t="s">
        <v>112</v>
      </c>
      <c r="BZ545" s="2" t="s">
        <v>100</v>
      </c>
    </row>
    <row r="546">
      <c r="A546" s="2" t="s">
        <v>2382</v>
      </c>
      <c r="B546" s="2" t="s">
        <v>87</v>
      </c>
      <c r="C546" s="2" t="s">
        <v>2357</v>
      </c>
      <c r="D546" s="2" t="s">
        <v>963</v>
      </c>
      <c r="E546" s="2" t="s">
        <v>2358</v>
      </c>
      <c r="F546" s="2" t="s">
        <v>2377</v>
      </c>
      <c r="G546" s="2" t="s">
        <v>2377</v>
      </c>
      <c r="H546" s="2" t="s">
        <v>2377</v>
      </c>
      <c r="I546" s="2" t="s">
        <v>2378</v>
      </c>
      <c r="J546" s="2" t="s">
        <v>522</v>
      </c>
      <c r="K546" s="2" t="s">
        <v>256</v>
      </c>
      <c r="L546" s="3">
        <v>52.8</v>
      </c>
      <c r="M546" s="3">
        <v>55.43</v>
      </c>
      <c r="N546" s="3">
        <v>109.99</v>
      </c>
      <c r="O546" s="2" t="s">
        <v>97</v>
      </c>
      <c r="P546" s="2" t="s">
        <v>139</v>
      </c>
      <c r="Q546" s="2" t="s">
        <v>99</v>
      </c>
      <c r="R546" s="2" t="s">
        <v>100</v>
      </c>
      <c r="S546" s="2" t="s">
        <v>2379</v>
      </c>
      <c r="T546" s="2" t="s">
        <v>190</v>
      </c>
      <c r="U546" s="2" t="s">
        <v>901</v>
      </c>
      <c r="V546" s="2" t="s">
        <v>2380</v>
      </c>
      <c r="W546" s="2" t="s">
        <v>270</v>
      </c>
      <c r="X546" s="2" t="s">
        <v>104</v>
      </c>
      <c r="Y546" s="2" t="s">
        <v>2383</v>
      </c>
      <c r="Z546" s="4">
        <v>435</v>
      </c>
      <c r="AA546" s="4">
        <f>=ROUNDDOWN(10.3571428571429,0)</f>
      </c>
      <c r="AB546" s="5">
        <v>42</v>
      </c>
      <c r="AC546" s="2" t="s">
        <v>2363</v>
      </c>
      <c r="AD546" s="4">
        <v>580</v>
      </c>
      <c r="AE546" s="4">
        <v>1380</v>
      </c>
      <c r="AF546" s="6">
        <v>69</v>
      </c>
      <c r="AG546" s="6">
        <v>52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/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/>
      <c r="BJ546" s="4">
        <v>119</v>
      </c>
      <c r="BK546" s="8">
        <v>6952.45</v>
      </c>
      <c r="BL546" s="2" t="s">
        <v>859</v>
      </c>
      <c r="BM546" s="7"/>
      <c r="BN546" s="7"/>
      <c r="BO546" s="4"/>
      <c r="BP546" s="8"/>
      <c r="BQ546" s="4"/>
      <c r="BR546" s="8"/>
      <c r="BS546" s="7"/>
      <c r="BT546" s="7"/>
      <c r="BU546" s="2" t="s">
        <v>171</v>
      </c>
      <c r="BV546" s="2" t="s">
        <v>97</v>
      </c>
      <c r="BW546" s="2" t="s">
        <v>100</v>
      </c>
      <c r="BX546" s="2" t="s">
        <v>100</v>
      </c>
      <c r="BY546" s="2" t="s">
        <v>112</v>
      </c>
      <c r="BZ546" s="2" t="s">
        <v>100</v>
      </c>
    </row>
    <row r="547">
      <c r="A547" s="2" t="s">
        <v>2384</v>
      </c>
      <c r="B547" s="2" t="s">
        <v>87</v>
      </c>
      <c r="C547" s="2" t="s">
        <v>2357</v>
      </c>
      <c r="D547" s="2" t="s">
        <v>963</v>
      </c>
      <c r="E547" s="2" t="s">
        <v>2358</v>
      </c>
      <c r="F547" s="2" t="s">
        <v>2377</v>
      </c>
      <c r="G547" s="2" t="s">
        <v>2377</v>
      </c>
      <c r="H547" s="2" t="s">
        <v>2377</v>
      </c>
      <c r="I547" s="2" t="s">
        <v>2378</v>
      </c>
      <c r="J547" s="2" t="s">
        <v>529</v>
      </c>
      <c r="K547" s="2" t="s">
        <v>256</v>
      </c>
      <c r="L547" s="3">
        <v>63.7</v>
      </c>
      <c r="M547" s="3">
        <v>66.88</v>
      </c>
      <c r="N547" s="3">
        <v>129.99</v>
      </c>
      <c r="O547" s="2" t="s">
        <v>97</v>
      </c>
      <c r="P547" s="2" t="s">
        <v>139</v>
      </c>
      <c r="Q547" s="2" t="s">
        <v>99</v>
      </c>
      <c r="R547" s="2" t="s">
        <v>100</v>
      </c>
      <c r="S547" s="2" t="s">
        <v>2379</v>
      </c>
      <c r="T547" s="2" t="s">
        <v>190</v>
      </c>
      <c r="U547" s="2" t="s">
        <v>901</v>
      </c>
      <c r="V547" s="2" t="s">
        <v>2380</v>
      </c>
      <c r="W547" s="2" t="s">
        <v>270</v>
      </c>
      <c r="X547" s="2" t="s">
        <v>104</v>
      </c>
      <c r="Y547" s="2" t="s">
        <v>2383</v>
      </c>
      <c r="Z547" s="4">
        <v>1023</v>
      </c>
      <c r="AA547" s="4">
        <f>=ROUNDDOWN(46.5,0)</f>
      </c>
      <c r="AB547" s="5">
        <v>22</v>
      </c>
      <c r="AC547" s="2" t="s">
        <v>1238</v>
      </c>
      <c r="AD547" s="4">
        <v>230</v>
      </c>
      <c r="AE547" s="4">
        <v>540</v>
      </c>
      <c r="AF547" s="6">
        <v>69</v>
      </c>
      <c r="AG547" s="6">
        <v>52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/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/>
      <c r="BJ547" s="4">
        <v>65</v>
      </c>
      <c r="BK547" s="8">
        <v>4414.05</v>
      </c>
      <c r="BL547" s="2" t="s">
        <v>1207</v>
      </c>
      <c r="BM547" s="7"/>
      <c r="BN547" s="7"/>
      <c r="BO547" s="4"/>
      <c r="BP547" s="8"/>
      <c r="BQ547" s="4"/>
      <c r="BR547" s="8"/>
      <c r="BS547" s="7"/>
      <c r="BT547" s="7"/>
      <c r="BU547" s="2" t="s">
        <v>171</v>
      </c>
      <c r="BV547" s="2" t="s">
        <v>97</v>
      </c>
      <c r="BW547" s="2" t="s">
        <v>100</v>
      </c>
      <c r="BX547" s="2" t="s">
        <v>100</v>
      </c>
      <c r="BY547" s="2" t="s">
        <v>112</v>
      </c>
      <c r="BZ547" s="2" t="s">
        <v>100</v>
      </c>
    </row>
    <row r="548">
      <c r="A548" s="2" t="s">
        <v>2385</v>
      </c>
      <c r="B548" s="2" t="s">
        <v>87</v>
      </c>
      <c r="C548" s="2" t="s">
        <v>2357</v>
      </c>
      <c r="D548" s="2" t="s">
        <v>963</v>
      </c>
      <c r="E548" s="2" t="s">
        <v>2358</v>
      </c>
      <c r="F548" s="2" t="s">
        <v>2386</v>
      </c>
      <c r="G548" s="2" t="s">
        <v>2386</v>
      </c>
      <c r="H548" s="2" t="s">
        <v>2386</v>
      </c>
      <c r="I548" s="2" t="s">
        <v>2387</v>
      </c>
      <c r="J548" s="2" t="s">
        <v>522</v>
      </c>
      <c r="K548" s="2" t="s">
        <v>179</v>
      </c>
      <c r="L548" s="3">
        <v>52.38</v>
      </c>
      <c r="M548" s="3">
        <v>55</v>
      </c>
      <c r="N548" s="3">
        <v>109.99</v>
      </c>
      <c r="O548" s="2" t="s">
        <v>97</v>
      </c>
      <c r="P548" s="2" t="s">
        <v>98</v>
      </c>
      <c r="Q548" s="2" t="s">
        <v>99</v>
      </c>
      <c r="R548" s="2" t="s">
        <v>100</v>
      </c>
      <c r="S548" s="2" t="s">
        <v>2388</v>
      </c>
      <c r="T548" s="2" t="s">
        <v>190</v>
      </c>
      <c r="U548" s="2" t="s">
        <v>901</v>
      </c>
      <c r="V548" s="2" t="s">
        <v>473</v>
      </c>
      <c r="W548" s="2" t="s">
        <v>270</v>
      </c>
      <c r="X548" s="2" t="s">
        <v>525</v>
      </c>
      <c r="Y548" s="2" t="s">
        <v>2389</v>
      </c>
      <c r="Z548" s="4">
        <v>23</v>
      </c>
      <c r="AA548" s="4">
        <f>=ROUNDDOWN(1.91666666666667,0)</f>
      </c>
      <c r="AB548" s="5">
        <v>12</v>
      </c>
      <c r="AC548" s="2" t="s">
        <v>629</v>
      </c>
      <c r="AD548" s="4">
        <v>90</v>
      </c>
      <c r="AE548" s="4">
        <v>410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100</v>
      </c>
      <c r="AW548" s="8" t="s">
        <v>100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/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/>
      <c r="BJ548" s="4">
        <v>51</v>
      </c>
      <c r="BK548" s="8">
        <v>2887.57</v>
      </c>
      <c r="BL548" s="2" t="s">
        <v>2390</v>
      </c>
      <c r="BM548" s="7"/>
      <c r="BN548" s="7"/>
      <c r="BO548" s="4"/>
      <c r="BP548" s="8"/>
      <c r="BQ548" s="4"/>
      <c r="BR548" s="8"/>
      <c r="BS548" s="7"/>
      <c r="BT548" s="7"/>
      <c r="BU548" s="2" t="s">
        <v>171</v>
      </c>
      <c r="BV548" s="2" t="s">
        <v>97</v>
      </c>
      <c r="BW548" s="2" t="s">
        <v>100</v>
      </c>
      <c r="BX548" s="2" t="s">
        <v>100</v>
      </c>
      <c r="BY548" s="2" t="s">
        <v>112</v>
      </c>
      <c r="BZ548" s="2" t="s">
        <v>100</v>
      </c>
    </row>
    <row r="549">
      <c r="A549" s="2" t="s">
        <v>2391</v>
      </c>
      <c r="B549" s="2" t="s">
        <v>87</v>
      </c>
      <c r="C549" s="2" t="s">
        <v>2357</v>
      </c>
      <c r="D549" s="2" t="s">
        <v>963</v>
      </c>
      <c r="E549" s="2" t="s">
        <v>2358</v>
      </c>
      <c r="F549" s="2" t="s">
        <v>2386</v>
      </c>
      <c r="G549" s="2" t="s">
        <v>2386</v>
      </c>
      <c r="H549" s="2" t="s">
        <v>2386</v>
      </c>
      <c r="I549" s="2" t="s">
        <v>2387</v>
      </c>
      <c r="J549" s="2" t="s">
        <v>529</v>
      </c>
      <c r="K549" s="2" t="s">
        <v>179</v>
      </c>
      <c r="L549" s="3">
        <v>59.42</v>
      </c>
      <c r="M549" s="3">
        <v>62.39</v>
      </c>
      <c r="N549" s="3">
        <v>129.99</v>
      </c>
      <c r="O549" s="2" t="s">
        <v>97</v>
      </c>
      <c r="P549" s="2" t="s">
        <v>98</v>
      </c>
      <c r="Q549" s="2" t="s">
        <v>99</v>
      </c>
      <c r="R549" s="2" t="s">
        <v>100</v>
      </c>
      <c r="S549" s="2" t="s">
        <v>2388</v>
      </c>
      <c r="T549" s="2" t="s">
        <v>190</v>
      </c>
      <c r="U549" s="2" t="s">
        <v>901</v>
      </c>
      <c r="V549" s="2" t="s">
        <v>473</v>
      </c>
      <c r="W549" s="2" t="s">
        <v>270</v>
      </c>
      <c r="X549" s="2" t="s">
        <v>525</v>
      </c>
      <c r="Y549" s="2" t="s">
        <v>2389</v>
      </c>
      <c r="Z549" s="4">
        <v>328</v>
      </c>
      <c r="AA549" s="4">
        <f>=ROUNDDOWN(25.2307692307692,0)</f>
      </c>
      <c r="AB549" s="5">
        <v>13</v>
      </c>
      <c r="AC549" s="2" t="s">
        <v>196</v>
      </c>
      <c r="AD549" s="4">
        <v>190</v>
      </c>
      <c r="AE549" s="4">
        <v>390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/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/>
      <c r="BJ549" s="4">
        <v>31</v>
      </c>
      <c r="BK549" s="8">
        <v>2035.91</v>
      </c>
      <c r="BL549" s="2" t="s">
        <v>2392</v>
      </c>
      <c r="BM549" s="7"/>
      <c r="BN549" s="7"/>
      <c r="BO549" s="4"/>
      <c r="BP549" s="8"/>
      <c r="BQ549" s="4"/>
      <c r="BR549" s="8"/>
      <c r="BS549" s="7"/>
      <c r="BT549" s="7"/>
      <c r="BU549" s="2" t="s">
        <v>171</v>
      </c>
      <c r="BV549" s="2" t="s">
        <v>97</v>
      </c>
      <c r="BW549" s="2" t="s">
        <v>100</v>
      </c>
      <c r="BX549" s="2" t="s">
        <v>100</v>
      </c>
      <c r="BY549" s="2" t="s">
        <v>112</v>
      </c>
      <c r="BZ549" s="2" t="s">
        <v>100</v>
      </c>
    </row>
    <row r="550">
      <c r="A550" s="2" t="s">
        <v>2393</v>
      </c>
      <c r="B550" s="2" t="s">
        <v>87</v>
      </c>
      <c r="C550" s="2" t="s">
        <v>2357</v>
      </c>
      <c r="D550" s="2" t="s">
        <v>963</v>
      </c>
      <c r="E550" s="2" t="s">
        <v>2358</v>
      </c>
      <c r="F550" s="2" t="s">
        <v>2386</v>
      </c>
      <c r="G550" s="2" t="s">
        <v>2386</v>
      </c>
      <c r="H550" s="2" t="s">
        <v>2386</v>
      </c>
      <c r="I550" s="2" t="s">
        <v>2387</v>
      </c>
      <c r="J550" s="2" t="s">
        <v>522</v>
      </c>
      <c r="K550" s="2" t="s">
        <v>523</v>
      </c>
      <c r="L550" s="3">
        <v>52.38</v>
      </c>
      <c r="M550" s="3">
        <v>55</v>
      </c>
      <c r="N550" s="3">
        <v>109.99</v>
      </c>
      <c r="O550" s="2" t="s">
        <v>97</v>
      </c>
      <c r="P550" s="2" t="s">
        <v>98</v>
      </c>
      <c r="Q550" s="2" t="s">
        <v>99</v>
      </c>
      <c r="R550" s="2" t="s">
        <v>100</v>
      </c>
      <c r="S550" s="2" t="s">
        <v>2394</v>
      </c>
      <c r="T550" s="2" t="s">
        <v>190</v>
      </c>
      <c r="U550" s="2" t="s">
        <v>901</v>
      </c>
      <c r="V550" s="2" t="s">
        <v>473</v>
      </c>
      <c r="W550" s="2" t="s">
        <v>270</v>
      </c>
      <c r="X550" s="2" t="s">
        <v>525</v>
      </c>
      <c r="Y550" s="2" t="s">
        <v>2395</v>
      </c>
      <c r="Z550" s="4">
        <v>82</v>
      </c>
      <c r="AA550" s="4">
        <f>=ROUNDDOWN(6.83333333333333,0)</f>
      </c>
      <c r="AB550" s="5">
        <v>12</v>
      </c>
      <c r="AC550" s="2" t="s">
        <v>911</v>
      </c>
      <c r="AD550" s="4">
        <v>130</v>
      </c>
      <c r="AE550" s="4">
        <v>410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/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/>
      <c r="BJ550" s="4">
        <v>33</v>
      </c>
      <c r="BK550" s="8">
        <v>1896.06</v>
      </c>
      <c r="BL550" s="2" t="s">
        <v>2396</v>
      </c>
      <c r="BM550" s="7"/>
      <c r="BN550" s="7"/>
      <c r="BO550" s="4"/>
      <c r="BP550" s="8"/>
      <c r="BQ550" s="4"/>
      <c r="BR550" s="8"/>
      <c r="BS550" s="7"/>
      <c r="BT550" s="7"/>
      <c r="BU550" s="2" t="s">
        <v>171</v>
      </c>
      <c r="BV550" s="2" t="s">
        <v>97</v>
      </c>
      <c r="BW550" s="2" t="s">
        <v>100</v>
      </c>
      <c r="BX550" s="2" t="s">
        <v>100</v>
      </c>
      <c r="BY550" s="2" t="s">
        <v>112</v>
      </c>
      <c r="BZ550" s="2" t="s">
        <v>100</v>
      </c>
    </row>
    <row r="551">
      <c r="A551" s="2" t="s">
        <v>2397</v>
      </c>
      <c r="B551" s="2" t="s">
        <v>87</v>
      </c>
      <c r="C551" s="2" t="s">
        <v>2357</v>
      </c>
      <c r="D551" s="2" t="s">
        <v>963</v>
      </c>
      <c r="E551" s="2" t="s">
        <v>2358</v>
      </c>
      <c r="F551" s="2" t="s">
        <v>2386</v>
      </c>
      <c r="G551" s="2" t="s">
        <v>2386</v>
      </c>
      <c r="H551" s="2" t="s">
        <v>2386</v>
      </c>
      <c r="I551" s="2" t="s">
        <v>2387</v>
      </c>
      <c r="J551" s="2" t="s">
        <v>529</v>
      </c>
      <c r="K551" s="2" t="s">
        <v>523</v>
      </c>
      <c r="L551" s="3">
        <v>59.42</v>
      </c>
      <c r="M551" s="3">
        <v>62.39</v>
      </c>
      <c r="N551" s="3">
        <v>129.99</v>
      </c>
      <c r="O551" s="2" t="s">
        <v>97</v>
      </c>
      <c r="P551" s="2" t="s">
        <v>98</v>
      </c>
      <c r="Q551" s="2" t="s">
        <v>99</v>
      </c>
      <c r="R551" s="2" t="s">
        <v>100</v>
      </c>
      <c r="S551" s="2" t="s">
        <v>2394</v>
      </c>
      <c r="T551" s="2" t="s">
        <v>190</v>
      </c>
      <c r="U551" s="2" t="s">
        <v>901</v>
      </c>
      <c r="V551" s="2" t="s">
        <v>473</v>
      </c>
      <c r="W551" s="2" t="s">
        <v>270</v>
      </c>
      <c r="X551" s="2" t="s">
        <v>525</v>
      </c>
      <c r="Y551" s="2" t="s">
        <v>2395</v>
      </c>
      <c r="Z551" s="4">
        <v>311</v>
      </c>
      <c r="AA551" s="4">
        <f>=ROUNDDOWN(19.4375,0)</f>
      </c>
      <c r="AB551" s="5">
        <v>16</v>
      </c>
      <c r="AC551" s="2" t="s">
        <v>911</v>
      </c>
      <c r="AD551" s="4">
        <v>100</v>
      </c>
      <c r="AE551" s="4">
        <v>390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100</v>
      </c>
      <c r="AW551" s="8" t="s">
        <v>100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/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/>
      <c r="BJ551" s="4">
        <v>46</v>
      </c>
      <c r="BK551" s="8">
        <v>3079.82</v>
      </c>
      <c r="BL551" s="2" t="s">
        <v>2398</v>
      </c>
      <c r="BM551" s="7"/>
      <c r="BN551" s="7"/>
      <c r="BO551" s="4"/>
      <c r="BP551" s="8"/>
      <c r="BQ551" s="4"/>
      <c r="BR551" s="8"/>
      <c r="BS551" s="7"/>
      <c r="BT551" s="7"/>
      <c r="BU551" s="2" t="s">
        <v>171</v>
      </c>
      <c r="BV551" s="2" t="s">
        <v>97</v>
      </c>
      <c r="BW551" s="2" t="s">
        <v>100</v>
      </c>
      <c r="BX551" s="2" t="s">
        <v>100</v>
      </c>
      <c r="BY551" s="2" t="s">
        <v>112</v>
      </c>
      <c r="BZ551" s="2" t="s">
        <v>100</v>
      </c>
    </row>
    <row r="552">
      <c r="A552" s="2" t="s">
        <v>2399</v>
      </c>
      <c r="B552" s="2" t="s">
        <v>87</v>
      </c>
      <c r="C552" s="2" t="s">
        <v>2357</v>
      </c>
      <c r="D552" s="2" t="s">
        <v>963</v>
      </c>
      <c r="E552" s="2" t="s">
        <v>2358</v>
      </c>
      <c r="F552" s="2" t="s">
        <v>2400</v>
      </c>
      <c r="G552" s="2" t="s">
        <v>2400</v>
      </c>
      <c r="H552" s="2" t="s">
        <v>2400</v>
      </c>
      <c r="I552" s="2" t="s">
        <v>2401</v>
      </c>
      <c r="J552" s="2" t="s">
        <v>522</v>
      </c>
      <c r="K552" s="2" t="s">
        <v>256</v>
      </c>
      <c r="L552" s="3">
        <v>52.8</v>
      </c>
      <c r="M552" s="3">
        <v>55.43</v>
      </c>
      <c r="N552" s="3">
        <v>109.99</v>
      </c>
      <c r="O552" s="2" t="s">
        <v>97</v>
      </c>
      <c r="P552" s="2" t="s">
        <v>98</v>
      </c>
      <c r="Q552" s="2" t="s">
        <v>99</v>
      </c>
      <c r="R552" s="2" t="s">
        <v>100</v>
      </c>
      <c r="S552" s="2" t="s">
        <v>2402</v>
      </c>
      <c r="T552" s="2" t="s">
        <v>190</v>
      </c>
      <c r="U552" s="2" t="s">
        <v>901</v>
      </c>
      <c r="V552" s="2" t="s">
        <v>2380</v>
      </c>
      <c r="W552" s="2" t="s">
        <v>270</v>
      </c>
      <c r="X552" s="2" t="s">
        <v>104</v>
      </c>
      <c r="Y552" s="2" t="s">
        <v>2403</v>
      </c>
      <c r="Z552" s="4">
        <v>116</v>
      </c>
      <c r="AA552" s="4">
        <f>=ROUNDDOWN(14.5,0)</f>
      </c>
      <c r="AB552" s="5">
        <v>8</v>
      </c>
      <c r="AC552" s="2" t="s">
        <v>1468</v>
      </c>
      <c r="AD552" s="4">
        <v>120</v>
      </c>
      <c r="AE552" s="4">
        <v>170</v>
      </c>
      <c r="AF552" s="6">
        <v>69</v>
      </c>
      <c r="AG552" s="6"/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/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/>
      <c r="BJ552" s="4">
        <v>23</v>
      </c>
      <c r="BK552" s="8">
        <v>1318.21</v>
      </c>
      <c r="BL552" s="2" t="s">
        <v>2404</v>
      </c>
      <c r="BM552" s="7"/>
      <c r="BN552" s="7"/>
      <c r="BO552" s="4"/>
      <c r="BP552" s="8"/>
      <c r="BQ552" s="4"/>
      <c r="BR552" s="8"/>
      <c r="BS552" s="7"/>
      <c r="BT552" s="7"/>
      <c r="BU552" s="2" t="s">
        <v>171</v>
      </c>
      <c r="BV552" s="2" t="s">
        <v>97</v>
      </c>
      <c r="BW552" s="2" t="s">
        <v>100</v>
      </c>
      <c r="BX552" s="2" t="s">
        <v>100</v>
      </c>
      <c r="BY552" s="2" t="s">
        <v>112</v>
      </c>
      <c r="BZ552" s="2" t="s">
        <v>100</v>
      </c>
    </row>
    <row r="553">
      <c r="A553" s="2" t="s">
        <v>2405</v>
      </c>
      <c r="B553" s="2" t="s">
        <v>87</v>
      </c>
      <c r="C553" s="2" t="s">
        <v>2357</v>
      </c>
      <c r="D553" s="2" t="s">
        <v>963</v>
      </c>
      <c r="E553" s="2" t="s">
        <v>2358</v>
      </c>
      <c r="F553" s="2" t="s">
        <v>2400</v>
      </c>
      <c r="G553" s="2" t="s">
        <v>2400</v>
      </c>
      <c r="H553" s="2" t="s">
        <v>2400</v>
      </c>
      <c r="I553" s="2" t="s">
        <v>2401</v>
      </c>
      <c r="J553" s="2" t="s">
        <v>529</v>
      </c>
      <c r="K553" s="2" t="s">
        <v>256</v>
      </c>
      <c r="L553" s="3">
        <v>63.7</v>
      </c>
      <c r="M553" s="3">
        <v>66.88</v>
      </c>
      <c r="N553" s="3">
        <v>129.99</v>
      </c>
      <c r="O553" s="2" t="s">
        <v>97</v>
      </c>
      <c r="P553" s="2" t="s">
        <v>98</v>
      </c>
      <c r="Q553" s="2" t="s">
        <v>99</v>
      </c>
      <c r="R553" s="2" t="s">
        <v>100</v>
      </c>
      <c r="S553" s="2" t="s">
        <v>2402</v>
      </c>
      <c r="T553" s="2" t="s">
        <v>190</v>
      </c>
      <c r="U553" s="2" t="s">
        <v>901</v>
      </c>
      <c r="V553" s="2" t="s">
        <v>2380</v>
      </c>
      <c r="W553" s="2" t="s">
        <v>270</v>
      </c>
      <c r="X553" s="2" t="s">
        <v>104</v>
      </c>
      <c r="Y553" s="2" t="s">
        <v>2403</v>
      </c>
      <c r="Z553" s="4">
        <v>126</v>
      </c>
      <c r="AA553" s="4">
        <f>=ROUNDDOWN(21,0)</f>
      </c>
      <c r="AB553" s="5">
        <v>6</v>
      </c>
      <c r="AC553" s="2" t="s">
        <v>1468</v>
      </c>
      <c r="AD553" s="4">
        <v>60</v>
      </c>
      <c r="AE553" s="4">
        <v>140</v>
      </c>
      <c r="AF553" s="6">
        <v>69</v>
      </c>
      <c r="AG553" s="6"/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/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/>
      <c r="BJ553" s="4">
        <v>13</v>
      </c>
      <c r="BK553" s="8">
        <v>920.5</v>
      </c>
      <c r="BL553" s="2" t="s">
        <v>884</v>
      </c>
      <c r="BM553" s="7"/>
      <c r="BN553" s="7"/>
      <c r="BO553" s="4"/>
      <c r="BP553" s="8"/>
      <c r="BQ553" s="4"/>
      <c r="BR553" s="8"/>
      <c r="BS553" s="7"/>
      <c r="BT553" s="7"/>
      <c r="BU553" s="2" t="s">
        <v>171</v>
      </c>
      <c r="BV553" s="2" t="s">
        <v>97</v>
      </c>
      <c r="BW553" s="2" t="s">
        <v>100</v>
      </c>
      <c r="BX553" s="2" t="s">
        <v>100</v>
      </c>
      <c r="BY553" s="2" t="s">
        <v>112</v>
      </c>
      <c r="BZ553" s="2" t="s">
        <v>100</v>
      </c>
    </row>
    <row r="554">
      <c r="A554" s="2" t="s">
        <v>2406</v>
      </c>
      <c r="B554" s="2" t="s">
        <v>87</v>
      </c>
      <c r="C554" s="2" t="s">
        <v>2357</v>
      </c>
      <c r="D554" s="2" t="s">
        <v>963</v>
      </c>
      <c r="E554" s="2" t="s">
        <v>2358</v>
      </c>
      <c r="F554" s="2" t="s">
        <v>2407</v>
      </c>
      <c r="G554" s="2" t="s">
        <v>2407</v>
      </c>
      <c r="H554" s="2" t="s">
        <v>2407</v>
      </c>
      <c r="I554" s="2" t="s">
        <v>2401</v>
      </c>
      <c r="J554" s="2" t="s">
        <v>522</v>
      </c>
      <c r="K554" s="2" t="s">
        <v>236</v>
      </c>
      <c r="L554" s="3">
        <v>49.99</v>
      </c>
      <c r="M554" s="3">
        <v>52.49</v>
      </c>
      <c r="N554" s="3">
        <v>109.99</v>
      </c>
      <c r="O554" s="2" t="s">
        <v>97</v>
      </c>
      <c r="P554" s="2" t="s">
        <v>123</v>
      </c>
      <c r="Q554" s="2" t="s">
        <v>99</v>
      </c>
      <c r="R554" s="2" t="s">
        <v>100</v>
      </c>
      <c r="S554" s="2" t="s">
        <v>2408</v>
      </c>
      <c r="T554" s="2" t="s">
        <v>100</v>
      </c>
      <c r="U554" s="2" t="s">
        <v>100</v>
      </c>
      <c r="V554" s="2" t="s">
        <v>269</v>
      </c>
      <c r="W554" s="2" t="s">
        <v>270</v>
      </c>
      <c r="X554" s="2" t="s">
        <v>271</v>
      </c>
      <c r="Y554" s="2" t="s">
        <v>144</v>
      </c>
      <c r="Z554" s="4">
        <v>47</v>
      </c>
      <c r="AA554" s="4">
        <f>=ROUNDDOWN(6.71428571428571,0)</f>
      </c>
      <c r="AB554" s="5">
        <v>7</v>
      </c>
      <c r="AC554" s="2" t="s">
        <v>1767</v>
      </c>
      <c r="AD554" s="4">
        <v>140</v>
      </c>
      <c r="AE554" s="4">
        <v>530</v>
      </c>
      <c r="AF554" s="6">
        <v>69</v>
      </c>
      <c r="AG554" s="6"/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/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/>
      <c r="BJ554" s="4">
        <v>28</v>
      </c>
      <c r="BK554" s="8">
        <v>1513.22</v>
      </c>
      <c r="BL554" s="2" t="s">
        <v>2409</v>
      </c>
      <c r="BM554" s="7"/>
      <c r="BN554" s="7"/>
      <c r="BO554" s="4"/>
      <c r="BP554" s="8"/>
      <c r="BQ554" s="4"/>
      <c r="BR554" s="8"/>
      <c r="BS554" s="7"/>
      <c r="BT554" s="7"/>
      <c r="BU554" s="2" t="s">
        <v>171</v>
      </c>
      <c r="BV554" s="2" t="s">
        <v>97</v>
      </c>
      <c r="BW554" s="2" t="s">
        <v>100</v>
      </c>
      <c r="BX554" s="2" t="s">
        <v>100</v>
      </c>
      <c r="BY554" s="2" t="s">
        <v>112</v>
      </c>
      <c r="BZ554" s="2" t="s">
        <v>100</v>
      </c>
    </row>
    <row r="555">
      <c r="A555" s="2" t="s">
        <v>2410</v>
      </c>
      <c r="B555" s="2" t="s">
        <v>87</v>
      </c>
      <c r="C555" s="2" t="s">
        <v>2357</v>
      </c>
      <c r="D555" s="2" t="s">
        <v>963</v>
      </c>
      <c r="E555" s="2" t="s">
        <v>2358</v>
      </c>
      <c r="F555" s="2" t="s">
        <v>2407</v>
      </c>
      <c r="G555" s="2" t="s">
        <v>2407</v>
      </c>
      <c r="H555" s="2" t="s">
        <v>2407</v>
      </c>
      <c r="I555" s="2" t="s">
        <v>2401</v>
      </c>
      <c r="J555" s="2" t="s">
        <v>529</v>
      </c>
      <c r="K555" s="2" t="s">
        <v>236</v>
      </c>
      <c r="L555" s="3">
        <v>54.99</v>
      </c>
      <c r="M555" s="3">
        <v>57.74</v>
      </c>
      <c r="N555" s="3">
        <v>119.99</v>
      </c>
      <c r="O555" s="2" t="s">
        <v>97</v>
      </c>
      <c r="P555" s="2" t="s">
        <v>123</v>
      </c>
      <c r="Q555" s="2" t="s">
        <v>99</v>
      </c>
      <c r="R555" s="2" t="s">
        <v>100</v>
      </c>
      <c r="S555" s="2" t="s">
        <v>2408</v>
      </c>
      <c r="T555" s="2" t="s">
        <v>100</v>
      </c>
      <c r="U555" s="2" t="s">
        <v>100</v>
      </c>
      <c r="V555" s="2" t="s">
        <v>269</v>
      </c>
      <c r="W555" s="2" t="s">
        <v>270</v>
      </c>
      <c r="X555" s="2" t="s">
        <v>271</v>
      </c>
      <c r="Y555" s="2" t="s">
        <v>144</v>
      </c>
      <c r="Z555" s="4">
        <v>53</v>
      </c>
      <c r="AA555" s="4">
        <f>=ROUNDDOWN(4.07692307692308,0)</f>
      </c>
      <c r="AB555" s="5">
        <v>13</v>
      </c>
      <c r="AC555" s="2" t="s">
        <v>1767</v>
      </c>
      <c r="AD555" s="4">
        <v>200</v>
      </c>
      <c r="AE555" s="4">
        <v>990</v>
      </c>
      <c r="AF555" s="6">
        <v>69</v>
      </c>
      <c r="AG555" s="6"/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/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/>
      <c r="BJ555" s="4">
        <v>23</v>
      </c>
      <c r="BK555" s="8">
        <v>1383.42</v>
      </c>
      <c r="BL555" s="2" t="s">
        <v>2411</v>
      </c>
      <c r="BM555" s="7"/>
      <c r="BN555" s="7"/>
      <c r="BO555" s="4"/>
      <c r="BP555" s="8"/>
      <c r="BQ555" s="4"/>
      <c r="BR555" s="8"/>
      <c r="BS555" s="7"/>
      <c r="BT555" s="7"/>
      <c r="BU555" s="2" t="s">
        <v>171</v>
      </c>
      <c r="BV555" s="2" t="s">
        <v>97</v>
      </c>
      <c r="BW555" s="2" t="s">
        <v>100</v>
      </c>
      <c r="BX555" s="2" t="s">
        <v>100</v>
      </c>
      <c r="BY555" s="2" t="s">
        <v>112</v>
      </c>
      <c r="BZ555" s="2" t="s">
        <v>100</v>
      </c>
    </row>
    <row r="556">
      <c r="A556" s="2" t="s">
        <v>2412</v>
      </c>
      <c r="B556" s="2" t="s">
        <v>87</v>
      </c>
      <c r="C556" s="2" t="s">
        <v>2357</v>
      </c>
      <c r="D556" s="2" t="s">
        <v>963</v>
      </c>
      <c r="E556" s="2" t="s">
        <v>2358</v>
      </c>
      <c r="F556" s="2" t="s">
        <v>748</v>
      </c>
      <c r="G556" s="2" t="s">
        <v>748</v>
      </c>
      <c r="H556" s="2" t="s">
        <v>748</v>
      </c>
      <c r="I556" s="2" t="s">
        <v>2413</v>
      </c>
      <c r="J556" s="2" t="s">
        <v>522</v>
      </c>
      <c r="K556" s="2" t="s">
        <v>236</v>
      </c>
      <c r="L556" s="3">
        <v>49.99</v>
      </c>
      <c r="M556" s="3">
        <v>52.49</v>
      </c>
      <c r="N556" s="3">
        <v>99.99</v>
      </c>
      <c r="O556" s="2" t="s">
        <v>97</v>
      </c>
      <c r="P556" s="2" t="s">
        <v>98</v>
      </c>
      <c r="Q556" s="2" t="s">
        <v>99</v>
      </c>
      <c r="R556" s="2" t="s">
        <v>100</v>
      </c>
      <c r="S556" s="2" t="s">
        <v>2373</v>
      </c>
      <c r="T556" s="2" t="s">
        <v>100</v>
      </c>
      <c r="U556" s="2" t="s">
        <v>100</v>
      </c>
      <c r="V556" s="2" t="s">
        <v>269</v>
      </c>
      <c r="W556" s="2" t="s">
        <v>270</v>
      </c>
      <c r="X556" s="2" t="s">
        <v>271</v>
      </c>
      <c r="Y556" s="2" t="s">
        <v>144</v>
      </c>
      <c r="Z556" s="4">
        <v>52</v>
      </c>
      <c r="AA556" s="4">
        <f>=ROUNDDOWN(8.66666666666667,0)</f>
      </c>
      <c r="AB556" s="5">
        <v>6</v>
      </c>
      <c r="AC556" s="2" t="s">
        <v>1767</v>
      </c>
      <c r="AD556" s="4">
        <v>80</v>
      </c>
      <c r="AE556" s="4">
        <v>320</v>
      </c>
      <c r="AF556" s="6">
        <v>69</v>
      </c>
      <c r="AG556" s="6"/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/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/>
      <c r="BJ556" s="4">
        <v>23</v>
      </c>
      <c r="BK556" s="8">
        <v>1122.88</v>
      </c>
      <c r="BL556" s="2" t="s">
        <v>2414</v>
      </c>
      <c r="BM556" s="7"/>
      <c r="BN556" s="7"/>
      <c r="BO556" s="4"/>
      <c r="BP556" s="8"/>
      <c r="BQ556" s="4"/>
      <c r="BR556" s="8"/>
      <c r="BS556" s="7"/>
      <c r="BT556" s="7"/>
      <c r="BU556" s="2" t="s">
        <v>171</v>
      </c>
      <c r="BV556" s="2" t="s">
        <v>97</v>
      </c>
      <c r="BW556" s="2" t="s">
        <v>100</v>
      </c>
      <c r="BX556" s="2" t="s">
        <v>100</v>
      </c>
      <c r="BY556" s="2" t="s">
        <v>112</v>
      </c>
      <c r="BZ556" s="2" t="s">
        <v>100</v>
      </c>
    </row>
    <row r="557">
      <c r="A557" s="2" t="s">
        <v>2415</v>
      </c>
      <c r="B557" s="2" t="s">
        <v>87</v>
      </c>
      <c r="C557" s="2" t="s">
        <v>2357</v>
      </c>
      <c r="D557" s="2" t="s">
        <v>963</v>
      </c>
      <c r="E557" s="2" t="s">
        <v>2358</v>
      </c>
      <c r="F557" s="2" t="s">
        <v>748</v>
      </c>
      <c r="G557" s="2" t="s">
        <v>748</v>
      </c>
      <c r="H557" s="2" t="s">
        <v>748</v>
      </c>
      <c r="I557" s="2" t="s">
        <v>2413</v>
      </c>
      <c r="J557" s="2" t="s">
        <v>529</v>
      </c>
      <c r="K557" s="2" t="s">
        <v>236</v>
      </c>
      <c r="L557" s="3">
        <v>54.99</v>
      </c>
      <c r="M557" s="3">
        <v>57.74</v>
      </c>
      <c r="N557" s="3">
        <v>109.99</v>
      </c>
      <c r="O557" s="2" t="s">
        <v>97</v>
      </c>
      <c r="P557" s="2" t="s">
        <v>98</v>
      </c>
      <c r="Q557" s="2" t="s">
        <v>99</v>
      </c>
      <c r="R557" s="2" t="s">
        <v>100</v>
      </c>
      <c r="S557" s="2" t="s">
        <v>2373</v>
      </c>
      <c r="T557" s="2" t="s">
        <v>100</v>
      </c>
      <c r="U557" s="2" t="s">
        <v>100</v>
      </c>
      <c r="V557" s="2" t="s">
        <v>269</v>
      </c>
      <c r="W557" s="2" t="s">
        <v>270</v>
      </c>
      <c r="X557" s="2" t="s">
        <v>271</v>
      </c>
      <c r="Y557" s="2" t="s">
        <v>144</v>
      </c>
      <c r="Z557" s="4">
        <v>28</v>
      </c>
      <c r="AA557" s="4">
        <f>=ROUNDDOWN(7,0)</f>
      </c>
      <c r="AB557" s="5">
        <v>4</v>
      </c>
      <c r="AC557" s="2" t="s">
        <v>1767</v>
      </c>
      <c r="AD557" s="4">
        <v>70</v>
      </c>
      <c r="AE557" s="4">
        <v>360</v>
      </c>
      <c r="AF557" s="6">
        <v>69</v>
      </c>
      <c r="AG557" s="6"/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/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/>
      <c r="BJ557" s="4">
        <v>15</v>
      </c>
      <c r="BK557" s="8">
        <v>820.76</v>
      </c>
      <c r="BL557" s="2" t="s">
        <v>880</v>
      </c>
      <c r="BM557" s="7"/>
      <c r="BN557" s="7"/>
      <c r="BO557" s="4"/>
      <c r="BP557" s="8"/>
      <c r="BQ557" s="4"/>
      <c r="BR557" s="8"/>
      <c r="BS557" s="7"/>
      <c r="BT557" s="7"/>
      <c r="BU557" s="2" t="s">
        <v>171</v>
      </c>
      <c r="BV557" s="2" t="s">
        <v>97</v>
      </c>
      <c r="BW557" s="2" t="s">
        <v>100</v>
      </c>
      <c r="BX557" s="2" t="s">
        <v>100</v>
      </c>
      <c r="BY557" s="2" t="s">
        <v>112</v>
      </c>
      <c r="BZ557" s="2" t="s">
        <v>100</v>
      </c>
    </row>
    <row r="558">
      <c r="A558" s="2" t="s">
        <v>2416</v>
      </c>
      <c r="B558" s="2" t="s">
        <v>87</v>
      </c>
      <c r="C558" s="2" t="s">
        <v>2357</v>
      </c>
      <c r="D558" s="2" t="s">
        <v>963</v>
      </c>
      <c r="E558" s="2" t="s">
        <v>2358</v>
      </c>
      <c r="F558" s="2" t="s">
        <v>748</v>
      </c>
      <c r="G558" s="2" t="s">
        <v>748</v>
      </c>
      <c r="H558" s="2" t="s">
        <v>748</v>
      </c>
      <c r="I558" s="2" t="s">
        <v>2372</v>
      </c>
      <c r="J558" s="2" t="s">
        <v>522</v>
      </c>
      <c r="K558" s="2" t="s">
        <v>523</v>
      </c>
      <c r="L558" s="3">
        <v>49.99</v>
      </c>
      <c r="M558" s="3">
        <v>52.49</v>
      </c>
      <c r="N558" s="3">
        <v>99.99</v>
      </c>
      <c r="O558" s="2" t="s">
        <v>97</v>
      </c>
      <c r="P558" s="2" t="s">
        <v>98</v>
      </c>
      <c r="Q558" s="2" t="s">
        <v>99</v>
      </c>
      <c r="R558" s="2" t="s">
        <v>100</v>
      </c>
      <c r="S558" s="2" t="s">
        <v>2373</v>
      </c>
      <c r="T558" s="2" t="s">
        <v>100</v>
      </c>
      <c r="U558" s="2" t="s">
        <v>100</v>
      </c>
      <c r="V558" s="2" t="s">
        <v>269</v>
      </c>
      <c r="W558" s="2" t="s">
        <v>270</v>
      </c>
      <c r="X558" s="2" t="s">
        <v>271</v>
      </c>
      <c r="Y558" s="2" t="s">
        <v>144</v>
      </c>
      <c r="Z558" s="4">
        <v>18</v>
      </c>
      <c r="AA558" s="4">
        <f>=ROUNDDOWN(2.25,0)</f>
      </c>
      <c r="AB558" s="5">
        <v>8</v>
      </c>
      <c r="AC558" s="2" t="s">
        <v>1767</v>
      </c>
      <c r="AD558" s="4">
        <v>85</v>
      </c>
      <c r="AE558" s="4">
        <v>305</v>
      </c>
      <c r="AF558" s="6">
        <v>69</v>
      </c>
      <c r="AG558" s="6"/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/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/>
      <c r="BJ558" s="4">
        <v>39</v>
      </c>
      <c r="BK558" s="8">
        <v>1893.19</v>
      </c>
      <c r="BL558" s="2" t="s">
        <v>2417</v>
      </c>
      <c r="BM558" s="7"/>
      <c r="BN558" s="7"/>
      <c r="BO558" s="4"/>
      <c r="BP558" s="8"/>
      <c r="BQ558" s="4"/>
      <c r="BR558" s="8"/>
      <c r="BS558" s="7"/>
      <c r="BT558" s="7"/>
      <c r="BU558" s="2" t="s">
        <v>171</v>
      </c>
      <c r="BV558" s="2" t="s">
        <v>97</v>
      </c>
      <c r="BW558" s="2" t="s">
        <v>100</v>
      </c>
      <c r="BX558" s="2" t="s">
        <v>100</v>
      </c>
      <c r="BY558" s="2" t="s">
        <v>112</v>
      </c>
      <c r="BZ558" s="2" t="s">
        <v>100</v>
      </c>
    </row>
    <row r="559">
      <c r="A559" s="2" t="s">
        <v>2418</v>
      </c>
      <c r="B559" s="2" t="s">
        <v>87</v>
      </c>
      <c r="C559" s="2" t="s">
        <v>2357</v>
      </c>
      <c r="D559" s="2" t="s">
        <v>963</v>
      </c>
      <c r="E559" s="2" t="s">
        <v>2358</v>
      </c>
      <c r="F559" s="2" t="s">
        <v>748</v>
      </c>
      <c r="G559" s="2" t="s">
        <v>748</v>
      </c>
      <c r="H559" s="2" t="s">
        <v>748</v>
      </c>
      <c r="I559" s="2" t="s">
        <v>2372</v>
      </c>
      <c r="J559" s="2" t="s">
        <v>529</v>
      </c>
      <c r="K559" s="2" t="s">
        <v>523</v>
      </c>
      <c r="L559" s="3">
        <v>54.99</v>
      </c>
      <c r="M559" s="3">
        <v>57.74</v>
      </c>
      <c r="N559" s="3">
        <v>109.99</v>
      </c>
      <c r="O559" s="2" t="s">
        <v>97</v>
      </c>
      <c r="P559" s="2" t="s">
        <v>98</v>
      </c>
      <c r="Q559" s="2" t="s">
        <v>99</v>
      </c>
      <c r="R559" s="2" t="s">
        <v>100</v>
      </c>
      <c r="S559" s="2" t="s">
        <v>2373</v>
      </c>
      <c r="T559" s="2" t="s">
        <v>100</v>
      </c>
      <c r="U559" s="2" t="s">
        <v>100</v>
      </c>
      <c r="V559" s="2" t="s">
        <v>269</v>
      </c>
      <c r="W559" s="2" t="s">
        <v>270</v>
      </c>
      <c r="X559" s="2" t="s">
        <v>271</v>
      </c>
      <c r="Y559" s="2" t="s">
        <v>144</v>
      </c>
      <c r="Z559" s="4">
        <v>21</v>
      </c>
      <c r="AA559" s="4">
        <f>=ROUNDDOWN(5.25,0)</f>
      </c>
      <c r="AB559" s="5">
        <v>4</v>
      </c>
      <c r="AC559" s="2" t="s">
        <v>1767</v>
      </c>
      <c r="AD559" s="4">
        <v>65</v>
      </c>
      <c r="AE559" s="4">
        <v>205</v>
      </c>
      <c r="AF559" s="6">
        <v>69</v>
      </c>
      <c r="AG559" s="6"/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/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/>
      <c r="BJ559" s="4">
        <v>21</v>
      </c>
      <c r="BK559" s="8">
        <v>1194.78</v>
      </c>
      <c r="BL559" s="2" t="s">
        <v>2419</v>
      </c>
      <c r="BM559" s="7"/>
      <c r="BN559" s="7"/>
      <c r="BO559" s="4"/>
      <c r="BP559" s="8"/>
      <c r="BQ559" s="4"/>
      <c r="BR559" s="8"/>
      <c r="BS559" s="7"/>
      <c r="BT559" s="7"/>
      <c r="BU559" s="2" t="s">
        <v>171</v>
      </c>
      <c r="BV559" s="2" t="s">
        <v>97</v>
      </c>
      <c r="BW559" s="2" t="s">
        <v>100</v>
      </c>
      <c r="BX559" s="2" t="s">
        <v>100</v>
      </c>
      <c r="BY559" s="2" t="s">
        <v>112</v>
      </c>
      <c r="BZ559" s="2" t="s">
        <v>100</v>
      </c>
    </row>
    <row r="560">
      <c r="A560" s="2" t="s">
        <v>2420</v>
      </c>
      <c r="B560" s="2" t="s">
        <v>87</v>
      </c>
      <c r="C560" s="2" t="s">
        <v>2357</v>
      </c>
      <c r="D560" s="2" t="s">
        <v>963</v>
      </c>
      <c r="E560" s="2" t="s">
        <v>2358</v>
      </c>
      <c r="F560" s="2" t="s">
        <v>2421</v>
      </c>
      <c r="G560" s="2" t="s">
        <v>2421</v>
      </c>
      <c r="H560" s="2" t="s">
        <v>2421</v>
      </c>
      <c r="I560" s="2" t="s">
        <v>2422</v>
      </c>
      <c r="J560" s="2" t="s">
        <v>522</v>
      </c>
      <c r="K560" s="2" t="s">
        <v>2423</v>
      </c>
      <c r="L560" s="3">
        <v>48</v>
      </c>
      <c r="M560" s="3">
        <v>50.39</v>
      </c>
      <c r="N560" s="3">
        <v>99.99</v>
      </c>
      <c r="O560" s="2" t="s">
        <v>97</v>
      </c>
      <c r="P560" s="2" t="s">
        <v>98</v>
      </c>
      <c r="Q560" s="2" t="s">
        <v>99</v>
      </c>
      <c r="R560" s="2" t="s">
        <v>100</v>
      </c>
      <c r="S560" s="2" t="s">
        <v>2424</v>
      </c>
      <c r="T560" s="2" t="s">
        <v>190</v>
      </c>
      <c r="U560" s="2" t="s">
        <v>901</v>
      </c>
      <c r="V560" s="2" t="s">
        <v>269</v>
      </c>
      <c r="W560" s="2" t="s">
        <v>270</v>
      </c>
      <c r="X560" s="2" t="s">
        <v>594</v>
      </c>
      <c r="Y560" s="2" t="s">
        <v>2249</v>
      </c>
      <c r="Z560" s="4">
        <v>91</v>
      </c>
      <c r="AA560" s="4">
        <f>=ROUNDDOWN(15.1666666666667,0)</f>
      </c>
      <c r="AB560" s="5">
        <v>6</v>
      </c>
      <c r="AC560" s="2" t="s">
        <v>206</v>
      </c>
      <c r="AD560" s="4">
        <v>100</v>
      </c>
      <c r="AE560" s="4">
        <v>200</v>
      </c>
      <c r="AF560" s="6">
        <v>66</v>
      </c>
      <c r="AG560" s="6"/>
      <c r="AH560" s="7">
        <v>0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/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/>
      <c r="BJ560" s="4"/>
      <c r="BK560" s="8"/>
      <c r="BL560" s="2" t="s">
        <v>100</v>
      </c>
      <c r="BM560" s="7"/>
      <c r="BN560" s="7"/>
      <c r="BO560" s="4"/>
      <c r="BP560" s="8"/>
      <c r="BQ560" s="4"/>
      <c r="BR560" s="8"/>
      <c r="BS560" s="7"/>
      <c r="BT560" s="7"/>
      <c r="BU560" s="2" t="s">
        <v>171</v>
      </c>
      <c r="BV560" s="2" t="s">
        <v>97</v>
      </c>
      <c r="BW560" s="2" t="s">
        <v>100</v>
      </c>
      <c r="BX560" s="2" t="s">
        <v>100</v>
      </c>
      <c r="BY560" s="2" t="s">
        <v>112</v>
      </c>
      <c r="BZ560" s="2" t="s">
        <v>100</v>
      </c>
    </row>
    <row r="561">
      <c r="A561" s="2" t="s">
        <v>2425</v>
      </c>
      <c r="B561" s="2" t="s">
        <v>87</v>
      </c>
      <c r="C561" s="2" t="s">
        <v>2357</v>
      </c>
      <c r="D561" s="2" t="s">
        <v>963</v>
      </c>
      <c r="E561" s="2" t="s">
        <v>2358</v>
      </c>
      <c r="F561" s="2" t="s">
        <v>2421</v>
      </c>
      <c r="G561" s="2" t="s">
        <v>2421</v>
      </c>
      <c r="H561" s="2" t="s">
        <v>2421</v>
      </c>
      <c r="I561" s="2" t="s">
        <v>2422</v>
      </c>
      <c r="J561" s="2" t="s">
        <v>529</v>
      </c>
      <c r="K561" s="2" t="s">
        <v>2423</v>
      </c>
      <c r="L561" s="3">
        <v>52.8</v>
      </c>
      <c r="M561" s="3">
        <v>55.43</v>
      </c>
      <c r="N561" s="3">
        <v>109.99</v>
      </c>
      <c r="O561" s="2" t="s">
        <v>97</v>
      </c>
      <c r="P561" s="2" t="s">
        <v>98</v>
      </c>
      <c r="Q561" s="2" t="s">
        <v>99</v>
      </c>
      <c r="R561" s="2" t="s">
        <v>100</v>
      </c>
      <c r="S561" s="2" t="s">
        <v>2424</v>
      </c>
      <c r="T561" s="2" t="s">
        <v>190</v>
      </c>
      <c r="U561" s="2" t="s">
        <v>901</v>
      </c>
      <c r="V561" s="2" t="s">
        <v>269</v>
      </c>
      <c r="W561" s="2" t="s">
        <v>270</v>
      </c>
      <c r="X561" s="2" t="s">
        <v>594</v>
      </c>
      <c r="Y561" s="2" t="s">
        <v>2249</v>
      </c>
      <c r="Z561" s="4">
        <v>103</v>
      </c>
      <c r="AA561" s="4">
        <f>=ROUNDDOWN(17.1666666666667,0)</f>
      </c>
      <c r="AB561" s="5">
        <v>6</v>
      </c>
      <c r="AC561" s="2" t="s">
        <v>206</v>
      </c>
      <c r="AD561" s="4">
        <v>100</v>
      </c>
      <c r="AE561" s="4">
        <v>280</v>
      </c>
      <c r="AF561" s="6">
        <v>66</v>
      </c>
      <c r="AG561" s="6"/>
      <c r="AH561" s="7">
        <v>0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/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/>
      <c r="BJ561" s="4"/>
      <c r="BK561" s="8"/>
      <c r="BL561" s="2" t="s">
        <v>100</v>
      </c>
      <c r="BM561" s="7"/>
      <c r="BN561" s="7"/>
      <c r="BO561" s="4"/>
      <c r="BP561" s="8"/>
      <c r="BQ561" s="4"/>
      <c r="BR561" s="8"/>
      <c r="BS561" s="7"/>
      <c r="BT561" s="7"/>
      <c r="BU561" s="2" t="s">
        <v>171</v>
      </c>
      <c r="BV561" s="2" t="s">
        <v>97</v>
      </c>
      <c r="BW561" s="2" t="s">
        <v>100</v>
      </c>
      <c r="BX561" s="2" t="s">
        <v>100</v>
      </c>
      <c r="BY561" s="2" t="s">
        <v>112</v>
      </c>
      <c r="BZ561" s="2" t="s">
        <v>100</v>
      </c>
    </row>
    <row r="562">
      <c r="A562" s="2" t="s">
        <v>2426</v>
      </c>
      <c r="B562" s="2" t="s">
        <v>87</v>
      </c>
      <c r="C562" s="2" t="s">
        <v>2357</v>
      </c>
      <c r="D562" s="2" t="s">
        <v>963</v>
      </c>
      <c r="E562" s="2" t="s">
        <v>2358</v>
      </c>
      <c r="F562" s="2" t="s">
        <v>2427</v>
      </c>
      <c r="G562" s="2" t="s">
        <v>2427</v>
      </c>
      <c r="H562" s="2" t="s">
        <v>2427</v>
      </c>
      <c r="I562" s="2" t="s">
        <v>2428</v>
      </c>
      <c r="J562" s="2" t="s">
        <v>522</v>
      </c>
      <c r="K562" s="2" t="s">
        <v>2429</v>
      </c>
      <c r="L562" s="3">
        <v>48</v>
      </c>
      <c r="M562" s="3">
        <v>50.39</v>
      </c>
      <c r="N562" s="3">
        <v>99.99</v>
      </c>
      <c r="O562" s="2" t="s">
        <v>97</v>
      </c>
      <c r="P562" s="2" t="s">
        <v>98</v>
      </c>
      <c r="Q562" s="2" t="s">
        <v>99</v>
      </c>
      <c r="R562" s="2" t="s">
        <v>100</v>
      </c>
      <c r="S562" s="2" t="s">
        <v>100</v>
      </c>
      <c r="T562" s="2" t="s">
        <v>100</v>
      </c>
      <c r="U562" s="2" t="s">
        <v>100</v>
      </c>
      <c r="V562" s="2" t="s">
        <v>269</v>
      </c>
      <c r="W562" s="2" t="s">
        <v>270</v>
      </c>
      <c r="X562" s="2" t="s">
        <v>271</v>
      </c>
      <c r="Y562" s="2" t="s">
        <v>2430</v>
      </c>
      <c r="Z562" s="4">
        <v>378</v>
      </c>
      <c r="AA562" s="4">
        <f>=ROUNDDOWN(54,0)</f>
      </c>
      <c r="AB562" s="5">
        <v>7</v>
      </c>
      <c r="AC562" s="2" t="s">
        <v>100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/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/>
      <c r="BJ562" s="4">
        <v>14</v>
      </c>
      <c r="BK562" s="8">
        <v>719.68</v>
      </c>
      <c r="BL562" s="2" t="s">
        <v>2431</v>
      </c>
      <c r="BM562" s="7"/>
      <c r="BN562" s="7"/>
      <c r="BO562" s="4"/>
      <c r="BP562" s="8"/>
      <c r="BQ562" s="4"/>
      <c r="BR562" s="8"/>
      <c r="BS562" s="7"/>
      <c r="BT562" s="7"/>
      <c r="BU562" s="2" t="s">
        <v>171</v>
      </c>
      <c r="BV562" s="2" t="s">
        <v>97</v>
      </c>
      <c r="BW562" s="2" t="s">
        <v>100</v>
      </c>
      <c r="BX562" s="2" t="s">
        <v>100</v>
      </c>
      <c r="BY562" s="2" t="s">
        <v>112</v>
      </c>
      <c r="BZ562" s="2" t="s">
        <v>100</v>
      </c>
    </row>
    <row r="563">
      <c r="A563" s="2" t="s">
        <v>2432</v>
      </c>
      <c r="B563" s="2" t="s">
        <v>87</v>
      </c>
      <c r="C563" s="2" t="s">
        <v>2357</v>
      </c>
      <c r="D563" s="2" t="s">
        <v>963</v>
      </c>
      <c r="E563" s="2" t="s">
        <v>2358</v>
      </c>
      <c r="F563" s="2" t="s">
        <v>2427</v>
      </c>
      <c r="G563" s="2" t="s">
        <v>2427</v>
      </c>
      <c r="H563" s="2" t="s">
        <v>2427</v>
      </c>
      <c r="I563" s="2" t="s">
        <v>2428</v>
      </c>
      <c r="J563" s="2" t="s">
        <v>529</v>
      </c>
      <c r="K563" s="2" t="s">
        <v>2429</v>
      </c>
      <c r="L563" s="3">
        <v>52.8</v>
      </c>
      <c r="M563" s="3">
        <v>55.43</v>
      </c>
      <c r="N563" s="3">
        <v>109.99</v>
      </c>
      <c r="O563" s="2" t="s">
        <v>97</v>
      </c>
      <c r="P563" s="2" t="s">
        <v>98</v>
      </c>
      <c r="Q563" s="2" t="s">
        <v>99</v>
      </c>
      <c r="R563" s="2" t="s">
        <v>100</v>
      </c>
      <c r="S563" s="2" t="s">
        <v>100</v>
      </c>
      <c r="T563" s="2" t="s">
        <v>100</v>
      </c>
      <c r="U563" s="2" t="s">
        <v>100</v>
      </c>
      <c r="V563" s="2" t="s">
        <v>269</v>
      </c>
      <c r="W563" s="2" t="s">
        <v>270</v>
      </c>
      <c r="X563" s="2" t="s">
        <v>271</v>
      </c>
      <c r="Y563" s="2" t="s">
        <v>2430</v>
      </c>
      <c r="Z563" s="4">
        <v>192</v>
      </c>
      <c r="AA563" s="4">
        <f>=ROUNDDOWN(32,0)</f>
      </c>
      <c r="AB563" s="5">
        <v>6</v>
      </c>
      <c r="AC563" s="2" t="s">
        <v>100</v>
      </c>
      <c r="AD563" s="4"/>
      <c r="AE563" s="4"/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/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/>
      <c r="BJ563" s="4">
        <v>14</v>
      </c>
      <c r="BK563" s="8">
        <v>796.91</v>
      </c>
      <c r="BL563" s="2" t="s">
        <v>1404</v>
      </c>
      <c r="BM563" s="7"/>
      <c r="BN563" s="7"/>
      <c r="BO563" s="4"/>
      <c r="BP563" s="8"/>
      <c r="BQ563" s="4"/>
      <c r="BR563" s="8"/>
      <c r="BS563" s="7"/>
      <c r="BT563" s="7"/>
      <c r="BU563" s="2" t="s">
        <v>171</v>
      </c>
      <c r="BV563" s="2" t="s">
        <v>97</v>
      </c>
      <c r="BW563" s="2" t="s">
        <v>100</v>
      </c>
      <c r="BX563" s="2" t="s">
        <v>100</v>
      </c>
      <c r="BY563" s="2" t="s">
        <v>112</v>
      </c>
      <c r="BZ563" s="2" t="s">
        <v>100</v>
      </c>
    </row>
    <row r="564">
      <c r="A564" s="2" t="s">
        <v>2433</v>
      </c>
      <c r="B564" s="2" t="s">
        <v>87</v>
      </c>
      <c r="C564" s="2" t="s">
        <v>2357</v>
      </c>
      <c r="D564" s="2" t="s">
        <v>963</v>
      </c>
      <c r="E564" s="2" t="s">
        <v>2358</v>
      </c>
      <c r="F564" s="2" t="s">
        <v>2434</v>
      </c>
      <c r="G564" s="2" t="s">
        <v>2434</v>
      </c>
      <c r="H564" s="2" t="s">
        <v>2434</v>
      </c>
      <c r="I564" s="2" t="s">
        <v>2378</v>
      </c>
      <c r="J564" s="2" t="s">
        <v>352</v>
      </c>
      <c r="K564" s="2" t="s">
        <v>523</v>
      </c>
      <c r="L564" s="3">
        <v>39</v>
      </c>
      <c r="M564" s="3">
        <v>40.95</v>
      </c>
      <c r="N564" s="3">
        <v>89.99</v>
      </c>
      <c r="O564" s="2" t="s">
        <v>97</v>
      </c>
      <c r="P564" s="2" t="s">
        <v>98</v>
      </c>
      <c r="Q564" s="2" t="s">
        <v>99</v>
      </c>
      <c r="R564" s="2" t="s">
        <v>100</v>
      </c>
      <c r="S564" s="2" t="s">
        <v>2408</v>
      </c>
      <c r="T564" s="2" t="s">
        <v>190</v>
      </c>
      <c r="U564" s="2" t="s">
        <v>894</v>
      </c>
      <c r="V564" s="2" t="s">
        <v>2380</v>
      </c>
      <c r="W564" s="2" t="s">
        <v>270</v>
      </c>
      <c r="X564" s="2" t="s">
        <v>104</v>
      </c>
      <c r="Y564" s="2" t="s">
        <v>2381</v>
      </c>
      <c r="Z564" s="4">
        <v>771</v>
      </c>
      <c r="AA564" s="4">
        <f>=ROUNDDOWN(55.0714285714286,0)</f>
      </c>
      <c r="AB564" s="5">
        <v>14</v>
      </c>
      <c r="AC564" s="2" t="s">
        <v>330</v>
      </c>
      <c r="AD564" s="4">
        <v>350</v>
      </c>
      <c r="AE564" s="4">
        <v>350</v>
      </c>
      <c r="AF564" s="6">
        <v>69</v>
      </c>
      <c r="AG564" s="6"/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/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/>
      <c r="BJ564" s="4">
        <v>28</v>
      </c>
      <c r="BK564" s="8">
        <v>1158.62</v>
      </c>
      <c r="BL564" s="2" t="s">
        <v>444</v>
      </c>
      <c r="BM564" s="7"/>
      <c r="BN564" s="7"/>
      <c r="BO564" s="4"/>
      <c r="BP564" s="8"/>
      <c r="BQ564" s="4"/>
      <c r="BR564" s="8"/>
      <c r="BS564" s="7"/>
      <c r="BT564" s="7"/>
      <c r="BU564" s="2" t="s">
        <v>171</v>
      </c>
      <c r="BV564" s="2" t="s">
        <v>97</v>
      </c>
      <c r="BW564" s="2" t="s">
        <v>100</v>
      </c>
      <c r="BX564" s="2" t="s">
        <v>100</v>
      </c>
      <c r="BY564" s="2" t="s">
        <v>112</v>
      </c>
      <c r="BZ564" s="2" t="s">
        <v>100</v>
      </c>
    </row>
    <row r="565">
      <c r="A565" s="2" t="s">
        <v>2435</v>
      </c>
      <c r="B565" s="2" t="s">
        <v>87</v>
      </c>
      <c r="C565" s="2" t="s">
        <v>2357</v>
      </c>
      <c r="D565" s="2" t="s">
        <v>963</v>
      </c>
      <c r="E565" s="2" t="s">
        <v>2358</v>
      </c>
      <c r="F565" s="2" t="s">
        <v>2434</v>
      </c>
      <c r="G565" s="2" t="s">
        <v>2434</v>
      </c>
      <c r="H565" s="2" t="s">
        <v>2434</v>
      </c>
      <c r="I565" s="2" t="s">
        <v>2378</v>
      </c>
      <c r="J565" s="2" t="s">
        <v>522</v>
      </c>
      <c r="K565" s="2" t="s">
        <v>523</v>
      </c>
      <c r="L565" s="3">
        <v>49.99</v>
      </c>
      <c r="M565" s="3">
        <v>52.49</v>
      </c>
      <c r="N565" s="3">
        <v>119.99</v>
      </c>
      <c r="O565" s="2" t="s">
        <v>97</v>
      </c>
      <c r="P565" s="2" t="s">
        <v>139</v>
      </c>
      <c r="Q565" s="2" t="s">
        <v>99</v>
      </c>
      <c r="R565" s="2" t="s">
        <v>100</v>
      </c>
      <c r="S565" s="2" t="s">
        <v>2408</v>
      </c>
      <c r="T565" s="2" t="s">
        <v>190</v>
      </c>
      <c r="U565" s="2" t="s">
        <v>901</v>
      </c>
      <c r="V565" s="2" t="s">
        <v>2380</v>
      </c>
      <c r="W565" s="2" t="s">
        <v>270</v>
      </c>
      <c r="X565" s="2" t="s">
        <v>104</v>
      </c>
      <c r="Y565" s="2" t="s">
        <v>144</v>
      </c>
      <c r="Z565" s="4">
        <v>353</v>
      </c>
      <c r="AA565" s="4">
        <f>=ROUNDDOWN(12.6071428571429,0)</f>
      </c>
      <c r="AB565" s="5">
        <v>28</v>
      </c>
      <c r="AC565" s="2" t="s">
        <v>1094</v>
      </c>
      <c r="AD565" s="4">
        <v>500</v>
      </c>
      <c r="AE565" s="4">
        <v>1230</v>
      </c>
      <c r="AF565" s="6">
        <v>69</v>
      </c>
      <c r="AG565" s="6"/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/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/>
      <c r="BJ565" s="4">
        <v>92</v>
      </c>
      <c r="BK565" s="8">
        <v>5290.13</v>
      </c>
      <c r="BL565" s="2" t="s">
        <v>2436</v>
      </c>
      <c r="BM565" s="7"/>
      <c r="BN565" s="7"/>
      <c r="BO565" s="4"/>
      <c r="BP565" s="8"/>
      <c r="BQ565" s="4"/>
      <c r="BR565" s="8"/>
      <c r="BS565" s="7"/>
      <c r="BT565" s="7"/>
      <c r="BU565" s="2" t="s">
        <v>171</v>
      </c>
      <c r="BV565" s="2" t="s">
        <v>97</v>
      </c>
      <c r="BW565" s="2" t="s">
        <v>100</v>
      </c>
      <c r="BX565" s="2" t="s">
        <v>100</v>
      </c>
      <c r="BY565" s="2" t="s">
        <v>112</v>
      </c>
      <c r="BZ565" s="2" t="s">
        <v>100</v>
      </c>
    </row>
    <row r="566">
      <c r="A566" s="2" t="s">
        <v>2437</v>
      </c>
      <c r="B566" s="2" t="s">
        <v>87</v>
      </c>
      <c r="C566" s="2" t="s">
        <v>2357</v>
      </c>
      <c r="D566" s="2" t="s">
        <v>963</v>
      </c>
      <c r="E566" s="2" t="s">
        <v>2358</v>
      </c>
      <c r="F566" s="2" t="s">
        <v>2434</v>
      </c>
      <c r="G566" s="2" t="s">
        <v>2434</v>
      </c>
      <c r="H566" s="2" t="s">
        <v>2434</v>
      </c>
      <c r="I566" s="2" t="s">
        <v>2378</v>
      </c>
      <c r="J566" s="2" t="s">
        <v>529</v>
      </c>
      <c r="K566" s="2" t="s">
        <v>523</v>
      </c>
      <c r="L566" s="3">
        <v>54.99</v>
      </c>
      <c r="M566" s="3">
        <v>57.74</v>
      </c>
      <c r="N566" s="3">
        <v>129.99</v>
      </c>
      <c r="O566" s="2" t="s">
        <v>97</v>
      </c>
      <c r="P566" s="2" t="s">
        <v>139</v>
      </c>
      <c r="Q566" s="2" t="s">
        <v>99</v>
      </c>
      <c r="R566" s="2" t="s">
        <v>100</v>
      </c>
      <c r="S566" s="2" t="s">
        <v>2408</v>
      </c>
      <c r="T566" s="2" t="s">
        <v>190</v>
      </c>
      <c r="U566" s="2" t="s">
        <v>901</v>
      </c>
      <c r="V566" s="2" t="s">
        <v>2380</v>
      </c>
      <c r="W566" s="2" t="s">
        <v>270</v>
      </c>
      <c r="X566" s="2" t="s">
        <v>104</v>
      </c>
      <c r="Y566" s="2" t="s">
        <v>144</v>
      </c>
      <c r="Z566" s="4">
        <v>773</v>
      </c>
      <c r="AA566" s="4">
        <f>=ROUNDDOWN(28.6296296296296,0)</f>
      </c>
      <c r="AB566" s="5">
        <v>27</v>
      </c>
      <c r="AC566" s="2" t="s">
        <v>1468</v>
      </c>
      <c r="AD566" s="4">
        <v>470</v>
      </c>
      <c r="AE566" s="4">
        <v>920</v>
      </c>
      <c r="AF566" s="6">
        <v>69</v>
      </c>
      <c r="AG566" s="6"/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/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/>
      <c r="BJ566" s="4">
        <v>89</v>
      </c>
      <c r="BK566" s="8">
        <v>5423.27</v>
      </c>
      <c r="BL566" s="2" t="s">
        <v>2438</v>
      </c>
      <c r="BM566" s="7"/>
      <c r="BN566" s="7"/>
      <c r="BO566" s="4"/>
      <c r="BP566" s="8"/>
      <c r="BQ566" s="4"/>
      <c r="BR566" s="8"/>
      <c r="BS566" s="7"/>
      <c r="BT566" s="7"/>
      <c r="BU566" s="2" t="s">
        <v>171</v>
      </c>
      <c r="BV566" s="2" t="s">
        <v>97</v>
      </c>
      <c r="BW566" s="2" t="s">
        <v>100</v>
      </c>
      <c r="BX566" s="2" t="s">
        <v>100</v>
      </c>
      <c r="BY566" s="2" t="s">
        <v>112</v>
      </c>
      <c r="BZ566" s="2" t="s">
        <v>100</v>
      </c>
    </row>
    <row r="567">
      <c r="A567" s="2" t="s">
        <v>2439</v>
      </c>
      <c r="B567" s="2" t="s">
        <v>87</v>
      </c>
      <c r="C567" s="2" t="s">
        <v>2357</v>
      </c>
      <c r="D567" s="2" t="s">
        <v>963</v>
      </c>
      <c r="E567" s="2" t="s">
        <v>2358</v>
      </c>
      <c r="F567" s="2" t="s">
        <v>2440</v>
      </c>
      <c r="G567" s="2" t="s">
        <v>2440</v>
      </c>
      <c r="H567" s="2" t="s">
        <v>2440</v>
      </c>
      <c r="I567" s="2" t="s">
        <v>2372</v>
      </c>
      <c r="J567" s="2" t="s">
        <v>522</v>
      </c>
      <c r="K567" s="2" t="s">
        <v>673</v>
      </c>
      <c r="L567" s="3">
        <v>49.99</v>
      </c>
      <c r="M567" s="3">
        <v>52.49</v>
      </c>
      <c r="N567" s="3">
        <v>109.99</v>
      </c>
      <c r="O567" s="2" t="s">
        <v>97</v>
      </c>
      <c r="P567" s="2" t="s">
        <v>123</v>
      </c>
      <c r="Q567" s="2" t="s">
        <v>99</v>
      </c>
      <c r="R567" s="2" t="s">
        <v>100</v>
      </c>
      <c r="S567" s="2" t="s">
        <v>2373</v>
      </c>
      <c r="T567" s="2" t="s">
        <v>100</v>
      </c>
      <c r="U567" s="2" t="s">
        <v>100</v>
      </c>
      <c r="V567" s="2" t="s">
        <v>269</v>
      </c>
      <c r="W567" s="2" t="s">
        <v>270</v>
      </c>
      <c r="X567" s="2" t="s">
        <v>271</v>
      </c>
      <c r="Y567" s="2" t="s">
        <v>144</v>
      </c>
      <c r="Z567" s="4">
        <v>244</v>
      </c>
      <c r="AA567" s="4">
        <f>=ROUNDDOWN(17.4285714285714,0)</f>
      </c>
      <c r="AB567" s="5">
        <v>14</v>
      </c>
      <c r="AC567" s="2" t="s">
        <v>1238</v>
      </c>
      <c r="AD567" s="4">
        <v>260</v>
      </c>
      <c r="AE567" s="4">
        <v>480</v>
      </c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/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/>
      <c r="BJ567" s="4">
        <v>57</v>
      </c>
      <c r="BK567" s="8">
        <v>3085.26</v>
      </c>
      <c r="BL567" s="2" t="s">
        <v>2441</v>
      </c>
      <c r="BM567" s="7"/>
      <c r="BN567" s="7"/>
      <c r="BO567" s="4"/>
      <c r="BP567" s="8"/>
      <c r="BQ567" s="4"/>
      <c r="BR567" s="8"/>
      <c r="BS567" s="7"/>
      <c r="BT567" s="7"/>
      <c r="BU567" s="2" t="s">
        <v>171</v>
      </c>
      <c r="BV567" s="2" t="s">
        <v>97</v>
      </c>
      <c r="BW567" s="2" t="s">
        <v>100</v>
      </c>
      <c r="BX567" s="2" t="s">
        <v>100</v>
      </c>
      <c r="BY567" s="2" t="s">
        <v>112</v>
      </c>
      <c r="BZ567" s="2" t="s">
        <v>100</v>
      </c>
    </row>
    <row r="568">
      <c r="A568" s="2" t="s">
        <v>2442</v>
      </c>
      <c r="B568" s="2" t="s">
        <v>87</v>
      </c>
      <c r="C568" s="2" t="s">
        <v>2357</v>
      </c>
      <c r="D568" s="2" t="s">
        <v>963</v>
      </c>
      <c r="E568" s="2" t="s">
        <v>2358</v>
      </c>
      <c r="F568" s="2" t="s">
        <v>2440</v>
      </c>
      <c r="G568" s="2" t="s">
        <v>2440</v>
      </c>
      <c r="H568" s="2" t="s">
        <v>2440</v>
      </c>
      <c r="I568" s="2" t="s">
        <v>2372</v>
      </c>
      <c r="J568" s="2" t="s">
        <v>529</v>
      </c>
      <c r="K568" s="2" t="s">
        <v>673</v>
      </c>
      <c r="L568" s="3">
        <v>54.99</v>
      </c>
      <c r="M568" s="3">
        <v>57.74</v>
      </c>
      <c r="N568" s="3">
        <v>119.99</v>
      </c>
      <c r="O568" s="2" t="s">
        <v>97</v>
      </c>
      <c r="P568" s="2" t="s">
        <v>123</v>
      </c>
      <c r="Q568" s="2" t="s">
        <v>99</v>
      </c>
      <c r="R568" s="2" t="s">
        <v>100</v>
      </c>
      <c r="S568" s="2" t="s">
        <v>2373</v>
      </c>
      <c r="T568" s="2" t="s">
        <v>100</v>
      </c>
      <c r="U568" s="2" t="s">
        <v>100</v>
      </c>
      <c r="V568" s="2" t="s">
        <v>269</v>
      </c>
      <c r="W568" s="2" t="s">
        <v>270</v>
      </c>
      <c r="X568" s="2" t="s">
        <v>271</v>
      </c>
      <c r="Y568" s="2" t="s">
        <v>144</v>
      </c>
      <c r="Z568" s="4">
        <v>179</v>
      </c>
      <c r="AA568" s="4">
        <f>=ROUNDDOWN(14.9166666666667,0)</f>
      </c>
      <c r="AB568" s="5">
        <v>12</v>
      </c>
      <c r="AC568" s="2" t="s">
        <v>1468</v>
      </c>
      <c r="AD568" s="4">
        <v>70</v>
      </c>
      <c r="AE568" s="4">
        <v>530</v>
      </c>
      <c r="AF568" s="6">
        <v>69</v>
      </c>
      <c r="AG568" s="6"/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/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/>
      <c r="BJ568" s="4">
        <v>54</v>
      </c>
      <c r="BK568" s="8">
        <v>3250.81</v>
      </c>
      <c r="BL568" s="2" t="s">
        <v>2443</v>
      </c>
      <c r="BM568" s="7"/>
      <c r="BN568" s="7"/>
      <c r="BO568" s="4"/>
      <c r="BP568" s="8"/>
      <c r="BQ568" s="4"/>
      <c r="BR568" s="8"/>
      <c r="BS568" s="7"/>
      <c r="BT568" s="7"/>
      <c r="BU568" s="2" t="s">
        <v>171</v>
      </c>
      <c r="BV568" s="2" t="s">
        <v>97</v>
      </c>
      <c r="BW568" s="2" t="s">
        <v>100</v>
      </c>
      <c r="BX568" s="2" t="s">
        <v>100</v>
      </c>
      <c r="BY568" s="2" t="s">
        <v>112</v>
      </c>
      <c r="BZ568" s="2" t="s">
        <v>100</v>
      </c>
    </row>
    <row r="569">
      <c r="A569" s="2" t="s">
        <v>2444</v>
      </c>
      <c r="B569" s="2" t="s">
        <v>87</v>
      </c>
      <c r="C569" s="2" t="s">
        <v>2357</v>
      </c>
      <c r="D569" s="2" t="s">
        <v>963</v>
      </c>
      <c r="E569" s="2" t="s">
        <v>2358</v>
      </c>
      <c r="F569" s="2" t="s">
        <v>2445</v>
      </c>
      <c r="G569" s="2" t="s">
        <v>2445</v>
      </c>
      <c r="H569" s="2" t="s">
        <v>2445</v>
      </c>
      <c r="I569" s="2" t="s">
        <v>2446</v>
      </c>
      <c r="J569" s="2" t="s">
        <v>522</v>
      </c>
      <c r="K569" s="2" t="s">
        <v>236</v>
      </c>
      <c r="L569" s="3">
        <v>49.99</v>
      </c>
      <c r="M569" s="3">
        <v>52.49</v>
      </c>
      <c r="N569" s="3">
        <v>99.99</v>
      </c>
      <c r="O569" s="2" t="s">
        <v>97</v>
      </c>
      <c r="P569" s="2" t="s">
        <v>98</v>
      </c>
      <c r="Q569" s="2" t="s">
        <v>99</v>
      </c>
      <c r="R569" s="2" t="s">
        <v>100</v>
      </c>
      <c r="S569" s="2" t="s">
        <v>2373</v>
      </c>
      <c r="T569" s="2" t="s">
        <v>100</v>
      </c>
      <c r="U569" s="2" t="s">
        <v>100</v>
      </c>
      <c r="V569" s="2" t="s">
        <v>2447</v>
      </c>
      <c r="W569" s="2" t="s">
        <v>270</v>
      </c>
      <c r="X569" s="2" t="s">
        <v>271</v>
      </c>
      <c r="Y569" s="2" t="s">
        <v>144</v>
      </c>
      <c r="Z569" s="4">
        <v>593</v>
      </c>
      <c r="AA569" s="4">
        <f>=ROUNDDOWN(65.8888888888889,0)</f>
      </c>
      <c r="AB569" s="5">
        <v>9</v>
      </c>
      <c r="AC569" s="2" t="s">
        <v>100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/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/>
      <c r="BJ569" s="4">
        <v>19</v>
      </c>
      <c r="BK569" s="8">
        <v>974.62</v>
      </c>
      <c r="BL569" s="2" t="s">
        <v>2448</v>
      </c>
      <c r="BM569" s="7"/>
      <c r="BN569" s="7"/>
      <c r="BO569" s="4"/>
      <c r="BP569" s="8"/>
      <c r="BQ569" s="4"/>
      <c r="BR569" s="8"/>
      <c r="BS569" s="7"/>
      <c r="BT569" s="7"/>
      <c r="BU569" s="2" t="s">
        <v>171</v>
      </c>
      <c r="BV569" s="2" t="s">
        <v>97</v>
      </c>
      <c r="BW569" s="2" t="s">
        <v>100</v>
      </c>
      <c r="BX569" s="2" t="s">
        <v>100</v>
      </c>
      <c r="BY569" s="2" t="s">
        <v>112</v>
      </c>
      <c r="BZ569" s="2" t="s">
        <v>100</v>
      </c>
    </row>
    <row r="570">
      <c r="A570" s="2" t="s">
        <v>2449</v>
      </c>
      <c r="B570" s="2" t="s">
        <v>87</v>
      </c>
      <c r="C570" s="2" t="s">
        <v>2357</v>
      </c>
      <c r="D570" s="2" t="s">
        <v>963</v>
      </c>
      <c r="E570" s="2" t="s">
        <v>2358</v>
      </c>
      <c r="F570" s="2" t="s">
        <v>2445</v>
      </c>
      <c r="G570" s="2" t="s">
        <v>2445</v>
      </c>
      <c r="H570" s="2" t="s">
        <v>2445</v>
      </c>
      <c r="I570" s="2" t="s">
        <v>2446</v>
      </c>
      <c r="J570" s="2" t="s">
        <v>529</v>
      </c>
      <c r="K570" s="2" t="s">
        <v>236</v>
      </c>
      <c r="L570" s="3">
        <v>54.99</v>
      </c>
      <c r="M570" s="3">
        <v>57.74</v>
      </c>
      <c r="N570" s="3">
        <v>109.99</v>
      </c>
      <c r="O570" s="2" t="s">
        <v>97</v>
      </c>
      <c r="P570" s="2" t="s">
        <v>98</v>
      </c>
      <c r="Q570" s="2" t="s">
        <v>99</v>
      </c>
      <c r="R570" s="2" t="s">
        <v>100</v>
      </c>
      <c r="S570" s="2" t="s">
        <v>2373</v>
      </c>
      <c r="T570" s="2" t="s">
        <v>100</v>
      </c>
      <c r="U570" s="2" t="s">
        <v>100</v>
      </c>
      <c r="V570" s="2" t="s">
        <v>2447</v>
      </c>
      <c r="W570" s="2" t="s">
        <v>270</v>
      </c>
      <c r="X570" s="2" t="s">
        <v>271</v>
      </c>
      <c r="Y570" s="2" t="s">
        <v>144</v>
      </c>
      <c r="Z570" s="4">
        <v>349</v>
      </c>
      <c r="AA570" s="4">
        <f>=ROUNDDOWN(34.9,0)</f>
      </c>
      <c r="AB570" s="5">
        <v>10</v>
      </c>
      <c r="AC570" s="2" t="s">
        <v>100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/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/>
      <c r="BJ570" s="4">
        <v>20</v>
      </c>
      <c r="BK570" s="8">
        <v>1165.09</v>
      </c>
      <c r="BL570" s="2" t="s">
        <v>2450</v>
      </c>
      <c r="BM570" s="7"/>
      <c r="BN570" s="7"/>
      <c r="BO570" s="4"/>
      <c r="BP570" s="8"/>
      <c r="BQ570" s="4"/>
      <c r="BR570" s="8"/>
      <c r="BS570" s="7"/>
      <c r="BT570" s="7"/>
      <c r="BU570" s="2" t="s">
        <v>171</v>
      </c>
      <c r="BV570" s="2" t="s">
        <v>97</v>
      </c>
      <c r="BW570" s="2" t="s">
        <v>100</v>
      </c>
      <c r="BX570" s="2" t="s">
        <v>100</v>
      </c>
      <c r="BY570" s="2" t="s">
        <v>112</v>
      </c>
      <c r="BZ570" s="2" t="s">
        <v>100</v>
      </c>
    </row>
    <row r="571">
      <c r="A571" s="2" t="s">
        <v>2451</v>
      </c>
      <c r="B571" s="2" t="s">
        <v>87</v>
      </c>
      <c r="C571" s="2" t="s">
        <v>2357</v>
      </c>
      <c r="D571" s="2" t="s">
        <v>963</v>
      </c>
      <c r="E571" s="2" t="s">
        <v>964</v>
      </c>
      <c r="F571" s="2" t="s">
        <v>2407</v>
      </c>
      <c r="G571" s="2" t="s">
        <v>2407</v>
      </c>
      <c r="H571" s="2" t="s">
        <v>100</v>
      </c>
      <c r="I571" s="2" t="s">
        <v>2452</v>
      </c>
      <c r="J571" s="2" t="s">
        <v>969</v>
      </c>
      <c r="K571" s="2" t="s">
        <v>236</v>
      </c>
      <c r="L571" s="3">
        <v>59.99</v>
      </c>
      <c r="M571" s="3">
        <v>62.99</v>
      </c>
      <c r="N571" s="3">
        <v>129.99</v>
      </c>
      <c r="O571" s="2" t="s">
        <v>97</v>
      </c>
      <c r="P571" s="2" t="s">
        <v>98</v>
      </c>
      <c r="Q571" s="2" t="s">
        <v>99</v>
      </c>
      <c r="R571" s="2" t="s">
        <v>100</v>
      </c>
      <c r="S571" s="2" t="s">
        <v>2373</v>
      </c>
      <c r="T571" s="2" t="s">
        <v>100</v>
      </c>
      <c r="U571" s="2" t="s">
        <v>100</v>
      </c>
      <c r="V571" s="2" t="s">
        <v>269</v>
      </c>
      <c r="W571" s="2" t="s">
        <v>270</v>
      </c>
      <c r="X571" s="2" t="s">
        <v>271</v>
      </c>
      <c r="Y571" s="2" t="s">
        <v>2453</v>
      </c>
      <c r="Z571" s="4"/>
      <c r="AA571" s="4">
        <f>=ROUNDDOWN({0},0)</f>
      </c>
      <c r="AB571" s="5">
        <v>7</v>
      </c>
      <c r="AC571" s="2" t="s">
        <v>1767</v>
      </c>
      <c r="AD571" s="4">
        <v>30</v>
      </c>
      <c r="AE571" s="4">
        <v>350</v>
      </c>
      <c r="AF571" s="6">
        <v>69</v>
      </c>
      <c r="AG571" s="6"/>
      <c r="AH571" s="7">
        <v>0.2581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>
        <v>12</v>
      </c>
      <c r="BK571" s="8">
        <v>827.08</v>
      </c>
      <c r="BL571" s="2" t="s">
        <v>2454</v>
      </c>
      <c r="BM571" s="7"/>
      <c r="BN571" s="7"/>
      <c r="BO571" s="4"/>
      <c r="BP571" s="8"/>
      <c r="BQ571" s="4"/>
      <c r="BR571" s="8"/>
      <c r="BS571" s="7"/>
      <c r="BT571" s="7"/>
      <c r="BU571" s="2" t="s">
        <v>171</v>
      </c>
      <c r="BV571" s="2" t="s">
        <v>97</v>
      </c>
      <c r="BW571" s="2" t="s">
        <v>100</v>
      </c>
      <c r="BX571" s="2" t="s">
        <v>100</v>
      </c>
      <c r="BY571" s="2" t="s">
        <v>112</v>
      </c>
      <c r="BZ571" s="2" t="s">
        <v>100</v>
      </c>
    </row>
    <row r="572">
      <c r="A572" s="2" t="s">
        <v>2455</v>
      </c>
      <c r="B572" s="2" t="s">
        <v>87</v>
      </c>
      <c r="C572" s="2" t="s">
        <v>2357</v>
      </c>
      <c r="D572" s="2" t="s">
        <v>963</v>
      </c>
      <c r="E572" s="2" t="s">
        <v>964</v>
      </c>
      <c r="F572" s="2" t="s">
        <v>2440</v>
      </c>
      <c r="G572" s="2" t="s">
        <v>2440</v>
      </c>
      <c r="H572" s="2" t="s">
        <v>100</v>
      </c>
      <c r="I572" s="2" t="s">
        <v>2452</v>
      </c>
      <c r="J572" s="2" t="s">
        <v>969</v>
      </c>
      <c r="K572" s="2" t="s">
        <v>523</v>
      </c>
      <c r="L572" s="3">
        <v>59.99</v>
      </c>
      <c r="M572" s="3">
        <v>62.99</v>
      </c>
      <c r="N572" s="3">
        <v>119.99</v>
      </c>
      <c r="O572" s="2" t="s">
        <v>97</v>
      </c>
      <c r="P572" s="2" t="s">
        <v>123</v>
      </c>
      <c r="Q572" s="2" t="s">
        <v>99</v>
      </c>
      <c r="R572" s="2" t="s">
        <v>100</v>
      </c>
      <c r="S572" s="2" t="s">
        <v>2373</v>
      </c>
      <c r="T572" s="2" t="s">
        <v>100</v>
      </c>
      <c r="U572" s="2" t="s">
        <v>100</v>
      </c>
      <c r="V572" s="2" t="s">
        <v>269</v>
      </c>
      <c r="W572" s="2" t="s">
        <v>270</v>
      </c>
      <c r="X572" s="2" t="s">
        <v>271</v>
      </c>
      <c r="Y572" s="2" t="s">
        <v>2453</v>
      </c>
      <c r="Z572" s="4"/>
      <c r="AA572" s="4">
        <f>=ROUNDDOWN({0},0)</f>
      </c>
      <c r="AB572" s="5">
        <v>6</v>
      </c>
      <c r="AC572" s="2" t="s">
        <v>1767</v>
      </c>
      <c r="AD572" s="4">
        <v>90</v>
      </c>
      <c r="AE572" s="4">
        <v>260</v>
      </c>
      <c r="AF572" s="6">
        <v>69</v>
      </c>
      <c r="AG572" s="6"/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>
        <v>23</v>
      </c>
      <c r="BK572" s="8">
        <v>1509.63</v>
      </c>
      <c r="BL572" s="2" t="s">
        <v>921</v>
      </c>
      <c r="BM572" s="7"/>
      <c r="BN572" s="7"/>
      <c r="BO572" s="4"/>
      <c r="BP572" s="8"/>
      <c r="BQ572" s="4"/>
      <c r="BR572" s="8"/>
      <c r="BS572" s="7"/>
      <c r="BT572" s="7"/>
      <c r="BU572" s="2" t="s">
        <v>171</v>
      </c>
      <c r="BV572" s="2" t="s">
        <v>97</v>
      </c>
      <c r="BW572" s="2" t="s">
        <v>100</v>
      </c>
      <c r="BX572" s="2" t="s">
        <v>100</v>
      </c>
      <c r="BY572" s="2" t="s">
        <v>112</v>
      </c>
      <c r="BZ572" s="2" t="s">
        <v>100</v>
      </c>
    </row>
    <row r="573">
      <c r="A573" s="2" t="s">
        <v>2456</v>
      </c>
      <c r="B573" s="2" t="s">
        <v>87</v>
      </c>
      <c r="C573" s="2" t="s">
        <v>2357</v>
      </c>
      <c r="D573" s="2" t="s">
        <v>1771</v>
      </c>
      <c r="E573" s="2" t="s">
        <v>1772</v>
      </c>
      <c r="F573" s="2" t="s">
        <v>748</v>
      </c>
      <c r="G573" s="2" t="s">
        <v>748</v>
      </c>
      <c r="H573" s="2" t="s">
        <v>748</v>
      </c>
      <c r="I573" s="2" t="s">
        <v>2457</v>
      </c>
      <c r="J573" s="2" t="s">
        <v>1781</v>
      </c>
      <c r="K573" s="2" t="s">
        <v>523</v>
      </c>
      <c r="L573" s="3">
        <v>22.05</v>
      </c>
      <c r="M573" s="3">
        <v>23.15</v>
      </c>
      <c r="N573" s="3">
        <v>44.99</v>
      </c>
      <c r="O573" s="2" t="s">
        <v>97</v>
      </c>
      <c r="P573" s="2" t="s">
        <v>98</v>
      </c>
      <c r="Q573" s="2" t="s">
        <v>99</v>
      </c>
      <c r="R573" s="2" t="s">
        <v>100</v>
      </c>
      <c r="S573" s="2" t="s">
        <v>2373</v>
      </c>
      <c r="T573" s="2" t="s">
        <v>100</v>
      </c>
      <c r="U573" s="2" t="s">
        <v>100</v>
      </c>
      <c r="V573" s="2" t="s">
        <v>269</v>
      </c>
      <c r="W573" s="2" t="s">
        <v>270</v>
      </c>
      <c r="X573" s="2" t="s">
        <v>271</v>
      </c>
      <c r="Y573" s="2" t="s">
        <v>144</v>
      </c>
      <c r="Z573" s="4">
        <v>293</v>
      </c>
      <c r="AA573" s="4">
        <f>=ROUNDDOWN(12.7391304347826,0)</f>
      </c>
      <c r="AB573" s="5">
        <v>23</v>
      </c>
      <c r="AC573" s="2" t="s">
        <v>1238</v>
      </c>
      <c r="AD573" s="4">
        <v>260</v>
      </c>
      <c r="AE573" s="4">
        <v>960</v>
      </c>
      <c r="AF573" s="6">
        <v>69</v>
      </c>
      <c r="AG573" s="6"/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2</v>
      </c>
      <c r="AQ573" s="8">
        <v>53.26</v>
      </c>
      <c r="AR573" s="4"/>
      <c r="AS573" s="8"/>
      <c r="AT573" s="7"/>
      <c r="AU573" s="7"/>
      <c r="AV573" s="4">
        <v>2</v>
      </c>
      <c r="AW573" s="8">
        <v>53.26</v>
      </c>
      <c r="AX573" s="4"/>
      <c r="AY573" s="8"/>
      <c r="AZ573" s="7"/>
      <c r="BA573" s="7"/>
      <c r="BB573" s="7">
        <v>1</v>
      </c>
      <c r="BC573" s="4">
        <v>2</v>
      </c>
      <c r="BD573" s="8">
        <v>53.26</v>
      </c>
      <c r="BE573" s="4"/>
      <c r="BF573" s="8"/>
      <c r="BG573" s="7"/>
      <c r="BH573" s="7"/>
      <c r="BI573" s="7">
        <v>1</v>
      </c>
      <c r="BJ573" s="4">
        <v>99</v>
      </c>
      <c r="BK573" s="8">
        <v>2300.1</v>
      </c>
      <c r="BL573" s="2" t="s">
        <v>2458</v>
      </c>
      <c r="BM573" s="7">
        <v>0.0202</v>
      </c>
      <c r="BN573" s="7">
        <v>0.0232</v>
      </c>
      <c r="BO573" s="4">
        <v>2</v>
      </c>
      <c r="BP573" s="8">
        <v>53.26</v>
      </c>
      <c r="BQ573" s="4"/>
      <c r="BR573" s="8"/>
      <c r="BS573" s="7"/>
      <c r="BT573" s="7"/>
      <c r="BU573" s="2" t="s">
        <v>109</v>
      </c>
      <c r="BV573" s="2" t="s">
        <v>97</v>
      </c>
      <c r="BW573" s="2" t="s">
        <v>2365</v>
      </c>
      <c r="BX573" s="2" t="s">
        <v>2459</v>
      </c>
      <c r="BY573" s="2" t="s">
        <v>112</v>
      </c>
      <c r="BZ573" s="2" t="s">
        <v>100</v>
      </c>
    </row>
    <row r="574">
      <c r="A574" s="2" t="s">
        <v>2460</v>
      </c>
      <c r="B574" s="2" t="s">
        <v>87</v>
      </c>
      <c r="C574" s="2" t="s">
        <v>2357</v>
      </c>
      <c r="D574" s="2" t="s">
        <v>1771</v>
      </c>
      <c r="E574" s="2" t="s">
        <v>1772</v>
      </c>
      <c r="F574" s="2" t="s">
        <v>2434</v>
      </c>
      <c r="G574" s="2" t="s">
        <v>2434</v>
      </c>
      <c r="H574" s="2" t="s">
        <v>2434</v>
      </c>
      <c r="I574" s="2" t="s">
        <v>2457</v>
      </c>
      <c r="J574" s="2" t="s">
        <v>1781</v>
      </c>
      <c r="K574" s="2" t="s">
        <v>523</v>
      </c>
      <c r="L574" s="3">
        <v>22.05</v>
      </c>
      <c r="M574" s="3">
        <v>23.15</v>
      </c>
      <c r="N574" s="3">
        <v>44.99</v>
      </c>
      <c r="O574" s="2" t="s">
        <v>97</v>
      </c>
      <c r="P574" s="2" t="s">
        <v>156</v>
      </c>
      <c r="Q574" s="2" t="s">
        <v>99</v>
      </c>
      <c r="R574" s="2" t="s">
        <v>100</v>
      </c>
      <c r="S574" s="2" t="s">
        <v>2373</v>
      </c>
      <c r="T574" s="2" t="s">
        <v>100</v>
      </c>
      <c r="U574" s="2" t="s">
        <v>100</v>
      </c>
      <c r="V574" s="2" t="s">
        <v>269</v>
      </c>
      <c r="W574" s="2" t="s">
        <v>270</v>
      </c>
      <c r="X574" s="2" t="s">
        <v>271</v>
      </c>
      <c r="Y574" s="2" t="s">
        <v>144</v>
      </c>
      <c r="Z574" s="4">
        <v>810</v>
      </c>
      <c r="AA574" s="4">
        <f>=ROUNDDOWN(35.2173913043478,0)</f>
      </c>
      <c r="AB574" s="5">
        <v>23</v>
      </c>
      <c r="AC574" s="2" t="s">
        <v>646</v>
      </c>
      <c r="AD574" s="4">
        <v>50</v>
      </c>
      <c r="AE574" s="4">
        <v>350</v>
      </c>
      <c r="AF574" s="6">
        <v>69</v>
      </c>
      <c r="AG574" s="6"/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>
        <v>24</v>
      </c>
      <c r="BK574" s="8">
        <v>546.49</v>
      </c>
      <c r="BL574" s="2" t="s">
        <v>2461</v>
      </c>
      <c r="BM574" s="7"/>
      <c r="BN574" s="7"/>
      <c r="BO574" s="4"/>
      <c r="BP574" s="8"/>
      <c r="BQ574" s="4"/>
      <c r="BR574" s="8"/>
      <c r="BS574" s="7"/>
      <c r="BT574" s="7"/>
      <c r="BU574" s="2" t="s">
        <v>171</v>
      </c>
      <c r="BV574" s="2" t="s">
        <v>97</v>
      </c>
      <c r="BW574" s="2" t="s">
        <v>100</v>
      </c>
      <c r="BX574" s="2" t="s">
        <v>100</v>
      </c>
      <c r="BY574" s="2" t="s">
        <v>112</v>
      </c>
      <c r="BZ574" s="2" t="s">
        <v>100</v>
      </c>
    </row>
    <row r="575">
      <c r="A575" s="2" t="s">
        <v>2462</v>
      </c>
      <c r="B575" s="2" t="s">
        <v>87</v>
      </c>
      <c r="C575" s="2" t="s">
        <v>2357</v>
      </c>
      <c r="D575" s="2" t="s">
        <v>1771</v>
      </c>
      <c r="E575" s="2" t="s">
        <v>1772</v>
      </c>
      <c r="F575" s="2" t="s">
        <v>2440</v>
      </c>
      <c r="G575" s="2" t="s">
        <v>2440</v>
      </c>
      <c r="H575" s="2" t="s">
        <v>2440</v>
      </c>
      <c r="I575" s="2" t="s">
        <v>2457</v>
      </c>
      <c r="J575" s="2" t="s">
        <v>1781</v>
      </c>
      <c r="K575" s="2" t="s">
        <v>673</v>
      </c>
      <c r="L575" s="3">
        <v>22.05</v>
      </c>
      <c r="M575" s="3">
        <v>23.15</v>
      </c>
      <c r="N575" s="3">
        <v>44.99</v>
      </c>
      <c r="O575" s="2" t="s">
        <v>97</v>
      </c>
      <c r="P575" s="2" t="s">
        <v>123</v>
      </c>
      <c r="Q575" s="2" t="s">
        <v>99</v>
      </c>
      <c r="R575" s="2" t="s">
        <v>100</v>
      </c>
      <c r="S575" s="2" t="s">
        <v>2373</v>
      </c>
      <c r="T575" s="2" t="s">
        <v>100</v>
      </c>
      <c r="U575" s="2" t="s">
        <v>100</v>
      </c>
      <c r="V575" s="2" t="s">
        <v>269</v>
      </c>
      <c r="W575" s="2" t="s">
        <v>270</v>
      </c>
      <c r="X575" s="2" t="s">
        <v>271</v>
      </c>
      <c r="Y575" s="2" t="s">
        <v>144</v>
      </c>
      <c r="Z575" s="4">
        <v>91</v>
      </c>
      <c r="AA575" s="4">
        <f>=ROUNDDOWN(6.06666666666667,0)</f>
      </c>
      <c r="AB575" s="5">
        <v>15</v>
      </c>
      <c r="AC575" s="2" t="s">
        <v>1767</v>
      </c>
      <c r="AD575" s="4">
        <v>240</v>
      </c>
      <c r="AE575" s="4">
        <v>990</v>
      </c>
      <c r="AF575" s="6">
        <v>69</v>
      </c>
      <c r="AG575" s="6"/>
      <c r="AH575" s="7">
        <v>0.9677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>
        <v>36</v>
      </c>
      <c r="BK575" s="8">
        <v>836.1</v>
      </c>
      <c r="BL575" s="2" t="s">
        <v>2463</v>
      </c>
      <c r="BM575" s="7"/>
      <c r="BN575" s="7"/>
      <c r="BO575" s="4"/>
      <c r="BP575" s="8"/>
      <c r="BQ575" s="4"/>
      <c r="BR575" s="8"/>
      <c r="BS575" s="7"/>
      <c r="BT575" s="7"/>
      <c r="BU575" s="2" t="s">
        <v>171</v>
      </c>
      <c r="BV575" s="2" t="s">
        <v>97</v>
      </c>
      <c r="BW575" s="2" t="s">
        <v>100</v>
      </c>
      <c r="BX575" s="2" t="s">
        <v>100</v>
      </c>
      <c r="BY575" s="2" t="s">
        <v>112</v>
      </c>
      <c r="BZ575" s="2" t="s">
        <v>100</v>
      </c>
    </row>
    <row r="576">
      <c r="A576" s="2" t="s">
        <v>2464</v>
      </c>
      <c r="B576" s="2" t="s">
        <v>87</v>
      </c>
      <c r="C576" s="2" t="s">
        <v>2357</v>
      </c>
      <c r="D576" s="2" t="s">
        <v>1771</v>
      </c>
      <c r="E576" s="2" t="s">
        <v>1772</v>
      </c>
      <c r="F576" s="2" t="s">
        <v>2445</v>
      </c>
      <c r="G576" s="2" t="s">
        <v>2445</v>
      </c>
      <c r="H576" s="2" t="s">
        <v>2445</v>
      </c>
      <c r="I576" s="2" t="s">
        <v>2457</v>
      </c>
      <c r="J576" s="2" t="s">
        <v>1781</v>
      </c>
      <c r="K576" s="2" t="s">
        <v>236</v>
      </c>
      <c r="L576" s="3">
        <v>22.05</v>
      </c>
      <c r="M576" s="3">
        <v>23.15</v>
      </c>
      <c r="N576" s="3">
        <v>44.99</v>
      </c>
      <c r="O576" s="2" t="s">
        <v>97</v>
      </c>
      <c r="P576" s="2" t="s">
        <v>98</v>
      </c>
      <c r="Q576" s="2" t="s">
        <v>99</v>
      </c>
      <c r="R576" s="2" t="s">
        <v>100</v>
      </c>
      <c r="S576" s="2" t="s">
        <v>2373</v>
      </c>
      <c r="T576" s="2" t="s">
        <v>100</v>
      </c>
      <c r="U576" s="2" t="s">
        <v>100</v>
      </c>
      <c r="V576" s="2" t="s">
        <v>2447</v>
      </c>
      <c r="W576" s="2" t="s">
        <v>270</v>
      </c>
      <c r="X576" s="2" t="s">
        <v>271</v>
      </c>
      <c r="Y576" s="2" t="s">
        <v>1116</v>
      </c>
      <c r="Z576" s="4">
        <v>824</v>
      </c>
      <c r="AA576" s="4">
        <f>=ROUNDDOWN(82.4,0)</f>
      </c>
      <c r="AB576" s="5">
        <v>10</v>
      </c>
      <c r="AC576" s="2" t="s">
        <v>100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>
        <v>3</v>
      </c>
      <c r="BK576" s="8">
        <v>69.26</v>
      </c>
      <c r="BL576" s="2" t="s">
        <v>2465</v>
      </c>
      <c r="BM576" s="7"/>
      <c r="BN576" s="7"/>
      <c r="BO576" s="4"/>
      <c r="BP576" s="8"/>
      <c r="BQ576" s="4"/>
      <c r="BR576" s="8"/>
      <c r="BS576" s="7"/>
      <c r="BT576" s="7"/>
      <c r="BU576" s="2" t="s">
        <v>109</v>
      </c>
      <c r="BV576" s="2" t="s">
        <v>97</v>
      </c>
      <c r="BW576" s="2" t="s">
        <v>2365</v>
      </c>
      <c r="BX576" s="2" t="s">
        <v>2459</v>
      </c>
      <c r="BY576" s="2" t="s">
        <v>112</v>
      </c>
      <c r="BZ576" s="2" t="s">
        <v>100</v>
      </c>
    </row>
    <row r="577">
      <c r="A577" s="2" t="s">
        <v>2466</v>
      </c>
      <c r="B577" s="2" t="s">
        <v>87</v>
      </c>
      <c r="C577" s="2" t="s">
        <v>2357</v>
      </c>
      <c r="D577" s="2" t="s">
        <v>1785</v>
      </c>
      <c r="E577" s="2" t="s">
        <v>2467</v>
      </c>
      <c r="F577" s="2" t="s">
        <v>2468</v>
      </c>
      <c r="G577" s="2" t="s">
        <v>2468</v>
      </c>
      <c r="H577" s="2" t="s">
        <v>2468</v>
      </c>
      <c r="I577" s="2" t="s">
        <v>2469</v>
      </c>
      <c r="J577" s="2" t="s">
        <v>2470</v>
      </c>
      <c r="K577" s="2" t="s">
        <v>706</v>
      </c>
      <c r="L577" s="3">
        <v>16</v>
      </c>
      <c r="M577" s="3">
        <v>16.8</v>
      </c>
      <c r="N577" s="3">
        <v>39.99</v>
      </c>
      <c r="O577" s="2" t="s">
        <v>97</v>
      </c>
      <c r="P577" s="2" t="s">
        <v>98</v>
      </c>
      <c r="Q577" s="2" t="s">
        <v>99</v>
      </c>
      <c r="R577" s="2" t="s">
        <v>100</v>
      </c>
      <c r="S577" s="2" t="s">
        <v>2471</v>
      </c>
      <c r="T577" s="2" t="s">
        <v>100</v>
      </c>
      <c r="U577" s="2" t="s">
        <v>100</v>
      </c>
      <c r="V577" s="2" t="s">
        <v>492</v>
      </c>
      <c r="W577" s="2" t="s">
        <v>270</v>
      </c>
      <c r="X577" s="2" t="s">
        <v>609</v>
      </c>
      <c r="Y577" s="2" t="s">
        <v>144</v>
      </c>
      <c r="Z577" s="4">
        <v>69</v>
      </c>
      <c r="AA577" s="4">
        <f>=ROUNDDOWN(9.85714285714286,0)</f>
      </c>
      <c r="AB577" s="5">
        <v>7</v>
      </c>
      <c r="AC577" s="2" t="s">
        <v>107</v>
      </c>
      <c r="AD577" s="4">
        <v>80</v>
      </c>
      <c r="AE577" s="4">
        <v>270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>
        <v>24</v>
      </c>
      <c r="BK577" s="8">
        <v>416.21</v>
      </c>
      <c r="BL577" s="2" t="s">
        <v>1749</v>
      </c>
      <c r="BM577" s="7"/>
      <c r="BN577" s="7"/>
      <c r="BO577" s="4"/>
      <c r="BP577" s="8"/>
      <c r="BQ577" s="4"/>
      <c r="BR577" s="8"/>
      <c r="BS577" s="7"/>
      <c r="BT577" s="7"/>
      <c r="BU577" s="2" t="s">
        <v>171</v>
      </c>
      <c r="BV577" s="2" t="s">
        <v>97</v>
      </c>
      <c r="BW577" s="2" t="s">
        <v>100</v>
      </c>
      <c r="BX577" s="2" t="s">
        <v>100</v>
      </c>
      <c r="BY577" s="2" t="s">
        <v>112</v>
      </c>
      <c r="BZ577" s="2" t="s">
        <v>100</v>
      </c>
    </row>
    <row r="578">
      <c r="A578" s="2" t="s">
        <v>2472</v>
      </c>
      <c r="B578" s="2" t="s">
        <v>87</v>
      </c>
      <c r="C578" s="2" t="s">
        <v>2357</v>
      </c>
      <c r="D578" s="2" t="s">
        <v>89</v>
      </c>
      <c r="E578" s="2" t="s">
        <v>90</v>
      </c>
      <c r="F578" s="2" t="s">
        <v>2473</v>
      </c>
      <c r="G578" s="2" t="s">
        <v>2473</v>
      </c>
      <c r="H578" s="2" t="s">
        <v>2473</v>
      </c>
      <c r="I578" s="2" t="s">
        <v>2474</v>
      </c>
      <c r="J578" s="2" t="s">
        <v>490</v>
      </c>
      <c r="K578" s="2" t="s">
        <v>2475</v>
      </c>
      <c r="L578" s="3">
        <v>77.99</v>
      </c>
      <c r="M578" s="3">
        <v>81.89</v>
      </c>
      <c r="N578" s="3">
        <v>149.99</v>
      </c>
      <c r="O578" s="2" t="s">
        <v>97</v>
      </c>
      <c r="P578" s="2" t="s">
        <v>317</v>
      </c>
      <c r="Q578" s="2" t="s">
        <v>99</v>
      </c>
      <c r="R578" s="2" t="s">
        <v>100</v>
      </c>
      <c r="S578" s="2" t="s">
        <v>2476</v>
      </c>
      <c r="T578" s="2" t="s">
        <v>100</v>
      </c>
      <c r="U578" s="2" t="s">
        <v>100</v>
      </c>
      <c r="V578" s="2" t="s">
        <v>1009</v>
      </c>
      <c r="W578" s="2" t="s">
        <v>270</v>
      </c>
      <c r="X578" s="2" t="s">
        <v>2477</v>
      </c>
      <c r="Y578" s="2" t="s">
        <v>2478</v>
      </c>
      <c r="Z578" s="4">
        <v>88</v>
      </c>
      <c r="AA578" s="4">
        <f>=ROUNDDOWN(12.5714285714286,0)</f>
      </c>
      <c r="AB578" s="5">
        <v>7</v>
      </c>
      <c r="AC578" s="2" t="s">
        <v>107</v>
      </c>
      <c r="AD578" s="4">
        <v>50</v>
      </c>
      <c r="AE578" s="4">
        <v>200</v>
      </c>
      <c r="AF578" s="6">
        <v>66</v>
      </c>
      <c r="AG578" s="6">
        <v>49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/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/>
      <c r="BJ578" s="4">
        <v>18</v>
      </c>
      <c r="BK578" s="8">
        <v>1503.17</v>
      </c>
      <c r="BL578" s="2" t="s">
        <v>2479</v>
      </c>
      <c r="BM578" s="7"/>
      <c r="BN578" s="7"/>
      <c r="BO578" s="4"/>
      <c r="BP578" s="8"/>
      <c r="BQ578" s="4"/>
      <c r="BR578" s="8"/>
      <c r="BS578" s="7"/>
      <c r="BT578" s="7"/>
      <c r="BU578" s="2" t="s">
        <v>171</v>
      </c>
      <c r="BV578" s="2" t="s">
        <v>97</v>
      </c>
      <c r="BW578" s="2" t="s">
        <v>100</v>
      </c>
      <c r="BX578" s="2" t="s">
        <v>100</v>
      </c>
      <c r="BY578" s="2" t="s">
        <v>112</v>
      </c>
      <c r="BZ578" s="2" t="s">
        <v>100</v>
      </c>
    </row>
    <row r="579">
      <c r="A579" s="2" t="s">
        <v>2480</v>
      </c>
      <c r="B579" s="2" t="s">
        <v>87</v>
      </c>
      <c r="C579" s="2" t="s">
        <v>2357</v>
      </c>
      <c r="D579" s="2" t="s">
        <v>89</v>
      </c>
      <c r="E579" s="2" t="s">
        <v>90</v>
      </c>
      <c r="F579" s="2" t="s">
        <v>2473</v>
      </c>
      <c r="G579" s="2" t="s">
        <v>2473</v>
      </c>
      <c r="H579" s="2" t="s">
        <v>2473</v>
      </c>
      <c r="I579" s="2" t="s">
        <v>2474</v>
      </c>
      <c r="J579" s="2" t="s">
        <v>95</v>
      </c>
      <c r="K579" s="2" t="s">
        <v>2475</v>
      </c>
      <c r="L579" s="3">
        <v>83.19</v>
      </c>
      <c r="M579" s="3">
        <v>87.35</v>
      </c>
      <c r="N579" s="3">
        <v>159.99</v>
      </c>
      <c r="O579" s="2" t="s">
        <v>97</v>
      </c>
      <c r="P579" s="2" t="s">
        <v>317</v>
      </c>
      <c r="Q579" s="2" t="s">
        <v>99</v>
      </c>
      <c r="R579" s="2" t="s">
        <v>100</v>
      </c>
      <c r="S579" s="2" t="s">
        <v>2476</v>
      </c>
      <c r="T579" s="2" t="s">
        <v>100</v>
      </c>
      <c r="U579" s="2" t="s">
        <v>100</v>
      </c>
      <c r="V579" s="2" t="s">
        <v>1009</v>
      </c>
      <c r="W579" s="2" t="s">
        <v>270</v>
      </c>
      <c r="X579" s="2" t="s">
        <v>2477</v>
      </c>
      <c r="Y579" s="2" t="s">
        <v>2481</v>
      </c>
      <c r="Z579" s="4">
        <v>334</v>
      </c>
      <c r="AA579" s="4">
        <f>=ROUNDDOWN(12.8461538461538,0)</f>
      </c>
      <c r="AB579" s="5">
        <v>26</v>
      </c>
      <c r="AC579" s="2" t="s">
        <v>107</v>
      </c>
      <c r="AD579" s="4">
        <v>230</v>
      </c>
      <c r="AE579" s="4">
        <v>960</v>
      </c>
      <c r="AF579" s="6">
        <v>66</v>
      </c>
      <c r="AG579" s="6">
        <v>49</v>
      </c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/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/>
      <c r="BJ579" s="4">
        <v>104</v>
      </c>
      <c r="BK579" s="8">
        <v>9337.76</v>
      </c>
      <c r="BL579" s="2" t="s">
        <v>2482</v>
      </c>
      <c r="BM579" s="7"/>
      <c r="BN579" s="7"/>
      <c r="BO579" s="4"/>
      <c r="BP579" s="8"/>
      <c r="BQ579" s="4"/>
      <c r="BR579" s="8"/>
      <c r="BS579" s="7"/>
      <c r="BT579" s="7"/>
      <c r="BU579" s="2" t="s">
        <v>171</v>
      </c>
      <c r="BV579" s="2" t="s">
        <v>97</v>
      </c>
      <c r="BW579" s="2" t="s">
        <v>100</v>
      </c>
      <c r="BX579" s="2" t="s">
        <v>100</v>
      </c>
      <c r="BY579" s="2" t="s">
        <v>112</v>
      </c>
      <c r="BZ579" s="2" t="s">
        <v>100</v>
      </c>
    </row>
    <row r="580">
      <c r="A580" s="2" t="s">
        <v>2483</v>
      </c>
      <c r="B580" s="2" t="s">
        <v>87</v>
      </c>
      <c r="C580" s="2" t="s">
        <v>2357</v>
      </c>
      <c r="D580" s="2" t="s">
        <v>89</v>
      </c>
      <c r="E580" s="2" t="s">
        <v>90</v>
      </c>
      <c r="F580" s="2" t="s">
        <v>2473</v>
      </c>
      <c r="G580" s="2" t="s">
        <v>2473</v>
      </c>
      <c r="H580" s="2" t="s">
        <v>2473</v>
      </c>
      <c r="I580" s="2" t="s">
        <v>2474</v>
      </c>
      <c r="J580" s="2" t="s">
        <v>114</v>
      </c>
      <c r="K580" s="2" t="s">
        <v>2475</v>
      </c>
      <c r="L580" s="3">
        <v>93.59</v>
      </c>
      <c r="M580" s="3">
        <v>98.27</v>
      </c>
      <c r="N580" s="3">
        <v>179.99</v>
      </c>
      <c r="O580" s="2" t="s">
        <v>97</v>
      </c>
      <c r="P580" s="2" t="s">
        <v>317</v>
      </c>
      <c r="Q580" s="2" t="s">
        <v>99</v>
      </c>
      <c r="R580" s="2" t="s">
        <v>100</v>
      </c>
      <c r="S580" s="2" t="s">
        <v>2476</v>
      </c>
      <c r="T580" s="2" t="s">
        <v>100</v>
      </c>
      <c r="U580" s="2" t="s">
        <v>100</v>
      </c>
      <c r="V580" s="2" t="s">
        <v>1009</v>
      </c>
      <c r="W580" s="2" t="s">
        <v>270</v>
      </c>
      <c r="X580" s="2" t="s">
        <v>2477</v>
      </c>
      <c r="Y580" s="2" t="s">
        <v>2481</v>
      </c>
      <c r="Z580" s="4">
        <v>289</v>
      </c>
      <c r="AA580" s="4">
        <f>=ROUNDDOWN(11.56,0)</f>
      </c>
      <c r="AB580" s="5">
        <v>25</v>
      </c>
      <c r="AC580" s="2" t="s">
        <v>107</v>
      </c>
      <c r="AD580" s="4">
        <v>190</v>
      </c>
      <c r="AE580" s="4">
        <v>670</v>
      </c>
      <c r="AF580" s="6">
        <v>66</v>
      </c>
      <c r="AG580" s="6">
        <v>49</v>
      </c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/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/>
      <c r="BJ580" s="4">
        <v>46</v>
      </c>
      <c r="BK580" s="8">
        <v>4717.11</v>
      </c>
      <c r="BL580" s="2" t="s">
        <v>2484</v>
      </c>
      <c r="BM580" s="7"/>
      <c r="BN580" s="7"/>
      <c r="BO580" s="4"/>
      <c r="BP580" s="8"/>
      <c r="BQ580" s="4"/>
      <c r="BR580" s="8"/>
      <c r="BS580" s="7"/>
      <c r="BT580" s="7"/>
      <c r="BU580" s="2" t="s">
        <v>171</v>
      </c>
      <c r="BV580" s="2" t="s">
        <v>97</v>
      </c>
      <c r="BW580" s="2" t="s">
        <v>100</v>
      </c>
      <c r="BX580" s="2" t="s">
        <v>100</v>
      </c>
      <c r="BY580" s="2" t="s">
        <v>112</v>
      </c>
      <c r="BZ580" s="2" t="s">
        <v>100</v>
      </c>
    </row>
    <row r="581">
      <c r="A581" s="2" t="s">
        <v>2485</v>
      </c>
      <c r="B581" s="2" t="s">
        <v>87</v>
      </c>
      <c r="C581" s="2" t="s">
        <v>2357</v>
      </c>
      <c r="D581" s="2" t="s">
        <v>89</v>
      </c>
      <c r="E581" s="2" t="s">
        <v>90</v>
      </c>
      <c r="F581" s="2" t="s">
        <v>2473</v>
      </c>
      <c r="G581" s="2" t="s">
        <v>2473</v>
      </c>
      <c r="H581" s="2" t="s">
        <v>2473</v>
      </c>
      <c r="I581" s="2" t="s">
        <v>2474</v>
      </c>
      <c r="J581" s="2" t="s">
        <v>118</v>
      </c>
      <c r="K581" s="2" t="s">
        <v>2475</v>
      </c>
      <c r="L581" s="3">
        <v>93.59</v>
      </c>
      <c r="M581" s="3">
        <v>98.27</v>
      </c>
      <c r="N581" s="3">
        <v>179.99</v>
      </c>
      <c r="O581" s="2" t="s">
        <v>97</v>
      </c>
      <c r="P581" s="2" t="s">
        <v>317</v>
      </c>
      <c r="Q581" s="2" t="s">
        <v>99</v>
      </c>
      <c r="R581" s="2" t="s">
        <v>100</v>
      </c>
      <c r="S581" s="2" t="s">
        <v>2476</v>
      </c>
      <c r="T581" s="2" t="s">
        <v>100</v>
      </c>
      <c r="U581" s="2" t="s">
        <v>100</v>
      </c>
      <c r="V581" s="2" t="s">
        <v>1009</v>
      </c>
      <c r="W581" s="2" t="s">
        <v>270</v>
      </c>
      <c r="X581" s="2" t="s">
        <v>2477</v>
      </c>
      <c r="Y581" s="2" t="s">
        <v>2481</v>
      </c>
      <c r="Z581" s="4">
        <v>50</v>
      </c>
      <c r="AA581" s="4">
        <f>=ROUNDDOWN(4.16666666666667,0)</f>
      </c>
      <c r="AB581" s="5">
        <v>12</v>
      </c>
      <c r="AC581" s="2" t="s">
        <v>107</v>
      </c>
      <c r="AD581" s="4">
        <v>120</v>
      </c>
      <c r="AE581" s="4">
        <v>360</v>
      </c>
      <c r="AF581" s="6">
        <v>66</v>
      </c>
      <c r="AG581" s="6">
        <v>49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/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/>
      <c r="BJ581" s="4">
        <v>38</v>
      </c>
      <c r="BK581" s="8">
        <v>3821.99</v>
      </c>
      <c r="BL581" s="2" t="s">
        <v>2486</v>
      </c>
      <c r="BM581" s="7"/>
      <c r="BN581" s="7"/>
      <c r="BO581" s="4"/>
      <c r="BP581" s="8"/>
      <c r="BQ581" s="4"/>
      <c r="BR581" s="8"/>
      <c r="BS581" s="7"/>
      <c r="BT581" s="7"/>
      <c r="BU581" s="2" t="s">
        <v>171</v>
      </c>
      <c r="BV581" s="2" t="s">
        <v>97</v>
      </c>
      <c r="BW581" s="2" t="s">
        <v>100</v>
      </c>
      <c r="BX581" s="2" t="s">
        <v>100</v>
      </c>
      <c r="BY581" s="2" t="s">
        <v>112</v>
      </c>
      <c r="BZ581" s="2" t="s">
        <v>100</v>
      </c>
    </row>
    <row r="582">
      <c r="A582" s="2" t="s">
        <v>2487</v>
      </c>
      <c r="B582" s="2" t="s">
        <v>87</v>
      </c>
      <c r="C582" s="2" t="s">
        <v>2357</v>
      </c>
      <c r="D582" s="2" t="s">
        <v>89</v>
      </c>
      <c r="E582" s="2" t="s">
        <v>90</v>
      </c>
      <c r="F582" s="2" t="s">
        <v>2468</v>
      </c>
      <c r="G582" s="2" t="s">
        <v>2468</v>
      </c>
      <c r="H582" s="2" t="s">
        <v>2468</v>
      </c>
      <c r="I582" s="2" t="s">
        <v>2488</v>
      </c>
      <c r="J582" s="2" t="s">
        <v>1443</v>
      </c>
      <c r="K582" s="2" t="s">
        <v>706</v>
      </c>
      <c r="L582" s="3">
        <v>56.09</v>
      </c>
      <c r="M582" s="3">
        <v>58.9</v>
      </c>
      <c r="N582" s="3">
        <v>109.99</v>
      </c>
      <c r="O582" s="2" t="s">
        <v>97</v>
      </c>
      <c r="P582" s="2" t="s">
        <v>123</v>
      </c>
      <c r="Q582" s="2" t="s">
        <v>99</v>
      </c>
      <c r="R582" s="2" t="s">
        <v>100</v>
      </c>
      <c r="S582" s="2" t="s">
        <v>2471</v>
      </c>
      <c r="T582" s="2" t="s">
        <v>100</v>
      </c>
      <c r="U582" s="2" t="s">
        <v>100</v>
      </c>
      <c r="V582" s="2" t="s">
        <v>269</v>
      </c>
      <c r="W582" s="2" t="s">
        <v>270</v>
      </c>
      <c r="X582" s="2" t="s">
        <v>271</v>
      </c>
      <c r="Y582" s="2" t="s">
        <v>144</v>
      </c>
      <c r="Z582" s="4">
        <v>114</v>
      </c>
      <c r="AA582" s="4">
        <f>=ROUNDDOWN(19,0)</f>
      </c>
      <c r="AB582" s="5">
        <v>6</v>
      </c>
      <c r="AC582" s="2" t="s">
        <v>107</v>
      </c>
      <c r="AD582" s="4">
        <v>40</v>
      </c>
      <c r="AE582" s="4">
        <v>140</v>
      </c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/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/>
      <c r="BJ582" s="4">
        <v>24</v>
      </c>
      <c r="BK582" s="8">
        <v>1446.89</v>
      </c>
      <c r="BL582" s="2" t="s">
        <v>2489</v>
      </c>
      <c r="BM582" s="7"/>
      <c r="BN582" s="7"/>
      <c r="BO582" s="4"/>
      <c r="BP582" s="8"/>
      <c r="BQ582" s="4"/>
      <c r="BR582" s="8"/>
      <c r="BS582" s="7"/>
      <c r="BT582" s="7"/>
      <c r="BU582" s="2" t="s">
        <v>171</v>
      </c>
      <c r="BV582" s="2" t="s">
        <v>97</v>
      </c>
      <c r="BW582" s="2" t="s">
        <v>100</v>
      </c>
      <c r="BX582" s="2" t="s">
        <v>100</v>
      </c>
      <c r="BY582" s="2" t="s">
        <v>112</v>
      </c>
      <c r="BZ582" s="2" t="s">
        <v>100</v>
      </c>
    </row>
    <row r="583">
      <c r="A583" s="2" t="s">
        <v>2490</v>
      </c>
      <c r="B583" s="2" t="s">
        <v>87</v>
      </c>
      <c r="C583" s="2" t="s">
        <v>2357</v>
      </c>
      <c r="D583" s="2" t="s">
        <v>89</v>
      </c>
      <c r="E583" s="2" t="s">
        <v>90</v>
      </c>
      <c r="F583" s="2" t="s">
        <v>2468</v>
      </c>
      <c r="G583" s="2" t="s">
        <v>2468</v>
      </c>
      <c r="H583" s="2" t="s">
        <v>2468</v>
      </c>
      <c r="I583" s="2" t="s">
        <v>2488</v>
      </c>
      <c r="J583" s="2" t="s">
        <v>95</v>
      </c>
      <c r="K583" s="2" t="s">
        <v>706</v>
      </c>
      <c r="L583" s="3">
        <v>72.79</v>
      </c>
      <c r="M583" s="3">
        <v>76.43</v>
      </c>
      <c r="N583" s="3">
        <v>139.99</v>
      </c>
      <c r="O583" s="2" t="s">
        <v>97</v>
      </c>
      <c r="P583" s="2" t="s">
        <v>123</v>
      </c>
      <c r="Q583" s="2" t="s">
        <v>99</v>
      </c>
      <c r="R583" s="2" t="s">
        <v>100</v>
      </c>
      <c r="S583" s="2" t="s">
        <v>2471</v>
      </c>
      <c r="T583" s="2" t="s">
        <v>100</v>
      </c>
      <c r="U583" s="2" t="s">
        <v>100</v>
      </c>
      <c r="V583" s="2" t="s">
        <v>269</v>
      </c>
      <c r="W583" s="2" t="s">
        <v>270</v>
      </c>
      <c r="X583" s="2" t="s">
        <v>271</v>
      </c>
      <c r="Y583" s="2" t="s">
        <v>144</v>
      </c>
      <c r="Z583" s="4">
        <v>44</v>
      </c>
      <c r="AA583" s="4">
        <f>=ROUNDDOWN(3.38461538461538,0)</f>
      </c>
      <c r="AB583" s="5">
        <v>13</v>
      </c>
      <c r="AC583" s="2" t="s">
        <v>107</v>
      </c>
      <c r="AD583" s="4">
        <v>140</v>
      </c>
      <c r="AE583" s="4">
        <v>520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/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/>
      <c r="BJ583" s="4">
        <v>47</v>
      </c>
      <c r="BK583" s="8">
        <v>3736.92</v>
      </c>
      <c r="BL583" s="2" t="s">
        <v>2491</v>
      </c>
      <c r="BM583" s="7"/>
      <c r="BN583" s="7"/>
      <c r="BO583" s="4"/>
      <c r="BP583" s="8"/>
      <c r="BQ583" s="4"/>
      <c r="BR583" s="8"/>
      <c r="BS583" s="7"/>
      <c r="BT583" s="7"/>
      <c r="BU583" s="2" t="s">
        <v>171</v>
      </c>
      <c r="BV583" s="2" t="s">
        <v>97</v>
      </c>
      <c r="BW583" s="2" t="s">
        <v>100</v>
      </c>
      <c r="BX583" s="2" t="s">
        <v>100</v>
      </c>
      <c r="BY583" s="2" t="s">
        <v>112</v>
      </c>
      <c r="BZ583" s="2" t="s">
        <v>100</v>
      </c>
    </row>
    <row r="584">
      <c r="A584" s="2" t="s">
        <v>2492</v>
      </c>
      <c r="B584" s="2" t="s">
        <v>87</v>
      </c>
      <c r="C584" s="2" t="s">
        <v>2357</v>
      </c>
      <c r="D584" s="2" t="s">
        <v>89</v>
      </c>
      <c r="E584" s="2" t="s">
        <v>90</v>
      </c>
      <c r="F584" s="2" t="s">
        <v>2468</v>
      </c>
      <c r="G584" s="2" t="s">
        <v>2468</v>
      </c>
      <c r="H584" s="2" t="s">
        <v>2468</v>
      </c>
      <c r="I584" s="2" t="s">
        <v>2488</v>
      </c>
      <c r="J584" s="2" t="s">
        <v>114</v>
      </c>
      <c r="K584" s="2" t="s">
        <v>706</v>
      </c>
      <c r="L584" s="3">
        <v>83.19</v>
      </c>
      <c r="M584" s="3">
        <v>87.35</v>
      </c>
      <c r="N584" s="3">
        <v>159.99</v>
      </c>
      <c r="O584" s="2" t="s">
        <v>97</v>
      </c>
      <c r="P584" s="2" t="s">
        <v>123</v>
      </c>
      <c r="Q584" s="2" t="s">
        <v>99</v>
      </c>
      <c r="R584" s="2" t="s">
        <v>100</v>
      </c>
      <c r="S584" s="2" t="s">
        <v>2471</v>
      </c>
      <c r="T584" s="2" t="s">
        <v>100</v>
      </c>
      <c r="U584" s="2" t="s">
        <v>100</v>
      </c>
      <c r="V584" s="2" t="s">
        <v>269</v>
      </c>
      <c r="W584" s="2" t="s">
        <v>270</v>
      </c>
      <c r="X584" s="2" t="s">
        <v>271</v>
      </c>
      <c r="Y584" s="2" t="s">
        <v>1116</v>
      </c>
      <c r="Z584" s="4">
        <v>57</v>
      </c>
      <c r="AA584" s="4">
        <f>=ROUNDDOWN(5.18181818181818,0)</f>
      </c>
      <c r="AB584" s="5">
        <v>11</v>
      </c>
      <c r="AC584" s="2" t="s">
        <v>107</v>
      </c>
      <c r="AD584" s="4">
        <v>100</v>
      </c>
      <c r="AE584" s="4">
        <v>400</v>
      </c>
      <c r="AF584" s="6">
        <v>66</v>
      </c>
      <c r="AG584" s="6"/>
      <c r="AH584" s="7">
        <v>0.5484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/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/>
      <c r="BJ584" s="4">
        <v>32</v>
      </c>
      <c r="BK584" s="8">
        <v>2808.26</v>
      </c>
      <c r="BL584" s="2" t="s">
        <v>2493</v>
      </c>
      <c r="BM584" s="7"/>
      <c r="BN584" s="7"/>
      <c r="BO584" s="4"/>
      <c r="BP584" s="8"/>
      <c r="BQ584" s="4"/>
      <c r="BR584" s="8"/>
      <c r="BS584" s="7"/>
      <c r="BT584" s="7"/>
      <c r="BU584" s="2" t="s">
        <v>171</v>
      </c>
      <c r="BV584" s="2" t="s">
        <v>97</v>
      </c>
      <c r="BW584" s="2" t="s">
        <v>100</v>
      </c>
      <c r="BX584" s="2" t="s">
        <v>100</v>
      </c>
      <c r="BY584" s="2" t="s">
        <v>112</v>
      </c>
      <c r="BZ584" s="2" t="s">
        <v>100</v>
      </c>
    </row>
    <row r="585">
      <c r="A585" s="2" t="s">
        <v>2494</v>
      </c>
      <c r="B585" s="2" t="s">
        <v>87</v>
      </c>
      <c r="C585" s="2" t="s">
        <v>2357</v>
      </c>
      <c r="D585" s="2" t="s">
        <v>89</v>
      </c>
      <c r="E585" s="2" t="s">
        <v>90</v>
      </c>
      <c r="F585" s="2" t="s">
        <v>221</v>
      </c>
      <c r="G585" s="2" t="s">
        <v>221</v>
      </c>
      <c r="H585" s="2" t="s">
        <v>221</v>
      </c>
      <c r="I585" s="2" t="s">
        <v>2495</v>
      </c>
      <c r="J585" s="2" t="s">
        <v>352</v>
      </c>
      <c r="K585" s="2" t="s">
        <v>179</v>
      </c>
      <c r="L585" s="3">
        <v>72.79</v>
      </c>
      <c r="M585" s="3">
        <v>76.43</v>
      </c>
      <c r="N585" s="3">
        <v>154.99</v>
      </c>
      <c r="O585" s="2" t="s">
        <v>97</v>
      </c>
      <c r="P585" s="2" t="s">
        <v>317</v>
      </c>
      <c r="Q585" s="2" t="s">
        <v>99</v>
      </c>
      <c r="R585" s="2" t="s">
        <v>100</v>
      </c>
      <c r="S585" s="2" t="s">
        <v>2496</v>
      </c>
      <c r="T585" s="2" t="s">
        <v>100</v>
      </c>
      <c r="U585" s="2" t="s">
        <v>100</v>
      </c>
      <c r="V585" s="2" t="s">
        <v>461</v>
      </c>
      <c r="W585" s="2" t="s">
        <v>609</v>
      </c>
      <c r="X585" s="2" t="s">
        <v>2497</v>
      </c>
      <c r="Y585" s="2" t="s">
        <v>2478</v>
      </c>
      <c r="Z585" s="4">
        <v>197</v>
      </c>
      <c r="AA585" s="4">
        <f>=ROUNDDOWN(10.3684210526316,0)</f>
      </c>
      <c r="AB585" s="5">
        <v>19</v>
      </c>
      <c r="AC585" s="2" t="s">
        <v>206</v>
      </c>
      <c r="AD585" s="4">
        <v>100</v>
      </c>
      <c r="AE585" s="4">
        <v>470</v>
      </c>
      <c r="AF585" s="6">
        <v>67</v>
      </c>
      <c r="AG585" s="6">
        <v>75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/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/>
      <c r="BJ585" s="4">
        <v>54</v>
      </c>
      <c r="BK585" s="8">
        <v>4356.84</v>
      </c>
      <c r="BL585" s="2" t="s">
        <v>2215</v>
      </c>
      <c r="BM585" s="7"/>
      <c r="BN585" s="7"/>
      <c r="BO585" s="4"/>
      <c r="BP585" s="8"/>
      <c r="BQ585" s="4"/>
      <c r="BR585" s="8"/>
      <c r="BS585" s="7"/>
      <c r="BT585" s="7"/>
      <c r="BU585" s="2" t="s">
        <v>171</v>
      </c>
      <c r="BV585" s="2" t="s">
        <v>97</v>
      </c>
      <c r="BW585" s="2" t="s">
        <v>100</v>
      </c>
      <c r="BX585" s="2" t="s">
        <v>100</v>
      </c>
      <c r="BY585" s="2" t="s">
        <v>112</v>
      </c>
      <c r="BZ585" s="2" t="s">
        <v>100</v>
      </c>
    </row>
    <row r="586">
      <c r="A586" s="2" t="s">
        <v>2498</v>
      </c>
      <c r="B586" s="2" t="s">
        <v>87</v>
      </c>
      <c r="C586" s="2" t="s">
        <v>2357</v>
      </c>
      <c r="D586" s="2" t="s">
        <v>89</v>
      </c>
      <c r="E586" s="2" t="s">
        <v>90</v>
      </c>
      <c r="F586" s="2" t="s">
        <v>221</v>
      </c>
      <c r="G586" s="2" t="s">
        <v>221</v>
      </c>
      <c r="H586" s="2" t="s">
        <v>221</v>
      </c>
      <c r="I586" s="2" t="s">
        <v>2495</v>
      </c>
      <c r="J586" s="2" t="s">
        <v>490</v>
      </c>
      <c r="K586" s="2" t="s">
        <v>179</v>
      </c>
      <c r="L586" s="3">
        <v>83.19</v>
      </c>
      <c r="M586" s="3">
        <v>87.35</v>
      </c>
      <c r="N586" s="3">
        <v>179.99</v>
      </c>
      <c r="O586" s="2" t="s">
        <v>97</v>
      </c>
      <c r="P586" s="2" t="s">
        <v>317</v>
      </c>
      <c r="Q586" s="2" t="s">
        <v>99</v>
      </c>
      <c r="R586" s="2" t="s">
        <v>100</v>
      </c>
      <c r="S586" s="2" t="s">
        <v>2496</v>
      </c>
      <c r="T586" s="2" t="s">
        <v>100</v>
      </c>
      <c r="U586" s="2" t="s">
        <v>100</v>
      </c>
      <c r="V586" s="2" t="s">
        <v>461</v>
      </c>
      <c r="W586" s="2" t="s">
        <v>609</v>
      </c>
      <c r="X586" s="2" t="s">
        <v>2497</v>
      </c>
      <c r="Y586" s="2" t="s">
        <v>2478</v>
      </c>
      <c r="Z586" s="4">
        <v>84</v>
      </c>
      <c r="AA586" s="4">
        <f>=ROUNDDOWN(12,0)</f>
      </c>
      <c r="AB586" s="5">
        <v>7</v>
      </c>
      <c r="AC586" s="2" t="s">
        <v>206</v>
      </c>
      <c r="AD586" s="4">
        <v>30</v>
      </c>
      <c r="AE586" s="4">
        <v>280</v>
      </c>
      <c r="AF586" s="6">
        <v>67</v>
      </c>
      <c r="AG586" s="6">
        <v>75</v>
      </c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/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/>
      <c r="BJ586" s="4">
        <v>29</v>
      </c>
      <c r="BK586" s="8">
        <v>2702.3</v>
      </c>
      <c r="BL586" s="2" t="s">
        <v>2499</v>
      </c>
      <c r="BM586" s="7"/>
      <c r="BN586" s="7"/>
      <c r="BO586" s="4"/>
      <c r="BP586" s="8"/>
      <c r="BQ586" s="4"/>
      <c r="BR586" s="8"/>
      <c r="BS586" s="7"/>
      <c r="BT586" s="7"/>
      <c r="BU586" s="2" t="s">
        <v>171</v>
      </c>
      <c r="BV586" s="2" t="s">
        <v>97</v>
      </c>
      <c r="BW586" s="2" t="s">
        <v>100</v>
      </c>
      <c r="BX586" s="2" t="s">
        <v>100</v>
      </c>
      <c r="BY586" s="2" t="s">
        <v>112</v>
      </c>
      <c r="BZ586" s="2" t="s">
        <v>100</v>
      </c>
    </row>
    <row r="587">
      <c r="A587" s="2" t="s">
        <v>2500</v>
      </c>
      <c r="B587" s="2" t="s">
        <v>87</v>
      </c>
      <c r="C587" s="2" t="s">
        <v>2357</v>
      </c>
      <c r="D587" s="2" t="s">
        <v>89</v>
      </c>
      <c r="E587" s="2" t="s">
        <v>90</v>
      </c>
      <c r="F587" s="2" t="s">
        <v>221</v>
      </c>
      <c r="G587" s="2" t="s">
        <v>221</v>
      </c>
      <c r="H587" s="2" t="s">
        <v>221</v>
      </c>
      <c r="I587" s="2" t="s">
        <v>2495</v>
      </c>
      <c r="J587" s="2" t="s">
        <v>95</v>
      </c>
      <c r="K587" s="2" t="s">
        <v>179</v>
      </c>
      <c r="L587" s="3">
        <v>88.39</v>
      </c>
      <c r="M587" s="3">
        <v>92.81</v>
      </c>
      <c r="N587" s="3">
        <v>189.99</v>
      </c>
      <c r="O587" s="2" t="s">
        <v>97</v>
      </c>
      <c r="P587" s="2" t="s">
        <v>317</v>
      </c>
      <c r="Q587" s="2" t="s">
        <v>99</v>
      </c>
      <c r="R587" s="2" t="s">
        <v>100</v>
      </c>
      <c r="S587" s="2" t="s">
        <v>2496</v>
      </c>
      <c r="T587" s="2" t="s">
        <v>100</v>
      </c>
      <c r="U587" s="2" t="s">
        <v>100</v>
      </c>
      <c r="V587" s="2" t="s">
        <v>461</v>
      </c>
      <c r="W587" s="2" t="s">
        <v>609</v>
      </c>
      <c r="X587" s="2" t="s">
        <v>2497</v>
      </c>
      <c r="Y587" s="2" t="s">
        <v>2478</v>
      </c>
      <c r="Z587" s="4">
        <v>500</v>
      </c>
      <c r="AA587" s="4">
        <f>=ROUNDDOWN(18.5185185185185,0)</f>
      </c>
      <c r="AB587" s="5">
        <v>27</v>
      </c>
      <c r="AC587" s="2" t="s">
        <v>582</v>
      </c>
      <c r="AD587" s="4">
        <v>30</v>
      </c>
      <c r="AE587" s="4">
        <v>980</v>
      </c>
      <c r="AF587" s="6">
        <v>67</v>
      </c>
      <c r="AG587" s="6">
        <v>75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/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/>
      <c r="BJ587" s="4">
        <v>127</v>
      </c>
      <c r="BK587" s="8">
        <v>12482.03</v>
      </c>
      <c r="BL587" s="2" t="s">
        <v>2501</v>
      </c>
      <c r="BM587" s="7"/>
      <c r="BN587" s="7"/>
      <c r="BO587" s="4"/>
      <c r="BP587" s="8"/>
      <c r="BQ587" s="4"/>
      <c r="BR587" s="8"/>
      <c r="BS587" s="7"/>
      <c r="BT587" s="7"/>
      <c r="BU587" s="2" t="s">
        <v>171</v>
      </c>
      <c r="BV587" s="2" t="s">
        <v>97</v>
      </c>
      <c r="BW587" s="2" t="s">
        <v>100</v>
      </c>
      <c r="BX587" s="2" t="s">
        <v>100</v>
      </c>
      <c r="BY587" s="2" t="s">
        <v>112</v>
      </c>
      <c r="BZ587" s="2" t="s">
        <v>100</v>
      </c>
    </row>
    <row r="588">
      <c r="A588" s="2" t="s">
        <v>2502</v>
      </c>
      <c r="B588" s="2" t="s">
        <v>87</v>
      </c>
      <c r="C588" s="2" t="s">
        <v>2357</v>
      </c>
      <c r="D588" s="2" t="s">
        <v>89</v>
      </c>
      <c r="E588" s="2" t="s">
        <v>90</v>
      </c>
      <c r="F588" s="2" t="s">
        <v>221</v>
      </c>
      <c r="G588" s="2" t="s">
        <v>221</v>
      </c>
      <c r="H588" s="2" t="s">
        <v>221</v>
      </c>
      <c r="I588" s="2" t="s">
        <v>2495</v>
      </c>
      <c r="J588" s="2" t="s">
        <v>529</v>
      </c>
      <c r="K588" s="2" t="s">
        <v>179</v>
      </c>
      <c r="L588" s="3">
        <v>98.79</v>
      </c>
      <c r="M588" s="3">
        <v>103.73</v>
      </c>
      <c r="N588" s="3">
        <v>209.99</v>
      </c>
      <c r="O588" s="2" t="s">
        <v>97</v>
      </c>
      <c r="P588" s="2" t="s">
        <v>317</v>
      </c>
      <c r="Q588" s="2" t="s">
        <v>99</v>
      </c>
      <c r="R588" s="2" t="s">
        <v>100</v>
      </c>
      <c r="S588" s="2" t="s">
        <v>2496</v>
      </c>
      <c r="T588" s="2" t="s">
        <v>100</v>
      </c>
      <c r="U588" s="2" t="s">
        <v>100</v>
      </c>
      <c r="V588" s="2" t="s">
        <v>461</v>
      </c>
      <c r="W588" s="2" t="s">
        <v>609</v>
      </c>
      <c r="X588" s="2" t="s">
        <v>2497</v>
      </c>
      <c r="Y588" s="2" t="s">
        <v>2478</v>
      </c>
      <c r="Z588" s="4">
        <v>374</v>
      </c>
      <c r="AA588" s="4">
        <f>=ROUNDDOWN(11.3333333333333,0)</f>
      </c>
      <c r="AB588" s="5">
        <v>33</v>
      </c>
      <c r="AC588" s="2" t="s">
        <v>206</v>
      </c>
      <c r="AD588" s="4">
        <v>80</v>
      </c>
      <c r="AE588" s="4">
        <v>1292</v>
      </c>
      <c r="AF588" s="6">
        <v>67</v>
      </c>
      <c r="AG588" s="6">
        <v>75</v>
      </c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/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/>
      <c r="BJ588" s="4">
        <v>103</v>
      </c>
      <c r="BK588" s="8">
        <v>11341.31</v>
      </c>
      <c r="BL588" s="2" t="s">
        <v>2503</v>
      </c>
      <c r="BM588" s="7"/>
      <c r="BN588" s="7"/>
      <c r="BO588" s="4"/>
      <c r="BP588" s="8"/>
      <c r="BQ588" s="4"/>
      <c r="BR588" s="8"/>
      <c r="BS588" s="7"/>
      <c r="BT588" s="7"/>
      <c r="BU588" s="2" t="s">
        <v>171</v>
      </c>
      <c r="BV588" s="2" t="s">
        <v>97</v>
      </c>
      <c r="BW588" s="2" t="s">
        <v>100</v>
      </c>
      <c r="BX588" s="2" t="s">
        <v>100</v>
      </c>
      <c r="BY588" s="2" t="s">
        <v>112</v>
      </c>
      <c r="BZ588" s="2" t="s">
        <v>100</v>
      </c>
    </row>
    <row r="589">
      <c r="A589" s="2" t="s">
        <v>2504</v>
      </c>
      <c r="B589" s="2" t="s">
        <v>87</v>
      </c>
      <c r="C589" s="2" t="s">
        <v>2357</v>
      </c>
      <c r="D589" s="2" t="s">
        <v>2505</v>
      </c>
      <c r="E589" s="2" t="s">
        <v>2506</v>
      </c>
      <c r="F589" s="2" t="s">
        <v>2507</v>
      </c>
      <c r="G589" s="2" t="s">
        <v>2507</v>
      </c>
      <c r="H589" s="2" t="s">
        <v>2507</v>
      </c>
      <c r="I589" s="2" t="s">
        <v>2508</v>
      </c>
      <c r="J589" s="2" t="s">
        <v>2509</v>
      </c>
      <c r="K589" s="2" t="s">
        <v>458</v>
      </c>
      <c r="L589" s="3">
        <v>11.25</v>
      </c>
      <c r="M589" s="3">
        <v>11.81</v>
      </c>
      <c r="N589" s="3">
        <v>24.99</v>
      </c>
      <c r="O589" s="2" t="s">
        <v>97</v>
      </c>
      <c r="P589" s="2" t="s">
        <v>98</v>
      </c>
      <c r="Q589" s="2" t="s">
        <v>99</v>
      </c>
      <c r="R589" s="2" t="s">
        <v>100</v>
      </c>
      <c r="S589" s="2" t="s">
        <v>100</v>
      </c>
      <c r="T589" s="2" t="s">
        <v>100</v>
      </c>
      <c r="U589" s="2" t="s">
        <v>100</v>
      </c>
      <c r="V589" s="2" t="s">
        <v>2510</v>
      </c>
      <c r="W589" s="2" t="s">
        <v>270</v>
      </c>
      <c r="X589" s="2" t="s">
        <v>609</v>
      </c>
      <c r="Y589" s="2" t="s">
        <v>2511</v>
      </c>
      <c r="Z589" s="4">
        <v>133</v>
      </c>
      <c r="AA589" s="4">
        <f>=ROUNDDOWN(7.38888888888889,0)</f>
      </c>
      <c r="AB589" s="5">
        <v>18</v>
      </c>
      <c r="AC589" s="2" t="s">
        <v>145</v>
      </c>
      <c r="AD589" s="4">
        <v>300</v>
      </c>
      <c r="AE589" s="4">
        <v>650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>
        <v>56</v>
      </c>
      <c r="BK589" s="8">
        <v>624.33</v>
      </c>
      <c r="BL589" s="2" t="s">
        <v>1638</v>
      </c>
      <c r="BM589" s="7"/>
      <c r="BN589" s="7"/>
      <c r="BO589" s="4"/>
      <c r="BP589" s="8"/>
      <c r="BQ589" s="4"/>
      <c r="BR589" s="8"/>
      <c r="BS589" s="7"/>
      <c r="BT589" s="7"/>
      <c r="BU589" s="2" t="s">
        <v>171</v>
      </c>
      <c r="BV589" s="2" t="s">
        <v>97</v>
      </c>
      <c r="BW589" s="2" t="s">
        <v>100</v>
      </c>
      <c r="BX589" s="2" t="s">
        <v>100</v>
      </c>
      <c r="BY589" s="2" t="s">
        <v>112</v>
      </c>
      <c r="BZ589" s="2" t="s">
        <v>100</v>
      </c>
    </row>
    <row r="590">
      <c r="A590" s="2" t="s">
        <v>2512</v>
      </c>
      <c r="B590" s="2" t="s">
        <v>87</v>
      </c>
      <c r="C590" s="2" t="s">
        <v>2357</v>
      </c>
      <c r="D590" s="2" t="s">
        <v>2505</v>
      </c>
      <c r="E590" s="2" t="s">
        <v>2506</v>
      </c>
      <c r="F590" s="2" t="s">
        <v>2468</v>
      </c>
      <c r="G590" s="2" t="s">
        <v>2468</v>
      </c>
      <c r="H590" s="2" t="s">
        <v>2468</v>
      </c>
      <c r="I590" s="2" t="s">
        <v>2513</v>
      </c>
      <c r="J590" s="2" t="s">
        <v>2514</v>
      </c>
      <c r="K590" s="2" t="s">
        <v>706</v>
      </c>
      <c r="L590" s="3">
        <v>22.5</v>
      </c>
      <c r="M590" s="3">
        <v>23.62</v>
      </c>
      <c r="N590" s="3">
        <v>44.99</v>
      </c>
      <c r="O590" s="2" t="s">
        <v>97</v>
      </c>
      <c r="P590" s="2" t="s">
        <v>98</v>
      </c>
      <c r="Q590" s="2" t="s">
        <v>99</v>
      </c>
      <c r="R590" s="2" t="s">
        <v>100</v>
      </c>
      <c r="S590" s="2" t="s">
        <v>2471</v>
      </c>
      <c r="T590" s="2" t="s">
        <v>100</v>
      </c>
      <c r="U590" s="2" t="s">
        <v>100</v>
      </c>
      <c r="V590" s="2" t="s">
        <v>141</v>
      </c>
      <c r="W590" s="2" t="s">
        <v>270</v>
      </c>
      <c r="X590" s="2" t="s">
        <v>609</v>
      </c>
      <c r="Y590" s="2" t="s">
        <v>144</v>
      </c>
      <c r="Z590" s="4">
        <v>120</v>
      </c>
      <c r="AA590" s="4">
        <f>=ROUNDDOWN(20,0)</f>
      </c>
      <c r="AB590" s="5">
        <v>6</v>
      </c>
      <c r="AC590" s="2" t="s">
        <v>107</v>
      </c>
      <c r="AD590" s="4">
        <v>70</v>
      </c>
      <c r="AE590" s="4">
        <v>110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>
        <v>20</v>
      </c>
      <c r="BK590" s="8">
        <v>468.29</v>
      </c>
      <c r="BL590" s="2" t="s">
        <v>2515</v>
      </c>
      <c r="BM590" s="7"/>
      <c r="BN590" s="7"/>
      <c r="BO590" s="4"/>
      <c r="BP590" s="8"/>
      <c r="BQ590" s="4"/>
      <c r="BR590" s="8"/>
      <c r="BS590" s="7"/>
      <c r="BT590" s="7"/>
      <c r="BU590" s="2" t="s">
        <v>171</v>
      </c>
      <c r="BV590" s="2" t="s">
        <v>97</v>
      </c>
      <c r="BW590" s="2" t="s">
        <v>100</v>
      </c>
      <c r="BX590" s="2" t="s">
        <v>100</v>
      </c>
      <c r="BY590" s="2" t="s">
        <v>112</v>
      </c>
      <c r="BZ590" s="2" t="s">
        <v>100</v>
      </c>
    </row>
    <row r="591">
      <c r="A591" s="2" t="s">
        <v>2516</v>
      </c>
      <c r="B591" s="2" t="s">
        <v>87</v>
      </c>
      <c r="C591" s="2" t="s">
        <v>2517</v>
      </c>
      <c r="D591" s="2" t="s">
        <v>89</v>
      </c>
      <c r="E591" s="2" t="s">
        <v>90</v>
      </c>
      <c r="F591" s="2" t="s">
        <v>2518</v>
      </c>
      <c r="G591" s="2" t="s">
        <v>2519</v>
      </c>
      <c r="H591" s="2" t="s">
        <v>2520</v>
      </c>
      <c r="I591" s="2" t="s">
        <v>2521</v>
      </c>
      <c r="J591" s="2" t="s">
        <v>522</v>
      </c>
      <c r="K591" s="2" t="s">
        <v>446</v>
      </c>
      <c r="L591" s="3">
        <v>72.33</v>
      </c>
      <c r="M591" s="3">
        <v>75.94</v>
      </c>
      <c r="N591" s="3">
        <v>159.99</v>
      </c>
      <c r="O591" s="2" t="s">
        <v>97</v>
      </c>
      <c r="P591" s="2" t="s">
        <v>98</v>
      </c>
      <c r="Q591" s="2" t="s">
        <v>99</v>
      </c>
      <c r="R591" s="2" t="s">
        <v>100</v>
      </c>
      <c r="S591" s="2" t="s">
        <v>2522</v>
      </c>
      <c r="T591" s="2" t="s">
        <v>190</v>
      </c>
      <c r="U591" s="2" t="s">
        <v>460</v>
      </c>
      <c r="V591" s="2" t="s">
        <v>461</v>
      </c>
      <c r="W591" s="2" t="s">
        <v>609</v>
      </c>
      <c r="X591" s="2" t="s">
        <v>2523</v>
      </c>
      <c r="Y591" s="2" t="s">
        <v>2524</v>
      </c>
      <c r="Z591" s="4">
        <v>176</v>
      </c>
      <c r="AA591" s="4">
        <f>=ROUNDDOWN(17.6,0)</f>
      </c>
      <c r="AB591" s="5">
        <v>10</v>
      </c>
      <c r="AC591" s="2" t="s">
        <v>725</v>
      </c>
      <c r="AD591" s="4">
        <v>100</v>
      </c>
      <c r="AE591" s="4">
        <v>100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100</v>
      </c>
      <c r="AW591" s="8" t="s">
        <v>100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/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/>
      <c r="BJ591" s="4">
        <v>37</v>
      </c>
      <c r="BK591" s="8">
        <v>2813.01</v>
      </c>
      <c r="BL591" s="2" t="s">
        <v>2525</v>
      </c>
      <c r="BM591" s="7"/>
      <c r="BN591" s="7"/>
      <c r="BO591" s="4"/>
      <c r="BP591" s="8"/>
      <c r="BQ591" s="4"/>
      <c r="BR591" s="8"/>
      <c r="BS591" s="7"/>
      <c r="BT591" s="7"/>
      <c r="BU591" s="2" t="s">
        <v>2526</v>
      </c>
      <c r="BV591" s="2" t="s">
        <v>97</v>
      </c>
      <c r="BW591" s="2" t="s">
        <v>100</v>
      </c>
      <c r="BX591" s="2" t="s">
        <v>100</v>
      </c>
      <c r="BY591" s="2" t="s">
        <v>112</v>
      </c>
      <c r="BZ591" s="2" t="s">
        <v>100</v>
      </c>
    </row>
    <row r="592">
      <c r="A592" s="2" t="s">
        <v>2527</v>
      </c>
      <c r="B592" s="2" t="s">
        <v>87</v>
      </c>
      <c r="C592" s="2" t="s">
        <v>2517</v>
      </c>
      <c r="D592" s="2" t="s">
        <v>89</v>
      </c>
      <c r="E592" s="2" t="s">
        <v>90</v>
      </c>
      <c r="F592" s="2" t="s">
        <v>2518</v>
      </c>
      <c r="G592" s="2" t="s">
        <v>2519</v>
      </c>
      <c r="H592" s="2" t="s">
        <v>2520</v>
      </c>
      <c r="I592" s="2" t="s">
        <v>2521</v>
      </c>
      <c r="J592" s="2" t="s">
        <v>529</v>
      </c>
      <c r="K592" s="2" t="s">
        <v>446</v>
      </c>
      <c r="L592" s="3">
        <v>82.67</v>
      </c>
      <c r="M592" s="3">
        <v>86.8</v>
      </c>
      <c r="N592" s="3">
        <v>179.99</v>
      </c>
      <c r="O592" s="2" t="s">
        <v>97</v>
      </c>
      <c r="P592" s="2" t="s">
        <v>98</v>
      </c>
      <c r="Q592" s="2" t="s">
        <v>99</v>
      </c>
      <c r="R592" s="2" t="s">
        <v>100</v>
      </c>
      <c r="S592" s="2" t="s">
        <v>2522</v>
      </c>
      <c r="T592" s="2" t="s">
        <v>190</v>
      </c>
      <c r="U592" s="2" t="s">
        <v>460</v>
      </c>
      <c r="V592" s="2" t="s">
        <v>461</v>
      </c>
      <c r="W592" s="2" t="s">
        <v>609</v>
      </c>
      <c r="X592" s="2" t="s">
        <v>2523</v>
      </c>
      <c r="Y592" s="2" t="s">
        <v>2524</v>
      </c>
      <c r="Z592" s="4">
        <v>337</v>
      </c>
      <c r="AA592" s="4">
        <f>=ROUNDDOWN(22.4666666666667,0)</f>
      </c>
      <c r="AB592" s="5">
        <v>15</v>
      </c>
      <c r="AC592" s="2" t="s">
        <v>725</v>
      </c>
      <c r="AD592" s="4">
        <v>180</v>
      </c>
      <c r="AE592" s="4">
        <v>180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/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/>
      <c r="BJ592" s="4">
        <v>46</v>
      </c>
      <c r="BK592" s="8">
        <v>4053.58</v>
      </c>
      <c r="BL592" s="2" t="s">
        <v>2528</v>
      </c>
      <c r="BM592" s="7"/>
      <c r="BN592" s="7"/>
      <c r="BO592" s="4"/>
      <c r="BP592" s="8"/>
      <c r="BQ592" s="4"/>
      <c r="BR592" s="8"/>
      <c r="BS592" s="7"/>
      <c r="BT592" s="7"/>
      <c r="BU592" s="2" t="s">
        <v>2526</v>
      </c>
      <c r="BV592" s="2" t="s">
        <v>97</v>
      </c>
      <c r="BW592" s="2" t="s">
        <v>100</v>
      </c>
      <c r="BX592" s="2" t="s">
        <v>100</v>
      </c>
      <c r="BY592" s="2" t="s">
        <v>112</v>
      </c>
      <c r="BZ592" s="2" t="s">
        <v>100</v>
      </c>
    </row>
    <row r="593">
      <c r="A593" s="2" t="s">
        <v>2529</v>
      </c>
      <c r="B593" s="2" t="s">
        <v>87</v>
      </c>
      <c r="C593" s="2" t="s">
        <v>2517</v>
      </c>
      <c r="D593" s="2" t="s">
        <v>1496</v>
      </c>
      <c r="E593" s="2" t="s">
        <v>1497</v>
      </c>
      <c r="F593" s="2" t="s">
        <v>2518</v>
      </c>
      <c r="G593" s="2" t="s">
        <v>2519</v>
      </c>
      <c r="H593" s="2" t="s">
        <v>2520</v>
      </c>
      <c r="I593" s="2" t="s">
        <v>2530</v>
      </c>
      <c r="J593" s="2" t="s">
        <v>522</v>
      </c>
      <c r="K593" s="2" t="s">
        <v>446</v>
      </c>
      <c r="L593" s="3">
        <v>55.78</v>
      </c>
      <c r="M593" s="3">
        <v>58.57</v>
      </c>
      <c r="N593" s="3">
        <v>129.99</v>
      </c>
      <c r="O593" s="2" t="s">
        <v>97</v>
      </c>
      <c r="P593" s="2" t="s">
        <v>98</v>
      </c>
      <c r="Q593" s="2" t="s">
        <v>99</v>
      </c>
      <c r="R593" s="2" t="s">
        <v>100</v>
      </c>
      <c r="S593" s="2" t="s">
        <v>2522</v>
      </c>
      <c r="T593" s="2" t="s">
        <v>190</v>
      </c>
      <c r="U593" s="2" t="s">
        <v>901</v>
      </c>
      <c r="V593" s="2" t="s">
        <v>461</v>
      </c>
      <c r="W593" s="2" t="s">
        <v>609</v>
      </c>
      <c r="X593" s="2" t="s">
        <v>2531</v>
      </c>
      <c r="Y593" s="2" t="s">
        <v>2524</v>
      </c>
      <c r="Z593" s="4">
        <v>216</v>
      </c>
      <c r="AA593" s="4">
        <f>=ROUNDDOWN(36,0)</f>
      </c>
      <c r="AB593" s="5">
        <v>6</v>
      </c>
      <c r="AC593" s="2" t="s">
        <v>725</v>
      </c>
      <c r="AD593" s="4">
        <v>80</v>
      </c>
      <c r="AE593" s="4">
        <v>80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/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/>
      <c r="BJ593" s="4">
        <v>12</v>
      </c>
      <c r="BK593" s="8">
        <v>690.65</v>
      </c>
      <c r="BL593" s="2" t="s">
        <v>2532</v>
      </c>
      <c r="BM593" s="7"/>
      <c r="BN593" s="7"/>
      <c r="BO593" s="4"/>
      <c r="BP593" s="8"/>
      <c r="BQ593" s="4"/>
      <c r="BR593" s="8"/>
      <c r="BS593" s="7"/>
      <c r="BT593" s="7"/>
      <c r="BU593" s="2" t="s">
        <v>2526</v>
      </c>
      <c r="BV593" s="2" t="s">
        <v>97</v>
      </c>
      <c r="BW593" s="2" t="s">
        <v>100</v>
      </c>
      <c r="BX593" s="2" t="s">
        <v>100</v>
      </c>
      <c r="BY593" s="2" t="s">
        <v>112</v>
      </c>
      <c r="BZ593" s="2" t="s">
        <v>100</v>
      </c>
    </row>
    <row r="594">
      <c r="A594" s="2" t="s">
        <v>2533</v>
      </c>
      <c r="B594" s="2" t="s">
        <v>87</v>
      </c>
      <c r="C594" s="2" t="s">
        <v>2517</v>
      </c>
      <c r="D594" s="2" t="s">
        <v>1496</v>
      </c>
      <c r="E594" s="2" t="s">
        <v>1497</v>
      </c>
      <c r="F594" s="2" t="s">
        <v>2518</v>
      </c>
      <c r="G594" s="2" t="s">
        <v>2519</v>
      </c>
      <c r="H594" s="2" t="s">
        <v>2520</v>
      </c>
      <c r="I594" s="2" t="s">
        <v>2530</v>
      </c>
      <c r="J594" s="2" t="s">
        <v>529</v>
      </c>
      <c r="K594" s="2" t="s">
        <v>446</v>
      </c>
      <c r="L594" s="3">
        <v>60.85</v>
      </c>
      <c r="M594" s="3">
        <v>63.9</v>
      </c>
      <c r="N594" s="3">
        <v>139.99</v>
      </c>
      <c r="O594" s="2" t="s">
        <v>97</v>
      </c>
      <c r="P594" s="2" t="s">
        <v>98</v>
      </c>
      <c r="Q594" s="2" t="s">
        <v>99</v>
      </c>
      <c r="R594" s="2" t="s">
        <v>100</v>
      </c>
      <c r="S594" s="2" t="s">
        <v>2522</v>
      </c>
      <c r="T594" s="2" t="s">
        <v>190</v>
      </c>
      <c r="U594" s="2" t="s">
        <v>901</v>
      </c>
      <c r="V594" s="2" t="s">
        <v>461</v>
      </c>
      <c r="W594" s="2" t="s">
        <v>609</v>
      </c>
      <c r="X594" s="2" t="s">
        <v>2531</v>
      </c>
      <c r="Y594" s="2" t="s">
        <v>2524</v>
      </c>
      <c r="Z594" s="4">
        <v>402</v>
      </c>
      <c r="AA594" s="4">
        <f>=ROUNDDOWN(50.25,0)</f>
      </c>
      <c r="AB594" s="5">
        <v>8</v>
      </c>
      <c r="AC594" s="2" t="s">
        <v>725</v>
      </c>
      <c r="AD594" s="4">
        <v>170</v>
      </c>
      <c r="AE594" s="4">
        <v>170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/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/>
      <c r="BJ594" s="4">
        <v>21</v>
      </c>
      <c r="BK594" s="8">
        <v>1368.55</v>
      </c>
      <c r="BL594" s="2" t="s">
        <v>2534</v>
      </c>
      <c r="BM594" s="7"/>
      <c r="BN594" s="7"/>
      <c r="BO594" s="4"/>
      <c r="BP594" s="8"/>
      <c r="BQ594" s="4"/>
      <c r="BR594" s="8"/>
      <c r="BS594" s="7"/>
      <c r="BT594" s="7"/>
      <c r="BU594" s="2" t="s">
        <v>2526</v>
      </c>
      <c r="BV594" s="2" t="s">
        <v>97</v>
      </c>
      <c r="BW594" s="2" t="s">
        <v>100</v>
      </c>
      <c r="BX594" s="2" t="s">
        <v>100</v>
      </c>
      <c r="BY594" s="2" t="s">
        <v>112</v>
      </c>
      <c r="BZ594" s="2" t="s">
        <v>100</v>
      </c>
    </row>
    <row r="595">
      <c r="A595" s="2" t="s">
        <v>2535</v>
      </c>
      <c r="B595" s="2" t="s">
        <v>87</v>
      </c>
      <c r="C595" s="2" t="s">
        <v>2536</v>
      </c>
      <c r="D595" s="2" t="s">
        <v>89</v>
      </c>
      <c r="E595" s="2" t="s">
        <v>90</v>
      </c>
      <c r="F595" s="2" t="s">
        <v>2537</v>
      </c>
      <c r="G595" s="2" t="s">
        <v>100</v>
      </c>
      <c r="H595" s="2" t="s">
        <v>100</v>
      </c>
      <c r="I595" s="2" t="s">
        <v>2538</v>
      </c>
      <c r="J595" s="2" t="s">
        <v>95</v>
      </c>
      <c r="K595" s="2" t="s">
        <v>138</v>
      </c>
      <c r="L595" s="3">
        <v>186.9</v>
      </c>
      <c r="M595" s="3">
        <v>196.24</v>
      </c>
      <c r="N595" s="3">
        <v>534</v>
      </c>
      <c r="O595" s="2" t="s">
        <v>97</v>
      </c>
      <c r="P595" s="2" t="s">
        <v>156</v>
      </c>
      <c r="Q595" s="2" t="s">
        <v>99</v>
      </c>
      <c r="R595" s="2" t="s">
        <v>100</v>
      </c>
      <c r="S595" s="2" t="s">
        <v>2539</v>
      </c>
      <c r="T595" s="2" t="s">
        <v>100</v>
      </c>
      <c r="U595" s="2" t="s">
        <v>618</v>
      </c>
      <c r="V595" s="2" t="s">
        <v>304</v>
      </c>
      <c r="W595" s="2" t="s">
        <v>104</v>
      </c>
      <c r="X595" s="2" t="s">
        <v>2137</v>
      </c>
      <c r="Y595" s="2" t="s">
        <v>144</v>
      </c>
      <c r="Z595" s="4">
        <v>136</v>
      </c>
      <c r="AA595" s="4">
        <f>=ROUNDDOWN(19.4285714285714,0)</f>
      </c>
      <c r="AB595" s="5">
        <v>7</v>
      </c>
      <c r="AC595" s="2" t="s">
        <v>206</v>
      </c>
      <c r="AD595" s="4">
        <v>90</v>
      </c>
      <c r="AE595" s="4">
        <v>130</v>
      </c>
      <c r="AF595" s="6">
        <v>67</v>
      </c>
      <c r="AG595" s="6"/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/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/>
      <c r="BJ595" s="4">
        <v>16</v>
      </c>
      <c r="BK595" s="8">
        <v>2809.1</v>
      </c>
      <c r="BL595" s="2" t="s">
        <v>2540</v>
      </c>
      <c r="BM595" s="7"/>
      <c r="BN595" s="7"/>
      <c r="BO595" s="4"/>
      <c r="BP595" s="8"/>
      <c r="BQ595" s="4"/>
      <c r="BR595" s="8"/>
      <c r="BS595" s="7"/>
      <c r="BT595" s="7"/>
      <c r="BU595" s="2" t="s">
        <v>2526</v>
      </c>
      <c r="BV595" s="2" t="s">
        <v>97</v>
      </c>
      <c r="BW595" s="2" t="s">
        <v>100</v>
      </c>
      <c r="BX595" s="2" t="s">
        <v>100</v>
      </c>
      <c r="BY595" s="2" t="s">
        <v>112</v>
      </c>
      <c r="BZ595" s="2" t="s">
        <v>100</v>
      </c>
    </row>
    <row r="596">
      <c r="A596" s="2" t="s">
        <v>2541</v>
      </c>
      <c r="B596" s="2" t="s">
        <v>87</v>
      </c>
      <c r="C596" s="2" t="s">
        <v>2536</v>
      </c>
      <c r="D596" s="2" t="s">
        <v>89</v>
      </c>
      <c r="E596" s="2" t="s">
        <v>90</v>
      </c>
      <c r="F596" s="2" t="s">
        <v>2537</v>
      </c>
      <c r="G596" s="2" t="s">
        <v>100</v>
      </c>
      <c r="H596" s="2" t="s">
        <v>100</v>
      </c>
      <c r="I596" s="2" t="s">
        <v>2542</v>
      </c>
      <c r="J596" s="2" t="s">
        <v>114</v>
      </c>
      <c r="K596" s="2" t="s">
        <v>138</v>
      </c>
      <c r="L596" s="3">
        <v>210</v>
      </c>
      <c r="M596" s="3">
        <v>220.5</v>
      </c>
      <c r="N596" s="3">
        <v>600</v>
      </c>
      <c r="O596" s="2" t="s">
        <v>97</v>
      </c>
      <c r="P596" s="2" t="s">
        <v>156</v>
      </c>
      <c r="Q596" s="2" t="s">
        <v>99</v>
      </c>
      <c r="R596" s="2" t="s">
        <v>100</v>
      </c>
      <c r="S596" s="2" t="s">
        <v>2539</v>
      </c>
      <c r="T596" s="2" t="s">
        <v>100</v>
      </c>
      <c r="U596" s="2" t="s">
        <v>2543</v>
      </c>
      <c r="V596" s="2" t="s">
        <v>304</v>
      </c>
      <c r="W596" s="2" t="s">
        <v>104</v>
      </c>
      <c r="X596" s="2" t="s">
        <v>2137</v>
      </c>
      <c r="Y596" s="2" t="s">
        <v>151</v>
      </c>
      <c r="Z596" s="4">
        <v>168</v>
      </c>
      <c r="AA596" s="4">
        <f>=ROUNDDOWN(21,0)</f>
      </c>
      <c r="AB596" s="5">
        <v>8</v>
      </c>
      <c r="AC596" s="2" t="s">
        <v>206</v>
      </c>
      <c r="AD596" s="4">
        <v>70</v>
      </c>
      <c r="AE596" s="4">
        <v>100</v>
      </c>
      <c r="AF596" s="6">
        <v>67</v>
      </c>
      <c r="AG596" s="6"/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/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/>
      <c r="BJ596" s="4">
        <v>29</v>
      </c>
      <c r="BK596" s="8">
        <v>6123.79</v>
      </c>
      <c r="BL596" s="2" t="s">
        <v>2544</v>
      </c>
      <c r="BM596" s="7"/>
      <c r="BN596" s="7"/>
      <c r="BO596" s="4"/>
      <c r="BP596" s="8"/>
      <c r="BQ596" s="4"/>
      <c r="BR596" s="8"/>
      <c r="BS596" s="7"/>
      <c r="BT596" s="7"/>
      <c r="BU596" s="2" t="s">
        <v>2526</v>
      </c>
      <c r="BV596" s="2" t="s">
        <v>97</v>
      </c>
      <c r="BW596" s="2" t="s">
        <v>100</v>
      </c>
      <c r="BX596" s="2" t="s">
        <v>100</v>
      </c>
      <c r="BY596" s="2" t="s">
        <v>112</v>
      </c>
      <c r="BZ596" s="2" t="s">
        <v>100</v>
      </c>
    </row>
    <row r="597">
      <c r="A597" s="2" t="s">
        <v>2545</v>
      </c>
      <c r="B597" s="2" t="s">
        <v>87</v>
      </c>
      <c r="C597" s="2" t="s">
        <v>2536</v>
      </c>
      <c r="D597" s="2" t="s">
        <v>963</v>
      </c>
      <c r="E597" s="2" t="s">
        <v>1486</v>
      </c>
      <c r="F597" s="2" t="s">
        <v>2546</v>
      </c>
      <c r="G597" s="2" t="s">
        <v>2546</v>
      </c>
      <c r="H597" s="2" t="s">
        <v>100</v>
      </c>
      <c r="I597" s="2" t="s">
        <v>2547</v>
      </c>
      <c r="J597" s="2" t="s">
        <v>95</v>
      </c>
      <c r="K597" s="2" t="s">
        <v>2548</v>
      </c>
      <c r="L597" s="3">
        <v>73.15</v>
      </c>
      <c r="M597" s="3">
        <v>76.81</v>
      </c>
      <c r="N597" s="3">
        <v>209</v>
      </c>
      <c r="O597" s="2" t="s">
        <v>97</v>
      </c>
      <c r="P597" s="2" t="s">
        <v>98</v>
      </c>
      <c r="Q597" s="2" t="s">
        <v>99</v>
      </c>
      <c r="R597" s="2" t="s">
        <v>100</v>
      </c>
      <c r="S597" s="2" t="s">
        <v>2549</v>
      </c>
      <c r="T597" s="2" t="s">
        <v>100</v>
      </c>
      <c r="U597" s="2" t="s">
        <v>901</v>
      </c>
      <c r="V597" s="2" t="s">
        <v>461</v>
      </c>
      <c r="W597" s="2" t="s">
        <v>142</v>
      </c>
      <c r="X597" s="2" t="s">
        <v>194</v>
      </c>
      <c r="Y597" s="2" t="s">
        <v>435</v>
      </c>
      <c r="Z597" s="4">
        <v>135</v>
      </c>
      <c r="AA597" s="4">
        <f>=ROUNDDOWN(67.5,0)</f>
      </c>
      <c r="AB597" s="5">
        <v>2</v>
      </c>
      <c r="AC597" s="2" t="s">
        <v>100</v>
      </c>
      <c r="AD597" s="4"/>
      <c r="AE597" s="4"/>
      <c r="AF597" s="6">
        <v>67</v>
      </c>
      <c r="AG597" s="6"/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100</v>
      </c>
      <c r="AW597" s="8" t="s">
        <v>100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/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/>
      <c r="BJ597" s="4">
        <v>7</v>
      </c>
      <c r="BK597" s="8">
        <v>510.66</v>
      </c>
      <c r="BL597" s="2" t="s">
        <v>2550</v>
      </c>
      <c r="BM597" s="7"/>
      <c r="BN597" s="7"/>
      <c r="BO597" s="4"/>
      <c r="BP597" s="8"/>
      <c r="BQ597" s="4"/>
      <c r="BR597" s="8"/>
      <c r="BS597" s="7"/>
      <c r="BT597" s="7"/>
      <c r="BU597" s="2" t="s">
        <v>2551</v>
      </c>
      <c r="BV597" s="2" t="s">
        <v>97</v>
      </c>
      <c r="BW597" s="2" t="s">
        <v>100</v>
      </c>
      <c r="BX597" s="2" t="s">
        <v>100</v>
      </c>
      <c r="BY597" s="2" t="s">
        <v>112</v>
      </c>
      <c r="BZ597" s="2" t="s">
        <v>100</v>
      </c>
    </row>
    <row r="598">
      <c r="A598" s="2" t="s">
        <v>2552</v>
      </c>
      <c r="B598" s="2" t="s">
        <v>87</v>
      </c>
      <c r="C598" s="2" t="s">
        <v>2536</v>
      </c>
      <c r="D598" s="2" t="s">
        <v>963</v>
      </c>
      <c r="E598" s="2" t="s">
        <v>1486</v>
      </c>
      <c r="F598" s="2" t="s">
        <v>2546</v>
      </c>
      <c r="G598" s="2" t="s">
        <v>2546</v>
      </c>
      <c r="H598" s="2" t="s">
        <v>100</v>
      </c>
      <c r="I598" s="2" t="s">
        <v>2547</v>
      </c>
      <c r="J598" s="2" t="s">
        <v>114</v>
      </c>
      <c r="K598" s="2" t="s">
        <v>2548</v>
      </c>
      <c r="L598" s="3">
        <v>90.65</v>
      </c>
      <c r="M598" s="3">
        <v>95.18</v>
      </c>
      <c r="N598" s="3">
        <v>259</v>
      </c>
      <c r="O598" s="2" t="s">
        <v>97</v>
      </c>
      <c r="P598" s="2" t="s">
        <v>98</v>
      </c>
      <c r="Q598" s="2" t="s">
        <v>99</v>
      </c>
      <c r="R598" s="2" t="s">
        <v>100</v>
      </c>
      <c r="S598" s="2" t="s">
        <v>2549</v>
      </c>
      <c r="T598" s="2" t="s">
        <v>100</v>
      </c>
      <c r="U598" s="2" t="s">
        <v>901</v>
      </c>
      <c r="V598" s="2" t="s">
        <v>461</v>
      </c>
      <c r="W598" s="2" t="s">
        <v>142</v>
      </c>
      <c r="X598" s="2" t="s">
        <v>194</v>
      </c>
      <c r="Y598" s="2" t="s">
        <v>144</v>
      </c>
      <c r="Z598" s="4">
        <v>143</v>
      </c>
      <c r="AA598" s="4">
        <f>=ROUNDDOWN(35.75,0)</f>
      </c>
      <c r="AB598" s="5">
        <v>4</v>
      </c>
      <c r="AC598" s="2" t="s">
        <v>100</v>
      </c>
      <c r="AD598" s="4"/>
      <c r="AE598" s="4"/>
      <c r="AF598" s="6">
        <v>67</v>
      </c>
      <c r="AG598" s="6"/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/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/>
      <c r="BJ598" s="4">
        <v>11</v>
      </c>
      <c r="BK598" s="8">
        <v>1118.16</v>
      </c>
      <c r="BL598" s="2" t="s">
        <v>2553</v>
      </c>
      <c r="BM598" s="7"/>
      <c r="BN598" s="7"/>
      <c r="BO598" s="4"/>
      <c r="BP598" s="8"/>
      <c r="BQ598" s="4"/>
      <c r="BR598" s="8"/>
      <c r="BS598" s="7"/>
      <c r="BT598" s="7"/>
      <c r="BU598" s="2" t="s">
        <v>2551</v>
      </c>
      <c r="BV598" s="2" t="s">
        <v>97</v>
      </c>
      <c r="BW598" s="2" t="s">
        <v>100</v>
      </c>
      <c r="BX598" s="2" t="s">
        <v>100</v>
      </c>
      <c r="BY598" s="2" t="s">
        <v>112</v>
      </c>
      <c r="BZ598" s="2" t="s">
        <v>100</v>
      </c>
    </row>
    <row r="599">
      <c r="A599" s="2" t="s">
        <v>2554</v>
      </c>
      <c r="B599" s="2" t="s">
        <v>87</v>
      </c>
      <c r="C599" s="2" t="s">
        <v>2536</v>
      </c>
      <c r="D599" s="2" t="s">
        <v>963</v>
      </c>
      <c r="E599" s="2" t="s">
        <v>1486</v>
      </c>
      <c r="F599" s="2" t="s">
        <v>2546</v>
      </c>
      <c r="G599" s="2" t="s">
        <v>2546</v>
      </c>
      <c r="H599" s="2" t="s">
        <v>100</v>
      </c>
      <c r="I599" s="2" t="s">
        <v>2547</v>
      </c>
      <c r="J599" s="2" t="s">
        <v>95</v>
      </c>
      <c r="K599" s="2" t="s">
        <v>2555</v>
      </c>
      <c r="L599" s="3">
        <v>73.15</v>
      </c>
      <c r="M599" s="3">
        <v>76.81</v>
      </c>
      <c r="N599" s="3">
        <v>209</v>
      </c>
      <c r="O599" s="2" t="s">
        <v>97</v>
      </c>
      <c r="P599" s="2" t="s">
        <v>98</v>
      </c>
      <c r="Q599" s="2" t="s">
        <v>99</v>
      </c>
      <c r="R599" s="2" t="s">
        <v>100</v>
      </c>
      <c r="S599" s="2" t="s">
        <v>2556</v>
      </c>
      <c r="T599" s="2" t="s">
        <v>100</v>
      </c>
      <c r="U599" s="2" t="s">
        <v>901</v>
      </c>
      <c r="V599" s="2" t="s">
        <v>461</v>
      </c>
      <c r="W599" s="2" t="s">
        <v>142</v>
      </c>
      <c r="X599" s="2" t="s">
        <v>194</v>
      </c>
      <c r="Y599" s="2" t="s">
        <v>144</v>
      </c>
      <c r="Z599" s="4">
        <v>121</v>
      </c>
      <c r="AA599" s="4">
        <f>=ROUNDDOWN(40.3333333333333,0)</f>
      </c>
      <c r="AB599" s="5">
        <v>3</v>
      </c>
      <c r="AC599" s="2" t="s">
        <v>100</v>
      </c>
      <c r="AD599" s="4"/>
      <c r="AE599" s="4"/>
      <c r="AF599" s="6">
        <v>67</v>
      </c>
      <c r="AG599" s="6"/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100</v>
      </c>
      <c r="AW599" s="8" t="s">
        <v>100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/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/>
      <c r="BJ599" s="4">
        <v>5</v>
      </c>
      <c r="BK599" s="8">
        <v>384.11</v>
      </c>
      <c r="BL599" s="2" t="s">
        <v>2557</v>
      </c>
      <c r="BM599" s="7"/>
      <c r="BN599" s="7"/>
      <c r="BO599" s="4"/>
      <c r="BP599" s="8"/>
      <c r="BQ599" s="4"/>
      <c r="BR599" s="8"/>
      <c r="BS599" s="7"/>
      <c r="BT599" s="7"/>
      <c r="BU599" s="2" t="s">
        <v>2551</v>
      </c>
      <c r="BV599" s="2" t="s">
        <v>97</v>
      </c>
      <c r="BW599" s="2" t="s">
        <v>100</v>
      </c>
      <c r="BX599" s="2" t="s">
        <v>100</v>
      </c>
      <c r="BY599" s="2" t="s">
        <v>112</v>
      </c>
      <c r="BZ599" s="2" t="s">
        <v>100</v>
      </c>
    </row>
    <row r="600">
      <c r="A600" s="2" t="s">
        <v>2558</v>
      </c>
      <c r="B600" s="2" t="s">
        <v>87</v>
      </c>
      <c r="C600" s="2" t="s">
        <v>2536</v>
      </c>
      <c r="D600" s="2" t="s">
        <v>963</v>
      </c>
      <c r="E600" s="2" t="s">
        <v>1486</v>
      </c>
      <c r="F600" s="2" t="s">
        <v>2546</v>
      </c>
      <c r="G600" s="2" t="s">
        <v>2546</v>
      </c>
      <c r="H600" s="2" t="s">
        <v>100</v>
      </c>
      <c r="I600" s="2" t="s">
        <v>2547</v>
      </c>
      <c r="J600" s="2" t="s">
        <v>114</v>
      </c>
      <c r="K600" s="2" t="s">
        <v>2555</v>
      </c>
      <c r="L600" s="3">
        <v>90.65</v>
      </c>
      <c r="M600" s="3">
        <v>95.18</v>
      </c>
      <c r="N600" s="3">
        <v>259</v>
      </c>
      <c r="O600" s="2" t="s">
        <v>97</v>
      </c>
      <c r="P600" s="2" t="s">
        <v>98</v>
      </c>
      <c r="Q600" s="2" t="s">
        <v>99</v>
      </c>
      <c r="R600" s="2" t="s">
        <v>100</v>
      </c>
      <c r="S600" s="2" t="s">
        <v>2556</v>
      </c>
      <c r="T600" s="2" t="s">
        <v>100</v>
      </c>
      <c r="U600" s="2" t="s">
        <v>901</v>
      </c>
      <c r="V600" s="2" t="s">
        <v>461</v>
      </c>
      <c r="W600" s="2" t="s">
        <v>142</v>
      </c>
      <c r="X600" s="2" t="s">
        <v>194</v>
      </c>
      <c r="Y600" s="2" t="s">
        <v>144</v>
      </c>
      <c r="Z600" s="4">
        <v>113</v>
      </c>
      <c r="AA600" s="4">
        <f>=ROUNDDOWN(28.25,0)</f>
      </c>
      <c r="AB600" s="5">
        <v>4</v>
      </c>
      <c r="AC600" s="2" t="s">
        <v>100</v>
      </c>
      <c r="AD600" s="4"/>
      <c r="AE600" s="4"/>
      <c r="AF600" s="6">
        <v>67</v>
      </c>
      <c r="AG600" s="6"/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/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/>
      <c r="BJ600" s="4">
        <v>7</v>
      </c>
      <c r="BK600" s="8">
        <v>640.58</v>
      </c>
      <c r="BL600" s="2" t="s">
        <v>2559</v>
      </c>
      <c r="BM600" s="7"/>
      <c r="BN600" s="7"/>
      <c r="BO600" s="4"/>
      <c r="BP600" s="8"/>
      <c r="BQ600" s="4"/>
      <c r="BR600" s="8"/>
      <c r="BS600" s="7"/>
      <c r="BT600" s="7"/>
      <c r="BU600" s="2" t="s">
        <v>2551</v>
      </c>
      <c r="BV600" s="2" t="s">
        <v>97</v>
      </c>
      <c r="BW600" s="2" t="s">
        <v>100</v>
      </c>
      <c r="BX600" s="2" t="s">
        <v>100</v>
      </c>
      <c r="BY600" s="2" t="s">
        <v>112</v>
      </c>
      <c r="BZ600" s="2" t="s">
        <v>100</v>
      </c>
    </row>
    <row r="601">
      <c r="A601" s="2" t="s">
        <v>2560</v>
      </c>
      <c r="B601" s="2" t="s">
        <v>87</v>
      </c>
      <c r="C601" s="2" t="s">
        <v>2536</v>
      </c>
      <c r="D601" s="2" t="s">
        <v>963</v>
      </c>
      <c r="E601" s="2" t="s">
        <v>1486</v>
      </c>
      <c r="F601" s="2" t="s">
        <v>2546</v>
      </c>
      <c r="G601" s="2" t="s">
        <v>2546</v>
      </c>
      <c r="H601" s="2" t="s">
        <v>2546</v>
      </c>
      <c r="I601" s="2" t="s">
        <v>2547</v>
      </c>
      <c r="J601" s="2" t="s">
        <v>95</v>
      </c>
      <c r="K601" s="2" t="s">
        <v>673</v>
      </c>
      <c r="L601" s="3">
        <v>73.15</v>
      </c>
      <c r="M601" s="3">
        <v>76.81</v>
      </c>
      <c r="N601" s="3">
        <v>209</v>
      </c>
      <c r="O601" s="2" t="s">
        <v>97</v>
      </c>
      <c r="P601" s="2" t="s">
        <v>98</v>
      </c>
      <c r="Q601" s="2" t="s">
        <v>99</v>
      </c>
      <c r="R601" s="2" t="s">
        <v>100</v>
      </c>
      <c r="S601" s="2" t="s">
        <v>2561</v>
      </c>
      <c r="T601" s="2" t="s">
        <v>100</v>
      </c>
      <c r="U601" s="2" t="s">
        <v>901</v>
      </c>
      <c r="V601" s="2" t="s">
        <v>461</v>
      </c>
      <c r="W601" s="2" t="s">
        <v>142</v>
      </c>
      <c r="X601" s="2" t="s">
        <v>194</v>
      </c>
      <c r="Y601" s="2" t="s">
        <v>144</v>
      </c>
      <c r="Z601" s="4">
        <v>113</v>
      </c>
      <c r="AA601" s="4">
        <f>=ROUNDDOWN(56.5,0)</f>
      </c>
      <c r="AB601" s="5">
        <v>2</v>
      </c>
      <c r="AC601" s="2" t="s">
        <v>100</v>
      </c>
      <c r="AD601" s="4"/>
      <c r="AE601" s="4"/>
      <c r="AF601" s="6">
        <v>67</v>
      </c>
      <c r="AG601" s="6"/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/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/>
      <c r="BJ601" s="4">
        <v>7</v>
      </c>
      <c r="BK601" s="8">
        <v>515.71</v>
      </c>
      <c r="BL601" s="2" t="s">
        <v>2562</v>
      </c>
      <c r="BM601" s="7"/>
      <c r="BN601" s="7"/>
      <c r="BO601" s="4"/>
      <c r="BP601" s="8"/>
      <c r="BQ601" s="4"/>
      <c r="BR601" s="8"/>
      <c r="BS601" s="7"/>
      <c r="BT601" s="7"/>
      <c r="BU601" s="2" t="s">
        <v>171</v>
      </c>
      <c r="BV601" s="2" t="s">
        <v>97</v>
      </c>
      <c r="BW601" s="2" t="s">
        <v>100</v>
      </c>
      <c r="BX601" s="2" t="s">
        <v>100</v>
      </c>
      <c r="BY601" s="2" t="s">
        <v>112</v>
      </c>
      <c r="BZ601" s="2" t="s">
        <v>100</v>
      </c>
    </row>
    <row r="602">
      <c r="A602" s="2" t="s">
        <v>2563</v>
      </c>
      <c r="B602" s="2" t="s">
        <v>87</v>
      </c>
      <c r="C602" s="2" t="s">
        <v>2536</v>
      </c>
      <c r="D602" s="2" t="s">
        <v>963</v>
      </c>
      <c r="E602" s="2" t="s">
        <v>1486</v>
      </c>
      <c r="F602" s="2" t="s">
        <v>2546</v>
      </c>
      <c r="G602" s="2" t="s">
        <v>2546</v>
      </c>
      <c r="H602" s="2" t="s">
        <v>2546</v>
      </c>
      <c r="I602" s="2" t="s">
        <v>2547</v>
      </c>
      <c r="J602" s="2" t="s">
        <v>114</v>
      </c>
      <c r="K602" s="2" t="s">
        <v>673</v>
      </c>
      <c r="L602" s="3">
        <v>90.65</v>
      </c>
      <c r="M602" s="3">
        <v>95.18</v>
      </c>
      <c r="N602" s="3">
        <v>259</v>
      </c>
      <c r="O602" s="2" t="s">
        <v>97</v>
      </c>
      <c r="P602" s="2" t="s">
        <v>98</v>
      </c>
      <c r="Q602" s="2" t="s">
        <v>99</v>
      </c>
      <c r="R602" s="2" t="s">
        <v>100</v>
      </c>
      <c r="S602" s="2" t="s">
        <v>2561</v>
      </c>
      <c r="T602" s="2" t="s">
        <v>100</v>
      </c>
      <c r="U602" s="2" t="s">
        <v>901</v>
      </c>
      <c r="V602" s="2" t="s">
        <v>461</v>
      </c>
      <c r="W602" s="2" t="s">
        <v>142</v>
      </c>
      <c r="X602" s="2" t="s">
        <v>194</v>
      </c>
      <c r="Y602" s="2" t="s">
        <v>144</v>
      </c>
      <c r="Z602" s="4">
        <v>114</v>
      </c>
      <c r="AA602" s="4">
        <f>=ROUNDDOWN(28.5,0)</f>
      </c>
      <c r="AB602" s="5">
        <v>4</v>
      </c>
      <c r="AC602" s="2" t="s">
        <v>100</v>
      </c>
      <c r="AD602" s="4"/>
      <c r="AE602" s="4"/>
      <c r="AF602" s="6">
        <v>67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/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/>
      <c r="BJ602" s="4">
        <v>9</v>
      </c>
      <c r="BK602" s="8">
        <v>825.73</v>
      </c>
      <c r="BL602" s="2" t="s">
        <v>2564</v>
      </c>
      <c r="BM602" s="7"/>
      <c r="BN602" s="7"/>
      <c r="BO602" s="4"/>
      <c r="BP602" s="8"/>
      <c r="BQ602" s="4"/>
      <c r="BR602" s="8"/>
      <c r="BS602" s="7"/>
      <c r="BT602" s="7"/>
      <c r="BU602" s="2" t="s">
        <v>171</v>
      </c>
      <c r="BV602" s="2" t="s">
        <v>97</v>
      </c>
      <c r="BW602" s="2" t="s">
        <v>100</v>
      </c>
      <c r="BX602" s="2" t="s">
        <v>100</v>
      </c>
      <c r="BY602" s="2" t="s">
        <v>112</v>
      </c>
      <c r="BZ602" s="2" t="s">
        <v>100</v>
      </c>
    </row>
    <row r="603">
      <c r="A603" s="2" t="s">
        <v>2565</v>
      </c>
      <c r="B603" s="2" t="s">
        <v>87</v>
      </c>
      <c r="C603" s="2" t="s">
        <v>2536</v>
      </c>
      <c r="D603" s="2" t="s">
        <v>2566</v>
      </c>
      <c r="E603" s="2" t="s">
        <v>2567</v>
      </c>
      <c r="F603" s="2" t="s">
        <v>2537</v>
      </c>
      <c r="G603" s="2" t="s">
        <v>2537</v>
      </c>
      <c r="H603" s="2" t="s">
        <v>2537</v>
      </c>
      <c r="I603" s="2" t="s">
        <v>2568</v>
      </c>
      <c r="J603" s="2" t="s">
        <v>2569</v>
      </c>
      <c r="K603" s="2" t="s">
        <v>138</v>
      </c>
      <c r="L603" s="3">
        <v>19.25</v>
      </c>
      <c r="M603" s="3">
        <v>20.21</v>
      </c>
      <c r="N603" s="3">
        <v>54.99</v>
      </c>
      <c r="O603" s="2" t="s">
        <v>97</v>
      </c>
      <c r="P603" s="2" t="s">
        <v>98</v>
      </c>
      <c r="Q603" s="2" t="s">
        <v>99</v>
      </c>
      <c r="R603" s="2" t="s">
        <v>100</v>
      </c>
      <c r="S603" s="2" t="s">
        <v>2539</v>
      </c>
      <c r="T603" s="2" t="s">
        <v>100</v>
      </c>
      <c r="U603" s="2" t="s">
        <v>100</v>
      </c>
      <c r="V603" s="2" t="s">
        <v>304</v>
      </c>
      <c r="W603" s="2" t="s">
        <v>104</v>
      </c>
      <c r="X603" s="2" t="s">
        <v>100</v>
      </c>
      <c r="Y603" s="2" t="s">
        <v>2570</v>
      </c>
      <c r="Z603" s="4">
        <v>269</v>
      </c>
      <c r="AA603" s="4">
        <f>=ROUNDDOWN(44.8333333333333,0)</f>
      </c>
      <c r="AB603" s="5">
        <v>6</v>
      </c>
      <c r="AC603" s="2" t="s">
        <v>312</v>
      </c>
      <c r="AD603" s="4">
        <v>200</v>
      </c>
      <c r="AE603" s="4">
        <v>200</v>
      </c>
      <c r="AF603" s="6">
        <v>67</v>
      </c>
      <c r="AG603" s="6"/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>
        <v>18</v>
      </c>
      <c r="BK603" s="8">
        <v>317.07</v>
      </c>
      <c r="BL603" s="2" t="s">
        <v>250</v>
      </c>
      <c r="BM603" s="7"/>
      <c r="BN603" s="7"/>
      <c r="BO603" s="4"/>
      <c r="BP603" s="8"/>
      <c r="BQ603" s="4"/>
      <c r="BR603" s="8"/>
      <c r="BS603" s="7"/>
      <c r="BT603" s="7"/>
      <c r="BU603" s="2" t="s">
        <v>2551</v>
      </c>
      <c r="BV603" s="2" t="s">
        <v>97</v>
      </c>
      <c r="BW603" s="2" t="s">
        <v>100</v>
      </c>
      <c r="BX603" s="2" t="s">
        <v>100</v>
      </c>
      <c r="BY603" s="2" t="s">
        <v>112</v>
      </c>
      <c r="BZ603" s="2" t="s">
        <v>100</v>
      </c>
    </row>
    <row r="604">
      <c r="A604" s="2" t="s">
        <v>2571</v>
      </c>
      <c r="B604" s="2" t="s">
        <v>87</v>
      </c>
      <c r="C604" s="2" t="s">
        <v>2536</v>
      </c>
      <c r="D604" s="2" t="s">
        <v>2572</v>
      </c>
      <c r="E604" s="2" t="s">
        <v>2573</v>
      </c>
      <c r="F604" s="2" t="s">
        <v>2537</v>
      </c>
      <c r="G604" s="2" t="s">
        <v>2537</v>
      </c>
      <c r="H604" s="2" t="s">
        <v>2537</v>
      </c>
      <c r="I604" s="2" t="s">
        <v>2574</v>
      </c>
      <c r="J604" s="2" t="s">
        <v>2575</v>
      </c>
      <c r="K604" s="2" t="s">
        <v>138</v>
      </c>
      <c r="L604" s="3">
        <v>43.75</v>
      </c>
      <c r="M604" s="3">
        <v>45.93</v>
      </c>
      <c r="N604" s="3">
        <v>124.99</v>
      </c>
      <c r="O604" s="2" t="s">
        <v>97</v>
      </c>
      <c r="P604" s="2" t="s">
        <v>98</v>
      </c>
      <c r="Q604" s="2" t="s">
        <v>99</v>
      </c>
      <c r="R604" s="2" t="s">
        <v>100</v>
      </c>
      <c r="S604" s="2" t="s">
        <v>2539</v>
      </c>
      <c r="T604" s="2" t="s">
        <v>100</v>
      </c>
      <c r="U604" s="2" t="s">
        <v>100</v>
      </c>
      <c r="V604" s="2" t="s">
        <v>304</v>
      </c>
      <c r="W604" s="2" t="s">
        <v>104</v>
      </c>
      <c r="X604" s="2" t="s">
        <v>100</v>
      </c>
      <c r="Y604" s="2" t="s">
        <v>2570</v>
      </c>
      <c r="Z604" s="4">
        <v>96</v>
      </c>
      <c r="AA604" s="4">
        <f>=ROUNDDOWN(68.5714285714286,0)</f>
      </c>
      <c r="AB604" s="5">
        <v>1.4</v>
      </c>
      <c r="AC604" s="2" t="s">
        <v>312</v>
      </c>
      <c r="AD604" s="4">
        <v>80</v>
      </c>
      <c r="AE604" s="4">
        <v>80</v>
      </c>
      <c r="AF604" s="6">
        <v>67</v>
      </c>
      <c r="AG604" s="6"/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>
        <v>24</v>
      </c>
      <c r="BK604" s="8">
        <v>1006.32</v>
      </c>
      <c r="BL604" s="2" t="s">
        <v>2202</v>
      </c>
      <c r="BM604" s="7"/>
      <c r="BN604" s="7"/>
      <c r="BO604" s="4"/>
      <c r="BP604" s="8"/>
      <c r="BQ604" s="4"/>
      <c r="BR604" s="8"/>
      <c r="BS604" s="7"/>
      <c r="BT604" s="7"/>
      <c r="BU604" s="2" t="s">
        <v>2551</v>
      </c>
      <c r="BV604" s="2" t="s">
        <v>97</v>
      </c>
      <c r="BW604" s="2" t="s">
        <v>100</v>
      </c>
      <c r="BX604" s="2" t="s">
        <v>100</v>
      </c>
      <c r="BY604" s="2" t="s">
        <v>112</v>
      </c>
      <c r="BZ604" s="2" t="s">
        <v>100</v>
      </c>
    </row>
    <row r="605">
      <c r="A605" s="2" t="s">
        <v>2576</v>
      </c>
      <c r="B605" s="2" t="s">
        <v>87</v>
      </c>
      <c r="C605" s="2" t="s">
        <v>2577</v>
      </c>
      <c r="D605" s="2" t="s">
        <v>1785</v>
      </c>
      <c r="E605" s="2" t="s">
        <v>2467</v>
      </c>
      <c r="F605" s="2" t="s">
        <v>2578</v>
      </c>
      <c r="G605" s="2" t="s">
        <v>2578</v>
      </c>
      <c r="H605" s="2" t="s">
        <v>2578</v>
      </c>
      <c r="I605" s="2" t="s">
        <v>2579</v>
      </c>
      <c r="J605" s="2" t="s">
        <v>2470</v>
      </c>
      <c r="K605" s="2" t="s">
        <v>1373</v>
      </c>
      <c r="L605" s="3">
        <v>15.51</v>
      </c>
      <c r="M605" s="3">
        <v>16.28</v>
      </c>
      <c r="N605" s="3">
        <v>32.99</v>
      </c>
      <c r="O605" s="2" t="s">
        <v>97</v>
      </c>
      <c r="P605" s="2" t="s">
        <v>98</v>
      </c>
      <c r="Q605" s="2" t="s">
        <v>99</v>
      </c>
      <c r="R605" s="2" t="s">
        <v>100</v>
      </c>
      <c r="S605" s="2" t="s">
        <v>2580</v>
      </c>
      <c r="T605" s="2" t="s">
        <v>100</v>
      </c>
      <c r="U605" s="2" t="s">
        <v>100</v>
      </c>
      <c r="V605" s="2" t="s">
        <v>492</v>
      </c>
      <c r="W605" s="2" t="s">
        <v>104</v>
      </c>
      <c r="X605" s="2" t="s">
        <v>525</v>
      </c>
      <c r="Y605" s="2" t="s">
        <v>144</v>
      </c>
      <c r="Z605" s="4">
        <v>169</v>
      </c>
      <c r="AA605" s="4">
        <f>=ROUNDDOWN(18.7777777777778,0)</f>
      </c>
      <c r="AB605" s="5">
        <v>9</v>
      </c>
      <c r="AC605" s="2" t="s">
        <v>2581</v>
      </c>
      <c r="AD605" s="4">
        <v>168</v>
      </c>
      <c r="AE605" s="4">
        <v>168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>
        <v>32</v>
      </c>
      <c r="BK605" s="8">
        <v>523.92</v>
      </c>
      <c r="BL605" s="2" t="s">
        <v>2053</v>
      </c>
      <c r="BM605" s="7"/>
      <c r="BN605" s="7"/>
      <c r="BO605" s="4"/>
      <c r="BP605" s="8"/>
      <c r="BQ605" s="4"/>
      <c r="BR605" s="8"/>
      <c r="BS605" s="7"/>
      <c r="BT605" s="7"/>
      <c r="BU605" s="2" t="s">
        <v>2551</v>
      </c>
      <c r="BV605" s="2" t="s">
        <v>97</v>
      </c>
      <c r="BW605" s="2" t="s">
        <v>100</v>
      </c>
      <c r="BX605" s="2" t="s">
        <v>100</v>
      </c>
      <c r="BY605" s="2" t="s">
        <v>112</v>
      </c>
      <c r="BZ605" s="2" t="s">
        <v>100</v>
      </c>
    </row>
    <row r="606">
      <c r="A606" s="2" t="s">
        <v>2582</v>
      </c>
      <c r="B606" s="2" t="s">
        <v>87</v>
      </c>
      <c r="C606" s="2" t="s">
        <v>2577</v>
      </c>
      <c r="D606" s="2" t="s">
        <v>1785</v>
      </c>
      <c r="E606" s="2" t="s">
        <v>2467</v>
      </c>
      <c r="F606" s="2" t="s">
        <v>2583</v>
      </c>
      <c r="G606" s="2" t="s">
        <v>2583</v>
      </c>
      <c r="H606" s="2" t="s">
        <v>2583</v>
      </c>
      <c r="I606" s="2" t="s">
        <v>2470</v>
      </c>
      <c r="J606" s="2" t="s">
        <v>2470</v>
      </c>
      <c r="K606" s="2" t="s">
        <v>471</v>
      </c>
      <c r="L606" s="3">
        <v>21.5</v>
      </c>
      <c r="M606" s="3">
        <v>22.57</v>
      </c>
      <c r="N606" s="3">
        <v>47.99</v>
      </c>
      <c r="O606" s="2" t="s">
        <v>97</v>
      </c>
      <c r="P606" s="2" t="s">
        <v>98</v>
      </c>
      <c r="Q606" s="2" t="s">
        <v>99</v>
      </c>
      <c r="R606" s="2" t="s">
        <v>100</v>
      </c>
      <c r="S606" s="2" t="s">
        <v>2584</v>
      </c>
      <c r="T606" s="2" t="s">
        <v>100</v>
      </c>
      <c r="U606" s="2" t="s">
        <v>100</v>
      </c>
      <c r="V606" s="2" t="s">
        <v>461</v>
      </c>
      <c r="W606" s="2" t="s">
        <v>717</v>
      </c>
      <c r="X606" s="2" t="s">
        <v>525</v>
      </c>
      <c r="Y606" s="2" t="s">
        <v>144</v>
      </c>
      <c r="Z606" s="4">
        <v>41</v>
      </c>
      <c r="AA606" s="4">
        <f>=ROUNDDOWN(4.55555555555556,0)</f>
      </c>
      <c r="AB606" s="5">
        <v>9</v>
      </c>
      <c r="AC606" s="2" t="s">
        <v>725</v>
      </c>
      <c r="AD606" s="4">
        <v>60</v>
      </c>
      <c r="AE606" s="4">
        <v>327</v>
      </c>
      <c r="AF606" s="6">
        <v>68</v>
      </c>
      <c r="AG606" s="6"/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>
        <v>42</v>
      </c>
      <c r="BK606" s="8">
        <v>966.38</v>
      </c>
      <c r="BL606" s="2" t="s">
        <v>2585</v>
      </c>
      <c r="BM606" s="7"/>
      <c r="BN606" s="7"/>
      <c r="BO606" s="4"/>
      <c r="BP606" s="8"/>
      <c r="BQ606" s="4"/>
      <c r="BR606" s="8"/>
      <c r="BS606" s="7"/>
      <c r="BT606" s="7"/>
      <c r="BU606" s="2" t="s">
        <v>2551</v>
      </c>
      <c r="BV606" s="2" t="s">
        <v>97</v>
      </c>
      <c r="BW606" s="2" t="s">
        <v>100</v>
      </c>
      <c r="BX606" s="2" t="s">
        <v>100</v>
      </c>
      <c r="BY606" s="2" t="s">
        <v>112</v>
      </c>
      <c r="BZ606" s="2" t="s">
        <v>100</v>
      </c>
    </row>
    <row r="607">
      <c r="A607" s="2" t="s">
        <v>2586</v>
      </c>
      <c r="B607" s="2" t="s">
        <v>87</v>
      </c>
      <c r="C607" s="2" t="s">
        <v>2577</v>
      </c>
      <c r="D607" s="2" t="s">
        <v>1785</v>
      </c>
      <c r="E607" s="2" t="s">
        <v>2467</v>
      </c>
      <c r="F607" s="2" t="s">
        <v>2587</v>
      </c>
      <c r="G607" s="2" t="s">
        <v>2587</v>
      </c>
      <c r="H607" s="2" t="s">
        <v>2587</v>
      </c>
      <c r="I607" s="2" t="s">
        <v>2470</v>
      </c>
      <c r="J607" s="2" t="s">
        <v>2470</v>
      </c>
      <c r="K607" s="2" t="s">
        <v>179</v>
      </c>
      <c r="L607" s="3">
        <v>21.5</v>
      </c>
      <c r="M607" s="3">
        <v>22.57</v>
      </c>
      <c r="N607" s="3">
        <v>47.99</v>
      </c>
      <c r="O607" s="2" t="s">
        <v>97</v>
      </c>
      <c r="P607" s="2" t="s">
        <v>156</v>
      </c>
      <c r="Q607" s="2" t="s">
        <v>99</v>
      </c>
      <c r="R607" s="2" t="s">
        <v>100</v>
      </c>
      <c r="S607" s="2" t="s">
        <v>2588</v>
      </c>
      <c r="T607" s="2" t="s">
        <v>100</v>
      </c>
      <c r="U607" s="2" t="s">
        <v>100</v>
      </c>
      <c r="V607" s="2" t="s">
        <v>367</v>
      </c>
      <c r="W607" s="2" t="s">
        <v>717</v>
      </c>
      <c r="X607" s="2" t="s">
        <v>525</v>
      </c>
      <c r="Y607" s="2" t="s">
        <v>144</v>
      </c>
      <c r="Z607" s="4">
        <v>75</v>
      </c>
      <c r="AA607" s="4">
        <f>=ROUNDDOWN(5,0)</f>
      </c>
      <c r="AB607" s="5">
        <v>15</v>
      </c>
      <c r="AC607" s="2" t="s">
        <v>725</v>
      </c>
      <c r="AD607" s="4">
        <v>240</v>
      </c>
      <c r="AE607" s="4">
        <v>240</v>
      </c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>
        <v>68</v>
      </c>
      <c r="BK607" s="8">
        <v>1526.86</v>
      </c>
      <c r="BL607" s="2" t="s">
        <v>2589</v>
      </c>
      <c r="BM607" s="7"/>
      <c r="BN607" s="7"/>
      <c r="BO607" s="4"/>
      <c r="BP607" s="8"/>
      <c r="BQ607" s="4"/>
      <c r="BR607" s="8"/>
      <c r="BS607" s="7"/>
      <c r="BT607" s="7"/>
      <c r="BU607" s="2" t="s">
        <v>2526</v>
      </c>
      <c r="BV607" s="2" t="s">
        <v>97</v>
      </c>
      <c r="BW607" s="2" t="s">
        <v>100</v>
      </c>
      <c r="BX607" s="2" t="s">
        <v>100</v>
      </c>
      <c r="BY607" s="2" t="s">
        <v>112</v>
      </c>
      <c r="BZ607" s="2" t="s">
        <v>100</v>
      </c>
    </row>
    <row r="608">
      <c r="A608" s="2" t="s">
        <v>2590</v>
      </c>
      <c r="B608" s="2" t="s">
        <v>87</v>
      </c>
      <c r="C608" s="2" t="s">
        <v>2577</v>
      </c>
      <c r="D608" s="2" t="s">
        <v>1785</v>
      </c>
      <c r="E608" s="2" t="s">
        <v>2467</v>
      </c>
      <c r="F608" s="2" t="s">
        <v>2591</v>
      </c>
      <c r="G608" s="2" t="s">
        <v>2591</v>
      </c>
      <c r="H608" s="2" t="s">
        <v>2591</v>
      </c>
      <c r="I608" s="2" t="s">
        <v>2470</v>
      </c>
      <c r="J608" s="2" t="s">
        <v>2470</v>
      </c>
      <c r="K608" s="2" t="s">
        <v>179</v>
      </c>
      <c r="L608" s="3">
        <v>21.5</v>
      </c>
      <c r="M608" s="3">
        <v>22.57</v>
      </c>
      <c r="N608" s="3">
        <v>42.99</v>
      </c>
      <c r="O608" s="2" t="s">
        <v>97</v>
      </c>
      <c r="P608" s="2" t="s">
        <v>123</v>
      </c>
      <c r="Q608" s="2" t="s">
        <v>99</v>
      </c>
      <c r="R608" s="2" t="s">
        <v>100</v>
      </c>
      <c r="S608" s="2" t="s">
        <v>2592</v>
      </c>
      <c r="T608" s="2" t="s">
        <v>100</v>
      </c>
      <c r="U608" s="2" t="s">
        <v>100</v>
      </c>
      <c r="V608" s="2" t="s">
        <v>461</v>
      </c>
      <c r="W608" s="2" t="s">
        <v>717</v>
      </c>
      <c r="X608" s="2" t="s">
        <v>525</v>
      </c>
      <c r="Y608" s="2" t="s">
        <v>144</v>
      </c>
      <c r="Z608" s="4">
        <v>190</v>
      </c>
      <c r="AA608" s="4">
        <f>=ROUNDDOWN(27.1428571428571,0)</f>
      </c>
      <c r="AB608" s="5">
        <v>7</v>
      </c>
      <c r="AC608" s="2" t="s">
        <v>1711</v>
      </c>
      <c r="AD608" s="4">
        <v>104</v>
      </c>
      <c r="AE608" s="4">
        <v>104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>
        <v>24</v>
      </c>
      <c r="BK608" s="8">
        <v>543.24</v>
      </c>
      <c r="BL608" s="2" t="s">
        <v>2593</v>
      </c>
      <c r="BM608" s="7"/>
      <c r="BN608" s="7"/>
      <c r="BO608" s="4"/>
      <c r="BP608" s="8"/>
      <c r="BQ608" s="4"/>
      <c r="BR608" s="8"/>
      <c r="BS608" s="7"/>
      <c r="BT608" s="7"/>
      <c r="BU608" s="2" t="s">
        <v>2551</v>
      </c>
      <c r="BV608" s="2" t="s">
        <v>97</v>
      </c>
      <c r="BW608" s="2" t="s">
        <v>100</v>
      </c>
      <c r="BX608" s="2" t="s">
        <v>100</v>
      </c>
      <c r="BY608" s="2" t="s">
        <v>112</v>
      </c>
      <c r="BZ608" s="2" t="s">
        <v>100</v>
      </c>
    </row>
    <row r="609">
      <c r="A609" s="2" t="s">
        <v>2594</v>
      </c>
      <c r="B609" s="2" t="s">
        <v>87</v>
      </c>
      <c r="C609" s="2" t="s">
        <v>2577</v>
      </c>
      <c r="D609" s="2" t="s">
        <v>89</v>
      </c>
      <c r="E609" s="2" t="s">
        <v>90</v>
      </c>
      <c r="F609" s="2" t="s">
        <v>2595</v>
      </c>
      <c r="G609" s="2" t="s">
        <v>2595</v>
      </c>
      <c r="H609" s="2" t="s">
        <v>2595</v>
      </c>
      <c r="I609" s="2" t="s">
        <v>2596</v>
      </c>
      <c r="J609" s="2" t="s">
        <v>522</v>
      </c>
      <c r="K609" s="2" t="s">
        <v>673</v>
      </c>
      <c r="L609" s="3">
        <v>103.4</v>
      </c>
      <c r="M609" s="3">
        <v>108.57</v>
      </c>
      <c r="N609" s="3">
        <v>229.99</v>
      </c>
      <c r="O609" s="2" t="s">
        <v>97</v>
      </c>
      <c r="P609" s="2" t="s">
        <v>139</v>
      </c>
      <c r="Q609" s="2" t="s">
        <v>99</v>
      </c>
      <c r="R609" s="2" t="s">
        <v>100</v>
      </c>
      <c r="S609" s="2" t="s">
        <v>2597</v>
      </c>
      <c r="T609" s="2" t="s">
        <v>100</v>
      </c>
      <c r="U609" s="2" t="s">
        <v>100</v>
      </c>
      <c r="V609" s="2" t="s">
        <v>367</v>
      </c>
      <c r="W609" s="2" t="s">
        <v>525</v>
      </c>
      <c r="X609" s="2" t="s">
        <v>717</v>
      </c>
      <c r="Y609" s="2" t="s">
        <v>2598</v>
      </c>
      <c r="Z609" s="4">
        <v>163</v>
      </c>
      <c r="AA609" s="4">
        <f>=ROUNDDOWN(11.6428571428571,0)</f>
      </c>
      <c r="AB609" s="5">
        <v>14</v>
      </c>
      <c r="AC609" s="2" t="s">
        <v>130</v>
      </c>
      <c r="AD609" s="4">
        <v>135</v>
      </c>
      <c r="AE609" s="4">
        <v>209</v>
      </c>
      <c r="AF609" s="6">
        <v>69</v>
      </c>
      <c r="AG609" s="6"/>
      <c r="AH609" s="7">
        <v>0.7742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>
        <v>54</v>
      </c>
      <c r="BK609" s="8">
        <v>5979.55</v>
      </c>
      <c r="BL609" s="2" t="s">
        <v>2599</v>
      </c>
      <c r="BM609" s="7"/>
      <c r="BN609" s="7"/>
      <c r="BO609" s="4"/>
      <c r="BP609" s="8"/>
      <c r="BQ609" s="4"/>
      <c r="BR609" s="8"/>
      <c r="BS609" s="7"/>
      <c r="BT609" s="7"/>
      <c r="BU609" s="2" t="s">
        <v>2551</v>
      </c>
      <c r="BV609" s="2" t="s">
        <v>97</v>
      </c>
      <c r="BW609" s="2" t="s">
        <v>100</v>
      </c>
      <c r="BX609" s="2" t="s">
        <v>100</v>
      </c>
      <c r="BY609" s="2" t="s">
        <v>112</v>
      </c>
      <c r="BZ609" s="2" t="s">
        <v>100</v>
      </c>
    </row>
    <row r="610">
      <c r="A610" s="2" t="s">
        <v>2600</v>
      </c>
      <c r="B610" s="2" t="s">
        <v>87</v>
      </c>
      <c r="C610" s="2" t="s">
        <v>2577</v>
      </c>
      <c r="D610" s="2" t="s">
        <v>89</v>
      </c>
      <c r="E610" s="2" t="s">
        <v>90</v>
      </c>
      <c r="F610" s="2" t="s">
        <v>2601</v>
      </c>
      <c r="G610" s="2" t="s">
        <v>100</v>
      </c>
      <c r="H610" s="2" t="s">
        <v>100</v>
      </c>
      <c r="I610" s="2" t="s">
        <v>2602</v>
      </c>
      <c r="J610" s="2" t="s">
        <v>1443</v>
      </c>
      <c r="K610" s="2" t="s">
        <v>179</v>
      </c>
      <c r="L610" s="3">
        <v>60.48</v>
      </c>
      <c r="M610" s="3">
        <v>63.5</v>
      </c>
      <c r="N610" s="3">
        <v>149.99</v>
      </c>
      <c r="O610" s="2" t="s">
        <v>97</v>
      </c>
      <c r="P610" s="2" t="s">
        <v>98</v>
      </c>
      <c r="Q610" s="2" t="s">
        <v>99</v>
      </c>
      <c r="R610" s="2" t="s">
        <v>100</v>
      </c>
      <c r="S610" s="2" t="s">
        <v>2603</v>
      </c>
      <c r="T610" s="2" t="s">
        <v>100</v>
      </c>
      <c r="U610" s="2" t="s">
        <v>100</v>
      </c>
      <c r="V610" s="2" t="s">
        <v>717</v>
      </c>
      <c r="W610" s="2" t="s">
        <v>717</v>
      </c>
      <c r="X610" s="2" t="s">
        <v>525</v>
      </c>
      <c r="Y610" s="2" t="s">
        <v>144</v>
      </c>
      <c r="Z610" s="4">
        <v>62</v>
      </c>
      <c r="AA610" s="4">
        <f>=ROUNDDOWN(31,0)</f>
      </c>
      <c r="AB610" s="5">
        <v>2</v>
      </c>
      <c r="AC610" s="2" t="s">
        <v>2604</v>
      </c>
      <c r="AD610" s="4">
        <v>40</v>
      </c>
      <c r="AE610" s="4">
        <v>40</v>
      </c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/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/>
      <c r="BJ610" s="4">
        <v>5</v>
      </c>
      <c r="BK610" s="8">
        <v>378.18</v>
      </c>
      <c r="BL610" s="2" t="s">
        <v>2605</v>
      </c>
      <c r="BM610" s="7"/>
      <c r="BN610" s="7"/>
      <c r="BO610" s="4"/>
      <c r="BP610" s="8"/>
      <c r="BQ610" s="4"/>
      <c r="BR610" s="8"/>
      <c r="BS610" s="7"/>
      <c r="BT610" s="7"/>
      <c r="BU610" s="2" t="s">
        <v>2551</v>
      </c>
      <c r="BV610" s="2" t="s">
        <v>97</v>
      </c>
      <c r="BW610" s="2" t="s">
        <v>100</v>
      </c>
      <c r="BX610" s="2" t="s">
        <v>100</v>
      </c>
      <c r="BY610" s="2" t="s">
        <v>112</v>
      </c>
      <c r="BZ610" s="2" t="s">
        <v>100</v>
      </c>
    </row>
    <row r="611">
      <c r="A611" s="2" t="s">
        <v>2606</v>
      </c>
      <c r="B611" s="2" t="s">
        <v>87</v>
      </c>
      <c r="C611" s="2" t="s">
        <v>2577</v>
      </c>
      <c r="D611" s="2" t="s">
        <v>89</v>
      </c>
      <c r="E611" s="2" t="s">
        <v>90</v>
      </c>
      <c r="F611" s="2" t="s">
        <v>2601</v>
      </c>
      <c r="G611" s="2" t="s">
        <v>100</v>
      </c>
      <c r="H611" s="2" t="s">
        <v>100</v>
      </c>
      <c r="I611" s="2" t="s">
        <v>2602</v>
      </c>
      <c r="J611" s="2" t="s">
        <v>490</v>
      </c>
      <c r="K611" s="2" t="s">
        <v>179</v>
      </c>
      <c r="L611" s="3">
        <v>77.76</v>
      </c>
      <c r="M611" s="3">
        <v>81.65</v>
      </c>
      <c r="N611" s="3">
        <v>169.99</v>
      </c>
      <c r="O611" s="2" t="s">
        <v>97</v>
      </c>
      <c r="P611" s="2" t="s">
        <v>98</v>
      </c>
      <c r="Q611" s="2" t="s">
        <v>99</v>
      </c>
      <c r="R611" s="2" t="s">
        <v>100</v>
      </c>
      <c r="S611" s="2" t="s">
        <v>2603</v>
      </c>
      <c r="T611" s="2" t="s">
        <v>100</v>
      </c>
      <c r="U611" s="2" t="s">
        <v>100</v>
      </c>
      <c r="V611" s="2" t="s">
        <v>717</v>
      </c>
      <c r="W611" s="2" t="s">
        <v>717</v>
      </c>
      <c r="X611" s="2" t="s">
        <v>525</v>
      </c>
      <c r="Y611" s="2" t="s">
        <v>144</v>
      </c>
      <c r="Z611" s="4">
        <v>52</v>
      </c>
      <c r="AA611" s="4">
        <f>=ROUNDDOWN(26,0)</f>
      </c>
      <c r="AB611" s="5">
        <v>2</v>
      </c>
      <c r="AC611" s="2" t="s">
        <v>2604</v>
      </c>
      <c r="AD611" s="4">
        <v>25</v>
      </c>
      <c r="AE611" s="4">
        <v>55</v>
      </c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/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/>
      <c r="BJ611" s="4">
        <v>6</v>
      </c>
      <c r="BK611" s="8">
        <v>458.43</v>
      </c>
      <c r="BL611" s="2" t="s">
        <v>2607</v>
      </c>
      <c r="BM611" s="7"/>
      <c r="BN611" s="7"/>
      <c r="BO611" s="4"/>
      <c r="BP611" s="8"/>
      <c r="BQ611" s="4"/>
      <c r="BR611" s="8"/>
      <c r="BS611" s="7"/>
      <c r="BT611" s="7"/>
      <c r="BU611" s="2" t="s">
        <v>2551</v>
      </c>
      <c r="BV611" s="2" t="s">
        <v>97</v>
      </c>
      <c r="BW611" s="2" t="s">
        <v>100</v>
      </c>
      <c r="BX611" s="2" t="s">
        <v>100</v>
      </c>
      <c r="BY611" s="2" t="s">
        <v>112</v>
      </c>
      <c r="BZ611" s="2" t="s">
        <v>100</v>
      </c>
    </row>
    <row r="612">
      <c r="A612" s="2" t="s">
        <v>2608</v>
      </c>
      <c r="B612" s="2" t="s">
        <v>87</v>
      </c>
      <c r="C612" s="2" t="s">
        <v>2577</v>
      </c>
      <c r="D612" s="2" t="s">
        <v>89</v>
      </c>
      <c r="E612" s="2" t="s">
        <v>90</v>
      </c>
      <c r="F612" s="2" t="s">
        <v>2601</v>
      </c>
      <c r="G612" s="2" t="s">
        <v>100</v>
      </c>
      <c r="H612" s="2" t="s">
        <v>100</v>
      </c>
      <c r="I612" s="2" t="s">
        <v>2602</v>
      </c>
      <c r="J612" s="2" t="s">
        <v>95</v>
      </c>
      <c r="K612" s="2" t="s">
        <v>179</v>
      </c>
      <c r="L612" s="3">
        <v>89.42</v>
      </c>
      <c r="M612" s="3">
        <v>93.89</v>
      </c>
      <c r="N612" s="3">
        <v>189.99</v>
      </c>
      <c r="O612" s="2" t="s">
        <v>97</v>
      </c>
      <c r="P612" s="2" t="s">
        <v>98</v>
      </c>
      <c r="Q612" s="2" t="s">
        <v>99</v>
      </c>
      <c r="R612" s="2" t="s">
        <v>100</v>
      </c>
      <c r="S612" s="2" t="s">
        <v>2603</v>
      </c>
      <c r="T612" s="2" t="s">
        <v>100</v>
      </c>
      <c r="U612" s="2" t="s">
        <v>100</v>
      </c>
      <c r="V612" s="2" t="s">
        <v>717</v>
      </c>
      <c r="W612" s="2" t="s">
        <v>717</v>
      </c>
      <c r="X612" s="2" t="s">
        <v>525</v>
      </c>
      <c r="Y612" s="2" t="s">
        <v>144</v>
      </c>
      <c r="Z612" s="4">
        <v>106</v>
      </c>
      <c r="AA612" s="4">
        <f>=ROUNDDOWN(26.5,0)</f>
      </c>
      <c r="AB612" s="5">
        <v>4</v>
      </c>
      <c r="AC612" s="2" t="s">
        <v>1860</v>
      </c>
      <c r="AD612" s="4">
        <v>84</v>
      </c>
      <c r="AE612" s="4">
        <v>84</v>
      </c>
      <c r="AF612" s="6">
        <v>66</v>
      </c>
      <c r="AG612" s="6"/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/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/>
      <c r="BJ612" s="4">
        <v>16</v>
      </c>
      <c r="BK612" s="8">
        <v>1527.25</v>
      </c>
      <c r="BL612" s="2" t="s">
        <v>700</v>
      </c>
      <c r="BM612" s="7"/>
      <c r="BN612" s="7"/>
      <c r="BO612" s="4"/>
      <c r="BP612" s="8"/>
      <c r="BQ612" s="4"/>
      <c r="BR612" s="8"/>
      <c r="BS612" s="7"/>
      <c r="BT612" s="7"/>
      <c r="BU612" s="2" t="s">
        <v>2551</v>
      </c>
      <c r="BV612" s="2" t="s">
        <v>97</v>
      </c>
      <c r="BW612" s="2" t="s">
        <v>100</v>
      </c>
      <c r="BX612" s="2" t="s">
        <v>100</v>
      </c>
      <c r="BY612" s="2" t="s">
        <v>112</v>
      </c>
      <c r="BZ612" s="2" t="s">
        <v>100</v>
      </c>
    </row>
    <row r="613">
      <c r="A613" s="2" t="s">
        <v>2609</v>
      </c>
      <c r="B613" s="2" t="s">
        <v>87</v>
      </c>
      <c r="C613" s="2" t="s">
        <v>2577</v>
      </c>
      <c r="D613" s="2" t="s">
        <v>89</v>
      </c>
      <c r="E613" s="2" t="s">
        <v>90</v>
      </c>
      <c r="F613" s="2" t="s">
        <v>2601</v>
      </c>
      <c r="G613" s="2" t="s">
        <v>100</v>
      </c>
      <c r="H613" s="2" t="s">
        <v>100</v>
      </c>
      <c r="I613" s="2" t="s">
        <v>2602</v>
      </c>
      <c r="J613" s="2" t="s">
        <v>114</v>
      </c>
      <c r="K613" s="2" t="s">
        <v>179</v>
      </c>
      <c r="L613" s="3">
        <v>108.86</v>
      </c>
      <c r="M613" s="3">
        <v>114.3</v>
      </c>
      <c r="N613" s="3">
        <v>219.99</v>
      </c>
      <c r="O613" s="2" t="s">
        <v>97</v>
      </c>
      <c r="P613" s="2" t="s">
        <v>98</v>
      </c>
      <c r="Q613" s="2" t="s">
        <v>99</v>
      </c>
      <c r="R613" s="2" t="s">
        <v>100</v>
      </c>
      <c r="S613" s="2" t="s">
        <v>2603</v>
      </c>
      <c r="T613" s="2" t="s">
        <v>100</v>
      </c>
      <c r="U613" s="2" t="s">
        <v>100</v>
      </c>
      <c r="V613" s="2" t="s">
        <v>717</v>
      </c>
      <c r="W613" s="2" t="s">
        <v>717</v>
      </c>
      <c r="X613" s="2" t="s">
        <v>525</v>
      </c>
      <c r="Y613" s="2" t="s">
        <v>144</v>
      </c>
      <c r="Z613" s="4">
        <v>51</v>
      </c>
      <c r="AA613" s="4">
        <f>=ROUNDDOWN(17,0)</f>
      </c>
      <c r="AB613" s="5">
        <v>3</v>
      </c>
      <c r="AC613" s="2" t="s">
        <v>2604</v>
      </c>
      <c r="AD613" s="4">
        <v>50</v>
      </c>
      <c r="AE613" s="4">
        <v>103</v>
      </c>
      <c r="AF613" s="6">
        <v>66</v>
      </c>
      <c r="AG613" s="6"/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/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/>
      <c r="BJ613" s="4">
        <v>9</v>
      </c>
      <c r="BK613" s="8">
        <v>980.23</v>
      </c>
      <c r="BL613" s="2" t="s">
        <v>700</v>
      </c>
      <c r="BM613" s="7"/>
      <c r="BN613" s="7"/>
      <c r="BO613" s="4"/>
      <c r="BP613" s="8"/>
      <c r="BQ613" s="4"/>
      <c r="BR613" s="8"/>
      <c r="BS613" s="7"/>
      <c r="BT613" s="7"/>
      <c r="BU613" s="2" t="s">
        <v>2551</v>
      </c>
      <c r="BV613" s="2" t="s">
        <v>97</v>
      </c>
      <c r="BW613" s="2" t="s">
        <v>100</v>
      </c>
      <c r="BX613" s="2" t="s">
        <v>100</v>
      </c>
      <c r="BY613" s="2" t="s">
        <v>112</v>
      </c>
      <c r="BZ613" s="2" t="s">
        <v>100</v>
      </c>
    </row>
    <row r="614">
      <c r="A614" s="2" t="s">
        <v>2610</v>
      </c>
      <c r="B614" s="2" t="s">
        <v>87</v>
      </c>
      <c r="C614" s="2" t="s">
        <v>2577</v>
      </c>
      <c r="D614" s="2" t="s">
        <v>89</v>
      </c>
      <c r="E614" s="2" t="s">
        <v>90</v>
      </c>
      <c r="F614" s="2" t="s">
        <v>2601</v>
      </c>
      <c r="G614" s="2" t="s">
        <v>100</v>
      </c>
      <c r="H614" s="2" t="s">
        <v>100</v>
      </c>
      <c r="I614" s="2" t="s">
        <v>2602</v>
      </c>
      <c r="J614" s="2" t="s">
        <v>118</v>
      </c>
      <c r="K614" s="2" t="s">
        <v>179</v>
      </c>
      <c r="L614" s="3">
        <v>108.86</v>
      </c>
      <c r="M614" s="3">
        <v>114.3</v>
      </c>
      <c r="N614" s="3">
        <v>219.99</v>
      </c>
      <c r="O614" s="2" t="s">
        <v>97</v>
      </c>
      <c r="P614" s="2" t="s">
        <v>98</v>
      </c>
      <c r="Q614" s="2" t="s">
        <v>99</v>
      </c>
      <c r="R614" s="2" t="s">
        <v>100</v>
      </c>
      <c r="S614" s="2" t="s">
        <v>2603</v>
      </c>
      <c r="T614" s="2" t="s">
        <v>100</v>
      </c>
      <c r="U614" s="2" t="s">
        <v>100</v>
      </c>
      <c r="V614" s="2" t="s">
        <v>717</v>
      </c>
      <c r="W614" s="2" t="s">
        <v>717</v>
      </c>
      <c r="X614" s="2" t="s">
        <v>525</v>
      </c>
      <c r="Y614" s="2" t="s">
        <v>144</v>
      </c>
      <c r="Z614" s="4">
        <v>39</v>
      </c>
      <c r="AA614" s="4">
        <f>=ROUNDDOWN(39,0)</f>
      </c>
      <c r="AB614" s="5">
        <v>1</v>
      </c>
      <c r="AC614" s="2" t="s">
        <v>1860</v>
      </c>
      <c r="AD614" s="4">
        <v>10</v>
      </c>
      <c r="AE614" s="4">
        <v>10</v>
      </c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/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/>
      <c r="BJ614" s="4">
        <v>2</v>
      </c>
      <c r="BK614" s="8">
        <v>211.2</v>
      </c>
      <c r="BL614" s="2" t="s">
        <v>1655</v>
      </c>
      <c r="BM614" s="7"/>
      <c r="BN614" s="7"/>
      <c r="BO614" s="4"/>
      <c r="BP614" s="8"/>
      <c r="BQ614" s="4"/>
      <c r="BR614" s="8"/>
      <c r="BS614" s="7"/>
      <c r="BT614" s="7"/>
      <c r="BU614" s="2" t="s">
        <v>2551</v>
      </c>
      <c r="BV614" s="2" t="s">
        <v>97</v>
      </c>
      <c r="BW614" s="2" t="s">
        <v>100</v>
      </c>
      <c r="BX614" s="2" t="s">
        <v>100</v>
      </c>
      <c r="BY614" s="2" t="s">
        <v>112</v>
      </c>
      <c r="BZ614" s="2" t="s">
        <v>100</v>
      </c>
    </row>
    <row r="615">
      <c r="A615" s="2" t="s">
        <v>2611</v>
      </c>
      <c r="B615" s="2" t="s">
        <v>87</v>
      </c>
      <c r="C615" s="2" t="s">
        <v>2577</v>
      </c>
      <c r="D615" s="2" t="s">
        <v>89</v>
      </c>
      <c r="E615" s="2" t="s">
        <v>90</v>
      </c>
      <c r="F615" s="2" t="s">
        <v>2578</v>
      </c>
      <c r="G615" s="2" t="s">
        <v>2578</v>
      </c>
      <c r="H615" s="2" t="s">
        <v>2578</v>
      </c>
      <c r="I615" s="2" t="s">
        <v>2612</v>
      </c>
      <c r="J615" s="2" t="s">
        <v>95</v>
      </c>
      <c r="K615" s="2" t="s">
        <v>179</v>
      </c>
      <c r="L615" s="3">
        <v>80.03</v>
      </c>
      <c r="M615" s="3">
        <v>84.03</v>
      </c>
      <c r="N615" s="3">
        <v>174.99</v>
      </c>
      <c r="O615" s="2" t="s">
        <v>97</v>
      </c>
      <c r="P615" s="2" t="s">
        <v>98</v>
      </c>
      <c r="Q615" s="2" t="s">
        <v>99</v>
      </c>
      <c r="R615" s="2" t="s">
        <v>100</v>
      </c>
      <c r="S615" s="2" t="s">
        <v>2580</v>
      </c>
      <c r="T615" s="2" t="s">
        <v>100</v>
      </c>
      <c r="U615" s="2" t="s">
        <v>1228</v>
      </c>
      <c r="V615" s="2" t="s">
        <v>401</v>
      </c>
      <c r="W615" s="2" t="s">
        <v>104</v>
      </c>
      <c r="X615" s="2" t="s">
        <v>525</v>
      </c>
      <c r="Y615" s="2" t="s">
        <v>144</v>
      </c>
      <c r="Z615" s="4">
        <v>69</v>
      </c>
      <c r="AA615" s="4">
        <f>=ROUNDDOWN(13.8,0)</f>
      </c>
      <c r="AB615" s="5">
        <v>5</v>
      </c>
      <c r="AC615" s="2" t="s">
        <v>2581</v>
      </c>
      <c r="AD615" s="4">
        <v>80</v>
      </c>
      <c r="AE615" s="4">
        <v>80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/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/>
      <c r="BJ615" s="4">
        <v>22</v>
      </c>
      <c r="BK615" s="8">
        <v>1835.48</v>
      </c>
      <c r="BL615" s="2" t="s">
        <v>2613</v>
      </c>
      <c r="BM615" s="7"/>
      <c r="BN615" s="7"/>
      <c r="BO615" s="4"/>
      <c r="BP615" s="8"/>
      <c r="BQ615" s="4"/>
      <c r="BR615" s="8"/>
      <c r="BS615" s="7"/>
      <c r="BT615" s="7"/>
      <c r="BU615" s="2" t="s">
        <v>2551</v>
      </c>
      <c r="BV615" s="2" t="s">
        <v>97</v>
      </c>
      <c r="BW615" s="2" t="s">
        <v>100</v>
      </c>
      <c r="BX615" s="2" t="s">
        <v>100</v>
      </c>
      <c r="BY615" s="2" t="s">
        <v>112</v>
      </c>
      <c r="BZ615" s="2" t="s">
        <v>100</v>
      </c>
    </row>
    <row r="616">
      <c r="A616" s="2" t="s">
        <v>2614</v>
      </c>
      <c r="B616" s="2" t="s">
        <v>87</v>
      </c>
      <c r="C616" s="2" t="s">
        <v>2577</v>
      </c>
      <c r="D616" s="2" t="s">
        <v>89</v>
      </c>
      <c r="E616" s="2" t="s">
        <v>90</v>
      </c>
      <c r="F616" s="2" t="s">
        <v>2578</v>
      </c>
      <c r="G616" s="2" t="s">
        <v>2578</v>
      </c>
      <c r="H616" s="2" t="s">
        <v>2578</v>
      </c>
      <c r="I616" s="2" t="s">
        <v>2612</v>
      </c>
      <c r="J616" s="2" t="s">
        <v>114</v>
      </c>
      <c r="K616" s="2" t="s">
        <v>179</v>
      </c>
      <c r="L616" s="3">
        <v>96.59</v>
      </c>
      <c r="M616" s="3">
        <v>101.42</v>
      </c>
      <c r="N616" s="3">
        <v>204.99</v>
      </c>
      <c r="O616" s="2" t="s">
        <v>97</v>
      </c>
      <c r="P616" s="2" t="s">
        <v>98</v>
      </c>
      <c r="Q616" s="2" t="s">
        <v>99</v>
      </c>
      <c r="R616" s="2" t="s">
        <v>100</v>
      </c>
      <c r="S616" s="2" t="s">
        <v>2580</v>
      </c>
      <c r="T616" s="2" t="s">
        <v>100</v>
      </c>
      <c r="U616" s="2" t="s">
        <v>1228</v>
      </c>
      <c r="V616" s="2" t="s">
        <v>401</v>
      </c>
      <c r="W616" s="2" t="s">
        <v>104</v>
      </c>
      <c r="X616" s="2" t="s">
        <v>525</v>
      </c>
      <c r="Y616" s="2" t="s">
        <v>144</v>
      </c>
      <c r="Z616" s="4">
        <v>103</v>
      </c>
      <c r="AA616" s="4">
        <f>=ROUNDDOWN(14.7142857142857,0)</f>
      </c>
      <c r="AB616" s="5">
        <v>7</v>
      </c>
      <c r="AC616" s="2" t="s">
        <v>2581</v>
      </c>
      <c r="AD616" s="4">
        <v>120</v>
      </c>
      <c r="AE616" s="4">
        <v>120</v>
      </c>
      <c r="AF616" s="6">
        <v>66</v>
      </c>
      <c r="AG616" s="6"/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/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/>
      <c r="BJ616" s="4">
        <v>27</v>
      </c>
      <c r="BK616" s="8">
        <v>2664.77</v>
      </c>
      <c r="BL616" s="2" t="s">
        <v>2615</v>
      </c>
      <c r="BM616" s="7"/>
      <c r="BN616" s="7"/>
      <c r="BO616" s="4"/>
      <c r="BP616" s="8"/>
      <c r="BQ616" s="4"/>
      <c r="BR616" s="8"/>
      <c r="BS616" s="7"/>
      <c r="BT616" s="7"/>
      <c r="BU616" s="2" t="s">
        <v>2551</v>
      </c>
      <c r="BV616" s="2" t="s">
        <v>97</v>
      </c>
      <c r="BW616" s="2" t="s">
        <v>100</v>
      </c>
      <c r="BX616" s="2" t="s">
        <v>100</v>
      </c>
      <c r="BY616" s="2" t="s">
        <v>112</v>
      </c>
      <c r="BZ616" s="2" t="s">
        <v>100</v>
      </c>
    </row>
    <row r="617">
      <c r="A617" s="2" t="s">
        <v>2616</v>
      </c>
      <c r="B617" s="2" t="s">
        <v>87</v>
      </c>
      <c r="C617" s="2" t="s">
        <v>2577</v>
      </c>
      <c r="D617" s="2" t="s">
        <v>89</v>
      </c>
      <c r="E617" s="2" t="s">
        <v>90</v>
      </c>
      <c r="F617" s="2" t="s">
        <v>2583</v>
      </c>
      <c r="G617" s="2" t="s">
        <v>2583</v>
      </c>
      <c r="H617" s="2" t="s">
        <v>2583</v>
      </c>
      <c r="I617" s="2" t="s">
        <v>2617</v>
      </c>
      <c r="J617" s="2" t="s">
        <v>1443</v>
      </c>
      <c r="K617" s="2" t="s">
        <v>471</v>
      </c>
      <c r="L617" s="3">
        <v>80</v>
      </c>
      <c r="M617" s="3">
        <v>83.99</v>
      </c>
      <c r="N617" s="3">
        <v>174.99</v>
      </c>
      <c r="O617" s="2" t="s">
        <v>97</v>
      </c>
      <c r="P617" s="2" t="s">
        <v>98</v>
      </c>
      <c r="Q617" s="2" t="s">
        <v>99</v>
      </c>
      <c r="R617" s="2" t="s">
        <v>100</v>
      </c>
      <c r="S617" s="2" t="s">
        <v>2584</v>
      </c>
      <c r="T617" s="2" t="s">
        <v>100</v>
      </c>
      <c r="U617" s="2" t="s">
        <v>100</v>
      </c>
      <c r="V617" s="2" t="s">
        <v>717</v>
      </c>
      <c r="W617" s="2" t="s">
        <v>717</v>
      </c>
      <c r="X617" s="2" t="s">
        <v>525</v>
      </c>
      <c r="Y617" s="2" t="s">
        <v>144</v>
      </c>
      <c r="Z617" s="4">
        <v>91</v>
      </c>
      <c r="AA617" s="4">
        <f>=ROUNDDOWN(101.111111111111,0)</f>
      </c>
      <c r="AB617" s="5">
        <v>0.9</v>
      </c>
      <c r="AC617" s="2" t="s">
        <v>1468</v>
      </c>
      <c r="AD617" s="4">
        <v>7</v>
      </c>
      <c r="AE617" s="4">
        <v>7</v>
      </c>
      <c r="AF617" s="6">
        <v>68</v>
      </c>
      <c r="AG617" s="6"/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/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/>
      <c r="BJ617" s="4">
        <v>4</v>
      </c>
      <c r="BK617" s="8">
        <v>350.76</v>
      </c>
      <c r="BL617" s="2" t="s">
        <v>2230</v>
      </c>
      <c r="BM617" s="7"/>
      <c r="BN617" s="7"/>
      <c r="BO617" s="4"/>
      <c r="BP617" s="8"/>
      <c r="BQ617" s="4"/>
      <c r="BR617" s="8"/>
      <c r="BS617" s="7"/>
      <c r="BT617" s="7"/>
      <c r="BU617" s="2" t="s">
        <v>2551</v>
      </c>
      <c r="BV617" s="2" t="s">
        <v>97</v>
      </c>
      <c r="BW617" s="2" t="s">
        <v>100</v>
      </c>
      <c r="BX617" s="2" t="s">
        <v>100</v>
      </c>
      <c r="BY617" s="2" t="s">
        <v>112</v>
      </c>
      <c r="BZ617" s="2" t="s">
        <v>100</v>
      </c>
    </row>
    <row r="618">
      <c r="A618" s="2" t="s">
        <v>2618</v>
      </c>
      <c r="B618" s="2" t="s">
        <v>87</v>
      </c>
      <c r="C618" s="2" t="s">
        <v>2577</v>
      </c>
      <c r="D618" s="2" t="s">
        <v>89</v>
      </c>
      <c r="E618" s="2" t="s">
        <v>90</v>
      </c>
      <c r="F618" s="2" t="s">
        <v>2583</v>
      </c>
      <c r="G618" s="2" t="s">
        <v>2583</v>
      </c>
      <c r="H618" s="2" t="s">
        <v>2583</v>
      </c>
      <c r="I618" s="2" t="s">
        <v>2617</v>
      </c>
      <c r="J618" s="2" t="s">
        <v>490</v>
      </c>
      <c r="K618" s="2" t="s">
        <v>471</v>
      </c>
      <c r="L618" s="3">
        <v>95</v>
      </c>
      <c r="M618" s="3">
        <v>99.74</v>
      </c>
      <c r="N618" s="3">
        <v>204.99</v>
      </c>
      <c r="O618" s="2" t="s">
        <v>97</v>
      </c>
      <c r="P618" s="2" t="s">
        <v>98</v>
      </c>
      <c r="Q618" s="2" t="s">
        <v>99</v>
      </c>
      <c r="R618" s="2" t="s">
        <v>100</v>
      </c>
      <c r="S618" s="2" t="s">
        <v>2584</v>
      </c>
      <c r="T618" s="2" t="s">
        <v>100</v>
      </c>
      <c r="U618" s="2" t="s">
        <v>100</v>
      </c>
      <c r="V618" s="2" t="s">
        <v>717</v>
      </c>
      <c r="W618" s="2" t="s">
        <v>717</v>
      </c>
      <c r="X618" s="2" t="s">
        <v>525</v>
      </c>
      <c r="Y618" s="2" t="s">
        <v>144</v>
      </c>
      <c r="Z618" s="4">
        <v>43</v>
      </c>
      <c r="AA618" s="4">
        <f>=ROUNDDOWN(21.5,0)</f>
      </c>
      <c r="AB618" s="5">
        <v>2</v>
      </c>
      <c r="AC618" s="2" t="s">
        <v>1468</v>
      </c>
      <c r="AD618" s="4">
        <v>10</v>
      </c>
      <c r="AE618" s="4">
        <v>40</v>
      </c>
      <c r="AF618" s="6">
        <v>68</v>
      </c>
      <c r="AG618" s="6"/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/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/>
      <c r="BJ618" s="4">
        <v>3</v>
      </c>
      <c r="BK618" s="8">
        <v>305.96</v>
      </c>
      <c r="BL618" s="2" t="s">
        <v>2619</v>
      </c>
      <c r="BM618" s="7"/>
      <c r="BN618" s="7"/>
      <c r="BO618" s="4"/>
      <c r="BP618" s="8"/>
      <c r="BQ618" s="4"/>
      <c r="BR618" s="8"/>
      <c r="BS618" s="7"/>
      <c r="BT618" s="7"/>
      <c r="BU618" s="2" t="s">
        <v>2551</v>
      </c>
      <c r="BV618" s="2" t="s">
        <v>97</v>
      </c>
      <c r="BW618" s="2" t="s">
        <v>100</v>
      </c>
      <c r="BX618" s="2" t="s">
        <v>100</v>
      </c>
      <c r="BY618" s="2" t="s">
        <v>112</v>
      </c>
      <c r="BZ618" s="2" t="s">
        <v>100</v>
      </c>
    </row>
    <row r="619">
      <c r="A619" s="2" t="s">
        <v>2620</v>
      </c>
      <c r="B619" s="2" t="s">
        <v>87</v>
      </c>
      <c r="C619" s="2" t="s">
        <v>2577</v>
      </c>
      <c r="D619" s="2" t="s">
        <v>89</v>
      </c>
      <c r="E619" s="2" t="s">
        <v>90</v>
      </c>
      <c r="F619" s="2" t="s">
        <v>2583</v>
      </c>
      <c r="G619" s="2" t="s">
        <v>2583</v>
      </c>
      <c r="H619" s="2" t="s">
        <v>2583</v>
      </c>
      <c r="I619" s="2" t="s">
        <v>2617</v>
      </c>
      <c r="J619" s="2" t="s">
        <v>95</v>
      </c>
      <c r="K619" s="2" t="s">
        <v>471</v>
      </c>
      <c r="L619" s="3">
        <v>100</v>
      </c>
      <c r="M619" s="3">
        <v>104.99</v>
      </c>
      <c r="N619" s="3">
        <v>214.99</v>
      </c>
      <c r="O619" s="2" t="s">
        <v>97</v>
      </c>
      <c r="P619" s="2" t="s">
        <v>98</v>
      </c>
      <c r="Q619" s="2" t="s">
        <v>99</v>
      </c>
      <c r="R619" s="2" t="s">
        <v>100</v>
      </c>
      <c r="S619" s="2" t="s">
        <v>2584</v>
      </c>
      <c r="T619" s="2" t="s">
        <v>100</v>
      </c>
      <c r="U619" s="2" t="s">
        <v>100</v>
      </c>
      <c r="V619" s="2" t="s">
        <v>717</v>
      </c>
      <c r="W619" s="2" t="s">
        <v>717</v>
      </c>
      <c r="X619" s="2" t="s">
        <v>525</v>
      </c>
      <c r="Y619" s="2" t="s">
        <v>144</v>
      </c>
      <c r="Z619" s="4">
        <v>3</v>
      </c>
      <c r="AA619" s="4">
        <f>=ROUNDDOWN(0.5,0)</f>
      </c>
      <c r="AB619" s="5">
        <v>6</v>
      </c>
      <c r="AC619" s="2" t="s">
        <v>725</v>
      </c>
      <c r="AD619" s="4">
        <v>85</v>
      </c>
      <c r="AE619" s="4">
        <v>285</v>
      </c>
      <c r="AF619" s="6">
        <v>68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/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/>
      <c r="BJ619" s="4">
        <v>30</v>
      </c>
      <c r="BK619" s="8">
        <v>3190.89</v>
      </c>
      <c r="BL619" s="2" t="s">
        <v>2621</v>
      </c>
      <c r="BM619" s="7"/>
      <c r="BN619" s="7"/>
      <c r="BO619" s="4"/>
      <c r="BP619" s="8"/>
      <c r="BQ619" s="4"/>
      <c r="BR619" s="8"/>
      <c r="BS619" s="7"/>
      <c r="BT619" s="7"/>
      <c r="BU619" s="2" t="s">
        <v>2551</v>
      </c>
      <c r="BV619" s="2" t="s">
        <v>97</v>
      </c>
      <c r="BW619" s="2" t="s">
        <v>100</v>
      </c>
      <c r="BX619" s="2" t="s">
        <v>100</v>
      </c>
      <c r="BY619" s="2" t="s">
        <v>112</v>
      </c>
      <c r="BZ619" s="2" t="s">
        <v>100</v>
      </c>
    </row>
    <row r="620">
      <c r="A620" s="2" t="s">
        <v>2622</v>
      </c>
      <c r="B620" s="2" t="s">
        <v>87</v>
      </c>
      <c r="C620" s="2" t="s">
        <v>2577</v>
      </c>
      <c r="D620" s="2" t="s">
        <v>89</v>
      </c>
      <c r="E620" s="2" t="s">
        <v>90</v>
      </c>
      <c r="F620" s="2" t="s">
        <v>2583</v>
      </c>
      <c r="G620" s="2" t="s">
        <v>2583</v>
      </c>
      <c r="H620" s="2" t="s">
        <v>2583</v>
      </c>
      <c r="I620" s="2" t="s">
        <v>2617</v>
      </c>
      <c r="J620" s="2" t="s">
        <v>114</v>
      </c>
      <c r="K620" s="2" t="s">
        <v>471</v>
      </c>
      <c r="L620" s="3">
        <v>110</v>
      </c>
      <c r="M620" s="3">
        <v>115.49</v>
      </c>
      <c r="N620" s="3">
        <v>234.99</v>
      </c>
      <c r="O620" s="2" t="s">
        <v>97</v>
      </c>
      <c r="P620" s="2" t="s">
        <v>98</v>
      </c>
      <c r="Q620" s="2" t="s">
        <v>99</v>
      </c>
      <c r="R620" s="2" t="s">
        <v>100</v>
      </c>
      <c r="S620" s="2" t="s">
        <v>2584</v>
      </c>
      <c r="T620" s="2" t="s">
        <v>100</v>
      </c>
      <c r="U620" s="2" t="s">
        <v>100</v>
      </c>
      <c r="V620" s="2" t="s">
        <v>717</v>
      </c>
      <c r="W620" s="2" t="s">
        <v>717</v>
      </c>
      <c r="X620" s="2" t="s">
        <v>525</v>
      </c>
      <c r="Y620" s="2" t="s">
        <v>144</v>
      </c>
      <c r="Z620" s="4"/>
      <c r="AA620" s="4">
        <f>=ROUNDDOWN({0},0)</f>
      </c>
      <c r="AB620" s="5">
        <v>9</v>
      </c>
      <c r="AC620" s="2" t="s">
        <v>725</v>
      </c>
      <c r="AD620" s="4">
        <v>140</v>
      </c>
      <c r="AE620" s="4">
        <v>375</v>
      </c>
      <c r="AF620" s="6">
        <v>68</v>
      </c>
      <c r="AG620" s="6"/>
      <c r="AH620" s="7">
        <v>0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/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/>
      <c r="BJ620" s="4">
        <v>9</v>
      </c>
      <c r="BK620" s="8">
        <v>1070.56</v>
      </c>
      <c r="BL620" s="2" t="s">
        <v>2623</v>
      </c>
      <c r="BM620" s="7"/>
      <c r="BN620" s="7"/>
      <c r="BO620" s="4"/>
      <c r="BP620" s="8"/>
      <c r="BQ620" s="4"/>
      <c r="BR620" s="8"/>
      <c r="BS620" s="7"/>
      <c r="BT620" s="7"/>
      <c r="BU620" s="2" t="s">
        <v>2551</v>
      </c>
      <c r="BV620" s="2" t="s">
        <v>97</v>
      </c>
      <c r="BW620" s="2" t="s">
        <v>100</v>
      </c>
      <c r="BX620" s="2" t="s">
        <v>100</v>
      </c>
      <c r="BY620" s="2" t="s">
        <v>112</v>
      </c>
      <c r="BZ620" s="2" t="s">
        <v>100</v>
      </c>
    </row>
    <row r="621">
      <c r="A621" s="2" t="s">
        <v>2624</v>
      </c>
      <c r="B621" s="2" t="s">
        <v>87</v>
      </c>
      <c r="C621" s="2" t="s">
        <v>2577</v>
      </c>
      <c r="D621" s="2" t="s">
        <v>89</v>
      </c>
      <c r="E621" s="2" t="s">
        <v>90</v>
      </c>
      <c r="F621" s="2" t="s">
        <v>2583</v>
      </c>
      <c r="G621" s="2" t="s">
        <v>2583</v>
      </c>
      <c r="H621" s="2" t="s">
        <v>2583</v>
      </c>
      <c r="I621" s="2" t="s">
        <v>2617</v>
      </c>
      <c r="J621" s="2" t="s">
        <v>118</v>
      </c>
      <c r="K621" s="2" t="s">
        <v>471</v>
      </c>
      <c r="L621" s="3">
        <v>110</v>
      </c>
      <c r="M621" s="3">
        <v>115.49</v>
      </c>
      <c r="N621" s="3">
        <v>234.99</v>
      </c>
      <c r="O621" s="2" t="s">
        <v>97</v>
      </c>
      <c r="P621" s="2" t="s">
        <v>98</v>
      </c>
      <c r="Q621" s="2" t="s">
        <v>99</v>
      </c>
      <c r="R621" s="2" t="s">
        <v>100</v>
      </c>
      <c r="S621" s="2" t="s">
        <v>2584</v>
      </c>
      <c r="T621" s="2" t="s">
        <v>100</v>
      </c>
      <c r="U621" s="2" t="s">
        <v>100</v>
      </c>
      <c r="V621" s="2" t="s">
        <v>717</v>
      </c>
      <c r="W621" s="2" t="s">
        <v>717</v>
      </c>
      <c r="X621" s="2" t="s">
        <v>525</v>
      </c>
      <c r="Y621" s="2" t="s">
        <v>144</v>
      </c>
      <c r="Z621" s="4">
        <v>14</v>
      </c>
      <c r="AA621" s="4">
        <f>=ROUNDDOWN(7,0)</f>
      </c>
      <c r="AB621" s="5">
        <v>2</v>
      </c>
      <c r="AC621" s="2" t="s">
        <v>1468</v>
      </c>
      <c r="AD621" s="4">
        <v>60</v>
      </c>
      <c r="AE621" s="4">
        <v>90</v>
      </c>
      <c r="AF621" s="6">
        <v>68</v>
      </c>
      <c r="AG621" s="6"/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/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/>
      <c r="BJ621" s="4">
        <v>20</v>
      </c>
      <c r="BK621" s="8">
        <v>2361.3</v>
      </c>
      <c r="BL621" s="2" t="s">
        <v>2625</v>
      </c>
      <c r="BM621" s="7"/>
      <c r="BN621" s="7"/>
      <c r="BO621" s="4"/>
      <c r="BP621" s="8"/>
      <c r="BQ621" s="4"/>
      <c r="BR621" s="8"/>
      <c r="BS621" s="7"/>
      <c r="BT621" s="7"/>
      <c r="BU621" s="2" t="s">
        <v>2551</v>
      </c>
      <c r="BV621" s="2" t="s">
        <v>97</v>
      </c>
      <c r="BW621" s="2" t="s">
        <v>100</v>
      </c>
      <c r="BX621" s="2" t="s">
        <v>100</v>
      </c>
      <c r="BY621" s="2" t="s">
        <v>112</v>
      </c>
      <c r="BZ621" s="2" t="s">
        <v>100</v>
      </c>
    </row>
    <row r="622">
      <c r="A622" s="2" t="s">
        <v>2626</v>
      </c>
      <c r="B622" s="2" t="s">
        <v>87</v>
      </c>
      <c r="C622" s="2" t="s">
        <v>2577</v>
      </c>
      <c r="D622" s="2" t="s">
        <v>89</v>
      </c>
      <c r="E622" s="2" t="s">
        <v>90</v>
      </c>
      <c r="F622" s="2" t="s">
        <v>2583</v>
      </c>
      <c r="G622" s="2" t="s">
        <v>2583</v>
      </c>
      <c r="H622" s="2" t="s">
        <v>2583</v>
      </c>
      <c r="I622" s="2" t="s">
        <v>2627</v>
      </c>
      <c r="J622" s="2" t="s">
        <v>490</v>
      </c>
      <c r="K622" s="2" t="s">
        <v>856</v>
      </c>
      <c r="L622" s="3">
        <v>100</v>
      </c>
      <c r="M622" s="3">
        <v>104.99</v>
      </c>
      <c r="N622" s="3">
        <v>214.99</v>
      </c>
      <c r="O622" s="2" t="s">
        <v>97</v>
      </c>
      <c r="P622" s="2" t="s">
        <v>156</v>
      </c>
      <c r="Q622" s="2" t="s">
        <v>99</v>
      </c>
      <c r="R622" s="2" t="s">
        <v>100</v>
      </c>
      <c r="S622" s="2" t="s">
        <v>2628</v>
      </c>
      <c r="T622" s="2" t="s">
        <v>100</v>
      </c>
      <c r="U622" s="2" t="s">
        <v>355</v>
      </c>
      <c r="V622" s="2" t="s">
        <v>717</v>
      </c>
      <c r="W622" s="2" t="s">
        <v>717</v>
      </c>
      <c r="X622" s="2" t="s">
        <v>525</v>
      </c>
      <c r="Y622" s="2" t="s">
        <v>144</v>
      </c>
      <c r="Z622" s="4">
        <v>64</v>
      </c>
      <c r="AA622" s="4">
        <f>=ROUNDDOWN(64,0)</f>
      </c>
      <c r="AB622" s="5">
        <v>1</v>
      </c>
      <c r="AC622" s="2" t="s">
        <v>100</v>
      </c>
      <c r="AD622" s="4"/>
      <c r="AE622" s="4"/>
      <c r="AF622" s="6">
        <v>68</v>
      </c>
      <c r="AG622" s="6"/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/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/>
      <c r="BJ622" s="4">
        <v>1</v>
      </c>
      <c r="BK622" s="8">
        <v>118.99</v>
      </c>
      <c r="BL622" s="2" t="s">
        <v>2202</v>
      </c>
      <c r="BM622" s="7"/>
      <c r="BN622" s="7"/>
      <c r="BO622" s="4"/>
      <c r="BP622" s="8"/>
      <c r="BQ622" s="4"/>
      <c r="BR622" s="8"/>
      <c r="BS622" s="7"/>
      <c r="BT622" s="7"/>
      <c r="BU622" s="2" t="s">
        <v>2526</v>
      </c>
      <c r="BV622" s="2" t="s">
        <v>97</v>
      </c>
      <c r="BW622" s="2" t="s">
        <v>100</v>
      </c>
      <c r="BX622" s="2" t="s">
        <v>100</v>
      </c>
      <c r="BY622" s="2" t="s">
        <v>112</v>
      </c>
      <c r="BZ622" s="2" t="s">
        <v>100</v>
      </c>
    </row>
    <row r="623">
      <c r="A623" s="2" t="s">
        <v>2629</v>
      </c>
      <c r="B623" s="2" t="s">
        <v>87</v>
      </c>
      <c r="C623" s="2" t="s">
        <v>2577</v>
      </c>
      <c r="D623" s="2" t="s">
        <v>89</v>
      </c>
      <c r="E623" s="2" t="s">
        <v>90</v>
      </c>
      <c r="F623" s="2" t="s">
        <v>2583</v>
      </c>
      <c r="G623" s="2" t="s">
        <v>2583</v>
      </c>
      <c r="H623" s="2" t="s">
        <v>2583</v>
      </c>
      <c r="I623" s="2" t="s">
        <v>2627</v>
      </c>
      <c r="J623" s="2" t="s">
        <v>95</v>
      </c>
      <c r="K623" s="2" t="s">
        <v>856</v>
      </c>
      <c r="L623" s="3">
        <v>110</v>
      </c>
      <c r="M623" s="3">
        <v>115.49</v>
      </c>
      <c r="N623" s="3">
        <v>234.99</v>
      </c>
      <c r="O623" s="2" t="s">
        <v>97</v>
      </c>
      <c r="P623" s="2" t="s">
        <v>156</v>
      </c>
      <c r="Q623" s="2" t="s">
        <v>99</v>
      </c>
      <c r="R623" s="2" t="s">
        <v>100</v>
      </c>
      <c r="S623" s="2" t="s">
        <v>2628</v>
      </c>
      <c r="T623" s="2" t="s">
        <v>100</v>
      </c>
      <c r="U623" s="2" t="s">
        <v>355</v>
      </c>
      <c r="V623" s="2" t="s">
        <v>717</v>
      </c>
      <c r="W623" s="2" t="s">
        <v>717</v>
      </c>
      <c r="X623" s="2" t="s">
        <v>525</v>
      </c>
      <c r="Y623" s="2" t="s">
        <v>144</v>
      </c>
      <c r="Z623" s="4">
        <v>84</v>
      </c>
      <c r="AA623" s="4">
        <f>=ROUNDDOWN(21,0)</f>
      </c>
      <c r="AB623" s="5">
        <v>4</v>
      </c>
      <c r="AC623" s="2" t="s">
        <v>725</v>
      </c>
      <c r="AD623" s="4">
        <v>30</v>
      </c>
      <c r="AE623" s="4">
        <v>119</v>
      </c>
      <c r="AF623" s="6">
        <v>68</v>
      </c>
      <c r="AG623" s="6"/>
      <c r="AH623" s="7">
        <v>0.8065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/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/>
      <c r="BJ623" s="4">
        <v>18</v>
      </c>
      <c r="BK623" s="8">
        <v>2127.13</v>
      </c>
      <c r="BL623" s="2" t="s">
        <v>2630</v>
      </c>
      <c r="BM623" s="7"/>
      <c r="BN623" s="7"/>
      <c r="BO623" s="4"/>
      <c r="BP623" s="8"/>
      <c r="BQ623" s="4"/>
      <c r="BR623" s="8"/>
      <c r="BS623" s="7"/>
      <c r="BT623" s="7"/>
      <c r="BU623" s="2" t="s">
        <v>2526</v>
      </c>
      <c r="BV623" s="2" t="s">
        <v>97</v>
      </c>
      <c r="BW623" s="2" t="s">
        <v>100</v>
      </c>
      <c r="BX623" s="2" t="s">
        <v>100</v>
      </c>
      <c r="BY623" s="2" t="s">
        <v>112</v>
      </c>
      <c r="BZ623" s="2" t="s">
        <v>100</v>
      </c>
    </row>
    <row r="624">
      <c r="A624" s="2" t="s">
        <v>2631</v>
      </c>
      <c r="B624" s="2" t="s">
        <v>87</v>
      </c>
      <c r="C624" s="2" t="s">
        <v>2577</v>
      </c>
      <c r="D624" s="2" t="s">
        <v>89</v>
      </c>
      <c r="E624" s="2" t="s">
        <v>90</v>
      </c>
      <c r="F624" s="2" t="s">
        <v>2583</v>
      </c>
      <c r="G624" s="2" t="s">
        <v>2583</v>
      </c>
      <c r="H624" s="2" t="s">
        <v>2583</v>
      </c>
      <c r="I624" s="2" t="s">
        <v>2627</v>
      </c>
      <c r="J624" s="2" t="s">
        <v>114</v>
      </c>
      <c r="K624" s="2" t="s">
        <v>856</v>
      </c>
      <c r="L624" s="3">
        <v>125</v>
      </c>
      <c r="M624" s="3">
        <v>131.24</v>
      </c>
      <c r="N624" s="3">
        <v>264.99</v>
      </c>
      <c r="O624" s="2" t="s">
        <v>97</v>
      </c>
      <c r="P624" s="2" t="s">
        <v>156</v>
      </c>
      <c r="Q624" s="2" t="s">
        <v>99</v>
      </c>
      <c r="R624" s="2" t="s">
        <v>100</v>
      </c>
      <c r="S624" s="2" t="s">
        <v>2628</v>
      </c>
      <c r="T624" s="2" t="s">
        <v>100</v>
      </c>
      <c r="U624" s="2" t="s">
        <v>355</v>
      </c>
      <c r="V624" s="2" t="s">
        <v>717</v>
      </c>
      <c r="W624" s="2" t="s">
        <v>717</v>
      </c>
      <c r="X624" s="2" t="s">
        <v>525</v>
      </c>
      <c r="Y624" s="2" t="s">
        <v>1720</v>
      </c>
      <c r="Z624" s="4">
        <v>108</v>
      </c>
      <c r="AA624" s="4">
        <f>=ROUNDDOWN(21.6,0)</f>
      </c>
      <c r="AB624" s="5">
        <v>5</v>
      </c>
      <c r="AC624" s="2" t="s">
        <v>725</v>
      </c>
      <c r="AD624" s="4">
        <v>40</v>
      </c>
      <c r="AE624" s="4">
        <v>146</v>
      </c>
      <c r="AF624" s="6">
        <v>68</v>
      </c>
      <c r="AG624" s="6"/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/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/>
      <c r="BJ624" s="4">
        <v>15</v>
      </c>
      <c r="BK624" s="8">
        <v>2014.62</v>
      </c>
      <c r="BL624" s="2" t="s">
        <v>2632</v>
      </c>
      <c r="BM624" s="7"/>
      <c r="BN624" s="7"/>
      <c r="BO624" s="4"/>
      <c r="BP624" s="8"/>
      <c r="BQ624" s="4"/>
      <c r="BR624" s="8"/>
      <c r="BS624" s="7"/>
      <c r="BT624" s="7"/>
      <c r="BU624" s="2" t="s">
        <v>2526</v>
      </c>
      <c r="BV624" s="2" t="s">
        <v>97</v>
      </c>
      <c r="BW624" s="2" t="s">
        <v>100</v>
      </c>
      <c r="BX624" s="2" t="s">
        <v>100</v>
      </c>
      <c r="BY624" s="2" t="s">
        <v>112</v>
      </c>
      <c r="BZ624" s="2" t="s">
        <v>100</v>
      </c>
    </row>
    <row r="625">
      <c r="A625" s="2" t="s">
        <v>2633</v>
      </c>
      <c r="B625" s="2" t="s">
        <v>87</v>
      </c>
      <c r="C625" s="2" t="s">
        <v>2577</v>
      </c>
      <c r="D625" s="2" t="s">
        <v>89</v>
      </c>
      <c r="E625" s="2" t="s">
        <v>90</v>
      </c>
      <c r="F625" s="2" t="s">
        <v>2583</v>
      </c>
      <c r="G625" s="2" t="s">
        <v>2583</v>
      </c>
      <c r="H625" s="2" t="s">
        <v>2583</v>
      </c>
      <c r="I625" s="2" t="s">
        <v>2627</v>
      </c>
      <c r="J625" s="2" t="s">
        <v>118</v>
      </c>
      <c r="K625" s="2" t="s">
        <v>856</v>
      </c>
      <c r="L625" s="3">
        <v>125</v>
      </c>
      <c r="M625" s="3">
        <v>131.24</v>
      </c>
      <c r="N625" s="3">
        <v>264.99</v>
      </c>
      <c r="O625" s="2" t="s">
        <v>97</v>
      </c>
      <c r="P625" s="2" t="s">
        <v>156</v>
      </c>
      <c r="Q625" s="2" t="s">
        <v>99</v>
      </c>
      <c r="R625" s="2" t="s">
        <v>100</v>
      </c>
      <c r="S625" s="2" t="s">
        <v>2628</v>
      </c>
      <c r="T625" s="2" t="s">
        <v>100</v>
      </c>
      <c r="U625" s="2" t="s">
        <v>355</v>
      </c>
      <c r="V625" s="2" t="s">
        <v>717</v>
      </c>
      <c r="W625" s="2" t="s">
        <v>717</v>
      </c>
      <c r="X625" s="2" t="s">
        <v>525</v>
      </c>
      <c r="Y625" s="2" t="s">
        <v>144</v>
      </c>
      <c r="Z625" s="4">
        <v>18</v>
      </c>
      <c r="AA625" s="4">
        <f>=ROUNDDOWN(9,0)</f>
      </c>
      <c r="AB625" s="5">
        <v>2</v>
      </c>
      <c r="AC625" s="2" t="s">
        <v>725</v>
      </c>
      <c r="AD625" s="4">
        <v>20</v>
      </c>
      <c r="AE625" s="4">
        <v>86</v>
      </c>
      <c r="AF625" s="6">
        <v>68</v>
      </c>
      <c r="AG625" s="6"/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/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/>
      <c r="BJ625" s="4">
        <v>8</v>
      </c>
      <c r="BK625" s="8">
        <v>1099.6</v>
      </c>
      <c r="BL625" s="2" t="s">
        <v>2634</v>
      </c>
      <c r="BM625" s="7"/>
      <c r="BN625" s="7"/>
      <c r="BO625" s="4"/>
      <c r="BP625" s="8"/>
      <c r="BQ625" s="4"/>
      <c r="BR625" s="8"/>
      <c r="BS625" s="7"/>
      <c r="BT625" s="7"/>
      <c r="BU625" s="2" t="s">
        <v>2526</v>
      </c>
      <c r="BV625" s="2" t="s">
        <v>97</v>
      </c>
      <c r="BW625" s="2" t="s">
        <v>100</v>
      </c>
      <c r="BX625" s="2" t="s">
        <v>100</v>
      </c>
      <c r="BY625" s="2" t="s">
        <v>112</v>
      </c>
      <c r="BZ625" s="2" t="s">
        <v>100</v>
      </c>
    </row>
    <row r="626">
      <c r="A626" s="2" t="s">
        <v>2635</v>
      </c>
      <c r="B626" s="2" t="s">
        <v>87</v>
      </c>
      <c r="C626" s="2" t="s">
        <v>2577</v>
      </c>
      <c r="D626" s="2" t="s">
        <v>89</v>
      </c>
      <c r="E626" s="2" t="s">
        <v>90</v>
      </c>
      <c r="F626" s="2" t="s">
        <v>2587</v>
      </c>
      <c r="G626" s="2" t="s">
        <v>2587</v>
      </c>
      <c r="H626" s="2" t="s">
        <v>2587</v>
      </c>
      <c r="I626" s="2" t="s">
        <v>2602</v>
      </c>
      <c r="J626" s="2" t="s">
        <v>95</v>
      </c>
      <c r="K626" s="2" t="s">
        <v>458</v>
      </c>
      <c r="L626" s="3">
        <v>110</v>
      </c>
      <c r="M626" s="3">
        <v>115.49</v>
      </c>
      <c r="N626" s="3">
        <v>229.99</v>
      </c>
      <c r="O626" s="2" t="s">
        <v>97</v>
      </c>
      <c r="P626" s="2" t="s">
        <v>156</v>
      </c>
      <c r="Q626" s="2" t="s">
        <v>99</v>
      </c>
      <c r="R626" s="2" t="s">
        <v>100</v>
      </c>
      <c r="S626" s="2" t="s">
        <v>2588</v>
      </c>
      <c r="T626" s="2" t="s">
        <v>100</v>
      </c>
      <c r="U626" s="2" t="s">
        <v>100</v>
      </c>
      <c r="V626" s="2" t="s">
        <v>717</v>
      </c>
      <c r="W626" s="2" t="s">
        <v>717</v>
      </c>
      <c r="X626" s="2" t="s">
        <v>525</v>
      </c>
      <c r="Y626" s="2" t="s">
        <v>144</v>
      </c>
      <c r="Z626" s="4">
        <v>60</v>
      </c>
      <c r="AA626" s="4">
        <f>=ROUNDDOWN(7.5,0)</f>
      </c>
      <c r="AB626" s="5">
        <v>8</v>
      </c>
      <c r="AC626" s="2" t="s">
        <v>725</v>
      </c>
      <c r="AD626" s="4">
        <v>166</v>
      </c>
      <c r="AE626" s="4">
        <v>337</v>
      </c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/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/>
      <c r="BJ626" s="4">
        <v>38</v>
      </c>
      <c r="BK626" s="8">
        <v>4243.97</v>
      </c>
      <c r="BL626" s="2" t="s">
        <v>923</v>
      </c>
      <c r="BM626" s="7"/>
      <c r="BN626" s="7"/>
      <c r="BO626" s="4"/>
      <c r="BP626" s="8"/>
      <c r="BQ626" s="4"/>
      <c r="BR626" s="8"/>
      <c r="BS626" s="7"/>
      <c r="BT626" s="7"/>
      <c r="BU626" s="2" t="s">
        <v>2526</v>
      </c>
      <c r="BV626" s="2" t="s">
        <v>97</v>
      </c>
      <c r="BW626" s="2" t="s">
        <v>100</v>
      </c>
      <c r="BX626" s="2" t="s">
        <v>100</v>
      </c>
      <c r="BY626" s="2" t="s">
        <v>112</v>
      </c>
      <c r="BZ626" s="2" t="s">
        <v>100</v>
      </c>
    </row>
    <row r="627">
      <c r="A627" s="2" t="s">
        <v>2636</v>
      </c>
      <c r="B627" s="2" t="s">
        <v>87</v>
      </c>
      <c r="C627" s="2" t="s">
        <v>2577</v>
      </c>
      <c r="D627" s="2" t="s">
        <v>89</v>
      </c>
      <c r="E627" s="2" t="s">
        <v>90</v>
      </c>
      <c r="F627" s="2" t="s">
        <v>2587</v>
      </c>
      <c r="G627" s="2" t="s">
        <v>2587</v>
      </c>
      <c r="H627" s="2" t="s">
        <v>2587</v>
      </c>
      <c r="I627" s="2" t="s">
        <v>2602</v>
      </c>
      <c r="J627" s="2" t="s">
        <v>114</v>
      </c>
      <c r="K627" s="2" t="s">
        <v>458</v>
      </c>
      <c r="L627" s="3">
        <v>125</v>
      </c>
      <c r="M627" s="3">
        <v>131.24</v>
      </c>
      <c r="N627" s="3">
        <v>259.99</v>
      </c>
      <c r="O627" s="2" t="s">
        <v>97</v>
      </c>
      <c r="P627" s="2" t="s">
        <v>156</v>
      </c>
      <c r="Q627" s="2" t="s">
        <v>99</v>
      </c>
      <c r="R627" s="2" t="s">
        <v>100</v>
      </c>
      <c r="S627" s="2" t="s">
        <v>2588</v>
      </c>
      <c r="T627" s="2" t="s">
        <v>100</v>
      </c>
      <c r="U627" s="2" t="s">
        <v>100</v>
      </c>
      <c r="V627" s="2" t="s">
        <v>717</v>
      </c>
      <c r="W627" s="2" t="s">
        <v>717</v>
      </c>
      <c r="X627" s="2" t="s">
        <v>525</v>
      </c>
      <c r="Y627" s="2" t="s">
        <v>144</v>
      </c>
      <c r="Z627" s="4">
        <v>93</v>
      </c>
      <c r="AA627" s="4">
        <f>=ROUNDDOWN(15.5,0)</f>
      </c>
      <c r="AB627" s="5">
        <v>6</v>
      </c>
      <c r="AC627" s="2" t="s">
        <v>725</v>
      </c>
      <c r="AD627" s="4">
        <v>103</v>
      </c>
      <c r="AE627" s="4">
        <v>195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/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/>
      <c r="BJ627" s="4">
        <v>32</v>
      </c>
      <c r="BK627" s="8">
        <v>4115.71</v>
      </c>
      <c r="BL627" s="2" t="s">
        <v>2637</v>
      </c>
      <c r="BM627" s="7"/>
      <c r="BN627" s="7"/>
      <c r="BO627" s="4"/>
      <c r="BP627" s="8"/>
      <c r="BQ627" s="4"/>
      <c r="BR627" s="8"/>
      <c r="BS627" s="7"/>
      <c r="BT627" s="7"/>
      <c r="BU627" s="2" t="s">
        <v>2526</v>
      </c>
      <c r="BV627" s="2" t="s">
        <v>97</v>
      </c>
      <c r="BW627" s="2" t="s">
        <v>100</v>
      </c>
      <c r="BX627" s="2" t="s">
        <v>100</v>
      </c>
      <c r="BY627" s="2" t="s">
        <v>112</v>
      </c>
      <c r="BZ627" s="2" t="s">
        <v>100</v>
      </c>
    </row>
    <row r="628">
      <c r="A628" s="2" t="s">
        <v>2638</v>
      </c>
      <c r="B628" s="2" t="s">
        <v>87</v>
      </c>
      <c r="C628" s="2" t="s">
        <v>2577</v>
      </c>
      <c r="D628" s="2" t="s">
        <v>89</v>
      </c>
      <c r="E628" s="2" t="s">
        <v>90</v>
      </c>
      <c r="F628" s="2" t="s">
        <v>2587</v>
      </c>
      <c r="G628" s="2" t="s">
        <v>2587</v>
      </c>
      <c r="H628" s="2" t="s">
        <v>2587</v>
      </c>
      <c r="I628" s="2" t="s">
        <v>2602</v>
      </c>
      <c r="J628" s="2" t="s">
        <v>118</v>
      </c>
      <c r="K628" s="2" t="s">
        <v>458</v>
      </c>
      <c r="L628" s="3">
        <v>125</v>
      </c>
      <c r="M628" s="3">
        <v>131.24</v>
      </c>
      <c r="N628" s="3">
        <v>259.99</v>
      </c>
      <c r="O628" s="2" t="s">
        <v>97</v>
      </c>
      <c r="P628" s="2" t="s">
        <v>156</v>
      </c>
      <c r="Q628" s="2" t="s">
        <v>99</v>
      </c>
      <c r="R628" s="2" t="s">
        <v>100</v>
      </c>
      <c r="S628" s="2" t="s">
        <v>2588</v>
      </c>
      <c r="T628" s="2" t="s">
        <v>100</v>
      </c>
      <c r="U628" s="2" t="s">
        <v>1228</v>
      </c>
      <c r="V628" s="2" t="s">
        <v>717</v>
      </c>
      <c r="W628" s="2" t="s">
        <v>717</v>
      </c>
      <c r="X628" s="2" t="s">
        <v>525</v>
      </c>
      <c r="Y628" s="2" t="s">
        <v>144</v>
      </c>
      <c r="Z628" s="4">
        <v>6</v>
      </c>
      <c r="AA628" s="4">
        <f>=ROUNDDOWN(3,0)</f>
      </c>
      <c r="AB628" s="5">
        <v>2</v>
      </c>
      <c r="AC628" s="2" t="s">
        <v>725</v>
      </c>
      <c r="AD628" s="4">
        <v>53</v>
      </c>
      <c r="AE628" s="4">
        <v>68</v>
      </c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/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/>
      <c r="BJ628" s="4">
        <v>9</v>
      </c>
      <c r="BK628" s="8">
        <v>1177.35</v>
      </c>
      <c r="BL628" s="2" t="s">
        <v>666</v>
      </c>
      <c r="BM628" s="7"/>
      <c r="BN628" s="7"/>
      <c r="BO628" s="4"/>
      <c r="BP628" s="8"/>
      <c r="BQ628" s="4"/>
      <c r="BR628" s="8"/>
      <c r="BS628" s="7"/>
      <c r="BT628" s="7"/>
      <c r="BU628" s="2" t="s">
        <v>2526</v>
      </c>
      <c r="BV628" s="2" t="s">
        <v>97</v>
      </c>
      <c r="BW628" s="2" t="s">
        <v>100</v>
      </c>
      <c r="BX628" s="2" t="s">
        <v>100</v>
      </c>
      <c r="BY628" s="2" t="s">
        <v>112</v>
      </c>
      <c r="BZ628" s="2" t="s">
        <v>100</v>
      </c>
    </row>
    <row r="629">
      <c r="A629" s="2" t="s">
        <v>2639</v>
      </c>
      <c r="B629" s="2" t="s">
        <v>87</v>
      </c>
      <c r="C629" s="2" t="s">
        <v>2577</v>
      </c>
      <c r="D629" s="2" t="s">
        <v>89</v>
      </c>
      <c r="E629" s="2" t="s">
        <v>90</v>
      </c>
      <c r="F629" s="2" t="s">
        <v>2640</v>
      </c>
      <c r="G629" s="2" t="s">
        <v>2640</v>
      </c>
      <c r="H629" s="2" t="s">
        <v>2640</v>
      </c>
      <c r="I629" s="2" t="s">
        <v>2641</v>
      </c>
      <c r="J629" s="2" t="s">
        <v>490</v>
      </c>
      <c r="K629" s="2" t="s">
        <v>96</v>
      </c>
      <c r="L629" s="3">
        <v>93.31</v>
      </c>
      <c r="M629" s="3">
        <v>97.98</v>
      </c>
      <c r="N629" s="3">
        <v>204.99</v>
      </c>
      <c r="O629" s="2" t="s">
        <v>97</v>
      </c>
      <c r="P629" s="2" t="s">
        <v>156</v>
      </c>
      <c r="Q629" s="2" t="s">
        <v>99</v>
      </c>
      <c r="R629" s="2" t="s">
        <v>100</v>
      </c>
      <c r="S629" s="2" t="s">
        <v>2642</v>
      </c>
      <c r="T629" s="2" t="s">
        <v>100</v>
      </c>
      <c r="U629" s="2" t="s">
        <v>355</v>
      </c>
      <c r="V629" s="2" t="s">
        <v>304</v>
      </c>
      <c r="W629" s="2" t="s">
        <v>104</v>
      </c>
      <c r="X629" s="2" t="s">
        <v>525</v>
      </c>
      <c r="Y629" s="2" t="s">
        <v>2598</v>
      </c>
      <c r="Z629" s="4">
        <v>32</v>
      </c>
      <c r="AA629" s="4">
        <f>=ROUNDDOWN(32,0)</f>
      </c>
      <c r="AB629" s="5">
        <v>1</v>
      </c>
      <c r="AC629" s="2" t="s">
        <v>330</v>
      </c>
      <c r="AD629" s="4">
        <v>10</v>
      </c>
      <c r="AE629" s="4">
        <v>10</v>
      </c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/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/>
      <c r="BJ629" s="4">
        <v>2</v>
      </c>
      <c r="BK629" s="8">
        <v>213.24</v>
      </c>
      <c r="BL629" s="2" t="s">
        <v>2202</v>
      </c>
      <c r="BM629" s="7"/>
      <c r="BN629" s="7"/>
      <c r="BO629" s="4"/>
      <c r="BP629" s="8"/>
      <c r="BQ629" s="4"/>
      <c r="BR629" s="8"/>
      <c r="BS629" s="7"/>
      <c r="BT629" s="7"/>
      <c r="BU629" s="2" t="s">
        <v>2526</v>
      </c>
      <c r="BV629" s="2" t="s">
        <v>97</v>
      </c>
      <c r="BW629" s="2" t="s">
        <v>100</v>
      </c>
      <c r="BX629" s="2" t="s">
        <v>100</v>
      </c>
      <c r="BY629" s="2" t="s">
        <v>112</v>
      </c>
      <c r="BZ629" s="2" t="s">
        <v>100</v>
      </c>
    </row>
    <row r="630">
      <c r="A630" s="2" t="s">
        <v>2643</v>
      </c>
      <c r="B630" s="2" t="s">
        <v>87</v>
      </c>
      <c r="C630" s="2" t="s">
        <v>2577</v>
      </c>
      <c r="D630" s="2" t="s">
        <v>89</v>
      </c>
      <c r="E630" s="2" t="s">
        <v>90</v>
      </c>
      <c r="F630" s="2" t="s">
        <v>2640</v>
      </c>
      <c r="G630" s="2" t="s">
        <v>2640</v>
      </c>
      <c r="H630" s="2" t="s">
        <v>2640</v>
      </c>
      <c r="I630" s="2" t="s">
        <v>2641</v>
      </c>
      <c r="J630" s="2" t="s">
        <v>95</v>
      </c>
      <c r="K630" s="2" t="s">
        <v>96</v>
      </c>
      <c r="L630" s="3">
        <v>103.67</v>
      </c>
      <c r="M630" s="3">
        <v>108.85</v>
      </c>
      <c r="N630" s="3">
        <v>224.99</v>
      </c>
      <c r="O630" s="2" t="s">
        <v>97</v>
      </c>
      <c r="P630" s="2" t="s">
        <v>156</v>
      </c>
      <c r="Q630" s="2" t="s">
        <v>99</v>
      </c>
      <c r="R630" s="2" t="s">
        <v>100</v>
      </c>
      <c r="S630" s="2" t="s">
        <v>2642</v>
      </c>
      <c r="T630" s="2" t="s">
        <v>100</v>
      </c>
      <c r="U630" s="2" t="s">
        <v>355</v>
      </c>
      <c r="V630" s="2" t="s">
        <v>304</v>
      </c>
      <c r="W630" s="2" t="s">
        <v>104</v>
      </c>
      <c r="X630" s="2" t="s">
        <v>525</v>
      </c>
      <c r="Y630" s="2" t="s">
        <v>2598</v>
      </c>
      <c r="Z630" s="4">
        <v>98</v>
      </c>
      <c r="AA630" s="4">
        <f>=ROUNDDOWN(19.6,0)</f>
      </c>
      <c r="AB630" s="5">
        <v>5</v>
      </c>
      <c r="AC630" s="2" t="s">
        <v>262</v>
      </c>
      <c r="AD630" s="4">
        <v>60</v>
      </c>
      <c r="AE630" s="4">
        <v>88</v>
      </c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/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/>
      <c r="BJ630" s="4">
        <v>13</v>
      </c>
      <c r="BK630" s="8">
        <v>1431.17</v>
      </c>
      <c r="BL630" s="2" t="s">
        <v>2644</v>
      </c>
      <c r="BM630" s="7"/>
      <c r="BN630" s="7"/>
      <c r="BO630" s="4"/>
      <c r="BP630" s="8"/>
      <c r="BQ630" s="4"/>
      <c r="BR630" s="8"/>
      <c r="BS630" s="7"/>
      <c r="BT630" s="7"/>
      <c r="BU630" s="2" t="s">
        <v>2526</v>
      </c>
      <c r="BV630" s="2" t="s">
        <v>97</v>
      </c>
      <c r="BW630" s="2" t="s">
        <v>100</v>
      </c>
      <c r="BX630" s="2" t="s">
        <v>100</v>
      </c>
      <c r="BY630" s="2" t="s">
        <v>112</v>
      </c>
      <c r="BZ630" s="2" t="s">
        <v>100</v>
      </c>
    </row>
    <row r="631">
      <c r="A631" s="2" t="s">
        <v>2645</v>
      </c>
      <c r="B631" s="2" t="s">
        <v>87</v>
      </c>
      <c r="C631" s="2" t="s">
        <v>2577</v>
      </c>
      <c r="D631" s="2" t="s">
        <v>89</v>
      </c>
      <c r="E631" s="2" t="s">
        <v>90</v>
      </c>
      <c r="F631" s="2" t="s">
        <v>2640</v>
      </c>
      <c r="G631" s="2" t="s">
        <v>2640</v>
      </c>
      <c r="H631" s="2" t="s">
        <v>2640</v>
      </c>
      <c r="I631" s="2" t="s">
        <v>2641</v>
      </c>
      <c r="J631" s="2" t="s">
        <v>114</v>
      </c>
      <c r="K631" s="2" t="s">
        <v>96</v>
      </c>
      <c r="L631" s="3">
        <v>114.04</v>
      </c>
      <c r="M631" s="3">
        <v>119.74</v>
      </c>
      <c r="N631" s="3">
        <v>244.99</v>
      </c>
      <c r="O631" s="2" t="s">
        <v>97</v>
      </c>
      <c r="P631" s="2" t="s">
        <v>156</v>
      </c>
      <c r="Q631" s="2" t="s">
        <v>99</v>
      </c>
      <c r="R631" s="2" t="s">
        <v>100</v>
      </c>
      <c r="S631" s="2" t="s">
        <v>2642</v>
      </c>
      <c r="T631" s="2" t="s">
        <v>100</v>
      </c>
      <c r="U631" s="2" t="s">
        <v>355</v>
      </c>
      <c r="V631" s="2" t="s">
        <v>304</v>
      </c>
      <c r="W631" s="2" t="s">
        <v>104</v>
      </c>
      <c r="X631" s="2" t="s">
        <v>525</v>
      </c>
      <c r="Y631" s="2" t="s">
        <v>2598</v>
      </c>
      <c r="Z631" s="4">
        <v>48</v>
      </c>
      <c r="AA631" s="4">
        <f>=ROUNDDOWN(8,0)</f>
      </c>
      <c r="AB631" s="5">
        <v>6</v>
      </c>
      <c r="AC631" s="2" t="s">
        <v>262</v>
      </c>
      <c r="AD631" s="4">
        <v>19</v>
      </c>
      <c r="AE631" s="4">
        <v>203</v>
      </c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/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/>
      <c r="BJ631" s="4">
        <v>20</v>
      </c>
      <c r="BK631" s="8">
        <v>2526.96</v>
      </c>
      <c r="BL631" s="2" t="s">
        <v>2646</v>
      </c>
      <c r="BM631" s="7"/>
      <c r="BN631" s="7"/>
      <c r="BO631" s="4"/>
      <c r="BP631" s="8"/>
      <c r="BQ631" s="4"/>
      <c r="BR631" s="8"/>
      <c r="BS631" s="7"/>
      <c r="BT631" s="7"/>
      <c r="BU631" s="2" t="s">
        <v>2526</v>
      </c>
      <c r="BV631" s="2" t="s">
        <v>97</v>
      </c>
      <c r="BW631" s="2" t="s">
        <v>100</v>
      </c>
      <c r="BX631" s="2" t="s">
        <v>100</v>
      </c>
      <c r="BY631" s="2" t="s">
        <v>112</v>
      </c>
      <c r="BZ631" s="2" t="s">
        <v>100</v>
      </c>
    </row>
    <row r="632">
      <c r="A632" s="2" t="s">
        <v>2647</v>
      </c>
      <c r="B632" s="2" t="s">
        <v>87</v>
      </c>
      <c r="C632" s="2" t="s">
        <v>2577</v>
      </c>
      <c r="D632" s="2" t="s">
        <v>89</v>
      </c>
      <c r="E632" s="2" t="s">
        <v>90</v>
      </c>
      <c r="F632" s="2" t="s">
        <v>2640</v>
      </c>
      <c r="G632" s="2" t="s">
        <v>2640</v>
      </c>
      <c r="H632" s="2" t="s">
        <v>2640</v>
      </c>
      <c r="I632" s="2" t="s">
        <v>2641</v>
      </c>
      <c r="J632" s="2" t="s">
        <v>118</v>
      </c>
      <c r="K632" s="2" t="s">
        <v>96</v>
      </c>
      <c r="L632" s="3">
        <v>114.04</v>
      </c>
      <c r="M632" s="3">
        <v>119.74</v>
      </c>
      <c r="N632" s="3">
        <v>244.99</v>
      </c>
      <c r="O632" s="2" t="s">
        <v>97</v>
      </c>
      <c r="P632" s="2" t="s">
        <v>156</v>
      </c>
      <c r="Q632" s="2" t="s">
        <v>99</v>
      </c>
      <c r="R632" s="2" t="s">
        <v>100</v>
      </c>
      <c r="S632" s="2" t="s">
        <v>2642</v>
      </c>
      <c r="T632" s="2" t="s">
        <v>100</v>
      </c>
      <c r="U632" s="2" t="s">
        <v>355</v>
      </c>
      <c r="V632" s="2" t="s">
        <v>304</v>
      </c>
      <c r="W632" s="2" t="s">
        <v>104</v>
      </c>
      <c r="X632" s="2" t="s">
        <v>525</v>
      </c>
      <c r="Y632" s="2" t="s">
        <v>2598</v>
      </c>
      <c r="Z632" s="4">
        <v>92</v>
      </c>
      <c r="AA632" s="4">
        <f>=ROUNDDOWN(46,0)</f>
      </c>
      <c r="AB632" s="5">
        <v>2</v>
      </c>
      <c r="AC632" s="2" t="s">
        <v>262</v>
      </c>
      <c r="AD632" s="4">
        <v>32</v>
      </c>
      <c r="AE632" s="4">
        <v>32</v>
      </c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/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/>
      <c r="BJ632" s="4">
        <v>9</v>
      </c>
      <c r="BK632" s="8">
        <v>1162.23</v>
      </c>
      <c r="BL632" s="2" t="s">
        <v>2648</v>
      </c>
      <c r="BM632" s="7"/>
      <c r="BN632" s="7"/>
      <c r="BO632" s="4"/>
      <c r="BP632" s="8"/>
      <c r="BQ632" s="4"/>
      <c r="BR632" s="8"/>
      <c r="BS632" s="7"/>
      <c r="BT632" s="7"/>
      <c r="BU632" s="2" t="s">
        <v>2526</v>
      </c>
      <c r="BV632" s="2" t="s">
        <v>97</v>
      </c>
      <c r="BW632" s="2" t="s">
        <v>100</v>
      </c>
      <c r="BX632" s="2" t="s">
        <v>100</v>
      </c>
      <c r="BY632" s="2" t="s">
        <v>112</v>
      </c>
      <c r="BZ632" s="2" t="s">
        <v>100</v>
      </c>
    </row>
    <row r="633">
      <c r="A633" s="2" t="s">
        <v>2649</v>
      </c>
      <c r="B633" s="2" t="s">
        <v>87</v>
      </c>
      <c r="C633" s="2" t="s">
        <v>2577</v>
      </c>
      <c r="D633" s="2" t="s">
        <v>89</v>
      </c>
      <c r="E633" s="2" t="s">
        <v>90</v>
      </c>
      <c r="F633" s="2" t="s">
        <v>2650</v>
      </c>
      <c r="G633" s="2" t="s">
        <v>2650</v>
      </c>
      <c r="H633" s="2" t="s">
        <v>2650</v>
      </c>
      <c r="I633" s="2" t="s">
        <v>2641</v>
      </c>
      <c r="J633" s="2" t="s">
        <v>490</v>
      </c>
      <c r="K633" s="2" t="s">
        <v>706</v>
      </c>
      <c r="L633" s="3">
        <v>86.4</v>
      </c>
      <c r="M633" s="3">
        <v>90.71</v>
      </c>
      <c r="N633" s="3">
        <v>179.99</v>
      </c>
      <c r="O633" s="2" t="s">
        <v>97</v>
      </c>
      <c r="P633" s="2" t="s">
        <v>156</v>
      </c>
      <c r="Q633" s="2" t="s">
        <v>99</v>
      </c>
      <c r="R633" s="2" t="s">
        <v>100</v>
      </c>
      <c r="S633" s="2" t="s">
        <v>2651</v>
      </c>
      <c r="T633" s="2" t="s">
        <v>190</v>
      </c>
      <c r="U633" s="2" t="s">
        <v>355</v>
      </c>
      <c r="V633" s="2" t="s">
        <v>733</v>
      </c>
      <c r="W633" s="2" t="s">
        <v>525</v>
      </c>
      <c r="X633" s="2" t="s">
        <v>2523</v>
      </c>
      <c r="Y633" s="2" t="s">
        <v>2652</v>
      </c>
      <c r="Z633" s="4">
        <v>66</v>
      </c>
      <c r="AA633" s="4">
        <f>=ROUNDDOWN(22,0)</f>
      </c>
      <c r="AB633" s="5">
        <v>3</v>
      </c>
      <c r="AC633" s="2" t="s">
        <v>2581</v>
      </c>
      <c r="AD633" s="4">
        <v>20</v>
      </c>
      <c r="AE633" s="4">
        <v>20</v>
      </c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/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/>
      <c r="BJ633" s="4">
        <v>2</v>
      </c>
      <c r="BK633" s="8">
        <v>197.48</v>
      </c>
      <c r="BL633" s="2" t="s">
        <v>2230</v>
      </c>
      <c r="BM633" s="7"/>
      <c r="BN633" s="7"/>
      <c r="BO633" s="4"/>
      <c r="BP633" s="8"/>
      <c r="BQ633" s="4"/>
      <c r="BR633" s="8"/>
      <c r="BS633" s="7"/>
      <c r="BT633" s="7"/>
      <c r="BU633" s="2" t="s">
        <v>2526</v>
      </c>
      <c r="BV633" s="2" t="s">
        <v>97</v>
      </c>
      <c r="BW633" s="2" t="s">
        <v>100</v>
      </c>
      <c r="BX633" s="2" t="s">
        <v>100</v>
      </c>
      <c r="BY633" s="2" t="s">
        <v>112</v>
      </c>
      <c r="BZ633" s="2" t="s">
        <v>100</v>
      </c>
    </row>
    <row r="634">
      <c r="A634" s="2" t="s">
        <v>2653</v>
      </c>
      <c r="B634" s="2" t="s">
        <v>87</v>
      </c>
      <c r="C634" s="2" t="s">
        <v>2577</v>
      </c>
      <c r="D634" s="2" t="s">
        <v>89</v>
      </c>
      <c r="E634" s="2" t="s">
        <v>90</v>
      </c>
      <c r="F634" s="2" t="s">
        <v>2650</v>
      </c>
      <c r="G634" s="2" t="s">
        <v>2650</v>
      </c>
      <c r="H634" s="2" t="s">
        <v>2650</v>
      </c>
      <c r="I634" s="2" t="s">
        <v>2641</v>
      </c>
      <c r="J634" s="2" t="s">
        <v>95</v>
      </c>
      <c r="K634" s="2" t="s">
        <v>706</v>
      </c>
      <c r="L634" s="3">
        <v>96</v>
      </c>
      <c r="M634" s="3">
        <v>100.79</v>
      </c>
      <c r="N634" s="3">
        <v>199.99</v>
      </c>
      <c r="O634" s="2" t="s">
        <v>97</v>
      </c>
      <c r="P634" s="2" t="s">
        <v>156</v>
      </c>
      <c r="Q634" s="2" t="s">
        <v>99</v>
      </c>
      <c r="R634" s="2" t="s">
        <v>100</v>
      </c>
      <c r="S634" s="2" t="s">
        <v>2651</v>
      </c>
      <c r="T634" s="2" t="s">
        <v>190</v>
      </c>
      <c r="U634" s="2" t="s">
        <v>355</v>
      </c>
      <c r="V634" s="2" t="s">
        <v>733</v>
      </c>
      <c r="W634" s="2" t="s">
        <v>525</v>
      </c>
      <c r="X634" s="2" t="s">
        <v>2523</v>
      </c>
      <c r="Y634" s="2" t="s">
        <v>2652</v>
      </c>
      <c r="Z634" s="4">
        <v>148</v>
      </c>
      <c r="AA634" s="4">
        <f>=ROUNDDOWN(21.1428571428571,0)</f>
      </c>
      <c r="AB634" s="5">
        <v>7</v>
      </c>
      <c r="AC634" s="2" t="s">
        <v>2581</v>
      </c>
      <c r="AD634" s="4">
        <v>100</v>
      </c>
      <c r="AE634" s="4">
        <v>100</v>
      </c>
      <c r="AF634" s="6">
        <v>66</v>
      </c>
      <c r="AG634" s="6"/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/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/>
      <c r="BJ634" s="4">
        <v>24</v>
      </c>
      <c r="BK634" s="8">
        <v>2567.26</v>
      </c>
      <c r="BL634" s="2" t="s">
        <v>2654</v>
      </c>
      <c r="BM634" s="7"/>
      <c r="BN634" s="7"/>
      <c r="BO634" s="4"/>
      <c r="BP634" s="8"/>
      <c r="BQ634" s="4"/>
      <c r="BR634" s="8"/>
      <c r="BS634" s="7"/>
      <c r="BT634" s="7"/>
      <c r="BU634" s="2" t="s">
        <v>2526</v>
      </c>
      <c r="BV634" s="2" t="s">
        <v>97</v>
      </c>
      <c r="BW634" s="2" t="s">
        <v>100</v>
      </c>
      <c r="BX634" s="2" t="s">
        <v>100</v>
      </c>
      <c r="BY634" s="2" t="s">
        <v>112</v>
      </c>
      <c r="BZ634" s="2" t="s">
        <v>100</v>
      </c>
    </row>
    <row r="635">
      <c r="A635" s="2" t="s">
        <v>2655</v>
      </c>
      <c r="B635" s="2" t="s">
        <v>87</v>
      </c>
      <c r="C635" s="2" t="s">
        <v>2577</v>
      </c>
      <c r="D635" s="2" t="s">
        <v>89</v>
      </c>
      <c r="E635" s="2" t="s">
        <v>90</v>
      </c>
      <c r="F635" s="2" t="s">
        <v>2650</v>
      </c>
      <c r="G635" s="2" t="s">
        <v>2650</v>
      </c>
      <c r="H635" s="2" t="s">
        <v>2650</v>
      </c>
      <c r="I635" s="2" t="s">
        <v>2641</v>
      </c>
      <c r="J635" s="2" t="s">
        <v>114</v>
      </c>
      <c r="K635" s="2" t="s">
        <v>706</v>
      </c>
      <c r="L635" s="3">
        <v>105.6</v>
      </c>
      <c r="M635" s="3">
        <v>110.87</v>
      </c>
      <c r="N635" s="3">
        <v>219.99</v>
      </c>
      <c r="O635" s="2" t="s">
        <v>97</v>
      </c>
      <c r="P635" s="2" t="s">
        <v>156</v>
      </c>
      <c r="Q635" s="2" t="s">
        <v>99</v>
      </c>
      <c r="R635" s="2" t="s">
        <v>100</v>
      </c>
      <c r="S635" s="2" t="s">
        <v>2651</v>
      </c>
      <c r="T635" s="2" t="s">
        <v>190</v>
      </c>
      <c r="U635" s="2" t="s">
        <v>355</v>
      </c>
      <c r="V635" s="2" t="s">
        <v>733</v>
      </c>
      <c r="W635" s="2" t="s">
        <v>525</v>
      </c>
      <c r="X635" s="2" t="s">
        <v>2523</v>
      </c>
      <c r="Y635" s="2" t="s">
        <v>2652</v>
      </c>
      <c r="Z635" s="4">
        <v>89</v>
      </c>
      <c r="AA635" s="4">
        <f>=ROUNDDOWN(12.7142857142857,0)</f>
      </c>
      <c r="AB635" s="5">
        <v>7</v>
      </c>
      <c r="AC635" s="2" t="s">
        <v>2581</v>
      </c>
      <c r="AD635" s="4">
        <v>70</v>
      </c>
      <c r="AE635" s="4">
        <v>70</v>
      </c>
      <c r="AF635" s="6">
        <v>66</v>
      </c>
      <c r="AG635" s="6"/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/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/>
      <c r="BJ635" s="4">
        <v>21</v>
      </c>
      <c r="BK635" s="8">
        <v>2584.73</v>
      </c>
      <c r="BL635" s="2" t="s">
        <v>2656</v>
      </c>
      <c r="BM635" s="7"/>
      <c r="BN635" s="7"/>
      <c r="BO635" s="4"/>
      <c r="BP635" s="8"/>
      <c r="BQ635" s="4"/>
      <c r="BR635" s="8"/>
      <c r="BS635" s="7"/>
      <c r="BT635" s="7"/>
      <c r="BU635" s="2" t="s">
        <v>2526</v>
      </c>
      <c r="BV635" s="2" t="s">
        <v>97</v>
      </c>
      <c r="BW635" s="2" t="s">
        <v>100</v>
      </c>
      <c r="BX635" s="2" t="s">
        <v>100</v>
      </c>
      <c r="BY635" s="2" t="s">
        <v>112</v>
      </c>
      <c r="BZ635" s="2" t="s">
        <v>100</v>
      </c>
    </row>
    <row r="636">
      <c r="A636" s="2" t="s">
        <v>2657</v>
      </c>
      <c r="B636" s="2" t="s">
        <v>87</v>
      </c>
      <c r="C636" s="2" t="s">
        <v>2577</v>
      </c>
      <c r="D636" s="2" t="s">
        <v>89</v>
      </c>
      <c r="E636" s="2" t="s">
        <v>90</v>
      </c>
      <c r="F636" s="2" t="s">
        <v>2650</v>
      </c>
      <c r="G636" s="2" t="s">
        <v>2650</v>
      </c>
      <c r="H636" s="2" t="s">
        <v>2650</v>
      </c>
      <c r="I636" s="2" t="s">
        <v>2641</v>
      </c>
      <c r="J636" s="2" t="s">
        <v>118</v>
      </c>
      <c r="K636" s="2" t="s">
        <v>706</v>
      </c>
      <c r="L636" s="3">
        <v>105.6</v>
      </c>
      <c r="M636" s="3">
        <v>110.87</v>
      </c>
      <c r="N636" s="3">
        <v>219.99</v>
      </c>
      <c r="O636" s="2" t="s">
        <v>97</v>
      </c>
      <c r="P636" s="2" t="s">
        <v>156</v>
      </c>
      <c r="Q636" s="2" t="s">
        <v>99</v>
      </c>
      <c r="R636" s="2" t="s">
        <v>100</v>
      </c>
      <c r="S636" s="2" t="s">
        <v>2651</v>
      </c>
      <c r="T636" s="2" t="s">
        <v>190</v>
      </c>
      <c r="U636" s="2" t="s">
        <v>355</v>
      </c>
      <c r="V636" s="2" t="s">
        <v>733</v>
      </c>
      <c r="W636" s="2" t="s">
        <v>525</v>
      </c>
      <c r="X636" s="2" t="s">
        <v>2523</v>
      </c>
      <c r="Y636" s="2" t="s">
        <v>2652</v>
      </c>
      <c r="Z636" s="4">
        <v>62</v>
      </c>
      <c r="AA636" s="4">
        <f>=ROUNDDOWN(20.6666666666667,0)</f>
      </c>
      <c r="AB636" s="5">
        <v>3</v>
      </c>
      <c r="AC636" s="2" t="s">
        <v>2581</v>
      </c>
      <c r="AD636" s="4">
        <v>35</v>
      </c>
      <c r="AE636" s="4">
        <v>35</v>
      </c>
      <c r="AF636" s="6">
        <v>66</v>
      </c>
      <c r="AG636" s="6"/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/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/>
      <c r="BJ636" s="4">
        <v>3</v>
      </c>
      <c r="BK636" s="8">
        <v>379.45</v>
      </c>
      <c r="BL636" s="2" t="s">
        <v>2605</v>
      </c>
      <c r="BM636" s="7"/>
      <c r="BN636" s="7"/>
      <c r="BO636" s="4"/>
      <c r="BP636" s="8"/>
      <c r="BQ636" s="4"/>
      <c r="BR636" s="8"/>
      <c r="BS636" s="7"/>
      <c r="BT636" s="7"/>
      <c r="BU636" s="2" t="s">
        <v>2526</v>
      </c>
      <c r="BV636" s="2" t="s">
        <v>97</v>
      </c>
      <c r="BW636" s="2" t="s">
        <v>100</v>
      </c>
      <c r="BX636" s="2" t="s">
        <v>100</v>
      </c>
      <c r="BY636" s="2" t="s">
        <v>112</v>
      </c>
      <c r="BZ636" s="2" t="s">
        <v>100</v>
      </c>
    </row>
    <row r="637">
      <c r="A637" s="2" t="s">
        <v>2658</v>
      </c>
      <c r="B637" s="2" t="s">
        <v>87</v>
      </c>
      <c r="C637" s="2" t="s">
        <v>2577</v>
      </c>
      <c r="D637" s="2" t="s">
        <v>89</v>
      </c>
      <c r="E637" s="2" t="s">
        <v>90</v>
      </c>
      <c r="F637" s="2" t="s">
        <v>2659</v>
      </c>
      <c r="G637" s="2" t="s">
        <v>2659</v>
      </c>
      <c r="H637" s="2" t="s">
        <v>2659</v>
      </c>
      <c r="I637" s="2" t="s">
        <v>2660</v>
      </c>
      <c r="J637" s="2" t="s">
        <v>490</v>
      </c>
      <c r="K637" s="2" t="s">
        <v>706</v>
      </c>
      <c r="L637" s="3">
        <v>93.31</v>
      </c>
      <c r="M637" s="3">
        <v>97.98</v>
      </c>
      <c r="N637" s="3">
        <v>204.99</v>
      </c>
      <c r="O637" s="2" t="s">
        <v>97</v>
      </c>
      <c r="P637" s="2" t="s">
        <v>156</v>
      </c>
      <c r="Q637" s="2" t="s">
        <v>99</v>
      </c>
      <c r="R637" s="2" t="s">
        <v>100</v>
      </c>
      <c r="S637" s="2" t="s">
        <v>2661</v>
      </c>
      <c r="T637" s="2" t="s">
        <v>100</v>
      </c>
      <c r="U637" s="2" t="s">
        <v>355</v>
      </c>
      <c r="V637" s="2" t="s">
        <v>733</v>
      </c>
      <c r="W637" s="2" t="s">
        <v>717</v>
      </c>
      <c r="X637" s="2" t="s">
        <v>525</v>
      </c>
      <c r="Y637" s="2" t="s">
        <v>144</v>
      </c>
      <c r="Z637" s="4">
        <v>17</v>
      </c>
      <c r="AA637" s="4">
        <f>=ROUNDDOWN(17,0)</f>
      </c>
      <c r="AB637" s="5">
        <v>1</v>
      </c>
      <c r="AC637" s="2" t="s">
        <v>2662</v>
      </c>
      <c r="AD637" s="4">
        <v>20</v>
      </c>
      <c r="AE637" s="4">
        <v>70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/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/>
      <c r="BJ637" s="4">
        <v>5</v>
      </c>
      <c r="BK637" s="8">
        <v>493.49</v>
      </c>
      <c r="BL637" s="2" t="s">
        <v>2663</v>
      </c>
      <c r="BM637" s="7"/>
      <c r="BN637" s="7"/>
      <c r="BO637" s="4"/>
      <c r="BP637" s="8"/>
      <c r="BQ637" s="4"/>
      <c r="BR637" s="8"/>
      <c r="BS637" s="7"/>
      <c r="BT637" s="7"/>
      <c r="BU637" s="2" t="s">
        <v>2526</v>
      </c>
      <c r="BV637" s="2" t="s">
        <v>97</v>
      </c>
      <c r="BW637" s="2" t="s">
        <v>100</v>
      </c>
      <c r="BX637" s="2" t="s">
        <v>100</v>
      </c>
      <c r="BY637" s="2" t="s">
        <v>112</v>
      </c>
      <c r="BZ637" s="2" t="s">
        <v>100</v>
      </c>
    </row>
    <row r="638">
      <c r="A638" s="2" t="s">
        <v>2664</v>
      </c>
      <c r="B638" s="2" t="s">
        <v>87</v>
      </c>
      <c r="C638" s="2" t="s">
        <v>2577</v>
      </c>
      <c r="D638" s="2" t="s">
        <v>89</v>
      </c>
      <c r="E638" s="2" t="s">
        <v>90</v>
      </c>
      <c r="F638" s="2" t="s">
        <v>2659</v>
      </c>
      <c r="G638" s="2" t="s">
        <v>2659</v>
      </c>
      <c r="H638" s="2" t="s">
        <v>2659</v>
      </c>
      <c r="I638" s="2" t="s">
        <v>2660</v>
      </c>
      <c r="J638" s="2" t="s">
        <v>95</v>
      </c>
      <c r="K638" s="2" t="s">
        <v>706</v>
      </c>
      <c r="L638" s="3">
        <v>103.67</v>
      </c>
      <c r="M638" s="3">
        <v>108.85</v>
      </c>
      <c r="N638" s="3">
        <v>224.99</v>
      </c>
      <c r="O638" s="2" t="s">
        <v>97</v>
      </c>
      <c r="P638" s="2" t="s">
        <v>156</v>
      </c>
      <c r="Q638" s="2" t="s">
        <v>99</v>
      </c>
      <c r="R638" s="2" t="s">
        <v>100</v>
      </c>
      <c r="S638" s="2" t="s">
        <v>2661</v>
      </c>
      <c r="T638" s="2" t="s">
        <v>100</v>
      </c>
      <c r="U638" s="2" t="s">
        <v>355</v>
      </c>
      <c r="V638" s="2" t="s">
        <v>733</v>
      </c>
      <c r="W638" s="2" t="s">
        <v>717</v>
      </c>
      <c r="X638" s="2" t="s">
        <v>525</v>
      </c>
      <c r="Y638" s="2" t="s">
        <v>144</v>
      </c>
      <c r="Z638" s="4">
        <v>43</v>
      </c>
      <c r="AA638" s="4">
        <f>=ROUNDDOWN(6.14285714285714,0)</f>
      </c>
      <c r="AB638" s="5">
        <v>7</v>
      </c>
      <c r="AC638" s="2" t="s">
        <v>2662</v>
      </c>
      <c r="AD638" s="4">
        <v>90</v>
      </c>
      <c r="AE638" s="4">
        <v>200</v>
      </c>
      <c r="AF638" s="6">
        <v>66</v>
      </c>
      <c r="AG638" s="6"/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/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/>
      <c r="BJ638" s="4">
        <v>27</v>
      </c>
      <c r="BK638" s="8">
        <v>3010.99</v>
      </c>
      <c r="BL638" s="2" t="s">
        <v>2593</v>
      </c>
      <c r="BM638" s="7"/>
      <c r="BN638" s="7"/>
      <c r="BO638" s="4"/>
      <c r="BP638" s="8"/>
      <c r="BQ638" s="4"/>
      <c r="BR638" s="8"/>
      <c r="BS638" s="7"/>
      <c r="BT638" s="7"/>
      <c r="BU638" s="2" t="s">
        <v>2526</v>
      </c>
      <c r="BV638" s="2" t="s">
        <v>97</v>
      </c>
      <c r="BW638" s="2" t="s">
        <v>100</v>
      </c>
      <c r="BX638" s="2" t="s">
        <v>100</v>
      </c>
      <c r="BY638" s="2" t="s">
        <v>112</v>
      </c>
      <c r="BZ638" s="2" t="s">
        <v>100</v>
      </c>
    </row>
    <row r="639">
      <c r="A639" s="2" t="s">
        <v>2665</v>
      </c>
      <c r="B639" s="2" t="s">
        <v>87</v>
      </c>
      <c r="C639" s="2" t="s">
        <v>2577</v>
      </c>
      <c r="D639" s="2" t="s">
        <v>89</v>
      </c>
      <c r="E639" s="2" t="s">
        <v>90</v>
      </c>
      <c r="F639" s="2" t="s">
        <v>2659</v>
      </c>
      <c r="G639" s="2" t="s">
        <v>2659</v>
      </c>
      <c r="H639" s="2" t="s">
        <v>2659</v>
      </c>
      <c r="I639" s="2" t="s">
        <v>2660</v>
      </c>
      <c r="J639" s="2" t="s">
        <v>114</v>
      </c>
      <c r="K639" s="2" t="s">
        <v>706</v>
      </c>
      <c r="L639" s="3">
        <v>114.04</v>
      </c>
      <c r="M639" s="3">
        <v>119.74</v>
      </c>
      <c r="N639" s="3">
        <v>244.99</v>
      </c>
      <c r="O639" s="2" t="s">
        <v>97</v>
      </c>
      <c r="P639" s="2" t="s">
        <v>156</v>
      </c>
      <c r="Q639" s="2" t="s">
        <v>99</v>
      </c>
      <c r="R639" s="2" t="s">
        <v>100</v>
      </c>
      <c r="S639" s="2" t="s">
        <v>2661</v>
      </c>
      <c r="T639" s="2" t="s">
        <v>100</v>
      </c>
      <c r="U639" s="2" t="s">
        <v>100</v>
      </c>
      <c r="V639" s="2" t="s">
        <v>733</v>
      </c>
      <c r="W639" s="2" t="s">
        <v>717</v>
      </c>
      <c r="X639" s="2" t="s">
        <v>525</v>
      </c>
      <c r="Y639" s="2" t="s">
        <v>144</v>
      </c>
      <c r="Z639" s="4">
        <v>42</v>
      </c>
      <c r="AA639" s="4">
        <f>=ROUNDDOWN(8.4,0)</f>
      </c>
      <c r="AB639" s="5">
        <v>5</v>
      </c>
      <c r="AC639" s="2" t="s">
        <v>2662</v>
      </c>
      <c r="AD639" s="4">
        <v>100</v>
      </c>
      <c r="AE639" s="4">
        <v>225</v>
      </c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/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/>
      <c r="BJ639" s="4">
        <v>21</v>
      </c>
      <c r="BK639" s="8">
        <v>2487.28</v>
      </c>
      <c r="BL639" s="2" t="s">
        <v>2666</v>
      </c>
      <c r="BM639" s="7"/>
      <c r="BN639" s="7"/>
      <c r="BO639" s="4"/>
      <c r="BP639" s="8"/>
      <c r="BQ639" s="4"/>
      <c r="BR639" s="8"/>
      <c r="BS639" s="7"/>
      <c r="BT639" s="7"/>
      <c r="BU639" s="2" t="s">
        <v>2526</v>
      </c>
      <c r="BV639" s="2" t="s">
        <v>97</v>
      </c>
      <c r="BW639" s="2" t="s">
        <v>100</v>
      </c>
      <c r="BX639" s="2" t="s">
        <v>100</v>
      </c>
      <c r="BY639" s="2" t="s">
        <v>112</v>
      </c>
      <c r="BZ639" s="2" t="s">
        <v>100</v>
      </c>
    </row>
    <row r="640">
      <c r="A640" s="2" t="s">
        <v>2667</v>
      </c>
      <c r="B640" s="2" t="s">
        <v>87</v>
      </c>
      <c r="C640" s="2" t="s">
        <v>2577</v>
      </c>
      <c r="D640" s="2" t="s">
        <v>89</v>
      </c>
      <c r="E640" s="2" t="s">
        <v>90</v>
      </c>
      <c r="F640" s="2" t="s">
        <v>2659</v>
      </c>
      <c r="G640" s="2" t="s">
        <v>2659</v>
      </c>
      <c r="H640" s="2" t="s">
        <v>2659</v>
      </c>
      <c r="I640" s="2" t="s">
        <v>2660</v>
      </c>
      <c r="J640" s="2" t="s">
        <v>118</v>
      </c>
      <c r="K640" s="2" t="s">
        <v>706</v>
      </c>
      <c r="L640" s="3">
        <v>114.04</v>
      </c>
      <c r="M640" s="3">
        <v>119.74</v>
      </c>
      <c r="N640" s="3">
        <v>244.99</v>
      </c>
      <c r="O640" s="2" t="s">
        <v>97</v>
      </c>
      <c r="P640" s="2" t="s">
        <v>156</v>
      </c>
      <c r="Q640" s="2" t="s">
        <v>99</v>
      </c>
      <c r="R640" s="2" t="s">
        <v>100</v>
      </c>
      <c r="S640" s="2" t="s">
        <v>2661</v>
      </c>
      <c r="T640" s="2" t="s">
        <v>100</v>
      </c>
      <c r="U640" s="2" t="s">
        <v>355</v>
      </c>
      <c r="V640" s="2" t="s">
        <v>733</v>
      </c>
      <c r="W640" s="2" t="s">
        <v>717</v>
      </c>
      <c r="X640" s="2" t="s">
        <v>525</v>
      </c>
      <c r="Y640" s="2" t="s">
        <v>144</v>
      </c>
      <c r="Z640" s="4">
        <v>5</v>
      </c>
      <c r="AA640" s="4">
        <f>=ROUNDDOWN(1.66666666666667,0)</f>
      </c>
      <c r="AB640" s="5">
        <v>3</v>
      </c>
      <c r="AC640" s="2" t="s">
        <v>2662</v>
      </c>
      <c r="AD640" s="4">
        <v>50</v>
      </c>
      <c r="AE640" s="4">
        <v>160</v>
      </c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/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/>
      <c r="BJ640" s="4">
        <v>9</v>
      </c>
      <c r="BK640" s="8">
        <v>1123.01</v>
      </c>
      <c r="BL640" s="2" t="s">
        <v>2668</v>
      </c>
      <c r="BM640" s="7"/>
      <c r="BN640" s="7"/>
      <c r="BO640" s="4"/>
      <c r="BP640" s="8"/>
      <c r="BQ640" s="4"/>
      <c r="BR640" s="8"/>
      <c r="BS640" s="7"/>
      <c r="BT640" s="7"/>
      <c r="BU640" s="2" t="s">
        <v>2526</v>
      </c>
      <c r="BV640" s="2" t="s">
        <v>97</v>
      </c>
      <c r="BW640" s="2" t="s">
        <v>100</v>
      </c>
      <c r="BX640" s="2" t="s">
        <v>100</v>
      </c>
      <c r="BY640" s="2" t="s">
        <v>112</v>
      </c>
      <c r="BZ640" s="2" t="s">
        <v>100</v>
      </c>
    </row>
    <row r="641">
      <c r="A641" s="2" t="s">
        <v>2669</v>
      </c>
      <c r="B641" s="2" t="s">
        <v>87</v>
      </c>
      <c r="C641" s="2" t="s">
        <v>2577</v>
      </c>
      <c r="D641" s="2" t="s">
        <v>89</v>
      </c>
      <c r="E641" s="2" t="s">
        <v>90</v>
      </c>
      <c r="F641" s="2" t="s">
        <v>2591</v>
      </c>
      <c r="G641" s="2" t="s">
        <v>2591</v>
      </c>
      <c r="H641" s="2" t="s">
        <v>2591</v>
      </c>
      <c r="I641" s="2" t="s">
        <v>2602</v>
      </c>
      <c r="J641" s="2" t="s">
        <v>490</v>
      </c>
      <c r="K641" s="2" t="s">
        <v>458</v>
      </c>
      <c r="L641" s="3">
        <v>110</v>
      </c>
      <c r="M641" s="3">
        <v>115.49</v>
      </c>
      <c r="N641" s="3">
        <v>229.99</v>
      </c>
      <c r="O641" s="2" t="s">
        <v>97</v>
      </c>
      <c r="P641" s="2" t="s">
        <v>123</v>
      </c>
      <c r="Q641" s="2" t="s">
        <v>99</v>
      </c>
      <c r="R641" s="2" t="s">
        <v>100</v>
      </c>
      <c r="S641" s="2" t="s">
        <v>2592</v>
      </c>
      <c r="T641" s="2" t="s">
        <v>100</v>
      </c>
      <c r="U641" s="2" t="s">
        <v>1228</v>
      </c>
      <c r="V641" s="2" t="s">
        <v>717</v>
      </c>
      <c r="W641" s="2" t="s">
        <v>717</v>
      </c>
      <c r="X641" s="2" t="s">
        <v>104</v>
      </c>
      <c r="Y641" s="2" t="s">
        <v>144</v>
      </c>
      <c r="Z641" s="4">
        <v>27</v>
      </c>
      <c r="AA641" s="4">
        <f>=ROUNDDOWN(13.5,0)</f>
      </c>
      <c r="AB641" s="5">
        <v>2</v>
      </c>
      <c r="AC641" s="2" t="s">
        <v>1711</v>
      </c>
      <c r="AD641" s="4">
        <v>20</v>
      </c>
      <c r="AE641" s="4">
        <v>44</v>
      </c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/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/>
      <c r="BJ641" s="4">
        <v>4</v>
      </c>
      <c r="BK641" s="8">
        <v>463.7</v>
      </c>
      <c r="BL641" s="2" t="s">
        <v>2619</v>
      </c>
      <c r="BM641" s="7"/>
      <c r="BN641" s="7"/>
      <c r="BO641" s="4"/>
      <c r="BP641" s="8"/>
      <c r="BQ641" s="4"/>
      <c r="BR641" s="8"/>
      <c r="BS641" s="7"/>
      <c r="BT641" s="7"/>
      <c r="BU641" s="2" t="s">
        <v>2551</v>
      </c>
      <c r="BV641" s="2" t="s">
        <v>97</v>
      </c>
      <c r="BW641" s="2" t="s">
        <v>100</v>
      </c>
      <c r="BX641" s="2" t="s">
        <v>100</v>
      </c>
      <c r="BY641" s="2" t="s">
        <v>112</v>
      </c>
      <c r="BZ641" s="2" t="s">
        <v>100</v>
      </c>
    </row>
    <row r="642">
      <c r="A642" s="2" t="s">
        <v>2670</v>
      </c>
      <c r="B642" s="2" t="s">
        <v>87</v>
      </c>
      <c r="C642" s="2" t="s">
        <v>2577</v>
      </c>
      <c r="D642" s="2" t="s">
        <v>89</v>
      </c>
      <c r="E642" s="2" t="s">
        <v>90</v>
      </c>
      <c r="F642" s="2" t="s">
        <v>2591</v>
      </c>
      <c r="G642" s="2" t="s">
        <v>2591</v>
      </c>
      <c r="H642" s="2" t="s">
        <v>2591</v>
      </c>
      <c r="I642" s="2" t="s">
        <v>2602</v>
      </c>
      <c r="J642" s="2" t="s">
        <v>95</v>
      </c>
      <c r="K642" s="2" t="s">
        <v>458</v>
      </c>
      <c r="L642" s="3">
        <v>125</v>
      </c>
      <c r="M642" s="3">
        <v>131.24</v>
      </c>
      <c r="N642" s="3">
        <v>259.99</v>
      </c>
      <c r="O642" s="2" t="s">
        <v>97</v>
      </c>
      <c r="P642" s="2" t="s">
        <v>123</v>
      </c>
      <c r="Q642" s="2" t="s">
        <v>99</v>
      </c>
      <c r="R642" s="2" t="s">
        <v>100</v>
      </c>
      <c r="S642" s="2" t="s">
        <v>2592</v>
      </c>
      <c r="T642" s="2" t="s">
        <v>100</v>
      </c>
      <c r="U642" s="2" t="s">
        <v>100</v>
      </c>
      <c r="V642" s="2" t="s">
        <v>717</v>
      </c>
      <c r="W642" s="2" t="s">
        <v>717</v>
      </c>
      <c r="X642" s="2" t="s">
        <v>104</v>
      </c>
      <c r="Y642" s="2" t="s">
        <v>144</v>
      </c>
      <c r="Z642" s="4">
        <v>128</v>
      </c>
      <c r="AA642" s="4">
        <f>=ROUNDDOWN(16,0)</f>
      </c>
      <c r="AB642" s="5">
        <v>8</v>
      </c>
      <c r="AC642" s="2" t="s">
        <v>1711</v>
      </c>
      <c r="AD642" s="4">
        <v>100</v>
      </c>
      <c r="AE642" s="4">
        <v>200</v>
      </c>
      <c r="AF642" s="6">
        <v>66</v>
      </c>
      <c r="AG642" s="6"/>
      <c r="AH642" s="7">
        <v>0.3548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/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/>
      <c r="BJ642" s="4">
        <v>4</v>
      </c>
      <c r="BK642" s="8">
        <v>577.94</v>
      </c>
      <c r="BL642" s="2" t="s">
        <v>2671</v>
      </c>
      <c r="BM642" s="7"/>
      <c r="BN642" s="7"/>
      <c r="BO642" s="4"/>
      <c r="BP642" s="8"/>
      <c r="BQ642" s="4"/>
      <c r="BR642" s="8"/>
      <c r="BS642" s="7"/>
      <c r="BT642" s="7"/>
      <c r="BU642" s="2" t="s">
        <v>2551</v>
      </c>
      <c r="BV642" s="2" t="s">
        <v>97</v>
      </c>
      <c r="BW642" s="2" t="s">
        <v>100</v>
      </c>
      <c r="BX642" s="2" t="s">
        <v>100</v>
      </c>
      <c r="BY642" s="2" t="s">
        <v>112</v>
      </c>
      <c r="BZ642" s="2" t="s">
        <v>100</v>
      </c>
    </row>
    <row r="643">
      <c r="A643" s="2" t="s">
        <v>2672</v>
      </c>
      <c r="B643" s="2" t="s">
        <v>87</v>
      </c>
      <c r="C643" s="2" t="s">
        <v>2577</v>
      </c>
      <c r="D643" s="2" t="s">
        <v>89</v>
      </c>
      <c r="E643" s="2" t="s">
        <v>90</v>
      </c>
      <c r="F643" s="2" t="s">
        <v>2591</v>
      </c>
      <c r="G643" s="2" t="s">
        <v>2591</v>
      </c>
      <c r="H643" s="2" t="s">
        <v>2591</v>
      </c>
      <c r="I643" s="2" t="s">
        <v>2602</v>
      </c>
      <c r="J643" s="2" t="s">
        <v>114</v>
      </c>
      <c r="K643" s="2" t="s">
        <v>458</v>
      </c>
      <c r="L643" s="3">
        <v>135</v>
      </c>
      <c r="M643" s="3">
        <v>141.74</v>
      </c>
      <c r="N643" s="3">
        <v>279.99</v>
      </c>
      <c r="O643" s="2" t="s">
        <v>97</v>
      </c>
      <c r="P643" s="2" t="s">
        <v>123</v>
      </c>
      <c r="Q643" s="2" t="s">
        <v>99</v>
      </c>
      <c r="R643" s="2" t="s">
        <v>100</v>
      </c>
      <c r="S643" s="2" t="s">
        <v>2592</v>
      </c>
      <c r="T643" s="2" t="s">
        <v>100</v>
      </c>
      <c r="U643" s="2" t="s">
        <v>1228</v>
      </c>
      <c r="V643" s="2" t="s">
        <v>717</v>
      </c>
      <c r="W643" s="2" t="s">
        <v>717</v>
      </c>
      <c r="X643" s="2" t="s">
        <v>104</v>
      </c>
      <c r="Y643" s="2" t="s">
        <v>144</v>
      </c>
      <c r="Z643" s="4">
        <v>114</v>
      </c>
      <c r="AA643" s="4">
        <f>=ROUNDDOWN(19,0)</f>
      </c>
      <c r="AB643" s="5">
        <v>6</v>
      </c>
      <c r="AC643" s="2" t="s">
        <v>1711</v>
      </c>
      <c r="AD643" s="4">
        <v>90</v>
      </c>
      <c r="AE643" s="4">
        <v>230</v>
      </c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/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/>
      <c r="BJ643" s="4">
        <v>17</v>
      </c>
      <c r="BK643" s="8">
        <v>2446.36</v>
      </c>
      <c r="BL643" s="2" t="s">
        <v>2673</v>
      </c>
      <c r="BM643" s="7"/>
      <c r="BN643" s="7"/>
      <c r="BO643" s="4"/>
      <c r="BP643" s="8"/>
      <c r="BQ643" s="4"/>
      <c r="BR643" s="8"/>
      <c r="BS643" s="7"/>
      <c r="BT643" s="7"/>
      <c r="BU643" s="2" t="s">
        <v>2551</v>
      </c>
      <c r="BV643" s="2" t="s">
        <v>97</v>
      </c>
      <c r="BW643" s="2" t="s">
        <v>100</v>
      </c>
      <c r="BX643" s="2" t="s">
        <v>100</v>
      </c>
      <c r="BY643" s="2" t="s">
        <v>112</v>
      </c>
      <c r="BZ643" s="2" t="s">
        <v>100</v>
      </c>
    </row>
    <row r="644">
      <c r="A644" s="2" t="s">
        <v>2674</v>
      </c>
      <c r="B644" s="2" t="s">
        <v>87</v>
      </c>
      <c r="C644" s="2" t="s">
        <v>2577</v>
      </c>
      <c r="D644" s="2" t="s">
        <v>89</v>
      </c>
      <c r="E644" s="2" t="s">
        <v>90</v>
      </c>
      <c r="F644" s="2" t="s">
        <v>2591</v>
      </c>
      <c r="G644" s="2" t="s">
        <v>2591</v>
      </c>
      <c r="H644" s="2" t="s">
        <v>2591</v>
      </c>
      <c r="I644" s="2" t="s">
        <v>2602</v>
      </c>
      <c r="J644" s="2" t="s">
        <v>118</v>
      </c>
      <c r="K644" s="2" t="s">
        <v>458</v>
      </c>
      <c r="L644" s="3">
        <v>135</v>
      </c>
      <c r="M644" s="3">
        <v>141.74</v>
      </c>
      <c r="N644" s="3">
        <v>279.99</v>
      </c>
      <c r="O644" s="2" t="s">
        <v>97</v>
      </c>
      <c r="P644" s="2" t="s">
        <v>123</v>
      </c>
      <c r="Q644" s="2" t="s">
        <v>99</v>
      </c>
      <c r="R644" s="2" t="s">
        <v>100</v>
      </c>
      <c r="S644" s="2" t="s">
        <v>2592</v>
      </c>
      <c r="T644" s="2" t="s">
        <v>100</v>
      </c>
      <c r="U644" s="2" t="s">
        <v>1228</v>
      </c>
      <c r="V644" s="2" t="s">
        <v>717</v>
      </c>
      <c r="W644" s="2" t="s">
        <v>717</v>
      </c>
      <c r="X644" s="2" t="s">
        <v>104</v>
      </c>
      <c r="Y644" s="2" t="s">
        <v>144</v>
      </c>
      <c r="Z644" s="4">
        <v>62</v>
      </c>
      <c r="AA644" s="4">
        <f>=ROUNDDOWN(31,0)</f>
      </c>
      <c r="AB644" s="5">
        <v>2</v>
      </c>
      <c r="AC644" s="2" t="s">
        <v>1711</v>
      </c>
      <c r="AD644" s="4">
        <v>15</v>
      </c>
      <c r="AE644" s="4">
        <v>15</v>
      </c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/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/>
      <c r="BJ644" s="4">
        <v>4</v>
      </c>
      <c r="BK644" s="8">
        <v>573.06</v>
      </c>
      <c r="BL644" s="2" t="s">
        <v>2675</v>
      </c>
      <c r="BM644" s="7"/>
      <c r="BN644" s="7"/>
      <c r="BO644" s="4"/>
      <c r="BP644" s="8"/>
      <c r="BQ644" s="4"/>
      <c r="BR644" s="8"/>
      <c r="BS644" s="7"/>
      <c r="BT644" s="7"/>
      <c r="BU644" s="2" t="s">
        <v>2551</v>
      </c>
      <c r="BV644" s="2" t="s">
        <v>97</v>
      </c>
      <c r="BW644" s="2" t="s">
        <v>100</v>
      </c>
      <c r="BX644" s="2" t="s">
        <v>100</v>
      </c>
      <c r="BY644" s="2" t="s">
        <v>112</v>
      </c>
      <c r="BZ644" s="2" t="s">
        <v>100</v>
      </c>
    </row>
    <row r="645">
      <c r="A645" s="2" t="s">
        <v>2676</v>
      </c>
      <c r="B645" s="2" t="s">
        <v>87</v>
      </c>
      <c r="C645" s="2" t="s">
        <v>2577</v>
      </c>
      <c r="D645" s="2" t="s">
        <v>89</v>
      </c>
      <c r="E645" s="2" t="s">
        <v>90</v>
      </c>
      <c r="F645" s="2" t="s">
        <v>2677</v>
      </c>
      <c r="G645" s="2" t="s">
        <v>2677</v>
      </c>
      <c r="H645" s="2" t="s">
        <v>2677</v>
      </c>
      <c r="I645" s="2" t="s">
        <v>2678</v>
      </c>
      <c r="J645" s="2" t="s">
        <v>522</v>
      </c>
      <c r="K645" s="2" t="s">
        <v>626</v>
      </c>
      <c r="L645" s="3">
        <v>95.03</v>
      </c>
      <c r="M645" s="3">
        <v>99.78</v>
      </c>
      <c r="N645" s="3">
        <v>204.99</v>
      </c>
      <c r="O645" s="2" t="s">
        <v>97</v>
      </c>
      <c r="P645" s="2" t="s">
        <v>98</v>
      </c>
      <c r="Q645" s="2" t="s">
        <v>99</v>
      </c>
      <c r="R645" s="2" t="s">
        <v>100</v>
      </c>
      <c r="S645" s="2" t="s">
        <v>2679</v>
      </c>
      <c r="T645" s="2" t="s">
        <v>190</v>
      </c>
      <c r="U645" s="2" t="s">
        <v>460</v>
      </c>
      <c r="V645" s="2" t="s">
        <v>733</v>
      </c>
      <c r="W645" s="2" t="s">
        <v>142</v>
      </c>
      <c r="X645" s="2" t="s">
        <v>594</v>
      </c>
      <c r="Y645" s="2" t="s">
        <v>306</v>
      </c>
      <c r="Z645" s="4">
        <v>170</v>
      </c>
      <c r="AA645" s="4">
        <f>=ROUNDDOWN(28.3333333333333,0)</f>
      </c>
      <c r="AB645" s="5">
        <v>6</v>
      </c>
      <c r="AC645" s="2" t="s">
        <v>629</v>
      </c>
      <c r="AD645" s="4">
        <v>110</v>
      </c>
      <c r="AE645" s="4">
        <v>212</v>
      </c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/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/>
      <c r="BJ645" s="4">
        <v>17</v>
      </c>
      <c r="BK645" s="8">
        <v>1668.27</v>
      </c>
      <c r="BL645" s="2" t="s">
        <v>2680</v>
      </c>
      <c r="BM645" s="7"/>
      <c r="BN645" s="7"/>
      <c r="BO645" s="4"/>
      <c r="BP645" s="8"/>
      <c r="BQ645" s="4"/>
      <c r="BR645" s="8"/>
      <c r="BS645" s="7"/>
      <c r="BT645" s="7"/>
      <c r="BU645" s="2" t="s">
        <v>2551</v>
      </c>
      <c r="BV645" s="2" t="s">
        <v>97</v>
      </c>
      <c r="BW645" s="2" t="s">
        <v>100</v>
      </c>
      <c r="BX645" s="2" t="s">
        <v>100</v>
      </c>
      <c r="BY645" s="2" t="s">
        <v>112</v>
      </c>
      <c r="BZ645" s="2" t="s">
        <v>100</v>
      </c>
    </row>
    <row r="646">
      <c r="A646" s="2" t="s">
        <v>2681</v>
      </c>
      <c r="B646" s="2" t="s">
        <v>87</v>
      </c>
      <c r="C646" s="2" t="s">
        <v>2577</v>
      </c>
      <c r="D646" s="2" t="s">
        <v>89</v>
      </c>
      <c r="E646" s="2" t="s">
        <v>90</v>
      </c>
      <c r="F646" s="2" t="s">
        <v>2677</v>
      </c>
      <c r="G646" s="2" t="s">
        <v>2677</v>
      </c>
      <c r="H646" s="2" t="s">
        <v>2677</v>
      </c>
      <c r="I646" s="2" t="s">
        <v>2678</v>
      </c>
      <c r="J646" s="2" t="s">
        <v>529</v>
      </c>
      <c r="K646" s="2" t="s">
        <v>626</v>
      </c>
      <c r="L646" s="3">
        <v>105.59</v>
      </c>
      <c r="M646" s="3">
        <v>110.87</v>
      </c>
      <c r="N646" s="3">
        <v>224.99</v>
      </c>
      <c r="O646" s="2" t="s">
        <v>97</v>
      </c>
      <c r="P646" s="2" t="s">
        <v>98</v>
      </c>
      <c r="Q646" s="2" t="s">
        <v>99</v>
      </c>
      <c r="R646" s="2" t="s">
        <v>100</v>
      </c>
      <c r="S646" s="2" t="s">
        <v>2679</v>
      </c>
      <c r="T646" s="2" t="s">
        <v>190</v>
      </c>
      <c r="U646" s="2" t="s">
        <v>460</v>
      </c>
      <c r="V646" s="2" t="s">
        <v>733</v>
      </c>
      <c r="W646" s="2" t="s">
        <v>142</v>
      </c>
      <c r="X646" s="2" t="s">
        <v>594</v>
      </c>
      <c r="Y646" s="2" t="s">
        <v>306</v>
      </c>
      <c r="Z646" s="4">
        <v>192</v>
      </c>
      <c r="AA646" s="4">
        <f>=ROUNDDOWN(32,0)</f>
      </c>
      <c r="AB646" s="5">
        <v>6</v>
      </c>
      <c r="AC646" s="2" t="s">
        <v>629</v>
      </c>
      <c r="AD646" s="4">
        <v>110</v>
      </c>
      <c r="AE646" s="4">
        <v>171</v>
      </c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100</v>
      </c>
      <c r="AW646" s="8" t="s">
        <v>100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/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/>
      <c r="BJ646" s="4">
        <v>25</v>
      </c>
      <c r="BK646" s="8">
        <v>2885.47</v>
      </c>
      <c r="BL646" s="2" t="s">
        <v>2682</v>
      </c>
      <c r="BM646" s="7"/>
      <c r="BN646" s="7"/>
      <c r="BO646" s="4"/>
      <c r="BP646" s="8"/>
      <c r="BQ646" s="4"/>
      <c r="BR646" s="8"/>
      <c r="BS646" s="7"/>
      <c r="BT646" s="7"/>
      <c r="BU646" s="2" t="s">
        <v>2551</v>
      </c>
      <c r="BV646" s="2" t="s">
        <v>97</v>
      </c>
      <c r="BW646" s="2" t="s">
        <v>100</v>
      </c>
      <c r="BX646" s="2" t="s">
        <v>100</v>
      </c>
      <c r="BY646" s="2" t="s">
        <v>112</v>
      </c>
      <c r="BZ646" s="2" t="s">
        <v>100</v>
      </c>
    </row>
    <row r="647">
      <c r="A647" s="2" t="s">
        <v>2683</v>
      </c>
      <c r="B647" s="2" t="s">
        <v>87</v>
      </c>
      <c r="C647" s="2" t="s">
        <v>2577</v>
      </c>
      <c r="D647" s="2" t="s">
        <v>89</v>
      </c>
      <c r="E647" s="2" t="s">
        <v>90</v>
      </c>
      <c r="F647" s="2" t="s">
        <v>2684</v>
      </c>
      <c r="G647" s="2" t="s">
        <v>2684</v>
      </c>
      <c r="H647" s="2" t="s">
        <v>2684</v>
      </c>
      <c r="I647" s="2" t="s">
        <v>2685</v>
      </c>
      <c r="J647" s="2" t="s">
        <v>490</v>
      </c>
      <c r="K647" s="2" t="s">
        <v>2686</v>
      </c>
      <c r="L647" s="3">
        <v>91.2</v>
      </c>
      <c r="M647" s="3">
        <v>95.76</v>
      </c>
      <c r="N647" s="3">
        <v>189.99</v>
      </c>
      <c r="O647" s="2" t="s">
        <v>97</v>
      </c>
      <c r="P647" s="2" t="s">
        <v>139</v>
      </c>
      <c r="Q647" s="2" t="s">
        <v>99</v>
      </c>
      <c r="R647" s="2" t="s">
        <v>100</v>
      </c>
      <c r="S647" s="2" t="s">
        <v>2687</v>
      </c>
      <c r="T647" s="2" t="s">
        <v>190</v>
      </c>
      <c r="U647" s="2" t="s">
        <v>355</v>
      </c>
      <c r="V647" s="2" t="s">
        <v>367</v>
      </c>
      <c r="W647" s="2" t="s">
        <v>525</v>
      </c>
      <c r="X647" s="2" t="s">
        <v>2688</v>
      </c>
      <c r="Y647" s="2" t="s">
        <v>2689</v>
      </c>
      <c r="Z647" s="4">
        <v>32</v>
      </c>
      <c r="AA647" s="4">
        <f>=ROUNDDOWN(8,0)</f>
      </c>
      <c r="AB647" s="5">
        <v>4</v>
      </c>
      <c r="AC647" s="2" t="s">
        <v>2690</v>
      </c>
      <c r="AD647" s="4">
        <v>30</v>
      </c>
      <c r="AE647" s="4">
        <v>100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/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/>
      <c r="BJ647" s="4">
        <v>2</v>
      </c>
      <c r="BK647" s="8">
        <v>199.18</v>
      </c>
      <c r="BL647" s="2" t="s">
        <v>2619</v>
      </c>
      <c r="BM647" s="7"/>
      <c r="BN647" s="7"/>
      <c r="BO647" s="4"/>
      <c r="BP647" s="8"/>
      <c r="BQ647" s="4"/>
      <c r="BR647" s="8"/>
      <c r="BS647" s="7"/>
      <c r="BT647" s="7"/>
      <c r="BU647" s="2" t="s">
        <v>2551</v>
      </c>
      <c r="BV647" s="2" t="s">
        <v>97</v>
      </c>
      <c r="BW647" s="2" t="s">
        <v>100</v>
      </c>
      <c r="BX647" s="2" t="s">
        <v>100</v>
      </c>
      <c r="BY647" s="2" t="s">
        <v>112</v>
      </c>
      <c r="BZ647" s="2" t="s">
        <v>100</v>
      </c>
    </row>
    <row r="648">
      <c r="A648" s="2" t="s">
        <v>2691</v>
      </c>
      <c r="B648" s="2" t="s">
        <v>87</v>
      </c>
      <c r="C648" s="2" t="s">
        <v>2577</v>
      </c>
      <c r="D648" s="2" t="s">
        <v>89</v>
      </c>
      <c r="E648" s="2" t="s">
        <v>90</v>
      </c>
      <c r="F648" s="2" t="s">
        <v>2684</v>
      </c>
      <c r="G648" s="2" t="s">
        <v>2684</v>
      </c>
      <c r="H648" s="2" t="s">
        <v>2684</v>
      </c>
      <c r="I648" s="2" t="s">
        <v>2685</v>
      </c>
      <c r="J648" s="2" t="s">
        <v>95</v>
      </c>
      <c r="K648" s="2" t="s">
        <v>2686</v>
      </c>
      <c r="L648" s="3">
        <v>100.8</v>
      </c>
      <c r="M648" s="3">
        <v>105.84</v>
      </c>
      <c r="N648" s="3">
        <v>209.99</v>
      </c>
      <c r="O648" s="2" t="s">
        <v>97</v>
      </c>
      <c r="P648" s="2" t="s">
        <v>139</v>
      </c>
      <c r="Q648" s="2" t="s">
        <v>99</v>
      </c>
      <c r="R648" s="2" t="s">
        <v>100</v>
      </c>
      <c r="S648" s="2" t="s">
        <v>2687</v>
      </c>
      <c r="T648" s="2" t="s">
        <v>190</v>
      </c>
      <c r="U648" s="2" t="s">
        <v>355</v>
      </c>
      <c r="V648" s="2" t="s">
        <v>367</v>
      </c>
      <c r="W648" s="2" t="s">
        <v>525</v>
      </c>
      <c r="X648" s="2" t="s">
        <v>2688</v>
      </c>
      <c r="Y648" s="2" t="s">
        <v>2689</v>
      </c>
      <c r="Z648" s="4">
        <v>139</v>
      </c>
      <c r="AA648" s="4">
        <f>=ROUNDDOWN(11.5833333333333,0)</f>
      </c>
      <c r="AB648" s="5">
        <v>12</v>
      </c>
      <c r="AC648" s="2" t="s">
        <v>2690</v>
      </c>
      <c r="AD648" s="4">
        <v>60</v>
      </c>
      <c r="AE648" s="4">
        <v>261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100</v>
      </c>
      <c r="AW648" s="8" t="s">
        <v>100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/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/>
      <c r="BJ648" s="4">
        <v>19</v>
      </c>
      <c r="BK648" s="8">
        <v>2147.52</v>
      </c>
      <c r="BL648" s="2" t="s">
        <v>935</v>
      </c>
      <c r="BM648" s="7"/>
      <c r="BN648" s="7"/>
      <c r="BO648" s="4"/>
      <c r="BP648" s="8"/>
      <c r="BQ648" s="4"/>
      <c r="BR648" s="8"/>
      <c r="BS648" s="7"/>
      <c r="BT648" s="7"/>
      <c r="BU648" s="2" t="s">
        <v>2551</v>
      </c>
      <c r="BV648" s="2" t="s">
        <v>97</v>
      </c>
      <c r="BW648" s="2" t="s">
        <v>100</v>
      </c>
      <c r="BX648" s="2" t="s">
        <v>100</v>
      </c>
      <c r="BY648" s="2" t="s">
        <v>112</v>
      </c>
      <c r="BZ648" s="2" t="s">
        <v>100</v>
      </c>
    </row>
    <row r="649">
      <c r="A649" s="2" t="s">
        <v>2692</v>
      </c>
      <c r="B649" s="2" t="s">
        <v>87</v>
      </c>
      <c r="C649" s="2" t="s">
        <v>2577</v>
      </c>
      <c r="D649" s="2" t="s">
        <v>89</v>
      </c>
      <c r="E649" s="2" t="s">
        <v>90</v>
      </c>
      <c r="F649" s="2" t="s">
        <v>2684</v>
      </c>
      <c r="G649" s="2" t="s">
        <v>2684</v>
      </c>
      <c r="H649" s="2" t="s">
        <v>2684</v>
      </c>
      <c r="I649" s="2" t="s">
        <v>2685</v>
      </c>
      <c r="J649" s="2" t="s">
        <v>114</v>
      </c>
      <c r="K649" s="2" t="s">
        <v>2686</v>
      </c>
      <c r="L649" s="3">
        <v>110.4</v>
      </c>
      <c r="M649" s="3">
        <v>115.92</v>
      </c>
      <c r="N649" s="3">
        <v>229.99</v>
      </c>
      <c r="O649" s="2" t="s">
        <v>97</v>
      </c>
      <c r="P649" s="2" t="s">
        <v>139</v>
      </c>
      <c r="Q649" s="2" t="s">
        <v>99</v>
      </c>
      <c r="R649" s="2" t="s">
        <v>100</v>
      </c>
      <c r="S649" s="2" t="s">
        <v>2687</v>
      </c>
      <c r="T649" s="2" t="s">
        <v>190</v>
      </c>
      <c r="U649" s="2" t="s">
        <v>355</v>
      </c>
      <c r="V649" s="2" t="s">
        <v>367</v>
      </c>
      <c r="W649" s="2" t="s">
        <v>525</v>
      </c>
      <c r="X649" s="2" t="s">
        <v>2688</v>
      </c>
      <c r="Y649" s="2" t="s">
        <v>2689</v>
      </c>
      <c r="Z649" s="4">
        <v>139</v>
      </c>
      <c r="AA649" s="4">
        <f>=ROUNDDOWN(8.6875,0)</f>
      </c>
      <c r="AB649" s="5">
        <v>16</v>
      </c>
      <c r="AC649" s="2" t="s">
        <v>2690</v>
      </c>
      <c r="AD649" s="4">
        <v>80</v>
      </c>
      <c r="AE649" s="4">
        <v>360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/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/>
      <c r="BJ649" s="4">
        <v>25</v>
      </c>
      <c r="BK649" s="8">
        <v>3078.99</v>
      </c>
      <c r="BL649" s="2" t="s">
        <v>2693</v>
      </c>
      <c r="BM649" s="7"/>
      <c r="BN649" s="7"/>
      <c r="BO649" s="4"/>
      <c r="BP649" s="8"/>
      <c r="BQ649" s="4"/>
      <c r="BR649" s="8"/>
      <c r="BS649" s="7"/>
      <c r="BT649" s="7"/>
      <c r="BU649" s="2" t="s">
        <v>2551</v>
      </c>
      <c r="BV649" s="2" t="s">
        <v>97</v>
      </c>
      <c r="BW649" s="2" t="s">
        <v>100</v>
      </c>
      <c r="BX649" s="2" t="s">
        <v>100</v>
      </c>
      <c r="BY649" s="2" t="s">
        <v>112</v>
      </c>
      <c r="BZ649" s="2" t="s">
        <v>100</v>
      </c>
    </row>
    <row r="650">
      <c r="A650" s="2" t="s">
        <v>2694</v>
      </c>
      <c r="B650" s="2" t="s">
        <v>87</v>
      </c>
      <c r="C650" s="2" t="s">
        <v>2577</v>
      </c>
      <c r="D650" s="2" t="s">
        <v>89</v>
      </c>
      <c r="E650" s="2" t="s">
        <v>90</v>
      </c>
      <c r="F650" s="2" t="s">
        <v>2684</v>
      </c>
      <c r="G650" s="2" t="s">
        <v>2684</v>
      </c>
      <c r="H650" s="2" t="s">
        <v>2684</v>
      </c>
      <c r="I650" s="2" t="s">
        <v>2685</v>
      </c>
      <c r="J650" s="2" t="s">
        <v>118</v>
      </c>
      <c r="K650" s="2" t="s">
        <v>2686</v>
      </c>
      <c r="L650" s="3">
        <v>110.4</v>
      </c>
      <c r="M650" s="3">
        <v>115.92</v>
      </c>
      <c r="N650" s="3">
        <v>229.99</v>
      </c>
      <c r="O650" s="2" t="s">
        <v>97</v>
      </c>
      <c r="P650" s="2" t="s">
        <v>139</v>
      </c>
      <c r="Q650" s="2" t="s">
        <v>99</v>
      </c>
      <c r="R650" s="2" t="s">
        <v>100</v>
      </c>
      <c r="S650" s="2" t="s">
        <v>2687</v>
      </c>
      <c r="T650" s="2" t="s">
        <v>190</v>
      </c>
      <c r="U650" s="2" t="s">
        <v>355</v>
      </c>
      <c r="V650" s="2" t="s">
        <v>367</v>
      </c>
      <c r="W650" s="2" t="s">
        <v>525</v>
      </c>
      <c r="X650" s="2" t="s">
        <v>2688</v>
      </c>
      <c r="Y650" s="2" t="s">
        <v>2689</v>
      </c>
      <c r="Z650" s="4">
        <v>50</v>
      </c>
      <c r="AA650" s="4">
        <f>=ROUNDDOWN(7.14285714285714,0)</f>
      </c>
      <c r="AB650" s="5">
        <v>7</v>
      </c>
      <c r="AC650" s="2" t="s">
        <v>2690</v>
      </c>
      <c r="AD650" s="4">
        <v>40</v>
      </c>
      <c r="AE650" s="4">
        <v>175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/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/>
      <c r="BJ650" s="4">
        <v>16</v>
      </c>
      <c r="BK650" s="8">
        <v>2007.69</v>
      </c>
      <c r="BL650" s="2" t="s">
        <v>1636</v>
      </c>
      <c r="BM650" s="7"/>
      <c r="BN650" s="7"/>
      <c r="BO650" s="4"/>
      <c r="BP650" s="8"/>
      <c r="BQ650" s="4"/>
      <c r="BR650" s="8"/>
      <c r="BS650" s="7"/>
      <c r="BT650" s="7"/>
      <c r="BU650" s="2" t="s">
        <v>2551</v>
      </c>
      <c r="BV650" s="2" t="s">
        <v>97</v>
      </c>
      <c r="BW650" s="2" t="s">
        <v>100</v>
      </c>
      <c r="BX650" s="2" t="s">
        <v>100</v>
      </c>
      <c r="BY650" s="2" t="s">
        <v>112</v>
      </c>
      <c r="BZ650" s="2" t="s">
        <v>100</v>
      </c>
    </row>
    <row r="651">
      <c r="A651" s="2" t="s">
        <v>2695</v>
      </c>
      <c r="B651" s="2" t="s">
        <v>87</v>
      </c>
      <c r="C651" s="2" t="s">
        <v>2577</v>
      </c>
      <c r="D651" s="2" t="s">
        <v>89</v>
      </c>
      <c r="E651" s="2" t="s">
        <v>90</v>
      </c>
      <c r="F651" s="2" t="s">
        <v>2696</v>
      </c>
      <c r="G651" s="2" t="s">
        <v>2696</v>
      </c>
      <c r="H651" s="2" t="s">
        <v>2696</v>
      </c>
      <c r="I651" s="2" t="s">
        <v>2697</v>
      </c>
      <c r="J651" s="2" t="s">
        <v>490</v>
      </c>
      <c r="K651" s="2" t="s">
        <v>2698</v>
      </c>
      <c r="L651" s="3">
        <v>86.4</v>
      </c>
      <c r="M651" s="3">
        <v>90.72</v>
      </c>
      <c r="N651" s="3">
        <v>179.99</v>
      </c>
      <c r="O651" s="2" t="s">
        <v>97</v>
      </c>
      <c r="P651" s="2" t="s">
        <v>98</v>
      </c>
      <c r="Q651" s="2" t="s">
        <v>99</v>
      </c>
      <c r="R651" s="2" t="s">
        <v>100</v>
      </c>
      <c r="S651" s="2" t="s">
        <v>2699</v>
      </c>
      <c r="T651" s="2" t="s">
        <v>190</v>
      </c>
      <c r="U651" s="2" t="s">
        <v>355</v>
      </c>
      <c r="V651" s="2" t="s">
        <v>717</v>
      </c>
      <c r="W651" s="2" t="s">
        <v>717</v>
      </c>
      <c r="X651" s="2" t="s">
        <v>100</v>
      </c>
      <c r="Y651" s="2" t="s">
        <v>2700</v>
      </c>
      <c r="Z651" s="4">
        <v>90</v>
      </c>
      <c r="AA651" s="4">
        <f>=ROUNDDOWN(45,0)</f>
      </c>
      <c r="AB651" s="5">
        <v>2</v>
      </c>
      <c r="AC651" s="2" t="s">
        <v>100</v>
      </c>
      <c r="AD651" s="4"/>
      <c r="AE651" s="4"/>
      <c r="AF651" s="6">
        <v>67</v>
      </c>
      <c r="AG651" s="6"/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100</v>
      </c>
      <c r="AW651" s="8" t="s">
        <v>100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/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/>
      <c r="BJ651" s="4">
        <v>8</v>
      </c>
      <c r="BK651" s="8">
        <v>708.94</v>
      </c>
      <c r="BL651" s="2" t="s">
        <v>2668</v>
      </c>
      <c r="BM651" s="7"/>
      <c r="BN651" s="7"/>
      <c r="BO651" s="4"/>
      <c r="BP651" s="8"/>
      <c r="BQ651" s="4"/>
      <c r="BR651" s="8"/>
      <c r="BS651" s="7"/>
      <c r="BT651" s="7"/>
      <c r="BU651" s="2" t="s">
        <v>2551</v>
      </c>
      <c r="BV651" s="2" t="s">
        <v>97</v>
      </c>
      <c r="BW651" s="2" t="s">
        <v>100</v>
      </c>
      <c r="BX651" s="2" t="s">
        <v>100</v>
      </c>
      <c r="BY651" s="2" t="s">
        <v>112</v>
      </c>
      <c r="BZ651" s="2" t="s">
        <v>100</v>
      </c>
    </row>
    <row r="652">
      <c r="A652" s="2" t="s">
        <v>2701</v>
      </c>
      <c r="B652" s="2" t="s">
        <v>87</v>
      </c>
      <c r="C652" s="2" t="s">
        <v>2577</v>
      </c>
      <c r="D652" s="2" t="s">
        <v>89</v>
      </c>
      <c r="E652" s="2" t="s">
        <v>90</v>
      </c>
      <c r="F652" s="2" t="s">
        <v>2696</v>
      </c>
      <c r="G652" s="2" t="s">
        <v>2696</v>
      </c>
      <c r="H652" s="2" t="s">
        <v>2696</v>
      </c>
      <c r="I652" s="2" t="s">
        <v>2697</v>
      </c>
      <c r="J652" s="2" t="s">
        <v>95</v>
      </c>
      <c r="K652" s="2" t="s">
        <v>2698</v>
      </c>
      <c r="L652" s="3">
        <v>96</v>
      </c>
      <c r="M652" s="3">
        <v>100.8</v>
      </c>
      <c r="N652" s="3">
        <v>199.99</v>
      </c>
      <c r="O652" s="2" t="s">
        <v>97</v>
      </c>
      <c r="P652" s="2" t="s">
        <v>98</v>
      </c>
      <c r="Q652" s="2" t="s">
        <v>99</v>
      </c>
      <c r="R652" s="2" t="s">
        <v>100</v>
      </c>
      <c r="S652" s="2" t="s">
        <v>2699</v>
      </c>
      <c r="T652" s="2" t="s">
        <v>190</v>
      </c>
      <c r="U652" s="2" t="s">
        <v>355</v>
      </c>
      <c r="V652" s="2" t="s">
        <v>717</v>
      </c>
      <c r="W652" s="2" t="s">
        <v>717</v>
      </c>
      <c r="X652" s="2" t="s">
        <v>100</v>
      </c>
      <c r="Y652" s="2" t="s">
        <v>2700</v>
      </c>
      <c r="Z652" s="4"/>
      <c r="AA652" s="4">
        <f>=ROUNDDOWN({0},0)</f>
      </c>
      <c r="AB652" s="5">
        <v>10</v>
      </c>
      <c r="AC652" s="2" t="s">
        <v>783</v>
      </c>
      <c r="AD652" s="4">
        <v>80</v>
      </c>
      <c r="AE652" s="4">
        <v>294</v>
      </c>
      <c r="AF652" s="6">
        <v>67</v>
      </c>
      <c r="AG652" s="6"/>
      <c r="AH652" s="7">
        <v>0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/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/>
      <c r="BJ652" s="4"/>
      <c r="BK652" s="8"/>
      <c r="BL652" s="2" t="s">
        <v>100</v>
      </c>
      <c r="BM652" s="7"/>
      <c r="BN652" s="7"/>
      <c r="BO652" s="4"/>
      <c r="BP652" s="8"/>
      <c r="BQ652" s="4"/>
      <c r="BR652" s="8"/>
      <c r="BS652" s="7"/>
      <c r="BT652" s="7"/>
      <c r="BU652" s="2" t="s">
        <v>2551</v>
      </c>
      <c r="BV652" s="2" t="s">
        <v>97</v>
      </c>
      <c r="BW652" s="2" t="s">
        <v>100</v>
      </c>
      <c r="BX652" s="2" t="s">
        <v>100</v>
      </c>
      <c r="BY652" s="2" t="s">
        <v>112</v>
      </c>
      <c r="BZ652" s="2" t="s">
        <v>100</v>
      </c>
    </row>
    <row r="653">
      <c r="A653" s="2" t="s">
        <v>2702</v>
      </c>
      <c r="B653" s="2" t="s">
        <v>87</v>
      </c>
      <c r="C653" s="2" t="s">
        <v>2577</v>
      </c>
      <c r="D653" s="2" t="s">
        <v>89</v>
      </c>
      <c r="E653" s="2" t="s">
        <v>90</v>
      </c>
      <c r="F653" s="2" t="s">
        <v>2696</v>
      </c>
      <c r="G653" s="2" t="s">
        <v>2696</v>
      </c>
      <c r="H653" s="2" t="s">
        <v>2696</v>
      </c>
      <c r="I653" s="2" t="s">
        <v>2697</v>
      </c>
      <c r="J653" s="2" t="s">
        <v>114</v>
      </c>
      <c r="K653" s="2" t="s">
        <v>2698</v>
      </c>
      <c r="L653" s="3">
        <v>105.6</v>
      </c>
      <c r="M653" s="3">
        <v>110.88</v>
      </c>
      <c r="N653" s="3">
        <v>219.99</v>
      </c>
      <c r="O653" s="2" t="s">
        <v>97</v>
      </c>
      <c r="P653" s="2" t="s">
        <v>98</v>
      </c>
      <c r="Q653" s="2" t="s">
        <v>99</v>
      </c>
      <c r="R653" s="2" t="s">
        <v>100</v>
      </c>
      <c r="S653" s="2" t="s">
        <v>2699</v>
      </c>
      <c r="T653" s="2" t="s">
        <v>190</v>
      </c>
      <c r="U653" s="2" t="s">
        <v>355</v>
      </c>
      <c r="V653" s="2" t="s">
        <v>717</v>
      </c>
      <c r="W653" s="2" t="s">
        <v>717</v>
      </c>
      <c r="X653" s="2" t="s">
        <v>100</v>
      </c>
      <c r="Y653" s="2" t="s">
        <v>2700</v>
      </c>
      <c r="Z653" s="4"/>
      <c r="AA653" s="4">
        <f>=ROUNDDOWN({0},0)</f>
      </c>
      <c r="AB653" s="5">
        <v>8</v>
      </c>
      <c r="AC653" s="2" t="s">
        <v>783</v>
      </c>
      <c r="AD653" s="4">
        <v>150</v>
      </c>
      <c r="AE653" s="4">
        <v>280</v>
      </c>
      <c r="AF653" s="6">
        <v>67</v>
      </c>
      <c r="AG653" s="6"/>
      <c r="AH653" s="7">
        <v>0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/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/>
      <c r="BJ653" s="4"/>
      <c r="BK653" s="8"/>
      <c r="BL653" s="2" t="s">
        <v>100</v>
      </c>
      <c r="BM653" s="7"/>
      <c r="BN653" s="7"/>
      <c r="BO653" s="4"/>
      <c r="BP653" s="8"/>
      <c r="BQ653" s="4"/>
      <c r="BR653" s="8"/>
      <c r="BS653" s="7"/>
      <c r="BT653" s="7"/>
      <c r="BU653" s="2" t="s">
        <v>2551</v>
      </c>
      <c r="BV653" s="2" t="s">
        <v>97</v>
      </c>
      <c r="BW653" s="2" t="s">
        <v>100</v>
      </c>
      <c r="BX653" s="2" t="s">
        <v>100</v>
      </c>
      <c r="BY653" s="2" t="s">
        <v>112</v>
      </c>
      <c r="BZ653" s="2" t="s">
        <v>100</v>
      </c>
    </row>
    <row r="654">
      <c r="A654" s="2" t="s">
        <v>2703</v>
      </c>
      <c r="B654" s="2" t="s">
        <v>87</v>
      </c>
      <c r="C654" s="2" t="s">
        <v>2577</v>
      </c>
      <c r="D654" s="2" t="s">
        <v>89</v>
      </c>
      <c r="E654" s="2" t="s">
        <v>90</v>
      </c>
      <c r="F654" s="2" t="s">
        <v>2696</v>
      </c>
      <c r="G654" s="2" t="s">
        <v>2696</v>
      </c>
      <c r="H654" s="2" t="s">
        <v>2696</v>
      </c>
      <c r="I654" s="2" t="s">
        <v>2697</v>
      </c>
      <c r="J654" s="2" t="s">
        <v>118</v>
      </c>
      <c r="K654" s="2" t="s">
        <v>2698</v>
      </c>
      <c r="L654" s="3">
        <v>105.6</v>
      </c>
      <c r="M654" s="3">
        <v>110.88</v>
      </c>
      <c r="N654" s="3">
        <v>219.99</v>
      </c>
      <c r="O654" s="2" t="s">
        <v>97</v>
      </c>
      <c r="P654" s="2" t="s">
        <v>98</v>
      </c>
      <c r="Q654" s="2" t="s">
        <v>99</v>
      </c>
      <c r="R654" s="2" t="s">
        <v>100</v>
      </c>
      <c r="S654" s="2" t="s">
        <v>2699</v>
      </c>
      <c r="T654" s="2" t="s">
        <v>190</v>
      </c>
      <c r="U654" s="2" t="s">
        <v>355</v>
      </c>
      <c r="V654" s="2" t="s">
        <v>717</v>
      </c>
      <c r="W654" s="2" t="s">
        <v>717</v>
      </c>
      <c r="X654" s="2" t="s">
        <v>100</v>
      </c>
      <c r="Y654" s="2" t="s">
        <v>2700</v>
      </c>
      <c r="Z654" s="4"/>
      <c r="AA654" s="4">
        <f>=ROUNDDOWN({0},0)</f>
      </c>
      <c r="AB654" s="5">
        <v>3</v>
      </c>
      <c r="AC654" s="2" t="s">
        <v>783</v>
      </c>
      <c r="AD654" s="4">
        <v>30</v>
      </c>
      <c r="AE654" s="4">
        <v>110</v>
      </c>
      <c r="AF654" s="6">
        <v>67</v>
      </c>
      <c r="AG654" s="6"/>
      <c r="AH654" s="7">
        <v>0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/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/>
      <c r="BJ654" s="4">
        <v>2</v>
      </c>
      <c r="BK654" s="8">
        <v>232.31</v>
      </c>
      <c r="BL654" s="2" t="s">
        <v>2704</v>
      </c>
      <c r="BM654" s="7"/>
      <c r="BN654" s="7"/>
      <c r="BO654" s="4"/>
      <c r="BP654" s="8"/>
      <c r="BQ654" s="4"/>
      <c r="BR654" s="8"/>
      <c r="BS654" s="7"/>
      <c r="BT654" s="7"/>
      <c r="BU654" s="2" t="s">
        <v>2551</v>
      </c>
      <c r="BV654" s="2" t="s">
        <v>97</v>
      </c>
      <c r="BW654" s="2" t="s">
        <v>100</v>
      </c>
      <c r="BX654" s="2" t="s">
        <v>100</v>
      </c>
      <c r="BY654" s="2" t="s">
        <v>112</v>
      </c>
      <c r="BZ654" s="2" t="s">
        <v>100</v>
      </c>
    </row>
    <row r="655">
      <c r="A655" s="2" t="s">
        <v>2705</v>
      </c>
      <c r="B655" s="2" t="s">
        <v>87</v>
      </c>
      <c r="C655" s="2" t="s">
        <v>2577</v>
      </c>
      <c r="D655" s="2" t="s">
        <v>89</v>
      </c>
      <c r="E655" s="2" t="s">
        <v>90</v>
      </c>
      <c r="F655" s="2" t="s">
        <v>2706</v>
      </c>
      <c r="G655" s="2" t="s">
        <v>100</v>
      </c>
      <c r="H655" s="2" t="s">
        <v>100</v>
      </c>
      <c r="I655" s="2" t="s">
        <v>2707</v>
      </c>
      <c r="J655" s="2" t="s">
        <v>522</v>
      </c>
      <c r="K655" s="2" t="s">
        <v>1373</v>
      </c>
      <c r="L655" s="3">
        <v>125</v>
      </c>
      <c r="M655" s="3">
        <v>131.24</v>
      </c>
      <c r="N655" s="3">
        <v>259.99</v>
      </c>
      <c r="O655" s="2" t="s">
        <v>97</v>
      </c>
      <c r="P655" s="2" t="s">
        <v>98</v>
      </c>
      <c r="Q655" s="2" t="s">
        <v>99</v>
      </c>
      <c r="R655" s="2" t="s">
        <v>100</v>
      </c>
      <c r="S655" s="2" t="s">
        <v>2708</v>
      </c>
      <c r="T655" s="2" t="s">
        <v>100</v>
      </c>
      <c r="U655" s="2" t="s">
        <v>100</v>
      </c>
      <c r="V655" s="2" t="s">
        <v>103</v>
      </c>
      <c r="W655" s="2" t="s">
        <v>525</v>
      </c>
      <c r="X655" s="2" t="s">
        <v>104</v>
      </c>
      <c r="Y655" s="2" t="s">
        <v>144</v>
      </c>
      <c r="Z655" s="4">
        <v>24</v>
      </c>
      <c r="AA655" s="4">
        <f>=ROUNDDOWN(8,0)</f>
      </c>
      <c r="AB655" s="5">
        <v>3</v>
      </c>
      <c r="AC655" s="2" t="s">
        <v>2709</v>
      </c>
      <c r="AD655" s="4">
        <v>65</v>
      </c>
      <c r="AE655" s="4">
        <v>65</v>
      </c>
      <c r="AF655" s="6">
        <v>69</v>
      </c>
      <c r="AG655" s="6"/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100</v>
      </c>
      <c r="AW655" s="8" t="s">
        <v>100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/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/>
      <c r="BJ655" s="4">
        <v>13</v>
      </c>
      <c r="BK655" s="8">
        <v>1691.15</v>
      </c>
      <c r="BL655" s="2" t="s">
        <v>921</v>
      </c>
      <c r="BM655" s="7"/>
      <c r="BN655" s="7"/>
      <c r="BO655" s="4"/>
      <c r="BP655" s="8"/>
      <c r="BQ655" s="4"/>
      <c r="BR655" s="8"/>
      <c r="BS655" s="7"/>
      <c r="BT655" s="7"/>
      <c r="BU655" s="2" t="s">
        <v>2551</v>
      </c>
      <c r="BV655" s="2" t="s">
        <v>97</v>
      </c>
      <c r="BW655" s="2" t="s">
        <v>100</v>
      </c>
      <c r="BX655" s="2" t="s">
        <v>100</v>
      </c>
      <c r="BY655" s="2" t="s">
        <v>112</v>
      </c>
      <c r="BZ655" s="2" t="s">
        <v>100</v>
      </c>
    </row>
    <row r="656">
      <c r="A656" s="2" t="s">
        <v>2710</v>
      </c>
      <c r="B656" s="2" t="s">
        <v>87</v>
      </c>
      <c r="C656" s="2" t="s">
        <v>2577</v>
      </c>
      <c r="D656" s="2" t="s">
        <v>89</v>
      </c>
      <c r="E656" s="2" t="s">
        <v>90</v>
      </c>
      <c r="F656" s="2" t="s">
        <v>2706</v>
      </c>
      <c r="G656" s="2" t="s">
        <v>100</v>
      </c>
      <c r="H656" s="2" t="s">
        <v>100</v>
      </c>
      <c r="I656" s="2" t="s">
        <v>2707</v>
      </c>
      <c r="J656" s="2" t="s">
        <v>114</v>
      </c>
      <c r="K656" s="2" t="s">
        <v>1373</v>
      </c>
      <c r="L656" s="3">
        <v>135</v>
      </c>
      <c r="M656" s="3">
        <v>141.74</v>
      </c>
      <c r="N656" s="3">
        <v>279.99</v>
      </c>
      <c r="O656" s="2" t="s">
        <v>97</v>
      </c>
      <c r="P656" s="2" t="s">
        <v>98</v>
      </c>
      <c r="Q656" s="2" t="s">
        <v>99</v>
      </c>
      <c r="R656" s="2" t="s">
        <v>100</v>
      </c>
      <c r="S656" s="2" t="s">
        <v>2708</v>
      </c>
      <c r="T656" s="2" t="s">
        <v>100</v>
      </c>
      <c r="U656" s="2" t="s">
        <v>100</v>
      </c>
      <c r="V656" s="2" t="s">
        <v>103</v>
      </c>
      <c r="W656" s="2" t="s">
        <v>525</v>
      </c>
      <c r="X656" s="2" t="s">
        <v>104</v>
      </c>
      <c r="Y656" s="2" t="s">
        <v>144</v>
      </c>
      <c r="Z656" s="4">
        <v>106</v>
      </c>
      <c r="AA656" s="4">
        <f>=ROUNDDOWN(17.6666666666667,0)</f>
      </c>
      <c r="AB656" s="5">
        <v>6</v>
      </c>
      <c r="AC656" s="2" t="s">
        <v>173</v>
      </c>
      <c r="AD656" s="4">
        <v>113</v>
      </c>
      <c r="AE656" s="4">
        <v>113</v>
      </c>
      <c r="AF656" s="6">
        <v>69</v>
      </c>
      <c r="AG656" s="6"/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/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/>
      <c r="BJ656" s="4">
        <v>19</v>
      </c>
      <c r="BK656" s="8">
        <v>2753.5</v>
      </c>
      <c r="BL656" s="2" t="s">
        <v>2711</v>
      </c>
      <c r="BM656" s="7"/>
      <c r="BN656" s="7"/>
      <c r="BO656" s="4"/>
      <c r="BP656" s="8"/>
      <c r="BQ656" s="4"/>
      <c r="BR656" s="8"/>
      <c r="BS656" s="7"/>
      <c r="BT656" s="7"/>
      <c r="BU656" s="2" t="s">
        <v>2551</v>
      </c>
      <c r="BV656" s="2" t="s">
        <v>97</v>
      </c>
      <c r="BW656" s="2" t="s">
        <v>100</v>
      </c>
      <c r="BX656" s="2" t="s">
        <v>100</v>
      </c>
      <c r="BY656" s="2" t="s">
        <v>112</v>
      </c>
      <c r="BZ656" s="2" t="s">
        <v>100</v>
      </c>
    </row>
    <row r="657">
      <c r="A657" s="2" t="s">
        <v>2712</v>
      </c>
      <c r="B657" s="2" t="s">
        <v>87</v>
      </c>
      <c r="C657" s="2" t="s">
        <v>2577</v>
      </c>
      <c r="D657" s="2" t="s">
        <v>89</v>
      </c>
      <c r="E657" s="2" t="s">
        <v>90</v>
      </c>
      <c r="F657" s="2" t="s">
        <v>2706</v>
      </c>
      <c r="G657" s="2" t="s">
        <v>100</v>
      </c>
      <c r="H657" s="2" t="s">
        <v>100</v>
      </c>
      <c r="I657" s="2" t="s">
        <v>2713</v>
      </c>
      <c r="J657" s="2" t="s">
        <v>522</v>
      </c>
      <c r="K657" s="2" t="s">
        <v>673</v>
      </c>
      <c r="L657" s="3">
        <v>125</v>
      </c>
      <c r="M657" s="3">
        <v>131.24</v>
      </c>
      <c r="N657" s="3">
        <v>259.99</v>
      </c>
      <c r="O657" s="2" t="s">
        <v>97</v>
      </c>
      <c r="P657" s="2" t="s">
        <v>156</v>
      </c>
      <c r="Q657" s="2" t="s">
        <v>99</v>
      </c>
      <c r="R657" s="2" t="s">
        <v>100</v>
      </c>
      <c r="S657" s="2" t="s">
        <v>2714</v>
      </c>
      <c r="T657" s="2" t="s">
        <v>100</v>
      </c>
      <c r="U657" s="2" t="s">
        <v>100</v>
      </c>
      <c r="V657" s="2" t="s">
        <v>103</v>
      </c>
      <c r="W657" s="2" t="s">
        <v>525</v>
      </c>
      <c r="X657" s="2" t="s">
        <v>193</v>
      </c>
      <c r="Y657" s="2" t="s">
        <v>2715</v>
      </c>
      <c r="Z657" s="4">
        <v>40</v>
      </c>
      <c r="AA657" s="4">
        <f>=ROUNDDOWN(13.3333333333333,0)</f>
      </c>
      <c r="AB657" s="5">
        <v>3</v>
      </c>
      <c r="AC657" s="2" t="s">
        <v>676</v>
      </c>
      <c r="AD657" s="4">
        <v>60</v>
      </c>
      <c r="AE657" s="4">
        <v>60</v>
      </c>
      <c r="AF657" s="6">
        <v>69</v>
      </c>
      <c r="AG657" s="6"/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100</v>
      </c>
      <c r="AW657" s="8" t="s">
        <v>100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/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/>
      <c r="BJ657" s="4">
        <v>10</v>
      </c>
      <c r="BK657" s="8">
        <v>1317.98</v>
      </c>
      <c r="BL657" s="2" t="s">
        <v>2716</v>
      </c>
      <c r="BM657" s="7"/>
      <c r="BN657" s="7"/>
      <c r="BO657" s="4"/>
      <c r="BP657" s="8"/>
      <c r="BQ657" s="4"/>
      <c r="BR657" s="8"/>
      <c r="BS657" s="7"/>
      <c r="BT657" s="7"/>
      <c r="BU657" s="2" t="s">
        <v>2526</v>
      </c>
      <c r="BV657" s="2" t="s">
        <v>97</v>
      </c>
      <c r="BW657" s="2" t="s">
        <v>100</v>
      </c>
      <c r="BX657" s="2" t="s">
        <v>100</v>
      </c>
      <c r="BY657" s="2" t="s">
        <v>112</v>
      </c>
      <c r="BZ657" s="2" t="s">
        <v>100</v>
      </c>
    </row>
    <row r="658">
      <c r="A658" s="2" t="s">
        <v>2717</v>
      </c>
      <c r="B658" s="2" t="s">
        <v>87</v>
      </c>
      <c r="C658" s="2" t="s">
        <v>2577</v>
      </c>
      <c r="D658" s="2" t="s">
        <v>89</v>
      </c>
      <c r="E658" s="2" t="s">
        <v>90</v>
      </c>
      <c r="F658" s="2" t="s">
        <v>2706</v>
      </c>
      <c r="G658" s="2" t="s">
        <v>100</v>
      </c>
      <c r="H658" s="2" t="s">
        <v>100</v>
      </c>
      <c r="I658" s="2" t="s">
        <v>2713</v>
      </c>
      <c r="J658" s="2" t="s">
        <v>114</v>
      </c>
      <c r="K658" s="2" t="s">
        <v>673</v>
      </c>
      <c r="L658" s="3">
        <v>135</v>
      </c>
      <c r="M658" s="3">
        <v>141.74</v>
      </c>
      <c r="N658" s="3">
        <v>279.99</v>
      </c>
      <c r="O658" s="2" t="s">
        <v>97</v>
      </c>
      <c r="P658" s="2" t="s">
        <v>156</v>
      </c>
      <c r="Q658" s="2" t="s">
        <v>99</v>
      </c>
      <c r="R658" s="2" t="s">
        <v>100</v>
      </c>
      <c r="S658" s="2" t="s">
        <v>2714</v>
      </c>
      <c r="T658" s="2" t="s">
        <v>100</v>
      </c>
      <c r="U658" s="2" t="s">
        <v>100</v>
      </c>
      <c r="V658" s="2" t="s">
        <v>103</v>
      </c>
      <c r="W658" s="2" t="s">
        <v>525</v>
      </c>
      <c r="X658" s="2" t="s">
        <v>193</v>
      </c>
      <c r="Y658" s="2" t="s">
        <v>2715</v>
      </c>
      <c r="Z658" s="4">
        <v>247</v>
      </c>
      <c r="AA658" s="4">
        <f>=ROUNDDOWN(35.2857142857143,0)</f>
      </c>
      <c r="AB658" s="5">
        <v>7</v>
      </c>
      <c r="AC658" s="2" t="s">
        <v>100</v>
      </c>
      <c r="AD658" s="4"/>
      <c r="AE658" s="4"/>
      <c r="AF658" s="6">
        <v>69</v>
      </c>
      <c r="AG658" s="6"/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/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/>
      <c r="BJ658" s="4">
        <v>21</v>
      </c>
      <c r="BK658" s="8">
        <v>3042.87</v>
      </c>
      <c r="BL658" s="2" t="s">
        <v>2718</v>
      </c>
      <c r="BM658" s="7"/>
      <c r="BN658" s="7"/>
      <c r="BO658" s="4"/>
      <c r="BP658" s="8"/>
      <c r="BQ658" s="4"/>
      <c r="BR658" s="8"/>
      <c r="BS658" s="7"/>
      <c r="BT658" s="7"/>
      <c r="BU658" s="2" t="s">
        <v>2526</v>
      </c>
      <c r="BV658" s="2" t="s">
        <v>97</v>
      </c>
      <c r="BW658" s="2" t="s">
        <v>100</v>
      </c>
      <c r="BX658" s="2" t="s">
        <v>100</v>
      </c>
      <c r="BY658" s="2" t="s">
        <v>112</v>
      </c>
      <c r="BZ658" s="2" t="s">
        <v>100</v>
      </c>
    </row>
    <row r="659">
      <c r="A659" s="2" t="s">
        <v>2719</v>
      </c>
      <c r="B659" s="2" t="s">
        <v>87</v>
      </c>
      <c r="C659" s="2" t="s">
        <v>2577</v>
      </c>
      <c r="D659" s="2" t="s">
        <v>963</v>
      </c>
      <c r="E659" s="2" t="s">
        <v>1486</v>
      </c>
      <c r="F659" s="2" t="s">
        <v>2720</v>
      </c>
      <c r="G659" s="2" t="s">
        <v>2720</v>
      </c>
      <c r="H659" s="2" t="s">
        <v>2720</v>
      </c>
      <c r="I659" s="2" t="s">
        <v>2721</v>
      </c>
      <c r="J659" s="2" t="s">
        <v>522</v>
      </c>
      <c r="K659" s="2" t="s">
        <v>471</v>
      </c>
      <c r="L659" s="3">
        <v>75</v>
      </c>
      <c r="M659" s="3">
        <v>78.74</v>
      </c>
      <c r="N659" s="3">
        <v>164.99</v>
      </c>
      <c r="O659" s="2" t="s">
        <v>97</v>
      </c>
      <c r="P659" s="2" t="s">
        <v>98</v>
      </c>
      <c r="Q659" s="2" t="s">
        <v>99</v>
      </c>
      <c r="R659" s="2" t="s">
        <v>100</v>
      </c>
      <c r="S659" s="2" t="s">
        <v>2722</v>
      </c>
      <c r="T659" s="2" t="s">
        <v>190</v>
      </c>
      <c r="U659" s="2" t="s">
        <v>1228</v>
      </c>
      <c r="V659" s="2" t="s">
        <v>717</v>
      </c>
      <c r="W659" s="2" t="s">
        <v>717</v>
      </c>
      <c r="X659" s="2" t="s">
        <v>525</v>
      </c>
      <c r="Y659" s="2" t="s">
        <v>144</v>
      </c>
      <c r="Z659" s="4">
        <v>94</v>
      </c>
      <c r="AA659" s="4">
        <f>=ROUNDDOWN(7.83333333333333,0)</f>
      </c>
      <c r="AB659" s="5">
        <v>12</v>
      </c>
      <c r="AC659" s="2" t="s">
        <v>2581</v>
      </c>
      <c r="AD659" s="4">
        <v>70</v>
      </c>
      <c r="AE659" s="4">
        <v>190</v>
      </c>
      <c r="AF659" s="6">
        <v>68</v>
      </c>
      <c r="AG659" s="6"/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100</v>
      </c>
      <c r="AW659" s="8" t="s">
        <v>100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/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/>
      <c r="BJ659" s="4">
        <v>32</v>
      </c>
      <c r="BK659" s="8">
        <v>2733.45</v>
      </c>
      <c r="BL659" s="2" t="s">
        <v>700</v>
      </c>
      <c r="BM659" s="7"/>
      <c r="BN659" s="7"/>
      <c r="BO659" s="4"/>
      <c r="BP659" s="8"/>
      <c r="BQ659" s="4"/>
      <c r="BR659" s="8"/>
      <c r="BS659" s="7"/>
      <c r="BT659" s="7"/>
      <c r="BU659" s="2" t="s">
        <v>2551</v>
      </c>
      <c r="BV659" s="2" t="s">
        <v>97</v>
      </c>
      <c r="BW659" s="2" t="s">
        <v>100</v>
      </c>
      <c r="BX659" s="2" t="s">
        <v>100</v>
      </c>
      <c r="BY659" s="2" t="s">
        <v>112</v>
      </c>
      <c r="BZ659" s="2" t="s">
        <v>100</v>
      </c>
    </row>
    <row r="660">
      <c r="A660" s="2" t="s">
        <v>2723</v>
      </c>
      <c r="B660" s="2" t="s">
        <v>87</v>
      </c>
      <c r="C660" s="2" t="s">
        <v>2577</v>
      </c>
      <c r="D660" s="2" t="s">
        <v>963</v>
      </c>
      <c r="E660" s="2" t="s">
        <v>1486</v>
      </c>
      <c r="F660" s="2" t="s">
        <v>2720</v>
      </c>
      <c r="G660" s="2" t="s">
        <v>2720</v>
      </c>
      <c r="H660" s="2" t="s">
        <v>2720</v>
      </c>
      <c r="I660" s="2" t="s">
        <v>2721</v>
      </c>
      <c r="J660" s="2" t="s">
        <v>529</v>
      </c>
      <c r="K660" s="2" t="s">
        <v>471</v>
      </c>
      <c r="L660" s="3">
        <v>85</v>
      </c>
      <c r="M660" s="3">
        <v>89.24</v>
      </c>
      <c r="N660" s="3">
        <v>189.99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2722</v>
      </c>
      <c r="T660" s="2" t="s">
        <v>190</v>
      </c>
      <c r="U660" s="2" t="s">
        <v>1228</v>
      </c>
      <c r="V660" s="2" t="s">
        <v>717</v>
      </c>
      <c r="W660" s="2" t="s">
        <v>717</v>
      </c>
      <c r="X660" s="2" t="s">
        <v>525</v>
      </c>
      <c r="Y660" s="2" t="s">
        <v>144</v>
      </c>
      <c r="Z660" s="4">
        <v>111</v>
      </c>
      <c r="AA660" s="4">
        <f>=ROUNDDOWN(7.4,0)</f>
      </c>
      <c r="AB660" s="5">
        <v>15</v>
      </c>
      <c r="AC660" s="2" t="s">
        <v>2662</v>
      </c>
      <c r="AD660" s="4">
        <v>100</v>
      </c>
      <c r="AE660" s="4">
        <v>310</v>
      </c>
      <c r="AF660" s="6">
        <v>68</v>
      </c>
      <c r="AG660" s="6"/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/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/>
      <c r="BJ660" s="4">
        <v>63</v>
      </c>
      <c r="BK660" s="8">
        <v>6101.21</v>
      </c>
      <c r="BL660" s="2" t="s">
        <v>923</v>
      </c>
      <c r="BM660" s="7"/>
      <c r="BN660" s="7"/>
      <c r="BO660" s="4"/>
      <c r="BP660" s="8"/>
      <c r="BQ660" s="4"/>
      <c r="BR660" s="8"/>
      <c r="BS660" s="7"/>
      <c r="BT660" s="7"/>
      <c r="BU660" s="2" t="s">
        <v>2551</v>
      </c>
      <c r="BV660" s="2" t="s">
        <v>97</v>
      </c>
      <c r="BW660" s="2" t="s">
        <v>100</v>
      </c>
      <c r="BX660" s="2" t="s">
        <v>100</v>
      </c>
      <c r="BY660" s="2" t="s">
        <v>112</v>
      </c>
      <c r="BZ660" s="2" t="s">
        <v>100</v>
      </c>
    </row>
    <row r="661">
      <c r="A661" s="2" t="s">
        <v>2724</v>
      </c>
      <c r="B661" s="2" t="s">
        <v>87</v>
      </c>
      <c r="C661" s="2" t="s">
        <v>2577</v>
      </c>
      <c r="D661" s="2" t="s">
        <v>963</v>
      </c>
      <c r="E661" s="2" t="s">
        <v>1486</v>
      </c>
      <c r="F661" s="2" t="s">
        <v>2720</v>
      </c>
      <c r="G661" s="2" t="s">
        <v>2720</v>
      </c>
      <c r="H661" s="2" t="s">
        <v>2720</v>
      </c>
      <c r="I661" s="2" t="s">
        <v>2721</v>
      </c>
      <c r="J661" s="2" t="s">
        <v>522</v>
      </c>
      <c r="K661" s="2" t="s">
        <v>223</v>
      </c>
      <c r="L661" s="3">
        <v>75</v>
      </c>
      <c r="M661" s="3">
        <v>78.74</v>
      </c>
      <c r="N661" s="3">
        <v>164.99</v>
      </c>
      <c r="O661" s="2" t="s">
        <v>97</v>
      </c>
      <c r="P661" s="2" t="s">
        <v>98</v>
      </c>
      <c r="Q661" s="2" t="s">
        <v>99</v>
      </c>
      <c r="R661" s="2" t="s">
        <v>100</v>
      </c>
      <c r="S661" s="2" t="s">
        <v>2725</v>
      </c>
      <c r="T661" s="2" t="s">
        <v>190</v>
      </c>
      <c r="U661" s="2" t="s">
        <v>1228</v>
      </c>
      <c r="V661" s="2" t="s">
        <v>717</v>
      </c>
      <c r="W661" s="2" t="s">
        <v>717</v>
      </c>
      <c r="X661" s="2" t="s">
        <v>525</v>
      </c>
      <c r="Y661" s="2" t="s">
        <v>2726</v>
      </c>
      <c r="Z661" s="4">
        <v>84</v>
      </c>
      <c r="AA661" s="4">
        <f>=ROUNDDOWN(21,0)</f>
      </c>
      <c r="AB661" s="5">
        <v>4</v>
      </c>
      <c r="AC661" s="2" t="s">
        <v>629</v>
      </c>
      <c r="AD661" s="4">
        <v>40</v>
      </c>
      <c r="AE661" s="4">
        <v>195</v>
      </c>
      <c r="AF661" s="6">
        <v>68</v>
      </c>
      <c r="AG661" s="6"/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/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/>
      <c r="BJ661" s="4">
        <v>22</v>
      </c>
      <c r="BK661" s="8">
        <v>1819.45</v>
      </c>
      <c r="BL661" s="2" t="s">
        <v>2727</v>
      </c>
      <c r="BM661" s="7"/>
      <c r="BN661" s="7"/>
      <c r="BO661" s="4"/>
      <c r="BP661" s="8"/>
      <c r="BQ661" s="4"/>
      <c r="BR661" s="8"/>
      <c r="BS661" s="7"/>
      <c r="BT661" s="7"/>
      <c r="BU661" s="2" t="s">
        <v>2551</v>
      </c>
      <c r="BV661" s="2" t="s">
        <v>97</v>
      </c>
      <c r="BW661" s="2" t="s">
        <v>100</v>
      </c>
      <c r="BX661" s="2" t="s">
        <v>100</v>
      </c>
      <c r="BY661" s="2" t="s">
        <v>112</v>
      </c>
      <c r="BZ661" s="2" t="s">
        <v>100</v>
      </c>
    </row>
    <row r="662">
      <c r="A662" s="2" t="s">
        <v>2728</v>
      </c>
      <c r="B662" s="2" t="s">
        <v>87</v>
      </c>
      <c r="C662" s="2" t="s">
        <v>2577</v>
      </c>
      <c r="D662" s="2" t="s">
        <v>963</v>
      </c>
      <c r="E662" s="2" t="s">
        <v>1486</v>
      </c>
      <c r="F662" s="2" t="s">
        <v>2720</v>
      </c>
      <c r="G662" s="2" t="s">
        <v>2720</v>
      </c>
      <c r="H662" s="2" t="s">
        <v>2720</v>
      </c>
      <c r="I662" s="2" t="s">
        <v>2721</v>
      </c>
      <c r="J662" s="2" t="s">
        <v>529</v>
      </c>
      <c r="K662" s="2" t="s">
        <v>223</v>
      </c>
      <c r="L662" s="3">
        <v>85</v>
      </c>
      <c r="M662" s="3">
        <v>89.24</v>
      </c>
      <c r="N662" s="3">
        <v>189.99</v>
      </c>
      <c r="O662" s="2" t="s">
        <v>97</v>
      </c>
      <c r="P662" s="2" t="s">
        <v>98</v>
      </c>
      <c r="Q662" s="2" t="s">
        <v>99</v>
      </c>
      <c r="R662" s="2" t="s">
        <v>100</v>
      </c>
      <c r="S662" s="2" t="s">
        <v>2725</v>
      </c>
      <c r="T662" s="2" t="s">
        <v>190</v>
      </c>
      <c r="U662" s="2" t="s">
        <v>1228</v>
      </c>
      <c r="V662" s="2" t="s">
        <v>717</v>
      </c>
      <c r="W662" s="2" t="s">
        <v>717</v>
      </c>
      <c r="X662" s="2" t="s">
        <v>525</v>
      </c>
      <c r="Y662" s="2" t="s">
        <v>2726</v>
      </c>
      <c r="Z662" s="4">
        <v>1</v>
      </c>
      <c r="AA662" s="4">
        <f>=ROUNDDOWN(0.2,0)</f>
      </c>
      <c r="AB662" s="5">
        <v>5</v>
      </c>
      <c r="AC662" s="2" t="s">
        <v>629</v>
      </c>
      <c r="AD662" s="4">
        <v>245</v>
      </c>
      <c r="AE662" s="4">
        <v>305</v>
      </c>
      <c r="AF662" s="6">
        <v>68</v>
      </c>
      <c r="AG662" s="6"/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/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/>
      <c r="BJ662" s="4">
        <v>23</v>
      </c>
      <c r="BK662" s="8">
        <v>2172.61</v>
      </c>
      <c r="BL662" s="2" t="s">
        <v>2729</v>
      </c>
      <c r="BM662" s="7"/>
      <c r="BN662" s="7"/>
      <c r="BO662" s="4"/>
      <c r="BP662" s="8"/>
      <c r="BQ662" s="4"/>
      <c r="BR662" s="8"/>
      <c r="BS662" s="7"/>
      <c r="BT662" s="7"/>
      <c r="BU662" s="2" t="s">
        <v>2551</v>
      </c>
      <c r="BV662" s="2" t="s">
        <v>97</v>
      </c>
      <c r="BW662" s="2" t="s">
        <v>100</v>
      </c>
      <c r="BX662" s="2" t="s">
        <v>100</v>
      </c>
      <c r="BY662" s="2" t="s">
        <v>112</v>
      </c>
      <c r="BZ662" s="2" t="s">
        <v>100</v>
      </c>
    </row>
    <row r="663">
      <c r="A663" s="2" t="s">
        <v>2730</v>
      </c>
      <c r="B663" s="2" t="s">
        <v>87</v>
      </c>
      <c r="C663" s="2" t="s">
        <v>2577</v>
      </c>
      <c r="D663" s="2" t="s">
        <v>1496</v>
      </c>
      <c r="E663" s="2" t="s">
        <v>1648</v>
      </c>
      <c r="F663" s="2" t="s">
        <v>2595</v>
      </c>
      <c r="G663" s="2" t="s">
        <v>2595</v>
      </c>
      <c r="H663" s="2" t="s">
        <v>2595</v>
      </c>
      <c r="I663" s="2" t="s">
        <v>2731</v>
      </c>
      <c r="J663" s="2" t="s">
        <v>522</v>
      </c>
      <c r="K663" s="2" t="s">
        <v>673</v>
      </c>
      <c r="L663" s="3">
        <v>85</v>
      </c>
      <c r="M663" s="3">
        <v>89.24</v>
      </c>
      <c r="N663" s="3">
        <v>179.99</v>
      </c>
      <c r="O663" s="2" t="s">
        <v>97</v>
      </c>
      <c r="P663" s="2" t="s">
        <v>139</v>
      </c>
      <c r="Q663" s="2" t="s">
        <v>99</v>
      </c>
      <c r="R663" s="2" t="s">
        <v>100</v>
      </c>
      <c r="S663" s="2" t="s">
        <v>2597</v>
      </c>
      <c r="T663" s="2" t="s">
        <v>100</v>
      </c>
      <c r="U663" s="2" t="s">
        <v>100</v>
      </c>
      <c r="V663" s="2" t="s">
        <v>367</v>
      </c>
      <c r="W663" s="2" t="s">
        <v>525</v>
      </c>
      <c r="X663" s="2" t="s">
        <v>717</v>
      </c>
      <c r="Y663" s="2" t="s">
        <v>2598</v>
      </c>
      <c r="Z663" s="4">
        <v>94</v>
      </c>
      <c r="AA663" s="4">
        <f>=ROUNDDOWN(13.4285714285714,0)</f>
      </c>
      <c r="AB663" s="5">
        <v>7</v>
      </c>
      <c r="AC663" s="2" t="s">
        <v>130</v>
      </c>
      <c r="AD663" s="4">
        <v>5</v>
      </c>
      <c r="AE663" s="4">
        <v>117</v>
      </c>
      <c r="AF663" s="6">
        <v>69</v>
      </c>
      <c r="AG663" s="6"/>
      <c r="AH663" s="7">
        <v>0.9677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/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/>
      <c r="BJ663" s="4">
        <v>23</v>
      </c>
      <c r="BK663" s="8">
        <v>2023.1</v>
      </c>
      <c r="BL663" s="2" t="s">
        <v>2732</v>
      </c>
      <c r="BM663" s="7"/>
      <c r="BN663" s="7"/>
      <c r="BO663" s="4"/>
      <c r="BP663" s="8"/>
      <c r="BQ663" s="4"/>
      <c r="BR663" s="8"/>
      <c r="BS663" s="7"/>
      <c r="BT663" s="7"/>
      <c r="BU663" s="2" t="s">
        <v>2551</v>
      </c>
      <c r="BV663" s="2" t="s">
        <v>97</v>
      </c>
      <c r="BW663" s="2" t="s">
        <v>100</v>
      </c>
      <c r="BX663" s="2" t="s">
        <v>100</v>
      </c>
      <c r="BY663" s="2" t="s">
        <v>112</v>
      </c>
      <c r="BZ663" s="2" t="s">
        <v>100</v>
      </c>
    </row>
    <row r="664">
      <c r="A664" s="2" t="s">
        <v>2733</v>
      </c>
      <c r="B664" s="2" t="s">
        <v>87</v>
      </c>
      <c r="C664" s="2" t="s">
        <v>2577</v>
      </c>
      <c r="D664" s="2" t="s">
        <v>1496</v>
      </c>
      <c r="E664" s="2" t="s">
        <v>1648</v>
      </c>
      <c r="F664" s="2" t="s">
        <v>2595</v>
      </c>
      <c r="G664" s="2" t="s">
        <v>2595</v>
      </c>
      <c r="H664" s="2" t="s">
        <v>2595</v>
      </c>
      <c r="I664" s="2" t="s">
        <v>2731</v>
      </c>
      <c r="J664" s="2" t="s">
        <v>114</v>
      </c>
      <c r="K664" s="2" t="s">
        <v>673</v>
      </c>
      <c r="L664" s="3">
        <v>95</v>
      </c>
      <c r="M664" s="3">
        <v>99.74</v>
      </c>
      <c r="N664" s="3">
        <v>199.99</v>
      </c>
      <c r="O664" s="2" t="s">
        <v>97</v>
      </c>
      <c r="P664" s="2" t="s">
        <v>139</v>
      </c>
      <c r="Q664" s="2" t="s">
        <v>99</v>
      </c>
      <c r="R664" s="2" t="s">
        <v>100</v>
      </c>
      <c r="S664" s="2" t="s">
        <v>2597</v>
      </c>
      <c r="T664" s="2" t="s">
        <v>100</v>
      </c>
      <c r="U664" s="2" t="s">
        <v>100</v>
      </c>
      <c r="V664" s="2" t="s">
        <v>367</v>
      </c>
      <c r="W664" s="2" t="s">
        <v>525</v>
      </c>
      <c r="X664" s="2" t="s">
        <v>717</v>
      </c>
      <c r="Y664" s="2" t="s">
        <v>2598</v>
      </c>
      <c r="Z664" s="4">
        <v>108</v>
      </c>
      <c r="AA664" s="4">
        <f>=ROUNDDOWN(12,0)</f>
      </c>
      <c r="AB664" s="5">
        <v>9</v>
      </c>
      <c r="AC664" s="2" t="s">
        <v>130</v>
      </c>
      <c r="AD664" s="4">
        <v>28</v>
      </c>
      <c r="AE664" s="4">
        <v>100</v>
      </c>
      <c r="AF664" s="6">
        <v>69</v>
      </c>
      <c r="AG664" s="6"/>
      <c r="AH664" s="7">
        <v>0.4194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/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/>
      <c r="BJ664" s="4">
        <v>8</v>
      </c>
      <c r="BK664" s="8">
        <v>803.33</v>
      </c>
      <c r="BL664" s="2" t="s">
        <v>700</v>
      </c>
      <c r="BM664" s="7"/>
      <c r="BN664" s="7"/>
      <c r="BO664" s="4"/>
      <c r="BP664" s="8"/>
      <c r="BQ664" s="4"/>
      <c r="BR664" s="8"/>
      <c r="BS664" s="7"/>
      <c r="BT664" s="7"/>
      <c r="BU664" s="2" t="s">
        <v>2551</v>
      </c>
      <c r="BV664" s="2" t="s">
        <v>97</v>
      </c>
      <c r="BW664" s="2" t="s">
        <v>100</v>
      </c>
      <c r="BX664" s="2" t="s">
        <v>100</v>
      </c>
      <c r="BY664" s="2" t="s">
        <v>112</v>
      </c>
      <c r="BZ664" s="2" t="s">
        <v>100</v>
      </c>
    </row>
    <row r="665">
      <c r="A665" s="2" t="s">
        <v>2734</v>
      </c>
      <c r="B665" s="2" t="s">
        <v>87</v>
      </c>
      <c r="C665" s="2" t="s">
        <v>2577</v>
      </c>
      <c r="D665" s="2" t="s">
        <v>1496</v>
      </c>
      <c r="E665" s="2" t="s">
        <v>1648</v>
      </c>
      <c r="F665" s="2" t="s">
        <v>2601</v>
      </c>
      <c r="G665" s="2" t="s">
        <v>100</v>
      </c>
      <c r="H665" s="2" t="s">
        <v>100</v>
      </c>
      <c r="I665" s="2" t="s">
        <v>2735</v>
      </c>
      <c r="J665" s="2" t="s">
        <v>1443</v>
      </c>
      <c r="K665" s="2" t="s">
        <v>179</v>
      </c>
      <c r="L665" s="3">
        <v>44.99</v>
      </c>
      <c r="M665" s="3">
        <v>47.24</v>
      </c>
      <c r="N665" s="3">
        <v>109.99</v>
      </c>
      <c r="O665" s="2" t="s">
        <v>97</v>
      </c>
      <c r="P665" s="2" t="s">
        <v>98</v>
      </c>
      <c r="Q665" s="2" t="s">
        <v>99</v>
      </c>
      <c r="R665" s="2" t="s">
        <v>100</v>
      </c>
      <c r="S665" s="2" t="s">
        <v>2603</v>
      </c>
      <c r="T665" s="2" t="s">
        <v>100</v>
      </c>
      <c r="U665" s="2" t="s">
        <v>100</v>
      </c>
      <c r="V665" s="2" t="s">
        <v>717</v>
      </c>
      <c r="W665" s="2" t="s">
        <v>717</v>
      </c>
      <c r="X665" s="2" t="s">
        <v>525</v>
      </c>
      <c r="Y665" s="2" t="s">
        <v>144</v>
      </c>
      <c r="Z665" s="4">
        <v>113</v>
      </c>
      <c r="AA665" s="4">
        <f>=ROUNDDOWN(49.1304347826087,0)</f>
      </c>
      <c r="AB665" s="5">
        <v>2.3</v>
      </c>
      <c r="AC665" s="2" t="s">
        <v>100</v>
      </c>
      <c r="AD665" s="4"/>
      <c r="AE665" s="4"/>
      <c r="AF665" s="6">
        <v>66</v>
      </c>
      <c r="AG665" s="6"/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/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/>
      <c r="BJ665" s="4">
        <v>7</v>
      </c>
      <c r="BK665" s="8">
        <v>316.05</v>
      </c>
      <c r="BL665" s="2" t="s">
        <v>2202</v>
      </c>
      <c r="BM665" s="7"/>
      <c r="BN665" s="7"/>
      <c r="BO665" s="4"/>
      <c r="BP665" s="8"/>
      <c r="BQ665" s="4"/>
      <c r="BR665" s="8"/>
      <c r="BS665" s="7"/>
      <c r="BT665" s="7"/>
      <c r="BU665" s="2" t="s">
        <v>2551</v>
      </c>
      <c r="BV665" s="2" t="s">
        <v>97</v>
      </c>
      <c r="BW665" s="2" t="s">
        <v>100</v>
      </c>
      <c r="BX665" s="2" t="s">
        <v>100</v>
      </c>
      <c r="BY665" s="2" t="s">
        <v>112</v>
      </c>
      <c r="BZ665" s="2" t="s">
        <v>100</v>
      </c>
    </row>
    <row r="666">
      <c r="A666" s="2" t="s">
        <v>2736</v>
      </c>
      <c r="B666" s="2" t="s">
        <v>87</v>
      </c>
      <c r="C666" s="2" t="s">
        <v>2577</v>
      </c>
      <c r="D666" s="2" t="s">
        <v>1496</v>
      </c>
      <c r="E666" s="2" t="s">
        <v>1648</v>
      </c>
      <c r="F666" s="2" t="s">
        <v>2601</v>
      </c>
      <c r="G666" s="2" t="s">
        <v>100</v>
      </c>
      <c r="H666" s="2" t="s">
        <v>100</v>
      </c>
      <c r="I666" s="2" t="s">
        <v>2737</v>
      </c>
      <c r="J666" s="2" t="s">
        <v>522</v>
      </c>
      <c r="K666" s="2" t="s">
        <v>179</v>
      </c>
      <c r="L666" s="3">
        <v>70</v>
      </c>
      <c r="M666" s="3">
        <v>73.49</v>
      </c>
      <c r="N666" s="3">
        <v>149.99</v>
      </c>
      <c r="O666" s="2" t="s">
        <v>97</v>
      </c>
      <c r="P666" s="2" t="s">
        <v>98</v>
      </c>
      <c r="Q666" s="2" t="s">
        <v>99</v>
      </c>
      <c r="R666" s="2" t="s">
        <v>100</v>
      </c>
      <c r="S666" s="2" t="s">
        <v>2603</v>
      </c>
      <c r="T666" s="2" t="s">
        <v>100</v>
      </c>
      <c r="U666" s="2" t="s">
        <v>100</v>
      </c>
      <c r="V666" s="2" t="s">
        <v>717</v>
      </c>
      <c r="W666" s="2" t="s">
        <v>717</v>
      </c>
      <c r="X666" s="2" t="s">
        <v>525</v>
      </c>
      <c r="Y666" s="2" t="s">
        <v>144</v>
      </c>
      <c r="Z666" s="4">
        <v>34</v>
      </c>
      <c r="AA666" s="4">
        <f>=ROUNDDOWN(11.3333333333333,0)</f>
      </c>
      <c r="AB666" s="5">
        <v>3</v>
      </c>
      <c r="AC666" s="2" t="s">
        <v>206</v>
      </c>
      <c r="AD666" s="4">
        <v>50</v>
      </c>
      <c r="AE666" s="4">
        <v>113</v>
      </c>
      <c r="AF666" s="6">
        <v>66</v>
      </c>
      <c r="AG666" s="6"/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100</v>
      </c>
      <c r="AW666" s="8" t="s">
        <v>100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/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/>
      <c r="BJ666" s="4">
        <v>15</v>
      </c>
      <c r="BK666" s="8">
        <v>926.01</v>
      </c>
      <c r="BL666" s="2" t="s">
        <v>2738</v>
      </c>
      <c r="BM666" s="7"/>
      <c r="BN666" s="7"/>
      <c r="BO666" s="4"/>
      <c r="BP666" s="8"/>
      <c r="BQ666" s="4"/>
      <c r="BR666" s="8"/>
      <c r="BS666" s="7"/>
      <c r="BT666" s="7"/>
      <c r="BU666" s="2" t="s">
        <v>2551</v>
      </c>
      <c r="BV666" s="2" t="s">
        <v>97</v>
      </c>
      <c r="BW666" s="2" t="s">
        <v>100</v>
      </c>
      <c r="BX666" s="2" t="s">
        <v>100</v>
      </c>
      <c r="BY666" s="2" t="s">
        <v>112</v>
      </c>
      <c r="BZ666" s="2" t="s">
        <v>100</v>
      </c>
    </row>
    <row r="667">
      <c r="A667" s="2" t="s">
        <v>2739</v>
      </c>
      <c r="B667" s="2" t="s">
        <v>87</v>
      </c>
      <c r="C667" s="2" t="s">
        <v>2577</v>
      </c>
      <c r="D667" s="2" t="s">
        <v>1496</v>
      </c>
      <c r="E667" s="2" t="s">
        <v>1648</v>
      </c>
      <c r="F667" s="2" t="s">
        <v>2601</v>
      </c>
      <c r="G667" s="2" t="s">
        <v>100</v>
      </c>
      <c r="H667" s="2" t="s">
        <v>100</v>
      </c>
      <c r="I667" s="2" t="s">
        <v>2737</v>
      </c>
      <c r="J667" s="2" t="s">
        <v>114</v>
      </c>
      <c r="K667" s="2" t="s">
        <v>179</v>
      </c>
      <c r="L667" s="3">
        <v>81.59</v>
      </c>
      <c r="M667" s="3">
        <v>85.67</v>
      </c>
      <c r="N667" s="3">
        <v>169.99</v>
      </c>
      <c r="O667" s="2" t="s">
        <v>97</v>
      </c>
      <c r="P667" s="2" t="s">
        <v>98</v>
      </c>
      <c r="Q667" s="2" t="s">
        <v>99</v>
      </c>
      <c r="R667" s="2" t="s">
        <v>100</v>
      </c>
      <c r="S667" s="2" t="s">
        <v>2603</v>
      </c>
      <c r="T667" s="2" t="s">
        <v>100</v>
      </c>
      <c r="U667" s="2" t="s">
        <v>100</v>
      </c>
      <c r="V667" s="2" t="s">
        <v>717</v>
      </c>
      <c r="W667" s="2" t="s">
        <v>717</v>
      </c>
      <c r="X667" s="2" t="s">
        <v>525</v>
      </c>
      <c r="Y667" s="2" t="s">
        <v>144</v>
      </c>
      <c r="Z667" s="4">
        <v>5</v>
      </c>
      <c r="AA667" s="4">
        <f>=ROUNDDOWN(2.5,0)</f>
      </c>
      <c r="AB667" s="5">
        <v>2</v>
      </c>
      <c r="AC667" s="2" t="s">
        <v>206</v>
      </c>
      <c r="AD667" s="4">
        <v>35</v>
      </c>
      <c r="AE667" s="4">
        <v>83</v>
      </c>
      <c r="AF667" s="6">
        <v>66</v>
      </c>
      <c r="AG667" s="6"/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/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/>
      <c r="BJ667" s="4">
        <v>3</v>
      </c>
      <c r="BK667" s="8">
        <v>256.34</v>
      </c>
      <c r="BL667" s="2" t="s">
        <v>2740</v>
      </c>
      <c r="BM667" s="7"/>
      <c r="BN667" s="7"/>
      <c r="BO667" s="4"/>
      <c r="BP667" s="8"/>
      <c r="BQ667" s="4"/>
      <c r="BR667" s="8"/>
      <c r="BS667" s="7"/>
      <c r="BT667" s="7"/>
      <c r="BU667" s="2" t="s">
        <v>2551</v>
      </c>
      <c r="BV667" s="2" t="s">
        <v>97</v>
      </c>
      <c r="BW667" s="2" t="s">
        <v>100</v>
      </c>
      <c r="BX667" s="2" t="s">
        <v>100</v>
      </c>
      <c r="BY667" s="2" t="s">
        <v>112</v>
      </c>
      <c r="BZ667" s="2" t="s">
        <v>100</v>
      </c>
    </row>
    <row r="668">
      <c r="A668" s="2" t="s">
        <v>2741</v>
      </c>
      <c r="B668" s="2" t="s">
        <v>87</v>
      </c>
      <c r="C668" s="2" t="s">
        <v>2577</v>
      </c>
      <c r="D668" s="2" t="s">
        <v>1496</v>
      </c>
      <c r="E668" s="2" t="s">
        <v>1648</v>
      </c>
      <c r="F668" s="2" t="s">
        <v>2578</v>
      </c>
      <c r="G668" s="2" t="s">
        <v>2578</v>
      </c>
      <c r="H668" s="2" t="s">
        <v>2578</v>
      </c>
      <c r="I668" s="2" t="s">
        <v>1608</v>
      </c>
      <c r="J668" s="2" t="s">
        <v>522</v>
      </c>
      <c r="K668" s="2" t="s">
        <v>179</v>
      </c>
      <c r="L668" s="3">
        <v>58.8</v>
      </c>
      <c r="M668" s="3">
        <v>61.73</v>
      </c>
      <c r="N668" s="3">
        <v>124.99</v>
      </c>
      <c r="O668" s="2" t="s">
        <v>97</v>
      </c>
      <c r="P668" s="2" t="s">
        <v>98</v>
      </c>
      <c r="Q668" s="2" t="s">
        <v>99</v>
      </c>
      <c r="R668" s="2" t="s">
        <v>100</v>
      </c>
      <c r="S668" s="2" t="s">
        <v>2580</v>
      </c>
      <c r="T668" s="2" t="s">
        <v>100</v>
      </c>
      <c r="U668" s="2" t="s">
        <v>100</v>
      </c>
      <c r="V668" s="2" t="s">
        <v>401</v>
      </c>
      <c r="W668" s="2" t="s">
        <v>104</v>
      </c>
      <c r="X668" s="2" t="s">
        <v>525</v>
      </c>
      <c r="Y668" s="2" t="s">
        <v>144</v>
      </c>
      <c r="Z668" s="4">
        <v>50</v>
      </c>
      <c r="AA668" s="4">
        <f>=ROUNDDOWN(25,0)</f>
      </c>
      <c r="AB668" s="5">
        <v>2</v>
      </c>
      <c r="AC668" s="2" t="s">
        <v>307</v>
      </c>
      <c r="AD668" s="4">
        <v>35</v>
      </c>
      <c r="AE668" s="4">
        <v>35</v>
      </c>
      <c r="AF668" s="6">
        <v>66</v>
      </c>
      <c r="AG668" s="6"/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/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/>
      <c r="BJ668" s="4">
        <v>4</v>
      </c>
      <c r="BK668" s="8">
        <v>238.58</v>
      </c>
      <c r="BL668" s="2" t="s">
        <v>2742</v>
      </c>
      <c r="BM668" s="7"/>
      <c r="BN668" s="7"/>
      <c r="BO668" s="4"/>
      <c r="BP668" s="8"/>
      <c r="BQ668" s="4"/>
      <c r="BR668" s="8"/>
      <c r="BS668" s="7"/>
      <c r="BT668" s="7"/>
      <c r="BU668" s="2" t="s">
        <v>2551</v>
      </c>
      <c r="BV668" s="2" t="s">
        <v>97</v>
      </c>
      <c r="BW668" s="2" t="s">
        <v>100</v>
      </c>
      <c r="BX668" s="2" t="s">
        <v>100</v>
      </c>
      <c r="BY668" s="2" t="s">
        <v>112</v>
      </c>
      <c r="BZ668" s="2" t="s">
        <v>100</v>
      </c>
    </row>
    <row r="669">
      <c r="A669" s="2" t="s">
        <v>2743</v>
      </c>
      <c r="B669" s="2" t="s">
        <v>87</v>
      </c>
      <c r="C669" s="2" t="s">
        <v>2577</v>
      </c>
      <c r="D669" s="2" t="s">
        <v>1496</v>
      </c>
      <c r="E669" s="2" t="s">
        <v>1648</v>
      </c>
      <c r="F669" s="2" t="s">
        <v>2578</v>
      </c>
      <c r="G669" s="2" t="s">
        <v>2578</v>
      </c>
      <c r="H669" s="2" t="s">
        <v>2578</v>
      </c>
      <c r="I669" s="2" t="s">
        <v>1608</v>
      </c>
      <c r="J669" s="2" t="s">
        <v>114</v>
      </c>
      <c r="K669" s="2" t="s">
        <v>179</v>
      </c>
      <c r="L669" s="3">
        <v>68.6</v>
      </c>
      <c r="M669" s="3">
        <v>72.02</v>
      </c>
      <c r="N669" s="3">
        <v>144.99</v>
      </c>
      <c r="O669" s="2" t="s">
        <v>97</v>
      </c>
      <c r="P669" s="2" t="s">
        <v>98</v>
      </c>
      <c r="Q669" s="2" t="s">
        <v>99</v>
      </c>
      <c r="R669" s="2" t="s">
        <v>100</v>
      </c>
      <c r="S669" s="2" t="s">
        <v>2580</v>
      </c>
      <c r="T669" s="2" t="s">
        <v>100</v>
      </c>
      <c r="U669" s="2" t="s">
        <v>100</v>
      </c>
      <c r="V669" s="2" t="s">
        <v>401</v>
      </c>
      <c r="W669" s="2" t="s">
        <v>104</v>
      </c>
      <c r="X669" s="2" t="s">
        <v>525</v>
      </c>
      <c r="Y669" s="2" t="s">
        <v>144</v>
      </c>
      <c r="Z669" s="4">
        <v>68</v>
      </c>
      <c r="AA669" s="4">
        <f>=ROUNDDOWN(34,0)</f>
      </c>
      <c r="AB669" s="5">
        <v>2</v>
      </c>
      <c r="AC669" s="2" t="s">
        <v>307</v>
      </c>
      <c r="AD669" s="4">
        <v>70</v>
      </c>
      <c r="AE669" s="4">
        <v>70</v>
      </c>
      <c r="AF669" s="6">
        <v>66</v>
      </c>
      <c r="AG669" s="6"/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/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/>
      <c r="BJ669" s="4">
        <v>9</v>
      </c>
      <c r="BK669" s="8">
        <v>537.58</v>
      </c>
      <c r="BL669" s="2" t="s">
        <v>2744</v>
      </c>
      <c r="BM669" s="7"/>
      <c r="BN669" s="7"/>
      <c r="BO669" s="4"/>
      <c r="BP669" s="8"/>
      <c r="BQ669" s="4"/>
      <c r="BR669" s="8"/>
      <c r="BS669" s="7"/>
      <c r="BT669" s="7"/>
      <c r="BU669" s="2" t="s">
        <v>2551</v>
      </c>
      <c r="BV669" s="2" t="s">
        <v>97</v>
      </c>
      <c r="BW669" s="2" t="s">
        <v>100</v>
      </c>
      <c r="BX669" s="2" t="s">
        <v>100</v>
      </c>
      <c r="BY669" s="2" t="s">
        <v>112</v>
      </c>
      <c r="BZ669" s="2" t="s">
        <v>100</v>
      </c>
    </row>
    <row r="670">
      <c r="A670" s="2" t="s">
        <v>2745</v>
      </c>
      <c r="B670" s="2" t="s">
        <v>87</v>
      </c>
      <c r="C670" s="2" t="s">
        <v>2577</v>
      </c>
      <c r="D670" s="2" t="s">
        <v>1496</v>
      </c>
      <c r="E670" s="2" t="s">
        <v>1648</v>
      </c>
      <c r="F670" s="2" t="s">
        <v>2583</v>
      </c>
      <c r="G670" s="2" t="s">
        <v>2583</v>
      </c>
      <c r="H670" s="2" t="s">
        <v>2583</v>
      </c>
      <c r="I670" s="2" t="s">
        <v>2746</v>
      </c>
      <c r="J670" s="2" t="s">
        <v>522</v>
      </c>
      <c r="K670" s="2" t="s">
        <v>471</v>
      </c>
      <c r="L670" s="3">
        <v>76.49</v>
      </c>
      <c r="M670" s="3">
        <v>80.32</v>
      </c>
      <c r="N670" s="3">
        <v>174.99</v>
      </c>
      <c r="O670" s="2" t="s">
        <v>97</v>
      </c>
      <c r="P670" s="2" t="s">
        <v>98</v>
      </c>
      <c r="Q670" s="2" t="s">
        <v>99</v>
      </c>
      <c r="R670" s="2" t="s">
        <v>100</v>
      </c>
      <c r="S670" s="2" t="s">
        <v>2584</v>
      </c>
      <c r="T670" s="2" t="s">
        <v>100</v>
      </c>
      <c r="U670" s="2" t="s">
        <v>100</v>
      </c>
      <c r="V670" s="2" t="s">
        <v>717</v>
      </c>
      <c r="W670" s="2" t="s">
        <v>717</v>
      </c>
      <c r="X670" s="2" t="s">
        <v>525</v>
      </c>
      <c r="Y670" s="2" t="s">
        <v>144</v>
      </c>
      <c r="Z670" s="4">
        <v>41</v>
      </c>
      <c r="AA670" s="4">
        <f>=ROUNDDOWN(20.5,0)</f>
      </c>
      <c r="AB670" s="5">
        <v>2</v>
      </c>
      <c r="AC670" s="2" t="s">
        <v>1468</v>
      </c>
      <c r="AD670" s="4">
        <v>15</v>
      </c>
      <c r="AE670" s="4">
        <v>45</v>
      </c>
      <c r="AF670" s="6">
        <v>68</v>
      </c>
      <c r="AG670" s="6"/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/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/>
      <c r="BJ670" s="4">
        <v>4</v>
      </c>
      <c r="BK670" s="8">
        <v>324.15</v>
      </c>
      <c r="BL670" s="2" t="s">
        <v>2747</v>
      </c>
      <c r="BM670" s="7"/>
      <c r="BN670" s="7"/>
      <c r="BO670" s="4"/>
      <c r="BP670" s="8"/>
      <c r="BQ670" s="4"/>
      <c r="BR670" s="8"/>
      <c r="BS670" s="7"/>
      <c r="BT670" s="7"/>
      <c r="BU670" s="2" t="s">
        <v>2551</v>
      </c>
      <c r="BV670" s="2" t="s">
        <v>97</v>
      </c>
      <c r="BW670" s="2" t="s">
        <v>100</v>
      </c>
      <c r="BX670" s="2" t="s">
        <v>100</v>
      </c>
      <c r="BY670" s="2" t="s">
        <v>112</v>
      </c>
      <c r="BZ670" s="2" t="s">
        <v>100</v>
      </c>
    </row>
    <row r="671">
      <c r="A671" s="2" t="s">
        <v>2748</v>
      </c>
      <c r="B671" s="2" t="s">
        <v>87</v>
      </c>
      <c r="C671" s="2" t="s">
        <v>2577</v>
      </c>
      <c r="D671" s="2" t="s">
        <v>1496</v>
      </c>
      <c r="E671" s="2" t="s">
        <v>1648</v>
      </c>
      <c r="F671" s="2" t="s">
        <v>2583</v>
      </c>
      <c r="G671" s="2" t="s">
        <v>2583</v>
      </c>
      <c r="H671" s="2" t="s">
        <v>2583</v>
      </c>
      <c r="I671" s="2" t="s">
        <v>2746</v>
      </c>
      <c r="J671" s="2" t="s">
        <v>529</v>
      </c>
      <c r="K671" s="2" t="s">
        <v>471</v>
      </c>
      <c r="L671" s="3">
        <v>86.69</v>
      </c>
      <c r="M671" s="3">
        <v>91.03</v>
      </c>
      <c r="N671" s="3">
        <v>194.99</v>
      </c>
      <c r="O671" s="2" t="s">
        <v>97</v>
      </c>
      <c r="P671" s="2" t="s">
        <v>98</v>
      </c>
      <c r="Q671" s="2" t="s">
        <v>99</v>
      </c>
      <c r="R671" s="2" t="s">
        <v>100</v>
      </c>
      <c r="S671" s="2" t="s">
        <v>2584</v>
      </c>
      <c r="T671" s="2" t="s">
        <v>100</v>
      </c>
      <c r="U671" s="2" t="s">
        <v>100</v>
      </c>
      <c r="V671" s="2" t="s">
        <v>717</v>
      </c>
      <c r="W671" s="2" t="s">
        <v>717</v>
      </c>
      <c r="X671" s="2" t="s">
        <v>525</v>
      </c>
      <c r="Y671" s="2" t="s">
        <v>144</v>
      </c>
      <c r="Z671" s="4">
        <v>1</v>
      </c>
      <c r="AA671" s="4">
        <f>=ROUNDDOWN(0.333333333333333,0)</f>
      </c>
      <c r="AB671" s="5">
        <v>3</v>
      </c>
      <c r="AC671" s="2" t="s">
        <v>725</v>
      </c>
      <c r="AD671" s="4">
        <v>55</v>
      </c>
      <c r="AE671" s="4">
        <v>127</v>
      </c>
      <c r="AF671" s="6">
        <v>68</v>
      </c>
      <c r="AG671" s="6"/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/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/>
      <c r="BJ671" s="4">
        <v>8</v>
      </c>
      <c r="BK671" s="8">
        <v>752.89</v>
      </c>
      <c r="BL671" s="2" t="s">
        <v>2749</v>
      </c>
      <c r="BM671" s="7"/>
      <c r="BN671" s="7"/>
      <c r="BO671" s="4"/>
      <c r="BP671" s="8"/>
      <c r="BQ671" s="4"/>
      <c r="BR671" s="8"/>
      <c r="BS671" s="7"/>
      <c r="BT671" s="7"/>
      <c r="BU671" s="2" t="s">
        <v>2551</v>
      </c>
      <c r="BV671" s="2" t="s">
        <v>97</v>
      </c>
      <c r="BW671" s="2" t="s">
        <v>100</v>
      </c>
      <c r="BX671" s="2" t="s">
        <v>100</v>
      </c>
      <c r="BY671" s="2" t="s">
        <v>112</v>
      </c>
      <c r="BZ671" s="2" t="s">
        <v>100</v>
      </c>
    </row>
    <row r="672">
      <c r="A672" s="2" t="s">
        <v>2750</v>
      </c>
      <c r="B672" s="2" t="s">
        <v>87</v>
      </c>
      <c r="C672" s="2" t="s">
        <v>2577</v>
      </c>
      <c r="D672" s="2" t="s">
        <v>1496</v>
      </c>
      <c r="E672" s="2" t="s">
        <v>1648</v>
      </c>
      <c r="F672" s="2" t="s">
        <v>2583</v>
      </c>
      <c r="G672" s="2" t="s">
        <v>2583</v>
      </c>
      <c r="H672" s="2" t="s">
        <v>2583</v>
      </c>
      <c r="I672" s="2" t="s">
        <v>2751</v>
      </c>
      <c r="J672" s="2" t="s">
        <v>522</v>
      </c>
      <c r="K672" s="2" t="s">
        <v>856</v>
      </c>
      <c r="L672" s="3">
        <v>81.59</v>
      </c>
      <c r="M672" s="3">
        <v>85.67</v>
      </c>
      <c r="N672" s="3">
        <v>174.99</v>
      </c>
      <c r="O672" s="2" t="s">
        <v>97</v>
      </c>
      <c r="P672" s="2" t="s">
        <v>156</v>
      </c>
      <c r="Q672" s="2" t="s">
        <v>99</v>
      </c>
      <c r="R672" s="2" t="s">
        <v>100</v>
      </c>
      <c r="S672" s="2" t="s">
        <v>2628</v>
      </c>
      <c r="T672" s="2" t="s">
        <v>100</v>
      </c>
      <c r="U672" s="2" t="s">
        <v>100</v>
      </c>
      <c r="V672" s="2" t="s">
        <v>717</v>
      </c>
      <c r="W672" s="2" t="s">
        <v>717</v>
      </c>
      <c r="X672" s="2" t="s">
        <v>525</v>
      </c>
      <c r="Y672" s="2" t="s">
        <v>144</v>
      </c>
      <c r="Z672" s="4">
        <v>31</v>
      </c>
      <c r="AA672" s="4">
        <f>=ROUNDDOWN(15.5,0)</f>
      </c>
      <c r="AB672" s="5">
        <v>2</v>
      </c>
      <c r="AC672" s="2" t="s">
        <v>725</v>
      </c>
      <c r="AD672" s="4">
        <v>20</v>
      </c>
      <c r="AE672" s="4">
        <v>70</v>
      </c>
      <c r="AF672" s="6">
        <v>68</v>
      </c>
      <c r="AG672" s="6"/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/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/>
      <c r="BJ672" s="4">
        <v>4</v>
      </c>
      <c r="BK672" s="8">
        <v>350</v>
      </c>
      <c r="BL672" s="2" t="s">
        <v>1655</v>
      </c>
      <c r="BM672" s="7"/>
      <c r="BN672" s="7"/>
      <c r="BO672" s="4"/>
      <c r="BP672" s="8"/>
      <c r="BQ672" s="4"/>
      <c r="BR672" s="8"/>
      <c r="BS672" s="7"/>
      <c r="BT672" s="7"/>
      <c r="BU672" s="2" t="s">
        <v>2526</v>
      </c>
      <c r="BV672" s="2" t="s">
        <v>97</v>
      </c>
      <c r="BW672" s="2" t="s">
        <v>100</v>
      </c>
      <c r="BX672" s="2" t="s">
        <v>100</v>
      </c>
      <c r="BY672" s="2" t="s">
        <v>112</v>
      </c>
      <c r="BZ672" s="2" t="s">
        <v>100</v>
      </c>
    </row>
    <row r="673">
      <c r="A673" s="2" t="s">
        <v>2752</v>
      </c>
      <c r="B673" s="2" t="s">
        <v>87</v>
      </c>
      <c r="C673" s="2" t="s">
        <v>2577</v>
      </c>
      <c r="D673" s="2" t="s">
        <v>1496</v>
      </c>
      <c r="E673" s="2" t="s">
        <v>1648</v>
      </c>
      <c r="F673" s="2" t="s">
        <v>2583</v>
      </c>
      <c r="G673" s="2" t="s">
        <v>2583</v>
      </c>
      <c r="H673" s="2" t="s">
        <v>2583</v>
      </c>
      <c r="I673" s="2" t="s">
        <v>2751</v>
      </c>
      <c r="J673" s="2" t="s">
        <v>529</v>
      </c>
      <c r="K673" s="2" t="s">
        <v>856</v>
      </c>
      <c r="L673" s="3">
        <v>96.89</v>
      </c>
      <c r="M673" s="3">
        <v>101.74</v>
      </c>
      <c r="N673" s="3">
        <v>204.99</v>
      </c>
      <c r="O673" s="2" t="s">
        <v>97</v>
      </c>
      <c r="P673" s="2" t="s">
        <v>156</v>
      </c>
      <c r="Q673" s="2" t="s">
        <v>99</v>
      </c>
      <c r="R673" s="2" t="s">
        <v>100</v>
      </c>
      <c r="S673" s="2" t="s">
        <v>2628</v>
      </c>
      <c r="T673" s="2" t="s">
        <v>100</v>
      </c>
      <c r="U673" s="2" t="s">
        <v>100</v>
      </c>
      <c r="V673" s="2" t="s">
        <v>717</v>
      </c>
      <c r="W673" s="2" t="s">
        <v>717</v>
      </c>
      <c r="X673" s="2" t="s">
        <v>525</v>
      </c>
      <c r="Y673" s="2" t="s">
        <v>144</v>
      </c>
      <c r="Z673" s="4">
        <v>11</v>
      </c>
      <c r="AA673" s="4">
        <f>=ROUNDDOWN(5.5,0)</f>
      </c>
      <c r="AB673" s="5">
        <v>2</v>
      </c>
      <c r="AC673" s="2" t="s">
        <v>725</v>
      </c>
      <c r="AD673" s="4">
        <v>20</v>
      </c>
      <c r="AE673" s="4">
        <v>90</v>
      </c>
      <c r="AF673" s="6">
        <v>68</v>
      </c>
      <c r="AG673" s="6"/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/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/>
      <c r="BJ673" s="4">
        <v>5</v>
      </c>
      <c r="BK673" s="8">
        <v>627.19</v>
      </c>
      <c r="BL673" s="2" t="s">
        <v>2753</v>
      </c>
      <c r="BM673" s="7"/>
      <c r="BN673" s="7"/>
      <c r="BO673" s="4"/>
      <c r="BP673" s="8"/>
      <c r="BQ673" s="4"/>
      <c r="BR673" s="8"/>
      <c r="BS673" s="7"/>
      <c r="BT673" s="7"/>
      <c r="BU673" s="2" t="s">
        <v>2526</v>
      </c>
      <c r="BV673" s="2" t="s">
        <v>97</v>
      </c>
      <c r="BW673" s="2" t="s">
        <v>100</v>
      </c>
      <c r="BX673" s="2" t="s">
        <v>100</v>
      </c>
      <c r="BY673" s="2" t="s">
        <v>112</v>
      </c>
      <c r="BZ673" s="2" t="s">
        <v>100</v>
      </c>
    </row>
    <row r="674">
      <c r="A674" s="2" t="s">
        <v>2754</v>
      </c>
      <c r="B674" s="2" t="s">
        <v>87</v>
      </c>
      <c r="C674" s="2" t="s">
        <v>2577</v>
      </c>
      <c r="D674" s="2" t="s">
        <v>1496</v>
      </c>
      <c r="E674" s="2" t="s">
        <v>1648</v>
      </c>
      <c r="F674" s="2" t="s">
        <v>2640</v>
      </c>
      <c r="G674" s="2" t="s">
        <v>2640</v>
      </c>
      <c r="H674" s="2" t="s">
        <v>2640</v>
      </c>
      <c r="I674" s="2" t="s">
        <v>2755</v>
      </c>
      <c r="J674" s="2" t="s">
        <v>522</v>
      </c>
      <c r="K674" s="2" t="s">
        <v>96</v>
      </c>
      <c r="L674" s="3">
        <v>75</v>
      </c>
      <c r="M674" s="3">
        <v>78.74</v>
      </c>
      <c r="N674" s="3">
        <v>159.99</v>
      </c>
      <c r="O674" s="2" t="s">
        <v>97</v>
      </c>
      <c r="P674" s="2" t="s">
        <v>156</v>
      </c>
      <c r="Q674" s="2" t="s">
        <v>99</v>
      </c>
      <c r="R674" s="2" t="s">
        <v>100</v>
      </c>
      <c r="S674" s="2" t="s">
        <v>2642</v>
      </c>
      <c r="T674" s="2" t="s">
        <v>100</v>
      </c>
      <c r="U674" s="2" t="s">
        <v>100</v>
      </c>
      <c r="V674" s="2" t="s">
        <v>304</v>
      </c>
      <c r="W674" s="2" t="s">
        <v>104</v>
      </c>
      <c r="X674" s="2" t="s">
        <v>525</v>
      </c>
      <c r="Y674" s="2" t="s">
        <v>2598</v>
      </c>
      <c r="Z674" s="4">
        <v>29</v>
      </c>
      <c r="AA674" s="4">
        <f>=ROUNDDOWN(14.5,0)</f>
      </c>
      <c r="AB674" s="5">
        <v>2</v>
      </c>
      <c r="AC674" s="2" t="s">
        <v>262</v>
      </c>
      <c r="AD674" s="4">
        <v>12</v>
      </c>
      <c r="AE674" s="4">
        <v>79</v>
      </c>
      <c r="AF674" s="6">
        <v>66</v>
      </c>
      <c r="AG674" s="6"/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/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/>
      <c r="BJ674" s="4">
        <v>8</v>
      </c>
      <c r="BK674" s="8">
        <v>635.6</v>
      </c>
      <c r="BL674" s="2" t="s">
        <v>2656</v>
      </c>
      <c r="BM674" s="7"/>
      <c r="BN674" s="7"/>
      <c r="BO674" s="4"/>
      <c r="BP674" s="8"/>
      <c r="BQ674" s="4"/>
      <c r="BR674" s="8"/>
      <c r="BS674" s="7"/>
      <c r="BT674" s="7"/>
      <c r="BU674" s="2" t="s">
        <v>2526</v>
      </c>
      <c r="BV674" s="2" t="s">
        <v>97</v>
      </c>
      <c r="BW674" s="2" t="s">
        <v>100</v>
      </c>
      <c r="BX674" s="2" t="s">
        <v>100</v>
      </c>
      <c r="BY674" s="2" t="s">
        <v>112</v>
      </c>
      <c r="BZ674" s="2" t="s">
        <v>100</v>
      </c>
    </row>
    <row r="675">
      <c r="A675" s="2" t="s">
        <v>2756</v>
      </c>
      <c r="B675" s="2" t="s">
        <v>87</v>
      </c>
      <c r="C675" s="2" t="s">
        <v>2577</v>
      </c>
      <c r="D675" s="2" t="s">
        <v>1496</v>
      </c>
      <c r="E675" s="2" t="s">
        <v>1648</v>
      </c>
      <c r="F675" s="2" t="s">
        <v>2640</v>
      </c>
      <c r="G675" s="2" t="s">
        <v>2640</v>
      </c>
      <c r="H675" s="2" t="s">
        <v>2640</v>
      </c>
      <c r="I675" s="2" t="s">
        <v>2755</v>
      </c>
      <c r="J675" s="2" t="s">
        <v>114</v>
      </c>
      <c r="K675" s="2" t="s">
        <v>96</v>
      </c>
      <c r="L675" s="3">
        <v>85</v>
      </c>
      <c r="M675" s="3">
        <v>89.24</v>
      </c>
      <c r="N675" s="3">
        <v>179.99</v>
      </c>
      <c r="O675" s="2" t="s">
        <v>97</v>
      </c>
      <c r="P675" s="2" t="s">
        <v>156</v>
      </c>
      <c r="Q675" s="2" t="s">
        <v>99</v>
      </c>
      <c r="R675" s="2" t="s">
        <v>100</v>
      </c>
      <c r="S675" s="2" t="s">
        <v>2642</v>
      </c>
      <c r="T675" s="2" t="s">
        <v>100</v>
      </c>
      <c r="U675" s="2" t="s">
        <v>100</v>
      </c>
      <c r="V675" s="2" t="s">
        <v>304</v>
      </c>
      <c r="W675" s="2" t="s">
        <v>104</v>
      </c>
      <c r="X675" s="2" t="s">
        <v>525</v>
      </c>
      <c r="Y675" s="2" t="s">
        <v>2598</v>
      </c>
      <c r="Z675" s="4">
        <v>80</v>
      </c>
      <c r="AA675" s="4">
        <f>=ROUNDDOWN(40,0)</f>
      </c>
      <c r="AB675" s="5">
        <v>2</v>
      </c>
      <c r="AC675" s="2" t="s">
        <v>262</v>
      </c>
      <c r="AD675" s="4">
        <v>55</v>
      </c>
      <c r="AE675" s="4">
        <v>83</v>
      </c>
      <c r="AF675" s="6">
        <v>66</v>
      </c>
      <c r="AG675" s="6"/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/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/>
      <c r="BJ675" s="4">
        <v>13</v>
      </c>
      <c r="BK675" s="8">
        <v>1224.97</v>
      </c>
      <c r="BL675" s="2" t="s">
        <v>2757</v>
      </c>
      <c r="BM675" s="7"/>
      <c r="BN675" s="7"/>
      <c r="BO675" s="4"/>
      <c r="BP675" s="8"/>
      <c r="BQ675" s="4"/>
      <c r="BR675" s="8"/>
      <c r="BS675" s="7"/>
      <c r="BT675" s="7"/>
      <c r="BU675" s="2" t="s">
        <v>2526</v>
      </c>
      <c r="BV675" s="2" t="s">
        <v>97</v>
      </c>
      <c r="BW675" s="2" t="s">
        <v>100</v>
      </c>
      <c r="BX675" s="2" t="s">
        <v>100</v>
      </c>
      <c r="BY675" s="2" t="s">
        <v>112</v>
      </c>
      <c r="BZ675" s="2" t="s">
        <v>100</v>
      </c>
    </row>
    <row r="676">
      <c r="A676" s="2" t="s">
        <v>2758</v>
      </c>
      <c r="B676" s="2" t="s">
        <v>87</v>
      </c>
      <c r="C676" s="2" t="s">
        <v>2577</v>
      </c>
      <c r="D676" s="2" t="s">
        <v>1496</v>
      </c>
      <c r="E676" s="2" t="s">
        <v>1648</v>
      </c>
      <c r="F676" s="2" t="s">
        <v>2650</v>
      </c>
      <c r="G676" s="2" t="s">
        <v>2650</v>
      </c>
      <c r="H676" s="2" t="s">
        <v>2650</v>
      </c>
      <c r="I676" s="2" t="s">
        <v>2755</v>
      </c>
      <c r="J676" s="2" t="s">
        <v>522</v>
      </c>
      <c r="K676" s="2" t="s">
        <v>706</v>
      </c>
      <c r="L676" s="3">
        <v>75</v>
      </c>
      <c r="M676" s="3">
        <v>78.74</v>
      </c>
      <c r="N676" s="3">
        <v>149.99</v>
      </c>
      <c r="O676" s="2" t="s">
        <v>97</v>
      </c>
      <c r="P676" s="2" t="s">
        <v>156</v>
      </c>
      <c r="Q676" s="2" t="s">
        <v>99</v>
      </c>
      <c r="R676" s="2" t="s">
        <v>100</v>
      </c>
      <c r="S676" s="2" t="s">
        <v>2651</v>
      </c>
      <c r="T676" s="2" t="s">
        <v>190</v>
      </c>
      <c r="U676" s="2" t="s">
        <v>460</v>
      </c>
      <c r="V676" s="2" t="s">
        <v>733</v>
      </c>
      <c r="W676" s="2" t="s">
        <v>525</v>
      </c>
      <c r="X676" s="2" t="s">
        <v>2523</v>
      </c>
      <c r="Y676" s="2" t="s">
        <v>2759</v>
      </c>
      <c r="Z676" s="4">
        <v>39</v>
      </c>
      <c r="AA676" s="4">
        <f>=ROUNDDOWN(19.5,0)</f>
      </c>
      <c r="AB676" s="5">
        <v>2</v>
      </c>
      <c r="AC676" s="2" t="s">
        <v>2581</v>
      </c>
      <c r="AD676" s="4">
        <v>10</v>
      </c>
      <c r="AE676" s="4">
        <v>10</v>
      </c>
      <c r="AF676" s="6">
        <v>66</v>
      </c>
      <c r="AG676" s="6"/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/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/>
      <c r="BJ676" s="4">
        <v>11</v>
      </c>
      <c r="BK676" s="8">
        <v>869.58</v>
      </c>
      <c r="BL676" s="2" t="s">
        <v>1636</v>
      </c>
      <c r="BM676" s="7"/>
      <c r="BN676" s="7"/>
      <c r="BO676" s="4"/>
      <c r="BP676" s="8"/>
      <c r="BQ676" s="4"/>
      <c r="BR676" s="8"/>
      <c r="BS676" s="7"/>
      <c r="BT676" s="7"/>
      <c r="BU676" s="2" t="s">
        <v>2526</v>
      </c>
      <c r="BV676" s="2" t="s">
        <v>97</v>
      </c>
      <c r="BW676" s="2" t="s">
        <v>100</v>
      </c>
      <c r="BX676" s="2" t="s">
        <v>100</v>
      </c>
      <c r="BY676" s="2" t="s">
        <v>112</v>
      </c>
      <c r="BZ676" s="2" t="s">
        <v>100</v>
      </c>
    </row>
    <row r="677">
      <c r="A677" s="2" t="s">
        <v>2760</v>
      </c>
      <c r="B677" s="2" t="s">
        <v>87</v>
      </c>
      <c r="C677" s="2" t="s">
        <v>2577</v>
      </c>
      <c r="D677" s="2" t="s">
        <v>1496</v>
      </c>
      <c r="E677" s="2" t="s">
        <v>1648</v>
      </c>
      <c r="F677" s="2" t="s">
        <v>2650</v>
      </c>
      <c r="G677" s="2" t="s">
        <v>2650</v>
      </c>
      <c r="H677" s="2" t="s">
        <v>2650</v>
      </c>
      <c r="I677" s="2" t="s">
        <v>2755</v>
      </c>
      <c r="J677" s="2" t="s">
        <v>114</v>
      </c>
      <c r="K677" s="2" t="s">
        <v>706</v>
      </c>
      <c r="L677" s="3">
        <v>85</v>
      </c>
      <c r="M677" s="3">
        <v>89.24</v>
      </c>
      <c r="N677" s="3">
        <v>169.99</v>
      </c>
      <c r="O677" s="2" t="s">
        <v>97</v>
      </c>
      <c r="P677" s="2" t="s">
        <v>156</v>
      </c>
      <c r="Q677" s="2" t="s">
        <v>99</v>
      </c>
      <c r="R677" s="2" t="s">
        <v>100</v>
      </c>
      <c r="S677" s="2" t="s">
        <v>2651</v>
      </c>
      <c r="T677" s="2" t="s">
        <v>190</v>
      </c>
      <c r="U677" s="2" t="s">
        <v>460</v>
      </c>
      <c r="V677" s="2" t="s">
        <v>733</v>
      </c>
      <c r="W677" s="2" t="s">
        <v>525</v>
      </c>
      <c r="X677" s="2" t="s">
        <v>2523</v>
      </c>
      <c r="Y677" s="2" t="s">
        <v>2759</v>
      </c>
      <c r="Z677" s="4">
        <v>58</v>
      </c>
      <c r="AA677" s="4">
        <f>=ROUNDDOWN(19.3333333333333,0)</f>
      </c>
      <c r="AB677" s="5">
        <v>3</v>
      </c>
      <c r="AC677" s="2" t="s">
        <v>2581</v>
      </c>
      <c r="AD677" s="4">
        <v>20</v>
      </c>
      <c r="AE677" s="4">
        <v>20</v>
      </c>
      <c r="AF677" s="6">
        <v>66</v>
      </c>
      <c r="AG677" s="6"/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/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/>
      <c r="BJ677" s="4">
        <v>9</v>
      </c>
      <c r="BK677" s="8">
        <v>849.16</v>
      </c>
      <c r="BL677" s="2" t="s">
        <v>1636</v>
      </c>
      <c r="BM677" s="7"/>
      <c r="BN677" s="7"/>
      <c r="BO677" s="4"/>
      <c r="BP677" s="8"/>
      <c r="BQ677" s="4"/>
      <c r="BR677" s="8"/>
      <c r="BS677" s="7"/>
      <c r="BT677" s="7"/>
      <c r="BU677" s="2" t="s">
        <v>2526</v>
      </c>
      <c r="BV677" s="2" t="s">
        <v>97</v>
      </c>
      <c r="BW677" s="2" t="s">
        <v>100</v>
      </c>
      <c r="BX677" s="2" t="s">
        <v>100</v>
      </c>
      <c r="BY677" s="2" t="s">
        <v>112</v>
      </c>
      <c r="BZ677" s="2" t="s">
        <v>100</v>
      </c>
    </row>
    <row r="678">
      <c r="A678" s="2" t="s">
        <v>2761</v>
      </c>
      <c r="B678" s="2" t="s">
        <v>87</v>
      </c>
      <c r="C678" s="2" t="s">
        <v>2577</v>
      </c>
      <c r="D678" s="2" t="s">
        <v>1496</v>
      </c>
      <c r="E678" s="2" t="s">
        <v>1648</v>
      </c>
      <c r="F678" s="2" t="s">
        <v>2659</v>
      </c>
      <c r="G678" s="2" t="s">
        <v>2659</v>
      </c>
      <c r="H678" s="2" t="s">
        <v>2659</v>
      </c>
      <c r="I678" s="2" t="s">
        <v>2762</v>
      </c>
      <c r="J678" s="2" t="s">
        <v>522</v>
      </c>
      <c r="K678" s="2" t="s">
        <v>706</v>
      </c>
      <c r="L678" s="3">
        <v>75</v>
      </c>
      <c r="M678" s="3">
        <v>78.74</v>
      </c>
      <c r="N678" s="3">
        <v>159.99</v>
      </c>
      <c r="O678" s="2" t="s">
        <v>97</v>
      </c>
      <c r="P678" s="2" t="s">
        <v>156</v>
      </c>
      <c r="Q678" s="2" t="s">
        <v>99</v>
      </c>
      <c r="R678" s="2" t="s">
        <v>100</v>
      </c>
      <c r="S678" s="2" t="s">
        <v>2661</v>
      </c>
      <c r="T678" s="2" t="s">
        <v>100</v>
      </c>
      <c r="U678" s="2" t="s">
        <v>100</v>
      </c>
      <c r="V678" s="2" t="s">
        <v>733</v>
      </c>
      <c r="W678" s="2" t="s">
        <v>717</v>
      </c>
      <c r="X678" s="2" t="s">
        <v>525</v>
      </c>
      <c r="Y678" s="2" t="s">
        <v>144</v>
      </c>
      <c r="Z678" s="4">
        <v>19</v>
      </c>
      <c r="AA678" s="4">
        <f>=ROUNDDOWN(19,0)</f>
      </c>
      <c r="AB678" s="5">
        <v>1</v>
      </c>
      <c r="AC678" s="2" t="s">
        <v>629</v>
      </c>
      <c r="AD678" s="4">
        <v>10</v>
      </c>
      <c r="AE678" s="4">
        <v>20</v>
      </c>
      <c r="AF678" s="6">
        <v>66</v>
      </c>
      <c r="AG678" s="6"/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100</v>
      </c>
      <c r="AW678" s="8" t="s">
        <v>100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/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/>
      <c r="BJ678" s="4">
        <v>2</v>
      </c>
      <c r="BK678" s="8">
        <v>142.67</v>
      </c>
      <c r="BL678" s="2" t="s">
        <v>2763</v>
      </c>
      <c r="BM678" s="7"/>
      <c r="BN678" s="7"/>
      <c r="BO678" s="4"/>
      <c r="BP678" s="8"/>
      <c r="BQ678" s="4"/>
      <c r="BR678" s="8"/>
      <c r="BS678" s="7"/>
      <c r="BT678" s="7"/>
      <c r="BU678" s="2" t="s">
        <v>2526</v>
      </c>
      <c r="BV678" s="2" t="s">
        <v>97</v>
      </c>
      <c r="BW678" s="2" t="s">
        <v>100</v>
      </c>
      <c r="BX678" s="2" t="s">
        <v>100</v>
      </c>
      <c r="BY678" s="2" t="s">
        <v>112</v>
      </c>
      <c r="BZ678" s="2" t="s">
        <v>100</v>
      </c>
    </row>
    <row r="679">
      <c r="A679" s="2" t="s">
        <v>2764</v>
      </c>
      <c r="B679" s="2" t="s">
        <v>87</v>
      </c>
      <c r="C679" s="2" t="s">
        <v>2577</v>
      </c>
      <c r="D679" s="2" t="s">
        <v>1496</v>
      </c>
      <c r="E679" s="2" t="s">
        <v>1648</v>
      </c>
      <c r="F679" s="2" t="s">
        <v>2659</v>
      </c>
      <c r="G679" s="2" t="s">
        <v>2659</v>
      </c>
      <c r="H679" s="2" t="s">
        <v>2659</v>
      </c>
      <c r="I679" s="2" t="s">
        <v>2762</v>
      </c>
      <c r="J679" s="2" t="s">
        <v>529</v>
      </c>
      <c r="K679" s="2" t="s">
        <v>706</v>
      </c>
      <c r="L679" s="3">
        <v>85</v>
      </c>
      <c r="M679" s="3">
        <v>89.24</v>
      </c>
      <c r="N679" s="3">
        <v>179.99</v>
      </c>
      <c r="O679" s="2" t="s">
        <v>97</v>
      </c>
      <c r="P679" s="2" t="s">
        <v>156</v>
      </c>
      <c r="Q679" s="2" t="s">
        <v>99</v>
      </c>
      <c r="R679" s="2" t="s">
        <v>100</v>
      </c>
      <c r="S679" s="2" t="s">
        <v>2661</v>
      </c>
      <c r="T679" s="2" t="s">
        <v>100</v>
      </c>
      <c r="U679" s="2" t="s">
        <v>100</v>
      </c>
      <c r="V679" s="2" t="s">
        <v>733</v>
      </c>
      <c r="W679" s="2" t="s">
        <v>717</v>
      </c>
      <c r="X679" s="2" t="s">
        <v>525</v>
      </c>
      <c r="Y679" s="2" t="s">
        <v>144</v>
      </c>
      <c r="Z679" s="4">
        <v>39</v>
      </c>
      <c r="AA679" s="4">
        <f>=ROUNDDOWN(19.5,0)</f>
      </c>
      <c r="AB679" s="5">
        <v>2</v>
      </c>
      <c r="AC679" s="2" t="s">
        <v>629</v>
      </c>
      <c r="AD679" s="4">
        <v>45</v>
      </c>
      <c r="AE679" s="4">
        <v>85</v>
      </c>
      <c r="AF679" s="6">
        <v>66</v>
      </c>
      <c r="AG679" s="6"/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/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/>
      <c r="BJ679" s="4">
        <v>6</v>
      </c>
      <c r="BK679" s="8">
        <v>511.37</v>
      </c>
      <c r="BL679" s="2" t="s">
        <v>2765</v>
      </c>
      <c r="BM679" s="7"/>
      <c r="BN679" s="7"/>
      <c r="BO679" s="4"/>
      <c r="BP679" s="8"/>
      <c r="BQ679" s="4"/>
      <c r="BR679" s="8"/>
      <c r="BS679" s="7"/>
      <c r="BT679" s="7"/>
      <c r="BU679" s="2" t="s">
        <v>2526</v>
      </c>
      <c r="BV679" s="2" t="s">
        <v>97</v>
      </c>
      <c r="BW679" s="2" t="s">
        <v>100</v>
      </c>
      <c r="BX679" s="2" t="s">
        <v>100</v>
      </c>
      <c r="BY679" s="2" t="s">
        <v>112</v>
      </c>
      <c r="BZ679" s="2" t="s">
        <v>100</v>
      </c>
    </row>
    <row r="680">
      <c r="A680" s="2" t="s">
        <v>2766</v>
      </c>
      <c r="B680" s="2" t="s">
        <v>87</v>
      </c>
      <c r="C680" s="2" t="s">
        <v>2577</v>
      </c>
      <c r="D680" s="2" t="s">
        <v>1496</v>
      </c>
      <c r="E680" s="2" t="s">
        <v>1648</v>
      </c>
      <c r="F680" s="2" t="s">
        <v>2591</v>
      </c>
      <c r="G680" s="2" t="s">
        <v>2591</v>
      </c>
      <c r="H680" s="2" t="s">
        <v>2591</v>
      </c>
      <c r="I680" s="2" t="s">
        <v>2746</v>
      </c>
      <c r="J680" s="2" t="s">
        <v>522</v>
      </c>
      <c r="K680" s="2" t="s">
        <v>458</v>
      </c>
      <c r="L680" s="3">
        <v>96.89</v>
      </c>
      <c r="M680" s="3">
        <v>101.74</v>
      </c>
      <c r="N680" s="3">
        <v>199.99</v>
      </c>
      <c r="O680" s="2" t="s">
        <v>97</v>
      </c>
      <c r="P680" s="2" t="s">
        <v>123</v>
      </c>
      <c r="Q680" s="2" t="s">
        <v>99</v>
      </c>
      <c r="R680" s="2" t="s">
        <v>100</v>
      </c>
      <c r="S680" s="2" t="s">
        <v>2592</v>
      </c>
      <c r="T680" s="2" t="s">
        <v>100</v>
      </c>
      <c r="U680" s="2" t="s">
        <v>100</v>
      </c>
      <c r="V680" s="2" t="s">
        <v>717</v>
      </c>
      <c r="W680" s="2" t="s">
        <v>717</v>
      </c>
      <c r="X680" s="2" t="s">
        <v>525</v>
      </c>
      <c r="Y680" s="2" t="s">
        <v>144</v>
      </c>
      <c r="Z680" s="4">
        <v>314</v>
      </c>
      <c r="AA680" s="4">
        <f>=ROUNDDOWN(157,0)</f>
      </c>
      <c r="AB680" s="5">
        <v>2</v>
      </c>
      <c r="AC680" s="2" t="s">
        <v>100</v>
      </c>
      <c r="AD680" s="4"/>
      <c r="AE680" s="4"/>
      <c r="AF680" s="6">
        <v>66</v>
      </c>
      <c r="AG680" s="6"/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100</v>
      </c>
      <c r="AW680" s="8" t="s">
        <v>100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/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/>
      <c r="BJ680" s="4">
        <v>16</v>
      </c>
      <c r="BK680" s="8">
        <v>1684.85</v>
      </c>
      <c r="BL680" s="2" t="s">
        <v>2767</v>
      </c>
      <c r="BM680" s="7"/>
      <c r="BN680" s="7"/>
      <c r="BO680" s="4"/>
      <c r="BP680" s="8"/>
      <c r="BQ680" s="4"/>
      <c r="BR680" s="8"/>
      <c r="BS680" s="7"/>
      <c r="BT680" s="7"/>
      <c r="BU680" s="2" t="s">
        <v>2551</v>
      </c>
      <c r="BV680" s="2" t="s">
        <v>97</v>
      </c>
      <c r="BW680" s="2" t="s">
        <v>100</v>
      </c>
      <c r="BX680" s="2" t="s">
        <v>100</v>
      </c>
      <c r="BY680" s="2" t="s">
        <v>112</v>
      </c>
      <c r="BZ680" s="2" t="s">
        <v>100</v>
      </c>
    </row>
    <row r="681">
      <c r="A681" s="2" t="s">
        <v>2768</v>
      </c>
      <c r="B681" s="2" t="s">
        <v>87</v>
      </c>
      <c r="C681" s="2" t="s">
        <v>2577</v>
      </c>
      <c r="D681" s="2" t="s">
        <v>1496</v>
      </c>
      <c r="E681" s="2" t="s">
        <v>1648</v>
      </c>
      <c r="F681" s="2" t="s">
        <v>2591</v>
      </c>
      <c r="G681" s="2" t="s">
        <v>2591</v>
      </c>
      <c r="H681" s="2" t="s">
        <v>2591</v>
      </c>
      <c r="I681" s="2" t="s">
        <v>2746</v>
      </c>
      <c r="J681" s="2" t="s">
        <v>114</v>
      </c>
      <c r="K681" s="2" t="s">
        <v>458</v>
      </c>
      <c r="L681" s="3">
        <v>109.19</v>
      </c>
      <c r="M681" s="3">
        <v>114.65</v>
      </c>
      <c r="N681" s="3">
        <v>224.99</v>
      </c>
      <c r="O681" s="2" t="s">
        <v>97</v>
      </c>
      <c r="P681" s="2" t="s">
        <v>123</v>
      </c>
      <c r="Q681" s="2" t="s">
        <v>99</v>
      </c>
      <c r="R681" s="2" t="s">
        <v>100</v>
      </c>
      <c r="S681" s="2" t="s">
        <v>2592</v>
      </c>
      <c r="T681" s="2" t="s">
        <v>100</v>
      </c>
      <c r="U681" s="2" t="s">
        <v>100</v>
      </c>
      <c r="V681" s="2" t="s">
        <v>717</v>
      </c>
      <c r="W681" s="2" t="s">
        <v>717</v>
      </c>
      <c r="X681" s="2" t="s">
        <v>525</v>
      </c>
      <c r="Y681" s="2" t="s">
        <v>144</v>
      </c>
      <c r="Z681" s="4">
        <v>83</v>
      </c>
      <c r="AA681" s="4">
        <f>=ROUNDDOWN(27.6666666666667,0)</f>
      </c>
      <c r="AB681" s="5">
        <v>3</v>
      </c>
      <c r="AC681" s="2" t="s">
        <v>100</v>
      </c>
      <c r="AD681" s="4"/>
      <c r="AE681" s="4"/>
      <c r="AF681" s="6">
        <v>66</v>
      </c>
      <c r="AG681" s="6"/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/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/>
      <c r="BJ681" s="4">
        <v>8</v>
      </c>
      <c r="BK681" s="8">
        <v>899.4</v>
      </c>
      <c r="BL681" s="2" t="s">
        <v>2769</v>
      </c>
      <c r="BM681" s="7"/>
      <c r="BN681" s="7"/>
      <c r="BO681" s="4"/>
      <c r="BP681" s="8"/>
      <c r="BQ681" s="4"/>
      <c r="BR681" s="8"/>
      <c r="BS681" s="7"/>
      <c r="BT681" s="7"/>
      <c r="BU681" s="2" t="s">
        <v>2551</v>
      </c>
      <c r="BV681" s="2" t="s">
        <v>97</v>
      </c>
      <c r="BW681" s="2" t="s">
        <v>100</v>
      </c>
      <c r="BX681" s="2" t="s">
        <v>100</v>
      </c>
      <c r="BY681" s="2" t="s">
        <v>112</v>
      </c>
      <c r="BZ681" s="2" t="s">
        <v>100</v>
      </c>
    </row>
    <row r="682">
      <c r="A682" s="2" t="s">
        <v>2770</v>
      </c>
      <c r="B682" s="2" t="s">
        <v>87</v>
      </c>
      <c r="C682" s="2" t="s">
        <v>2577</v>
      </c>
      <c r="D682" s="2" t="s">
        <v>1496</v>
      </c>
      <c r="E682" s="2" t="s">
        <v>1648</v>
      </c>
      <c r="F682" s="2" t="s">
        <v>2684</v>
      </c>
      <c r="G682" s="2" t="s">
        <v>2684</v>
      </c>
      <c r="H682" s="2" t="s">
        <v>2684</v>
      </c>
      <c r="I682" s="2" t="s">
        <v>2771</v>
      </c>
      <c r="J682" s="2" t="s">
        <v>522</v>
      </c>
      <c r="K682" s="2" t="s">
        <v>2686</v>
      </c>
      <c r="L682" s="3">
        <v>80</v>
      </c>
      <c r="M682" s="3">
        <v>84</v>
      </c>
      <c r="N682" s="3">
        <v>159.99</v>
      </c>
      <c r="O682" s="2" t="s">
        <v>97</v>
      </c>
      <c r="P682" s="2" t="s">
        <v>139</v>
      </c>
      <c r="Q682" s="2" t="s">
        <v>99</v>
      </c>
      <c r="R682" s="2" t="s">
        <v>100</v>
      </c>
      <c r="S682" s="2" t="s">
        <v>2687</v>
      </c>
      <c r="T682" s="2" t="s">
        <v>190</v>
      </c>
      <c r="U682" s="2" t="s">
        <v>460</v>
      </c>
      <c r="V682" s="2" t="s">
        <v>367</v>
      </c>
      <c r="W682" s="2" t="s">
        <v>525</v>
      </c>
      <c r="X682" s="2" t="s">
        <v>2688</v>
      </c>
      <c r="Y682" s="2" t="s">
        <v>2689</v>
      </c>
      <c r="Z682" s="4">
        <v>13</v>
      </c>
      <c r="AA682" s="4">
        <f>=ROUNDDOWN(6.5,0)</f>
      </c>
      <c r="AB682" s="5">
        <v>2</v>
      </c>
      <c r="AC682" s="2" t="s">
        <v>2772</v>
      </c>
      <c r="AD682" s="4">
        <v>20</v>
      </c>
      <c r="AE682" s="4">
        <v>47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100</v>
      </c>
      <c r="AW682" s="8" t="s">
        <v>100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/>
      <c r="BC682" s="4" t="s">
        <v>100</v>
      </c>
      <c r="BD682" s="8" t="s">
        <v>100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/>
      <c r="BJ682" s="4">
        <v>4</v>
      </c>
      <c r="BK682" s="8">
        <v>349.44</v>
      </c>
      <c r="BL682" s="2" t="s">
        <v>2765</v>
      </c>
      <c r="BM682" s="7"/>
      <c r="BN682" s="7"/>
      <c r="BO682" s="4"/>
      <c r="BP682" s="8"/>
      <c r="BQ682" s="4"/>
      <c r="BR682" s="8"/>
      <c r="BS682" s="7"/>
      <c r="BT682" s="7"/>
      <c r="BU682" s="2" t="s">
        <v>2551</v>
      </c>
      <c r="BV682" s="2" t="s">
        <v>97</v>
      </c>
      <c r="BW682" s="2" t="s">
        <v>100</v>
      </c>
      <c r="BX682" s="2" t="s">
        <v>100</v>
      </c>
      <c r="BY682" s="2" t="s">
        <v>112</v>
      </c>
      <c r="BZ682" s="2" t="s">
        <v>100</v>
      </c>
    </row>
    <row r="683">
      <c r="A683" s="2" t="s">
        <v>2773</v>
      </c>
      <c r="B683" s="2" t="s">
        <v>87</v>
      </c>
      <c r="C683" s="2" t="s">
        <v>2577</v>
      </c>
      <c r="D683" s="2" t="s">
        <v>1496</v>
      </c>
      <c r="E683" s="2" t="s">
        <v>1648</v>
      </c>
      <c r="F683" s="2" t="s">
        <v>2684</v>
      </c>
      <c r="G683" s="2" t="s">
        <v>2684</v>
      </c>
      <c r="H683" s="2" t="s">
        <v>2684</v>
      </c>
      <c r="I683" s="2" t="s">
        <v>2771</v>
      </c>
      <c r="J683" s="2" t="s">
        <v>529</v>
      </c>
      <c r="K683" s="2" t="s">
        <v>2686</v>
      </c>
      <c r="L683" s="3">
        <v>90</v>
      </c>
      <c r="M683" s="3">
        <v>94.5</v>
      </c>
      <c r="N683" s="3">
        <v>179.99</v>
      </c>
      <c r="O683" s="2" t="s">
        <v>97</v>
      </c>
      <c r="P683" s="2" t="s">
        <v>139</v>
      </c>
      <c r="Q683" s="2" t="s">
        <v>99</v>
      </c>
      <c r="R683" s="2" t="s">
        <v>100</v>
      </c>
      <c r="S683" s="2" t="s">
        <v>2687</v>
      </c>
      <c r="T683" s="2" t="s">
        <v>190</v>
      </c>
      <c r="U683" s="2" t="s">
        <v>460</v>
      </c>
      <c r="V683" s="2" t="s">
        <v>367</v>
      </c>
      <c r="W683" s="2" t="s">
        <v>525</v>
      </c>
      <c r="X683" s="2" t="s">
        <v>2688</v>
      </c>
      <c r="Y683" s="2" t="s">
        <v>2689</v>
      </c>
      <c r="Z683" s="4">
        <v>30</v>
      </c>
      <c r="AA683" s="4">
        <f>=ROUNDDOWN(15,0)</f>
      </c>
      <c r="AB683" s="5">
        <v>2</v>
      </c>
      <c r="AC683" s="2" t="s">
        <v>2690</v>
      </c>
      <c r="AD683" s="4">
        <v>10</v>
      </c>
      <c r="AE683" s="4">
        <v>67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/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/>
      <c r="BJ683" s="4">
        <v>4</v>
      </c>
      <c r="BK683" s="8">
        <v>400.68</v>
      </c>
      <c r="BL683" s="2" t="s">
        <v>2619</v>
      </c>
      <c r="BM683" s="7"/>
      <c r="BN683" s="7"/>
      <c r="BO683" s="4"/>
      <c r="BP683" s="8"/>
      <c r="BQ683" s="4"/>
      <c r="BR683" s="8"/>
      <c r="BS683" s="7"/>
      <c r="BT683" s="7"/>
      <c r="BU683" s="2" t="s">
        <v>2551</v>
      </c>
      <c r="BV683" s="2" t="s">
        <v>97</v>
      </c>
      <c r="BW683" s="2" t="s">
        <v>100</v>
      </c>
      <c r="BX683" s="2" t="s">
        <v>100</v>
      </c>
      <c r="BY683" s="2" t="s">
        <v>112</v>
      </c>
      <c r="BZ683" s="2" t="s">
        <v>100</v>
      </c>
    </row>
    <row r="684">
      <c r="A684" s="2" t="s">
        <v>2774</v>
      </c>
      <c r="B684" s="2" t="s">
        <v>87</v>
      </c>
      <c r="C684" s="2" t="s">
        <v>2577</v>
      </c>
      <c r="D684" s="2" t="s">
        <v>1496</v>
      </c>
      <c r="E684" s="2" t="s">
        <v>1648</v>
      </c>
      <c r="F684" s="2" t="s">
        <v>2696</v>
      </c>
      <c r="G684" s="2" t="s">
        <v>2696</v>
      </c>
      <c r="H684" s="2" t="s">
        <v>2696</v>
      </c>
      <c r="I684" s="2" t="s">
        <v>2775</v>
      </c>
      <c r="J684" s="2" t="s">
        <v>522</v>
      </c>
      <c r="K684" s="2" t="s">
        <v>2698</v>
      </c>
      <c r="L684" s="3">
        <v>72</v>
      </c>
      <c r="M684" s="3">
        <v>75.6</v>
      </c>
      <c r="N684" s="3">
        <v>149.99</v>
      </c>
      <c r="O684" s="2" t="s">
        <v>97</v>
      </c>
      <c r="P684" s="2" t="s">
        <v>98</v>
      </c>
      <c r="Q684" s="2" t="s">
        <v>99</v>
      </c>
      <c r="R684" s="2" t="s">
        <v>100</v>
      </c>
      <c r="S684" s="2" t="s">
        <v>2699</v>
      </c>
      <c r="T684" s="2" t="s">
        <v>190</v>
      </c>
      <c r="U684" s="2" t="s">
        <v>460</v>
      </c>
      <c r="V684" s="2" t="s">
        <v>717</v>
      </c>
      <c r="W684" s="2" t="s">
        <v>717</v>
      </c>
      <c r="X684" s="2" t="s">
        <v>100</v>
      </c>
      <c r="Y684" s="2" t="s">
        <v>2700</v>
      </c>
      <c r="Z684" s="4">
        <v>47</v>
      </c>
      <c r="AA684" s="4">
        <f>=ROUNDDOWN(47,0)</f>
      </c>
      <c r="AB684" s="5">
        <v>1</v>
      </c>
      <c r="AC684" s="2" t="s">
        <v>1060</v>
      </c>
      <c r="AD684" s="4">
        <v>30</v>
      </c>
      <c r="AE684" s="4">
        <v>30</v>
      </c>
      <c r="AF684" s="6">
        <v>67</v>
      </c>
      <c r="AG684" s="6"/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/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/>
      <c r="BJ684" s="4">
        <v>3</v>
      </c>
      <c r="BK684" s="8">
        <v>247.24</v>
      </c>
      <c r="BL684" s="2" t="s">
        <v>2776</v>
      </c>
      <c r="BM684" s="7"/>
      <c r="BN684" s="7"/>
      <c r="BO684" s="4"/>
      <c r="BP684" s="8"/>
      <c r="BQ684" s="4"/>
      <c r="BR684" s="8"/>
      <c r="BS684" s="7"/>
      <c r="BT684" s="7"/>
      <c r="BU684" s="2" t="s">
        <v>2551</v>
      </c>
      <c r="BV684" s="2" t="s">
        <v>97</v>
      </c>
      <c r="BW684" s="2" t="s">
        <v>100</v>
      </c>
      <c r="BX684" s="2" t="s">
        <v>100</v>
      </c>
      <c r="BY684" s="2" t="s">
        <v>112</v>
      </c>
      <c r="BZ684" s="2" t="s">
        <v>100</v>
      </c>
    </row>
    <row r="685">
      <c r="A685" s="2" t="s">
        <v>2777</v>
      </c>
      <c r="B685" s="2" t="s">
        <v>87</v>
      </c>
      <c r="C685" s="2" t="s">
        <v>2577</v>
      </c>
      <c r="D685" s="2" t="s">
        <v>1496</v>
      </c>
      <c r="E685" s="2" t="s">
        <v>1648</v>
      </c>
      <c r="F685" s="2" t="s">
        <v>2696</v>
      </c>
      <c r="G685" s="2" t="s">
        <v>2696</v>
      </c>
      <c r="H685" s="2" t="s">
        <v>2696</v>
      </c>
      <c r="I685" s="2" t="s">
        <v>2775</v>
      </c>
      <c r="J685" s="2" t="s">
        <v>529</v>
      </c>
      <c r="K685" s="2" t="s">
        <v>2698</v>
      </c>
      <c r="L685" s="3">
        <v>81.6</v>
      </c>
      <c r="M685" s="3">
        <v>85.68</v>
      </c>
      <c r="N685" s="3">
        <v>169.99</v>
      </c>
      <c r="O685" s="2" t="s">
        <v>97</v>
      </c>
      <c r="P685" s="2" t="s">
        <v>98</v>
      </c>
      <c r="Q685" s="2" t="s">
        <v>99</v>
      </c>
      <c r="R685" s="2" t="s">
        <v>100</v>
      </c>
      <c r="S685" s="2" t="s">
        <v>2699</v>
      </c>
      <c r="T685" s="2" t="s">
        <v>190</v>
      </c>
      <c r="U685" s="2" t="s">
        <v>460</v>
      </c>
      <c r="V685" s="2" t="s">
        <v>717</v>
      </c>
      <c r="W685" s="2" t="s">
        <v>717</v>
      </c>
      <c r="X685" s="2" t="s">
        <v>100</v>
      </c>
      <c r="Y685" s="2" t="s">
        <v>2700</v>
      </c>
      <c r="Z685" s="4">
        <v>11</v>
      </c>
      <c r="AA685" s="4">
        <f>=ROUNDDOWN(3.66666666666667,0)</f>
      </c>
      <c r="AB685" s="5">
        <v>3</v>
      </c>
      <c r="AC685" s="2" t="s">
        <v>1060</v>
      </c>
      <c r="AD685" s="4">
        <v>86</v>
      </c>
      <c r="AE685" s="4">
        <v>86</v>
      </c>
      <c r="AF685" s="6">
        <v>67</v>
      </c>
      <c r="AG685" s="6"/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/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/>
      <c r="BJ685" s="4">
        <v>7</v>
      </c>
      <c r="BK685" s="8">
        <v>631.08</v>
      </c>
      <c r="BL685" s="2" t="s">
        <v>2668</v>
      </c>
      <c r="BM685" s="7"/>
      <c r="BN685" s="7"/>
      <c r="BO685" s="4"/>
      <c r="BP685" s="8"/>
      <c r="BQ685" s="4"/>
      <c r="BR685" s="8"/>
      <c r="BS685" s="7"/>
      <c r="BT685" s="7"/>
      <c r="BU685" s="2" t="s">
        <v>2551</v>
      </c>
      <c r="BV685" s="2" t="s">
        <v>97</v>
      </c>
      <c r="BW685" s="2" t="s">
        <v>100</v>
      </c>
      <c r="BX685" s="2" t="s">
        <v>100</v>
      </c>
      <c r="BY685" s="2" t="s">
        <v>112</v>
      </c>
      <c r="BZ685" s="2" t="s">
        <v>100</v>
      </c>
    </row>
    <row r="686">
      <c r="A686" s="2" t="s">
        <v>2778</v>
      </c>
      <c r="B686" s="2" t="s">
        <v>87</v>
      </c>
      <c r="C686" s="2" t="s">
        <v>2577</v>
      </c>
      <c r="D686" s="2" t="s">
        <v>1496</v>
      </c>
      <c r="E686" s="2" t="s">
        <v>1648</v>
      </c>
      <c r="F686" s="2" t="s">
        <v>2706</v>
      </c>
      <c r="G686" s="2" t="s">
        <v>100</v>
      </c>
      <c r="H686" s="2" t="s">
        <v>100</v>
      </c>
      <c r="I686" s="2" t="s">
        <v>1497</v>
      </c>
      <c r="J686" s="2" t="s">
        <v>522</v>
      </c>
      <c r="K686" s="2" t="s">
        <v>1373</v>
      </c>
      <c r="L686" s="3">
        <v>96.89</v>
      </c>
      <c r="M686" s="3">
        <v>101.74</v>
      </c>
      <c r="N686" s="3">
        <v>199.99</v>
      </c>
      <c r="O686" s="2" t="s">
        <v>97</v>
      </c>
      <c r="P686" s="2" t="s">
        <v>98</v>
      </c>
      <c r="Q686" s="2" t="s">
        <v>99</v>
      </c>
      <c r="R686" s="2" t="s">
        <v>100</v>
      </c>
      <c r="S686" s="2" t="s">
        <v>2708</v>
      </c>
      <c r="T686" s="2" t="s">
        <v>100</v>
      </c>
      <c r="U686" s="2" t="s">
        <v>100</v>
      </c>
      <c r="V686" s="2" t="s">
        <v>103</v>
      </c>
      <c r="W686" s="2" t="s">
        <v>525</v>
      </c>
      <c r="X686" s="2" t="s">
        <v>193</v>
      </c>
      <c r="Y686" s="2" t="s">
        <v>144</v>
      </c>
      <c r="Z686" s="4">
        <v>53</v>
      </c>
      <c r="AA686" s="4">
        <f>=ROUNDDOWN(53,0)</f>
      </c>
      <c r="AB686" s="5">
        <v>1</v>
      </c>
      <c r="AC686" s="2" t="s">
        <v>2779</v>
      </c>
      <c r="AD686" s="4">
        <v>35</v>
      </c>
      <c r="AE686" s="4">
        <v>35</v>
      </c>
      <c r="AF686" s="6">
        <v>69</v>
      </c>
      <c r="AG686" s="6"/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100</v>
      </c>
      <c r="AW686" s="8" t="s">
        <v>100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/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/>
      <c r="BJ686" s="4">
        <v>1</v>
      </c>
      <c r="BK686" s="8">
        <v>101.73</v>
      </c>
      <c r="BL686" s="2" t="s">
        <v>2780</v>
      </c>
      <c r="BM686" s="7"/>
      <c r="BN686" s="7"/>
      <c r="BO686" s="4"/>
      <c r="BP686" s="8"/>
      <c r="BQ686" s="4"/>
      <c r="BR686" s="8"/>
      <c r="BS686" s="7"/>
      <c r="BT686" s="7"/>
      <c r="BU686" s="2" t="s">
        <v>2551</v>
      </c>
      <c r="BV686" s="2" t="s">
        <v>97</v>
      </c>
      <c r="BW686" s="2" t="s">
        <v>100</v>
      </c>
      <c r="BX686" s="2" t="s">
        <v>100</v>
      </c>
      <c r="BY686" s="2" t="s">
        <v>112</v>
      </c>
      <c r="BZ686" s="2" t="s">
        <v>100</v>
      </c>
    </row>
    <row r="687">
      <c r="A687" s="2" t="s">
        <v>2781</v>
      </c>
      <c r="B687" s="2" t="s">
        <v>87</v>
      </c>
      <c r="C687" s="2" t="s">
        <v>2577</v>
      </c>
      <c r="D687" s="2" t="s">
        <v>1496</v>
      </c>
      <c r="E687" s="2" t="s">
        <v>1648</v>
      </c>
      <c r="F687" s="2" t="s">
        <v>2706</v>
      </c>
      <c r="G687" s="2" t="s">
        <v>100</v>
      </c>
      <c r="H687" s="2" t="s">
        <v>100</v>
      </c>
      <c r="I687" s="2" t="s">
        <v>1497</v>
      </c>
      <c r="J687" s="2" t="s">
        <v>114</v>
      </c>
      <c r="K687" s="2" t="s">
        <v>1373</v>
      </c>
      <c r="L687" s="3">
        <v>109.19</v>
      </c>
      <c r="M687" s="3">
        <v>114.65</v>
      </c>
      <c r="N687" s="3">
        <v>224.99</v>
      </c>
      <c r="O687" s="2" t="s">
        <v>97</v>
      </c>
      <c r="P687" s="2" t="s">
        <v>98</v>
      </c>
      <c r="Q687" s="2" t="s">
        <v>99</v>
      </c>
      <c r="R687" s="2" t="s">
        <v>100</v>
      </c>
      <c r="S687" s="2" t="s">
        <v>2708</v>
      </c>
      <c r="T687" s="2" t="s">
        <v>100</v>
      </c>
      <c r="U687" s="2" t="s">
        <v>100</v>
      </c>
      <c r="V687" s="2" t="s">
        <v>103</v>
      </c>
      <c r="W687" s="2" t="s">
        <v>525</v>
      </c>
      <c r="X687" s="2" t="s">
        <v>193</v>
      </c>
      <c r="Y687" s="2" t="s">
        <v>144</v>
      </c>
      <c r="Z687" s="4">
        <v>29</v>
      </c>
      <c r="AA687" s="4">
        <f>=ROUNDDOWN(29,0)</f>
      </c>
      <c r="AB687" s="5">
        <v>1</v>
      </c>
      <c r="AC687" s="2" t="s">
        <v>173</v>
      </c>
      <c r="AD687" s="4">
        <v>37</v>
      </c>
      <c r="AE687" s="4">
        <v>37</v>
      </c>
      <c r="AF687" s="6">
        <v>69</v>
      </c>
      <c r="AG687" s="6"/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/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/>
      <c r="BJ687" s="4">
        <v>4</v>
      </c>
      <c r="BK687" s="8">
        <v>570.59</v>
      </c>
      <c r="BL687" s="2" t="s">
        <v>2782</v>
      </c>
      <c r="BM687" s="7"/>
      <c r="BN687" s="7"/>
      <c r="BO687" s="4"/>
      <c r="BP687" s="8"/>
      <c r="BQ687" s="4"/>
      <c r="BR687" s="8"/>
      <c r="BS687" s="7"/>
      <c r="BT687" s="7"/>
      <c r="BU687" s="2" t="s">
        <v>2551</v>
      </c>
      <c r="BV687" s="2" t="s">
        <v>97</v>
      </c>
      <c r="BW687" s="2" t="s">
        <v>100</v>
      </c>
      <c r="BX687" s="2" t="s">
        <v>100</v>
      </c>
      <c r="BY687" s="2" t="s">
        <v>112</v>
      </c>
      <c r="BZ687" s="2" t="s">
        <v>100</v>
      </c>
    </row>
    <row r="688">
      <c r="A688" s="2" t="s">
        <v>2783</v>
      </c>
      <c r="B688" s="2" t="s">
        <v>87</v>
      </c>
      <c r="C688" s="2" t="s">
        <v>2577</v>
      </c>
      <c r="D688" s="2" t="s">
        <v>1496</v>
      </c>
      <c r="E688" s="2" t="s">
        <v>1648</v>
      </c>
      <c r="F688" s="2" t="s">
        <v>2706</v>
      </c>
      <c r="G688" s="2" t="s">
        <v>100</v>
      </c>
      <c r="H688" s="2" t="s">
        <v>100</v>
      </c>
      <c r="I688" s="2" t="s">
        <v>2784</v>
      </c>
      <c r="J688" s="2" t="s">
        <v>522</v>
      </c>
      <c r="K688" s="2" t="s">
        <v>673</v>
      </c>
      <c r="L688" s="3">
        <v>96.89</v>
      </c>
      <c r="M688" s="3">
        <v>101.74</v>
      </c>
      <c r="N688" s="3">
        <v>199.99</v>
      </c>
      <c r="O688" s="2" t="s">
        <v>97</v>
      </c>
      <c r="P688" s="2" t="s">
        <v>156</v>
      </c>
      <c r="Q688" s="2" t="s">
        <v>99</v>
      </c>
      <c r="R688" s="2" t="s">
        <v>100</v>
      </c>
      <c r="S688" s="2" t="s">
        <v>2714</v>
      </c>
      <c r="T688" s="2" t="s">
        <v>100</v>
      </c>
      <c r="U688" s="2" t="s">
        <v>100</v>
      </c>
      <c r="V688" s="2" t="s">
        <v>103</v>
      </c>
      <c r="W688" s="2" t="s">
        <v>525</v>
      </c>
      <c r="X688" s="2" t="s">
        <v>193</v>
      </c>
      <c r="Y688" s="2" t="s">
        <v>2715</v>
      </c>
      <c r="Z688" s="4">
        <v>83</v>
      </c>
      <c r="AA688" s="4">
        <f>=ROUNDDOWN(41.5,0)</f>
      </c>
      <c r="AB688" s="5">
        <v>2</v>
      </c>
      <c r="AC688" s="2" t="s">
        <v>100</v>
      </c>
      <c r="AD688" s="4"/>
      <c r="AE688" s="4"/>
      <c r="AF688" s="6">
        <v>69</v>
      </c>
      <c r="AG688" s="6"/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/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/>
      <c r="BJ688" s="4">
        <v>6</v>
      </c>
      <c r="BK688" s="8">
        <v>705.98</v>
      </c>
      <c r="BL688" s="2" t="s">
        <v>2785</v>
      </c>
      <c r="BM688" s="7"/>
      <c r="BN688" s="7"/>
      <c r="BO688" s="4"/>
      <c r="BP688" s="8"/>
      <c r="BQ688" s="4"/>
      <c r="BR688" s="8"/>
      <c r="BS688" s="7"/>
      <c r="BT688" s="7"/>
      <c r="BU688" s="2" t="s">
        <v>2526</v>
      </c>
      <c r="BV688" s="2" t="s">
        <v>97</v>
      </c>
      <c r="BW688" s="2" t="s">
        <v>100</v>
      </c>
      <c r="BX688" s="2" t="s">
        <v>100</v>
      </c>
      <c r="BY688" s="2" t="s">
        <v>112</v>
      </c>
      <c r="BZ688" s="2" t="s">
        <v>100</v>
      </c>
    </row>
    <row r="689">
      <c r="A689" s="2" t="s">
        <v>2786</v>
      </c>
      <c r="B689" s="2" t="s">
        <v>87</v>
      </c>
      <c r="C689" s="2" t="s">
        <v>2577</v>
      </c>
      <c r="D689" s="2" t="s">
        <v>1496</v>
      </c>
      <c r="E689" s="2" t="s">
        <v>1648</v>
      </c>
      <c r="F689" s="2" t="s">
        <v>2706</v>
      </c>
      <c r="G689" s="2" t="s">
        <v>100</v>
      </c>
      <c r="H689" s="2" t="s">
        <v>100</v>
      </c>
      <c r="I689" s="2" t="s">
        <v>2787</v>
      </c>
      <c r="J689" s="2" t="s">
        <v>114</v>
      </c>
      <c r="K689" s="2" t="s">
        <v>673</v>
      </c>
      <c r="L689" s="3">
        <v>109.19</v>
      </c>
      <c r="M689" s="3">
        <v>114.65</v>
      </c>
      <c r="N689" s="3">
        <v>224.99</v>
      </c>
      <c r="O689" s="2" t="s">
        <v>97</v>
      </c>
      <c r="P689" s="2" t="s">
        <v>156</v>
      </c>
      <c r="Q689" s="2" t="s">
        <v>99</v>
      </c>
      <c r="R689" s="2" t="s">
        <v>100</v>
      </c>
      <c r="S689" s="2" t="s">
        <v>2714</v>
      </c>
      <c r="T689" s="2" t="s">
        <v>100</v>
      </c>
      <c r="U689" s="2" t="s">
        <v>100</v>
      </c>
      <c r="V689" s="2" t="s">
        <v>103</v>
      </c>
      <c r="W689" s="2" t="s">
        <v>525</v>
      </c>
      <c r="X689" s="2" t="s">
        <v>193</v>
      </c>
      <c r="Y689" s="2" t="s">
        <v>2715</v>
      </c>
      <c r="Z689" s="4">
        <v>113</v>
      </c>
      <c r="AA689" s="4">
        <f>=ROUNDDOWN(37.6666666666667,0)</f>
      </c>
      <c r="AB689" s="5">
        <v>3</v>
      </c>
      <c r="AC689" s="2" t="s">
        <v>100</v>
      </c>
      <c r="AD689" s="4"/>
      <c r="AE689" s="4"/>
      <c r="AF689" s="6">
        <v>69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/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/>
      <c r="BJ689" s="4">
        <v>8</v>
      </c>
      <c r="BK689" s="8">
        <v>883.94</v>
      </c>
      <c r="BL689" s="2" t="s">
        <v>2788</v>
      </c>
      <c r="BM689" s="7"/>
      <c r="BN689" s="7"/>
      <c r="BO689" s="4"/>
      <c r="BP689" s="8"/>
      <c r="BQ689" s="4"/>
      <c r="BR689" s="8"/>
      <c r="BS689" s="7"/>
      <c r="BT689" s="7"/>
      <c r="BU689" s="2" t="s">
        <v>2526</v>
      </c>
      <c r="BV689" s="2" t="s">
        <v>97</v>
      </c>
      <c r="BW689" s="2" t="s">
        <v>100</v>
      </c>
      <c r="BX689" s="2" t="s">
        <v>100</v>
      </c>
      <c r="BY689" s="2" t="s">
        <v>112</v>
      </c>
      <c r="BZ689" s="2" t="s">
        <v>100</v>
      </c>
    </row>
    <row r="690">
      <c r="A690" s="2" t="s">
        <v>2789</v>
      </c>
      <c r="B690" s="2" t="s">
        <v>87</v>
      </c>
      <c r="C690" s="2" t="s">
        <v>2577</v>
      </c>
      <c r="D690" s="2" t="s">
        <v>2505</v>
      </c>
      <c r="E690" s="2" t="s">
        <v>2506</v>
      </c>
      <c r="F690" s="2" t="s">
        <v>2595</v>
      </c>
      <c r="G690" s="2" t="s">
        <v>2595</v>
      </c>
      <c r="H690" s="2" t="s">
        <v>2595</v>
      </c>
      <c r="I690" s="2" t="s">
        <v>2790</v>
      </c>
      <c r="J690" s="2" t="s">
        <v>2514</v>
      </c>
      <c r="K690" s="2" t="s">
        <v>673</v>
      </c>
      <c r="L690" s="3">
        <v>15.75</v>
      </c>
      <c r="M690" s="3">
        <v>16.53</v>
      </c>
      <c r="N690" s="3">
        <v>34.99</v>
      </c>
      <c r="O690" s="2" t="s">
        <v>97</v>
      </c>
      <c r="P690" s="2" t="s">
        <v>139</v>
      </c>
      <c r="Q690" s="2" t="s">
        <v>99</v>
      </c>
      <c r="R690" s="2" t="s">
        <v>100</v>
      </c>
      <c r="S690" s="2" t="s">
        <v>2791</v>
      </c>
      <c r="T690" s="2" t="s">
        <v>100</v>
      </c>
      <c r="U690" s="2" t="s">
        <v>100</v>
      </c>
      <c r="V690" s="2" t="s">
        <v>492</v>
      </c>
      <c r="W690" s="2" t="s">
        <v>525</v>
      </c>
      <c r="X690" s="2" t="s">
        <v>717</v>
      </c>
      <c r="Y690" s="2" t="s">
        <v>2598</v>
      </c>
      <c r="Z690" s="4">
        <v>55</v>
      </c>
      <c r="AA690" s="4">
        <f>=ROUNDDOWN(6.11111111111111,0)</f>
      </c>
      <c r="AB690" s="5">
        <v>9</v>
      </c>
      <c r="AC690" s="2" t="s">
        <v>2363</v>
      </c>
      <c r="AD690" s="4">
        <v>100</v>
      </c>
      <c r="AE690" s="4">
        <v>200</v>
      </c>
      <c r="AF690" s="6">
        <v>64</v>
      </c>
      <c r="AG690" s="6"/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100</v>
      </c>
      <c r="AW690" s="8" t="s">
        <v>100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/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/>
      <c r="BJ690" s="4">
        <v>50</v>
      </c>
      <c r="BK690" s="8">
        <v>831.09</v>
      </c>
      <c r="BL690" s="2" t="s">
        <v>2792</v>
      </c>
      <c r="BM690" s="7"/>
      <c r="BN690" s="7"/>
      <c r="BO690" s="4"/>
      <c r="BP690" s="8"/>
      <c r="BQ690" s="4"/>
      <c r="BR690" s="8"/>
      <c r="BS690" s="7"/>
      <c r="BT690" s="7"/>
      <c r="BU690" s="2" t="s">
        <v>2551</v>
      </c>
      <c r="BV690" s="2" t="s">
        <v>97</v>
      </c>
      <c r="BW690" s="2" t="s">
        <v>100</v>
      </c>
      <c r="BX690" s="2" t="s">
        <v>100</v>
      </c>
      <c r="BY690" s="2" t="s">
        <v>112</v>
      </c>
      <c r="BZ690" s="2" t="s">
        <v>100</v>
      </c>
    </row>
    <row r="691">
      <c r="A691" s="2" t="s">
        <v>2793</v>
      </c>
      <c r="B691" s="2" t="s">
        <v>87</v>
      </c>
      <c r="C691" s="2" t="s">
        <v>2577</v>
      </c>
      <c r="D691" s="2" t="s">
        <v>2505</v>
      </c>
      <c r="E691" s="2" t="s">
        <v>2506</v>
      </c>
      <c r="F691" s="2" t="s">
        <v>2595</v>
      </c>
      <c r="G691" s="2" t="s">
        <v>2595</v>
      </c>
      <c r="H691" s="2" t="s">
        <v>2595</v>
      </c>
      <c r="I691" s="2" t="s">
        <v>2794</v>
      </c>
      <c r="J691" s="2" t="s">
        <v>2509</v>
      </c>
      <c r="K691" s="2" t="s">
        <v>673</v>
      </c>
      <c r="L691" s="3">
        <v>18.8</v>
      </c>
      <c r="M691" s="3">
        <v>19.74</v>
      </c>
      <c r="N691" s="3">
        <v>39.99</v>
      </c>
      <c r="O691" s="2" t="s">
        <v>97</v>
      </c>
      <c r="P691" s="2" t="s">
        <v>139</v>
      </c>
      <c r="Q691" s="2" t="s">
        <v>99</v>
      </c>
      <c r="R691" s="2" t="s">
        <v>100</v>
      </c>
      <c r="S691" s="2" t="s">
        <v>2791</v>
      </c>
      <c r="T691" s="2" t="s">
        <v>100</v>
      </c>
      <c r="U691" s="2" t="s">
        <v>100</v>
      </c>
      <c r="V691" s="2" t="s">
        <v>473</v>
      </c>
      <c r="W691" s="2" t="s">
        <v>525</v>
      </c>
      <c r="X691" s="2" t="s">
        <v>717</v>
      </c>
      <c r="Y691" s="2" t="s">
        <v>2598</v>
      </c>
      <c r="Z691" s="4">
        <v>149</v>
      </c>
      <c r="AA691" s="4">
        <f>=ROUNDDOWN(24.8333333333333,0)</f>
      </c>
      <c r="AB691" s="5">
        <v>6</v>
      </c>
      <c r="AC691" s="2" t="s">
        <v>100</v>
      </c>
      <c r="AD691" s="4"/>
      <c r="AE691" s="4"/>
      <c r="AF691" s="6">
        <v>64</v>
      </c>
      <c r="AG691" s="6"/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/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/>
      <c r="BJ691" s="4">
        <v>21</v>
      </c>
      <c r="BK691" s="8">
        <v>413.63</v>
      </c>
      <c r="BL691" s="2" t="s">
        <v>2515</v>
      </c>
      <c r="BM691" s="7"/>
      <c r="BN691" s="7"/>
      <c r="BO691" s="4"/>
      <c r="BP691" s="8"/>
      <c r="BQ691" s="4"/>
      <c r="BR691" s="8"/>
      <c r="BS691" s="7"/>
      <c r="BT691" s="7"/>
      <c r="BU691" s="2" t="s">
        <v>2551</v>
      </c>
      <c r="BV691" s="2" t="s">
        <v>97</v>
      </c>
      <c r="BW691" s="2" t="s">
        <v>100</v>
      </c>
      <c r="BX691" s="2" t="s">
        <v>100</v>
      </c>
      <c r="BY691" s="2" t="s">
        <v>112</v>
      </c>
      <c r="BZ691" s="2" t="s">
        <v>100</v>
      </c>
    </row>
    <row r="692">
      <c r="A692" s="2" t="s">
        <v>2795</v>
      </c>
      <c r="B692" s="2" t="s">
        <v>87</v>
      </c>
      <c r="C692" s="2" t="s">
        <v>2577</v>
      </c>
      <c r="D692" s="2" t="s">
        <v>2505</v>
      </c>
      <c r="E692" s="2" t="s">
        <v>2506</v>
      </c>
      <c r="F692" s="2" t="s">
        <v>2601</v>
      </c>
      <c r="G692" s="2" t="s">
        <v>100</v>
      </c>
      <c r="H692" s="2" t="s">
        <v>100</v>
      </c>
      <c r="I692" s="2" t="s">
        <v>2796</v>
      </c>
      <c r="J692" s="2" t="s">
        <v>2514</v>
      </c>
      <c r="K692" s="2" t="s">
        <v>179</v>
      </c>
      <c r="L692" s="3">
        <v>11.4</v>
      </c>
      <c r="M692" s="3">
        <v>11.97</v>
      </c>
      <c r="N692" s="3">
        <v>32.99</v>
      </c>
      <c r="O692" s="2" t="s">
        <v>97</v>
      </c>
      <c r="P692" s="2" t="s">
        <v>98</v>
      </c>
      <c r="Q692" s="2" t="s">
        <v>99</v>
      </c>
      <c r="R692" s="2" t="s">
        <v>100</v>
      </c>
      <c r="S692" s="2" t="s">
        <v>2603</v>
      </c>
      <c r="T692" s="2" t="s">
        <v>100</v>
      </c>
      <c r="U692" s="2" t="s">
        <v>100</v>
      </c>
      <c r="V692" s="2" t="s">
        <v>717</v>
      </c>
      <c r="W692" s="2" t="s">
        <v>717</v>
      </c>
      <c r="X692" s="2" t="s">
        <v>525</v>
      </c>
      <c r="Y692" s="2" t="s">
        <v>144</v>
      </c>
      <c r="Z692" s="4">
        <v>71</v>
      </c>
      <c r="AA692" s="4">
        <f>=ROUNDDOWN(17.75,0)</f>
      </c>
      <c r="AB692" s="5">
        <v>4</v>
      </c>
      <c r="AC692" s="2" t="s">
        <v>206</v>
      </c>
      <c r="AD692" s="4">
        <v>65</v>
      </c>
      <c r="AE692" s="4">
        <v>127</v>
      </c>
      <c r="AF692" s="6">
        <v>66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/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/>
      <c r="BJ692" s="4">
        <v>18</v>
      </c>
      <c r="BK692" s="8">
        <v>220.14</v>
      </c>
      <c r="BL692" s="2" t="s">
        <v>2797</v>
      </c>
      <c r="BM692" s="7"/>
      <c r="BN692" s="7"/>
      <c r="BO692" s="4"/>
      <c r="BP692" s="8"/>
      <c r="BQ692" s="4"/>
      <c r="BR692" s="8"/>
      <c r="BS692" s="7"/>
      <c r="BT692" s="7"/>
      <c r="BU692" s="2" t="s">
        <v>2551</v>
      </c>
      <c r="BV692" s="2" t="s">
        <v>97</v>
      </c>
      <c r="BW692" s="2" t="s">
        <v>100</v>
      </c>
      <c r="BX692" s="2" t="s">
        <v>100</v>
      </c>
      <c r="BY692" s="2" t="s">
        <v>112</v>
      </c>
      <c r="BZ692" s="2" t="s">
        <v>100</v>
      </c>
    </row>
    <row r="693">
      <c r="A693" s="2" t="s">
        <v>2798</v>
      </c>
      <c r="B693" s="2" t="s">
        <v>87</v>
      </c>
      <c r="C693" s="2" t="s">
        <v>2577</v>
      </c>
      <c r="D693" s="2" t="s">
        <v>2505</v>
      </c>
      <c r="E693" s="2" t="s">
        <v>2506</v>
      </c>
      <c r="F693" s="2" t="s">
        <v>2601</v>
      </c>
      <c r="G693" s="2" t="s">
        <v>100</v>
      </c>
      <c r="H693" s="2" t="s">
        <v>100</v>
      </c>
      <c r="I693" s="2" t="s">
        <v>2799</v>
      </c>
      <c r="J693" s="2" t="s">
        <v>2509</v>
      </c>
      <c r="K693" s="2" t="s">
        <v>179</v>
      </c>
      <c r="L693" s="3">
        <v>24.29</v>
      </c>
      <c r="M693" s="3">
        <v>25.5</v>
      </c>
      <c r="N693" s="3">
        <v>49.99</v>
      </c>
      <c r="O693" s="2" t="s">
        <v>97</v>
      </c>
      <c r="P693" s="2" t="s">
        <v>98</v>
      </c>
      <c r="Q693" s="2" t="s">
        <v>99</v>
      </c>
      <c r="R693" s="2" t="s">
        <v>100</v>
      </c>
      <c r="S693" s="2" t="s">
        <v>2603</v>
      </c>
      <c r="T693" s="2" t="s">
        <v>100</v>
      </c>
      <c r="U693" s="2" t="s">
        <v>100</v>
      </c>
      <c r="V693" s="2" t="s">
        <v>717</v>
      </c>
      <c r="W693" s="2" t="s">
        <v>717</v>
      </c>
      <c r="X693" s="2" t="s">
        <v>525</v>
      </c>
      <c r="Y693" s="2" t="s">
        <v>144</v>
      </c>
      <c r="Z693" s="4">
        <v>100</v>
      </c>
      <c r="AA693" s="4">
        <f>=ROUNDDOWN(11.1111111111111,0)</f>
      </c>
      <c r="AB693" s="5">
        <v>9</v>
      </c>
      <c r="AC693" s="2" t="s">
        <v>206</v>
      </c>
      <c r="AD693" s="4">
        <v>195</v>
      </c>
      <c r="AE693" s="4">
        <v>345</v>
      </c>
      <c r="AF693" s="6">
        <v>66</v>
      </c>
      <c r="AG693" s="6"/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/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/>
      <c r="BJ693" s="4">
        <v>16</v>
      </c>
      <c r="BK693" s="8">
        <v>424.18</v>
      </c>
      <c r="BL693" s="2" t="s">
        <v>2800</v>
      </c>
      <c r="BM693" s="7"/>
      <c r="BN693" s="7"/>
      <c r="BO693" s="4"/>
      <c r="BP693" s="8"/>
      <c r="BQ693" s="4"/>
      <c r="BR693" s="8"/>
      <c r="BS693" s="7"/>
      <c r="BT693" s="7"/>
      <c r="BU693" s="2" t="s">
        <v>2551</v>
      </c>
      <c r="BV693" s="2" t="s">
        <v>97</v>
      </c>
      <c r="BW693" s="2" t="s">
        <v>100</v>
      </c>
      <c r="BX693" s="2" t="s">
        <v>100</v>
      </c>
      <c r="BY693" s="2" t="s">
        <v>112</v>
      </c>
      <c r="BZ693" s="2" t="s">
        <v>100</v>
      </c>
    </row>
    <row r="694">
      <c r="A694" s="2" t="s">
        <v>2801</v>
      </c>
      <c r="B694" s="2" t="s">
        <v>87</v>
      </c>
      <c r="C694" s="2" t="s">
        <v>2577</v>
      </c>
      <c r="D694" s="2" t="s">
        <v>2505</v>
      </c>
      <c r="E694" s="2" t="s">
        <v>2506</v>
      </c>
      <c r="F694" s="2" t="s">
        <v>2578</v>
      </c>
      <c r="G694" s="2" t="s">
        <v>2578</v>
      </c>
      <c r="H694" s="2" t="s">
        <v>2578</v>
      </c>
      <c r="I694" s="2" t="s">
        <v>2802</v>
      </c>
      <c r="J694" s="2" t="s">
        <v>2803</v>
      </c>
      <c r="K694" s="2" t="s">
        <v>179</v>
      </c>
      <c r="L694" s="3">
        <v>13.65</v>
      </c>
      <c r="M694" s="3">
        <v>14.33</v>
      </c>
      <c r="N694" s="3">
        <v>32.99</v>
      </c>
      <c r="O694" s="2" t="s">
        <v>97</v>
      </c>
      <c r="P694" s="2" t="s">
        <v>98</v>
      </c>
      <c r="Q694" s="2" t="s">
        <v>99</v>
      </c>
      <c r="R694" s="2" t="s">
        <v>100</v>
      </c>
      <c r="S694" s="2" t="s">
        <v>2580</v>
      </c>
      <c r="T694" s="2" t="s">
        <v>100</v>
      </c>
      <c r="U694" s="2" t="s">
        <v>100</v>
      </c>
      <c r="V694" s="2" t="s">
        <v>401</v>
      </c>
      <c r="W694" s="2" t="s">
        <v>104</v>
      </c>
      <c r="X694" s="2" t="s">
        <v>525</v>
      </c>
      <c r="Y694" s="2" t="s">
        <v>144</v>
      </c>
      <c r="Z694" s="4">
        <v>73</v>
      </c>
      <c r="AA694" s="4">
        <f>=ROUNDDOWN(36.5,0)</f>
      </c>
      <c r="AB694" s="5">
        <v>2</v>
      </c>
      <c r="AC694" s="2" t="s">
        <v>2581</v>
      </c>
      <c r="AD694" s="4">
        <v>50</v>
      </c>
      <c r="AE694" s="4">
        <v>50</v>
      </c>
      <c r="AF694" s="6">
        <v>66</v>
      </c>
      <c r="AG694" s="6"/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/>
      <c r="BJ694" s="4">
        <v>6</v>
      </c>
      <c r="BK694" s="8">
        <v>81.69</v>
      </c>
      <c r="BL694" s="2" t="s">
        <v>2454</v>
      </c>
      <c r="BM694" s="7"/>
      <c r="BN694" s="7"/>
      <c r="BO694" s="4"/>
      <c r="BP694" s="8"/>
      <c r="BQ694" s="4"/>
      <c r="BR694" s="8"/>
      <c r="BS694" s="7"/>
      <c r="BT694" s="7"/>
      <c r="BU694" s="2" t="s">
        <v>2551</v>
      </c>
      <c r="BV694" s="2" t="s">
        <v>97</v>
      </c>
      <c r="BW694" s="2" t="s">
        <v>100</v>
      </c>
      <c r="BX694" s="2" t="s">
        <v>100</v>
      </c>
      <c r="BY694" s="2" t="s">
        <v>112</v>
      </c>
      <c r="BZ694" s="2" t="s">
        <v>100</v>
      </c>
    </row>
    <row r="695">
      <c r="A695" s="2" t="s">
        <v>2804</v>
      </c>
      <c r="B695" s="2" t="s">
        <v>87</v>
      </c>
      <c r="C695" s="2" t="s">
        <v>2577</v>
      </c>
      <c r="D695" s="2" t="s">
        <v>2505</v>
      </c>
      <c r="E695" s="2" t="s">
        <v>2506</v>
      </c>
      <c r="F695" s="2" t="s">
        <v>2578</v>
      </c>
      <c r="G695" s="2" t="s">
        <v>2578</v>
      </c>
      <c r="H695" s="2" t="s">
        <v>2578</v>
      </c>
      <c r="I695" s="2" t="s">
        <v>2805</v>
      </c>
      <c r="J695" s="2" t="s">
        <v>2806</v>
      </c>
      <c r="K695" s="2" t="s">
        <v>1373</v>
      </c>
      <c r="L695" s="3">
        <v>13.65</v>
      </c>
      <c r="M695" s="3">
        <v>14.33</v>
      </c>
      <c r="N695" s="3">
        <v>32.99</v>
      </c>
      <c r="O695" s="2" t="s">
        <v>97</v>
      </c>
      <c r="P695" s="2" t="s">
        <v>98</v>
      </c>
      <c r="Q695" s="2" t="s">
        <v>99</v>
      </c>
      <c r="R695" s="2" t="s">
        <v>100</v>
      </c>
      <c r="S695" s="2" t="s">
        <v>2580</v>
      </c>
      <c r="T695" s="2" t="s">
        <v>100</v>
      </c>
      <c r="U695" s="2" t="s">
        <v>100</v>
      </c>
      <c r="V695" s="2" t="s">
        <v>492</v>
      </c>
      <c r="W695" s="2" t="s">
        <v>104</v>
      </c>
      <c r="X695" s="2" t="s">
        <v>525</v>
      </c>
      <c r="Y695" s="2" t="s">
        <v>144</v>
      </c>
      <c r="Z695" s="4">
        <v>27</v>
      </c>
      <c r="AA695" s="4">
        <f>=ROUNDDOWN(13.5,0)</f>
      </c>
      <c r="AB695" s="5">
        <v>2</v>
      </c>
      <c r="AC695" s="2" t="s">
        <v>2662</v>
      </c>
      <c r="AD695" s="4">
        <v>110</v>
      </c>
      <c r="AE695" s="4">
        <v>110</v>
      </c>
      <c r="AF695" s="6">
        <v>66</v>
      </c>
      <c r="AG695" s="6"/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/>
      <c r="BJ695" s="4">
        <v>5</v>
      </c>
      <c r="BK695" s="8">
        <v>70.51</v>
      </c>
      <c r="BL695" s="2" t="s">
        <v>2807</v>
      </c>
      <c r="BM695" s="7"/>
      <c r="BN695" s="7"/>
      <c r="BO695" s="4"/>
      <c r="BP695" s="8"/>
      <c r="BQ695" s="4"/>
      <c r="BR695" s="8"/>
      <c r="BS695" s="7"/>
      <c r="BT695" s="7"/>
      <c r="BU695" s="2" t="s">
        <v>2551</v>
      </c>
      <c r="BV695" s="2" t="s">
        <v>97</v>
      </c>
      <c r="BW695" s="2" t="s">
        <v>100</v>
      </c>
      <c r="BX695" s="2" t="s">
        <v>100</v>
      </c>
      <c r="BY695" s="2" t="s">
        <v>112</v>
      </c>
      <c r="BZ695" s="2" t="s">
        <v>100</v>
      </c>
    </row>
    <row r="696">
      <c r="A696" s="2" t="s">
        <v>2808</v>
      </c>
      <c r="B696" s="2" t="s">
        <v>87</v>
      </c>
      <c r="C696" s="2" t="s">
        <v>2577</v>
      </c>
      <c r="D696" s="2" t="s">
        <v>2505</v>
      </c>
      <c r="E696" s="2" t="s">
        <v>2506</v>
      </c>
      <c r="F696" s="2" t="s">
        <v>2583</v>
      </c>
      <c r="G696" s="2" t="s">
        <v>2583</v>
      </c>
      <c r="H696" s="2" t="s">
        <v>2583</v>
      </c>
      <c r="I696" s="2" t="s">
        <v>2796</v>
      </c>
      <c r="J696" s="2" t="s">
        <v>2809</v>
      </c>
      <c r="K696" s="2" t="s">
        <v>471</v>
      </c>
      <c r="L696" s="3">
        <v>22.5</v>
      </c>
      <c r="M696" s="3">
        <v>23.62</v>
      </c>
      <c r="N696" s="3">
        <v>49.99</v>
      </c>
      <c r="O696" s="2" t="s">
        <v>97</v>
      </c>
      <c r="P696" s="2" t="s">
        <v>98</v>
      </c>
      <c r="Q696" s="2" t="s">
        <v>99</v>
      </c>
      <c r="R696" s="2" t="s">
        <v>100</v>
      </c>
      <c r="S696" s="2" t="s">
        <v>2584</v>
      </c>
      <c r="T696" s="2" t="s">
        <v>100</v>
      </c>
      <c r="U696" s="2" t="s">
        <v>100</v>
      </c>
      <c r="V696" s="2" t="s">
        <v>717</v>
      </c>
      <c r="W696" s="2" t="s">
        <v>717</v>
      </c>
      <c r="X696" s="2" t="s">
        <v>525</v>
      </c>
      <c r="Y696" s="2" t="s">
        <v>144</v>
      </c>
      <c r="Z696" s="4"/>
      <c r="AA696" s="4">
        <f>=ROUNDDOWN({0},0)</f>
      </c>
      <c r="AB696" s="5">
        <v>7</v>
      </c>
      <c r="AC696" s="2" t="s">
        <v>725</v>
      </c>
      <c r="AD696" s="4">
        <v>60</v>
      </c>
      <c r="AE696" s="4">
        <v>270</v>
      </c>
      <c r="AF696" s="6">
        <v>68</v>
      </c>
      <c r="AG696" s="6"/>
      <c r="AH696" s="7">
        <v>0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/>
      <c r="BJ696" s="4">
        <v>15</v>
      </c>
      <c r="BK696" s="8">
        <v>359.58</v>
      </c>
      <c r="BL696" s="2" t="s">
        <v>2704</v>
      </c>
      <c r="BM696" s="7"/>
      <c r="BN696" s="7"/>
      <c r="BO696" s="4"/>
      <c r="BP696" s="8"/>
      <c r="BQ696" s="4"/>
      <c r="BR696" s="8"/>
      <c r="BS696" s="7"/>
      <c r="BT696" s="7"/>
      <c r="BU696" s="2" t="s">
        <v>2551</v>
      </c>
      <c r="BV696" s="2" t="s">
        <v>97</v>
      </c>
      <c r="BW696" s="2" t="s">
        <v>100</v>
      </c>
      <c r="BX696" s="2" t="s">
        <v>100</v>
      </c>
      <c r="BY696" s="2" t="s">
        <v>112</v>
      </c>
      <c r="BZ696" s="2" t="s">
        <v>100</v>
      </c>
    </row>
    <row r="697">
      <c r="A697" s="2" t="s">
        <v>2810</v>
      </c>
      <c r="B697" s="2" t="s">
        <v>87</v>
      </c>
      <c r="C697" s="2" t="s">
        <v>2577</v>
      </c>
      <c r="D697" s="2" t="s">
        <v>2505</v>
      </c>
      <c r="E697" s="2" t="s">
        <v>2506</v>
      </c>
      <c r="F697" s="2" t="s">
        <v>2583</v>
      </c>
      <c r="G697" s="2" t="s">
        <v>2583</v>
      </c>
      <c r="H697" s="2" t="s">
        <v>2583</v>
      </c>
      <c r="I697" s="2" t="s">
        <v>2811</v>
      </c>
      <c r="J697" s="2" t="s">
        <v>2806</v>
      </c>
      <c r="K697" s="2" t="s">
        <v>1373</v>
      </c>
      <c r="L697" s="3">
        <v>22.5</v>
      </c>
      <c r="M697" s="3">
        <v>23.62</v>
      </c>
      <c r="N697" s="3">
        <v>49.99</v>
      </c>
      <c r="O697" s="2" t="s">
        <v>97</v>
      </c>
      <c r="P697" s="2" t="s">
        <v>98</v>
      </c>
      <c r="Q697" s="2" t="s">
        <v>99</v>
      </c>
      <c r="R697" s="2" t="s">
        <v>100</v>
      </c>
      <c r="S697" s="2" t="s">
        <v>2584</v>
      </c>
      <c r="T697" s="2" t="s">
        <v>100</v>
      </c>
      <c r="U697" s="2" t="s">
        <v>100</v>
      </c>
      <c r="V697" s="2" t="s">
        <v>717</v>
      </c>
      <c r="W697" s="2" t="s">
        <v>717</v>
      </c>
      <c r="X697" s="2" t="s">
        <v>525</v>
      </c>
      <c r="Y697" s="2" t="s">
        <v>144</v>
      </c>
      <c r="Z697" s="4">
        <v>40</v>
      </c>
      <c r="AA697" s="4">
        <f>=ROUNDDOWN(13.3333333333333,0)</f>
      </c>
      <c r="AB697" s="5">
        <v>3</v>
      </c>
      <c r="AC697" s="2" t="s">
        <v>2812</v>
      </c>
      <c r="AD697" s="4">
        <v>77</v>
      </c>
      <c r="AE697" s="4">
        <v>77</v>
      </c>
      <c r="AF697" s="6">
        <v>68</v>
      </c>
      <c r="AG697" s="6"/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/>
      <c r="BJ697" s="4">
        <v>18</v>
      </c>
      <c r="BK697" s="8">
        <v>449.32</v>
      </c>
      <c r="BL697" s="2" t="s">
        <v>2813</v>
      </c>
      <c r="BM697" s="7"/>
      <c r="BN697" s="7"/>
      <c r="BO697" s="4"/>
      <c r="BP697" s="8"/>
      <c r="BQ697" s="4"/>
      <c r="BR697" s="8"/>
      <c r="BS697" s="7"/>
      <c r="BT697" s="7"/>
      <c r="BU697" s="2" t="s">
        <v>2551</v>
      </c>
      <c r="BV697" s="2" t="s">
        <v>97</v>
      </c>
      <c r="BW697" s="2" t="s">
        <v>100</v>
      </c>
      <c r="BX697" s="2" t="s">
        <v>100</v>
      </c>
      <c r="BY697" s="2" t="s">
        <v>112</v>
      </c>
      <c r="BZ697" s="2" t="s">
        <v>100</v>
      </c>
    </row>
    <row r="698">
      <c r="A698" s="2" t="s">
        <v>2814</v>
      </c>
      <c r="B698" s="2" t="s">
        <v>87</v>
      </c>
      <c r="C698" s="2" t="s">
        <v>2577</v>
      </c>
      <c r="D698" s="2" t="s">
        <v>2505</v>
      </c>
      <c r="E698" s="2" t="s">
        <v>2506</v>
      </c>
      <c r="F698" s="2" t="s">
        <v>2587</v>
      </c>
      <c r="G698" s="2" t="s">
        <v>2587</v>
      </c>
      <c r="H698" s="2" t="s">
        <v>2587</v>
      </c>
      <c r="I698" s="2" t="s">
        <v>2815</v>
      </c>
      <c r="J698" s="2" t="s">
        <v>2816</v>
      </c>
      <c r="K698" s="2" t="s">
        <v>179</v>
      </c>
      <c r="L698" s="3">
        <v>22.5</v>
      </c>
      <c r="M698" s="3">
        <v>23.62</v>
      </c>
      <c r="N698" s="3">
        <v>49.99</v>
      </c>
      <c r="O698" s="2" t="s">
        <v>97</v>
      </c>
      <c r="P698" s="2" t="s">
        <v>156</v>
      </c>
      <c r="Q698" s="2" t="s">
        <v>99</v>
      </c>
      <c r="R698" s="2" t="s">
        <v>100</v>
      </c>
      <c r="S698" s="2" t="s">
        <v>2588</v>
      </c>
      <c r="T698" s="2" t="s">
        <v>100</v>
      </c>
      <c r="U698" s="2" t="s">
        <v>100</v>
      </c>
      <c r="V698" s="2" t="s">
        <v>717</v>
      </c>
      <c r="W698" s="2" t="s">
        <v>717</v>
      </c>
      <c r="X698" s="2" t="s">
        <v>525</v>
      </c>
      <c r="Y698" s="2" t="s">
        <v>144</v>
      </c>
      <c r="Z698" s="4">
        <v>87</v>
      </c>
      <c r="AA698" s="4">
        <f>=ROUNDDOWN(17.4,0)</f>
      </c>
      <c r="AB698" s="5">
        <v>5</v>
      </c>
      <c r="AC698" s="2" t="s">
        <v>725</v>
      </c>
      <c r="AD698" s="4">
        <v>290</v>
      </c>
      <c r="AE698" s="4">
        <v>400</v>
      </c>
      <c r="AF698" s="6">
        <v>64</v>
      </c>
      <c r="AG698" s="6"/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/>
      <c r="BJ698" s="4">
        <v>18</v>
      </c>
      <c r="BK698" s="8">
        <v>421.8</v>
      </c>
      <c r="BL698" s="2" t="s">
        <v>2589</v>
      </c>
      <c r="BM698" s="7"/>
      <c r="BN698" s="7"/>
      <c r="BO698" s="4"/>
      <c r="BP698" s="8"/>
      <c r="BQ698" s="4"/>
      <c r="BR698" s="8"/>
      <c r="BS698" s="7"/>
      <c r="BT698" s="7"/>
      <c r="BU698" s="2" t="s">
        <v>2526</v>
      </c>
      <c r="BV698" s="2" t="s">
        <v>97</v>
      </c>
      <c r="BW698" s="2" t="s">
        <v>100</v>
      </c>
      <c r="BX698" s="2" t="s">
        <v>100</v>
      </c>
      <c r="BY698" s="2" t="s">
        <v>112</v>
      </c>
      <c r="BZ698" s="2" t="s">
        <v>100</v>
      </c>
    </row>
    <row r="699">
      <c r="A699" s="2" t="s">
        <v>2817</v>
      </c>
      <c r="B699" s="2" t="s">
        <v>87</v>
      </c>
      <c r="C699" s="2" t="s">
        <v>2577</v>
      </c>
      <c r="D699" s="2" t="s">
        <v>2505</v>
      </c>
      <c r="E699" s="2" t="s">
        <v>2506</v>
      </c>
      <c r="F699" s="2" t="s">
        <v>2587</v>
      </c>
      <c r="G699" s="2" t="s">
        <v>2587</v>
      </c>
      <c r="H699" s="2" t="s">
        <v>2587</v>
      </c>
      <c r="I699" s="2" t="s">
        <v>2818</v>
      </c>
      <c r="J699" s="2" t="s">
        <v>2514</v>
      </c>
      <c r="K699" s="2" t="s">
        <v>458</v>
      </c>
      <c r="L699" s="3">
        <v>22.5</v>
      </c>
      <c r="M699" s="3">
        <v>23.62</v>
      </c>
      <c r="N699" s="3">
        <v>49.99</v>
      </c>
      <c r="O699" s="2" t="s">
        <v>97</v>
      </c>
      <c r="P699" s="2" t="s">
        <v>156</v>
      </c>
      <c r="Q699" s="2" t="s">
        <v>99</v>
      </c>
      <c r="R699" s="2" t="s">
        <v>100</v>
      </c>
      <c r="S699" s="2" t="s">
        <v>2588</v>
      </c>
      <c r="T699" s="2" t="s">
        <v>100</v>
      </c>
      <c r="U699" s="2" t="s">
        <v>100</v>
      </c>
      <c r="V699" s="2" t="s">
        <v>717</v>
      </c>
      <c r="W699" s="2" t="s">
        <v>717</v>
      </c>
      <c r="X699" s="2" t="s">
        <v>525</v>
      </c>
      <c r="Y699" s="2" t="s">
        <v>144</v>
      </c>
      <c r="Z699" s="4">
        <v>118</v>
      </c>
      <c r="AA699" s="4">
        <f>=ROUNDDOWN(16.8571428571429,0)</f>
      </c>
      <c r="AB699" s="5">
        <v>7</v>
      </c>
      <c r="AC699" s="2" t="s">
        <v>725</v>
      </c>
      <c r="AD699" s="4">
        <v>230</v>
      </c>
      <c r="AE699" s="4">
        <v>296</v>
      </c>
      <c r="AF699" s="6">
        <v>64</v>
      </c>
      <c r="AG699" s="6"/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/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/>
      <c r="BJ699" s="4">
        <v>34</v>
      </c>
      <c r="BK699" s="8">
        <v>813.41</v>
      </c>
      <c r="BL699" s="2" t="s">
        <v>2819</v>
      </c>
      <c r="BM699" s="7"/>
      <c r="BN699" s="7"/>
      <c r="BO699" s="4"/>
      <c r="BP699" s="8"/>
      <c r="BQ699" s="4"/>
      <c r="BR699" s="8"/>
      <c r="BS699" s="7"/>
      <c r="BT699" s="7"/>
      <c r="BU699" s="2" t="s">
        <v>2526</v>
      </c>
      <c r="BV699" s="2" t="s">
        <v>97</v>
      </c>
      <c r="BW699" s="2" t="s">
        <v>100</v>
      </c>
      <c r="BX699" s="2" t="s">
        <v>100</v>
      </c>
      <c r="BY699" s="2" t="s">
        <v>112</v>
      </c>
      <c r="BZ699" s="2" t="s">
        <v>100</v>
      </c>
    </row>
    <row r="700">
      <c r="A700" s="2" t="s">
        <v>2820</v>
      </c>
      <c r="B700" s="2" t="s">
        <v>87</v>
      </c>
      <c r="C700" s="2" t="s">
        <v>2577</v>
      </c>
      <c r="D700" s="2" t="s">
        <v>2505</v>
      </c>
      <c r="E700" s="2" t="s">
        <v>2506</v>
      </c>
      <c r="F700" s="2" t="s">
        <v>2587</v>
      </c>
      <c r="G700" s="2" t="s">
        <v>2587</v>
      </c>
      <c r="H700" s="2" t="s">
        <v>2587</v>
      </c>
      <c r="I700" s="2" t="s">
        <v>2821</v>
      </c>
      <c r="J700" s="2" t="s">
        <v>2509</v>
      </c>
      <c r="K700" s="2" t="s">
        <v>458</v>
      </c>
      <c r="L700" s="3">
        <v>17.49</v>
      </c>
      <c r="M700" s="3">
        <v>18.37</v>
      </c>
      <c r="N700" s="3">
        <v>39.99</v>
      </c>
      <c r="O700" s="2" t="s">
        <v>97</v>
      </c>
      <c r="P700" s="2" t="s">
        <v>156</v>
      </c>
      <c r="Q700" s="2" t="s">
        <v>99</v>
      </c>
      <c r="R700" s="2" t="s">
        <v>100</v>
      </c>
      <c r="S700" s="2" t="s">
        <v>2588</v>
      </c>
      <c r="T700" s="2" t="s">
        <v>100</v>
      </c>
      <c r="U700" s="2" t="s">
        <v>100</v>
      </c>
      <c r="V700" s="2" t="s">
        <v>367</v>
      </c>
      <c r="W700" s="2" t="s">
        <v>717</v>
      </c>
      <c r="X700" s="2" t="s">
        <v>525</v>
      </c>
      <c r="Y700" s="2" t="s">
        <v>144</v>
      </c>
      <c r="Z700" s="4">
        <v>51</v>
      </c>
      <c r="AA700" s="4">
        <f>=ROUNDDOWN(6.375,0)</f>
      </c>
      <c r="AB700" s="5">
        <v>8</v>
      </c>
      <c r="AC700" s="2" t="s">
        <v>725</v>
      </c>
      <c r="AD700" s="4">
        <v>290</v>
      </c>
      <c r="AE700" s="4">
        <v>360</v>
      </c>
      <c r="AF700" s="6">
        <v>64</v>
      </c>
      <c r="AG700" s="6"/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/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/>
      <c r="BJ700" s="4">
        <v>25</v>
      </c>
      <c r="BK700" s="8">
        <v>449.97</v>
      </c>
      <c r="BL700" s="2" t="s">
        <v>2392</v>
      </c>
      <c r="BM700" s="7"/>
      <c r="BN700" s="7"/>
      <c r="BO700" s="4"/>
      <c r="BP700" s="8"/>
      <c r="BQ700" s="4"/>
      <c r="BR700" s="8"/>
      <c r="BS700" s="7"/>
      <c r="BT700" s="7"/>
      <c r="BU700" s="2" t="s">
        <v>2526</v>
      </c>
      <c r="BV700" s="2" t="s">
        <v>97</v>
      </c>
      <c r="BW700" s="2" t="s">
        <v>100</v>
      </c>
      <c r="BX700" s="2" t="s">
        <v>100</v>
      </c>
      <c r="BY700" s="2" t="s">
        <v>112</v>
      </c>
      <c r="BZ700" s="2" t="s">
        <v>100</v>
      </c>
    </row>
    <row r="701">
      <c r="A701" s="2" t="s">
        <v>2822</v>
      </c>
      <c r="B701" s="2" t="s">
        <v>87</v>
      </c>
      <c r="C701" s="2" t="s">
        <v>2577</v>
      </c>
      <c r="D701" s="2" t="s">
        <v>2505</v>
      </c>
      <c r="E701" s="2" t="s">
        <v>2506</v>
      </c>
      <c r="F701" s="2" t="s">
        <v>2591</v>
      </c>
      <c r="G701" s="2" t="s">
        <v>2591</v>
      </c>
      <c r="H701" s="2" t="s">
        <v>2591</v>
      </c>
      <c r="I701" s="2" t="s">
        <v>2796</v>
      </c>
      <c r="J701" s="2" t="s">
        <v>2514</v>
      </c>
      <c r="K701" s="2" t="s">
        <v>179</v>
      </c>
      <c r="L701" s="3">
        <v>16.8</v>
      </c>
      <c r="M701" s="3">
        <v>17.63</v>
      </c>
      <c r="N701" s="3">
        <v>34.99</v>
      </c>
      <c r="O701" s="2" t="s">
        <v>97</v>
      </c>
      <c r="P701" s="2" t="s">
        <v>123</v>
      </c>
      <c r="Q701" s="2" t="s">
        <v>99</v>
      </c>
      <c r="R701" s="2" t="s">
        <v>100</v>
      </c>
      <c r="S701" s="2" t="s">
        <v>2592</v>
      </c>
      <c r="T701" s="2" t="s">
        <v>100</v>
      </c>
      <c r="U701" s="2" t="s">
        <v>100</v>
      </c>
      <c r="V701" s="2" t="s">
        <v>461</v>
      </c>
      <c r="W701" s="2" t="s">
        <v>717</v>
      </c>
      <c r="X701" s="2" t="s">
        <v>104</v>
      </c>
      <c r="Y701" s="2" t="s">
        <v>144</v>
      </c>
      <c r="Z701" s="4">
        <v>157</v>
      </c>
      <c r="AA701" s="4">
        <f>=ROUNDDOWN(31.4,0)</f>
      </c>
      <c r="AB701" s="5">
        <v>5</v>
      </c>
      <c r="AC701" s="2" t="s">
        <v>911</v>
      </c>
      <c r="AD701" s="4">
        <v>95</v>
      </c>
      <c r="AE701" s="4">
        <v>95</v>
      </c>
      <c r="AF701" s="6">
        <v>66</v>
      </c>
      <c r="AG701" s="6"/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 t="s">
        <v>100</v>
      </c>
      <c r="BD701" s="8" t="s">
        <v>100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/>
      <c r="BJ701" s="4">
        <v>9</v>
      </c>
      <c r="BK701" s="8">
        <v>155.31</v>
      </c>
      <c r="BL701" s="2" t="s">
        <v>2744</v>
      </c>
      <c r="BM701" s="7"/>
      <c r="BN701" s="7"/>
      <c r="BO701" s="4"/>
      <c r="BP701" s="8"/>
      <c r="BQ701" s="4"/>
      <c r="BR701" s="8"/>
      <c r="BS701" s="7"/>
      <c r="BT701" s="7"/>
      <c r="BU701" s="2" t="s">
        <v>2551</v>
      </c>
      <c r="BV701" s="2" t="s">
        <v>97</v>
      </c>
      <c r="BW701" s="2" t="s">
        <v>100</v>
      </c>
      <c r="BX701" s="2" t="s">
        <v>100</v>
      </c>
      <c r="BY701" s="2" t="s">
        <v>112</v>
      </c>
      <c r="BZ701" s="2" t="s">
        <v>100</v>
      </c>
    </row>
    <row r="702">
      <c r="A702" s="2" t="s">
        <v>2823</v>
      </c>
      <c r="B702" s="2" t="s">
        <v>87</v>
      </c>
      <c r="C702" s="2" t="s">
        <v>2577</v>
      </c>
      <c r="D702" s="2" t="s">
        <v>2505</v>
      </c>
      <c r="E702" s="2" t="s">
        <v>2506</v>
      </c>
      <c r="F702" s="2" t="s">
        <v>2591</v>
      </c>
      <c r="G702" s="2" t="s">
        <v>2591</v>
      </c>
      <c r="H702" s="2" t="s">
        <v>2591</v>
      </c>
      <c r="I702" s="2" t="s">
        <v>2811</v>
      </c>
      <c r="J702" s="2" t="s">
        <v>2806</v>
      </c>
      <c r="K702" s="2" t="s">
        <v>458</v>
      </c>
      <c r="L702" s="3">
        <v>22.5</v>
      </c>
      <c r="M702" s="3">
        <v>23.62</v>
      </c>
      <c r="N702" s="3">
        <v>44.99</v>
      </c>
      <c r="O702" s="2" t="s">
        <v>97</v>
      </c>
      <c r="P702" s="2" t="s">
        <v>123</v>
      </c>
      <c r="Q702" s="2" t="s">
        <v>99</v>
      </c>
      <c r="R702" s="2" t="s">
        <v>100</v>
      </c>
      <c r="S702" s="2" t="s">
        <v>2592</v>
      </c>
      <c r="T702" s="2" t="s">
        <v>100</v>
      </c>
      <c r="U702" s="2" t="s">
        <v>100</v>
      </c>
      <c r="V702" s="2" t="s">
        <v>717</v>
      </c>
      <c r="W702" s="2" t="s">
        <v>717</v>
      </c>
      <c r="X702" s="2" t="s">
        <v>104</v>
      </c>
      <c r="Y702" s="2" t="s">
        <v>144</v>
      </c>
      <c r="Z702" s="4">
        <v>227</v>
      </c>
      <c r="AA702" s="4">
        <f>=ROUNDDOWN(20.6363636363636,0)</f>
      </c>
      <c r="AB702" s="5">
        <v>11</v>
      </c>
      <c r="AC702" s="2" t="s">
        <v>1711</v>
      </c>
      <c r="AD702" s="4">
        <v>150</v>
      </c>
      <c r="AE702" s="4">
        <v>300</v>
      </c>
      <c r="AF702" s="6">
        <v>66</v>
      </c>
      <c r="AG702" s="6"/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/>
      <c r="BJ702" s="4">
        <v>35</v>
      </c>
      <c r="BK702" s="8">
        <v>824.57</v>
      </c>
      <c r="BL702" s="2" t="s">
        <v>2824</v>
      </c>
      <c r="BM702" s="7"/>
      <c r="BN702" s="7"/>
      <c r="BO702" s="4"/>
      <c r="BP702" s="8"/>
      <c r="BQ702" s="4"/>
      <c r="BR702" s="8"/>
      <c r="BS702" s="7"/>
      <c r="BT702" s="7"/>
      <c r="BU702" s="2" t="s">
        <v>2551</v>
      </c>
      <c r="BV702" s="2" t="s">
        <v>97</v>
      </c>
      <c r="BW702" s="2" t="s">
        <v>100</v>
      </c>
      <c r="BX702" s="2" t="s">
        <v>100</v>
      </c>
      <c r="BY702" s="2" t="s">
        <v>112</v>
      </c>
      <c r="BZ702" s="2" t="s">
        <v>100</v>
      </c>
    </row>
    <row r="703">
      <c r="A703" s="2" t="s">
        <v>2825</v>
      </c>
      <c r="B703" s="2" t="s">
        <v>87</v>
      </c>
      <c r="C703" s="2" t="s">
        <v>2577</v>
      </c>
      <c r="D703" s="2" t="s">
        <v>2505</v>
      </c>
      <c r="E703" s="2" t="s">
        <v>2506</v>
      </c>
      <c r="F703" s="2" t="s">
        <v>2706</v>
      </c>
      <c r="G703" s="2" t="s">
        <v>100</v>
      </c>
      <c r="H703" s="2" t="s">
        <v>100</v>
      </c>
      <c r="I703" s="2" t="s">
        <v>2811</v>
      </c>
      <c r="J703" s="2" t="s">
        <v>2509</v>
      </c>
      <c r="K703" s="2" t="s">
        <v>673</v>
      </c>
      <c r="L703" s="3">
        <v>22.5</v>
      </c>
      <c r="M703" s="3">
        <v>23.62</v>
      </c>
      <c r="N703" s="3">
        <v>49.99</v>
      </c>
      <c r="O703" s="2" t="s">
        <v>97</v>
      </c>
      <c r="P703" s="2" t="s">
        <v>156</v>
      </c>
      <c r="Q703" s="2" t="s">
        <v>99</v>
      </c>
      <c r="R703" s="2" t="s">
        <v>100</v>
      </c>
      <c r="S703" s="2" t="s">
        <v>2714</v>
      </c>
      <c r="T703" s="2" t="s">
        <v>100</v>
      </c>
      <c r="U703" s="2" t="s">
        <v>100</v>
      </c>
      <c r="V703" s="2" t="s">
        <v>103</v>
      </c>
      <c r="W703" s="2" t="s">
        <v>525</v>
      </c>
      <c r="X703" s="2" t="s">
        <v>193</v>
      </c>
      <c r="Y703" s="2" t="s">
        <v>2430</v>
      </c>
      <c r="Z703" s="4">
        <v>187</v>
      </c>
      <c r="AA703" s="4">
        <f>=ROUNDDOWN(37.4,0)</f>
      </c>
      <c r="AB703" s="5">
        <v>5</v>
      </c>
      <c r="AC703" s="2" t="s">
        <v>646</v>
      </c>
      <c r="AD703" s="4">
        <v>100</v>
      </c>
      <c r="AE703" s="4">
        <v>100</v>
      </c>
      <c r="AF703" s="6">
        <v>64</v>
      </c>
      <c r="AG703" s="6"/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/>
      <c r="BJ703" s="4">
        <v>16</v>
      </c>
      <c r="BK703" s="8">
        <v>379.59</v>
      </c>
      <c r="BL703" s="2" t="s">
        <v>2826</v>
      </c>
      <c r="BM703" s="7"/>
      <c r="BN703" s="7"/>
      <c r="BO703" s="4"/>
      <c r="BP703" s="8"/>
      <c r="BQ703" s="4"/>
      <c r="BR703" s="8"/>
      <c r="BS703" s="7"/>
      <c r="BT703" s="7"/>
      <c r="BU703" s="2" t="s">
        <v>2526</v>
      </c>
      <c r="BV703" s="2" t="s">
        <v>97</v>
      </c>
      <c r="BW703" s="2" t="s">
        <v>100</v>
      </c>
      <c r="BX703" s="2" t="s">
        <v>100</v>
      </c>
      <c r="BY703" s="2" t="s">
        <v>112</v>
      </c>
      <c r="BZ703" s="2" t="s">
        <v>100</v>
      </c>
    </row>
    <row r="704">
      <c r="A704" s="2" t="s">
        <v>2827</v>
      </c>
      <c r="B704" s="2" t="s">
        <v>87</v>
      </c>
      <c r="C704" s="2" t="s">
        <v>2577</v>
      </c>
      <c r="D704" s="2" t="s">
        <v>2505</v>
      </c>
      <c r="E704" s="2" t="s">
        <v>2506</v>
      </c>
      <c r="F704" s="2" t="s">
        <v>2706</v>
      </c>
      <c r="G704" s="2" t="s">
        <v>100</v>
      </c>
      <c r="H704" s="2" t="s">
        <v>100</v>
      </c>
      <c r="I704" s="2" t="s">
        <v>2796</v>
      </c>
      <c r="J704" s="2" t="s">
        <v>2514</v>
      </c>
      <c r="K704" s="2" t="s">
        <v>458</v>
      </c>
      <c r="L704" s="3">
        <v>16.8</v>
      </c>
      <c r="M704" s="3">
        <v>17.63</v>
      </c>
      <c r="N704" s="3">
        <v>49.99</v>
      </c>
      <c r="O704" s="2" t="s">
        <v>97</v>
      </c>
      <c r="P704" s="2" t="s">
        <v>98</v>
      </c>
      <c r="Q704" s="2" t="s">
        <v>99</v>
      </c>
      <c r="R704" s="2" t="s">
        <v>100</v>
      </c>
      <c r="S704" s="2" t="s">
        <v>2714</v>
      </c>
      <c r="T704" s="2" t="s">
        <v>100</v>
      </c>
      <c r="U704" s="2" t="s">
        <v>100</v>
      </c>
      <c r="V704" s="2" t="s">
        <v>103</v>
      </c>
      <c r="W704" s="2" t="s">
        <v>525</v>
      </c>
      <c r="X704" s="2" t="s">
        <v>193</v>
      </c>
      <c r="Y704" s="2" t="s">
        <v>2828</v>
      </c>
      <c r="Z704" s="4">
        <v>70</v>
      </c>
      <c r="AA704" s="4">
        <f>=ROUNDDOWN(23.3333333333333,0)</f>
      </c>
      <c r="AB704" s="5">
        <v>3</v>
      </c>
      <c r="AC704" s="2" t="s">
        <v>2363</v>
      </c>
      <c r="AD704" s="4">
        <v>100</v>
      </c>
      <c r="AE704" s="4">
        <v>200</v>
      </c>
      <c r="AF704" s="6">
        <v>64</v>
      </c>
      <c r="AG704" s="6"/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/>
      <c r="BJ704" s="4">
        <v>12</v>
      </c>
      <c r="BK704" s="8">
        <v>240.44</v>
      </c>
      <c r="BL704" s="2" t="s">
        <v>2829</v>
      </c>
      <c r="BM704" s="7"/>
      <c r="BN704" s="7"/>
      <c r="BO704" s="4"/>
      <c r="BP704" s="8"/>
      <c r="BQ704" s="4"/>
      <c r="BR704" s="8"/>
      <c r="BS704" s="7"/>
      <c r="BT704" s="7"/>
      <c r="BU704" s="2" t="s">
        <v>2551</v>
      </c>
      <c r="BV704" s="2" t="s">
        <v>97</v>
      </c>
      <c r="BW704" s="2" t="s">
        <v>100</v>
      </c>
      <c r="BX704" s="2" t="s">
        <v>100</v>
      </c>
      <c r="BY704" s="2" t="s">
        <v>112</v>
      </c>
      <c r="BZ704" s="2" t="s">
        <v>100</v>
      </c>
    </row>
    <row r="705">
      <c r="A705" s="2" t="s">
        <v>2830</v>
      </c>
      <c r="B705" s="2" t="s">
        <v>87</v>
      </c>
      <c r="C705" s="2" t="s">
        <v>2831</v>
      </c>
      <c r="D705" s="2" t="s">
        <v>1785</v>
      </c>
      <c r="E705" s="2" t="s">
        <v>2467</v>
      </c>
      <c r="F705" s="2" t="s">
        <v>2832</v>
      </c>
      <c r="G705" s="2" t="s">
        <v>2832</v>
      </c>
      <c r="H705" s="2" t="s">
        <v>2832</v>
      </c>
      <c r="I705" s="2" t="s">
        <v>2833</v>
      </c>
      <c r="J705" s="2" t="s">
        <v>2470</v>
      </c>
      <c r="K705" s="2" t="s">
        <v>165</v>
      </c>
      <c r="L705" s="3">
        <v>14.85</v>
      </c>
      <c r="M705" s="3">
        <v>15.59</v>
      </c>
      <c r="N705" s="3">
        <v>32.99</v>
      </c>
      <c r="O705" s="2" t="s">
        <v>97</v>
      </c>
      <c r="P705" s="2" t="s">
        <v>139</v>
      </c>
      <c r="Q705" s="2" t="s">
        <v>99</v>
      </c>
      <c r="R705" s="2" t="s">
        <v>100</v>
      </c>
      <c r="S705" s="2" t="s">
        <v>2834</v>
      </c>
      <c r="T705" s="2" t="s">
        <v>100</v>
      </c>
      <c r="U705" s="2" t="s">
        <v>100</v>
      </c>
      <c r="V705" s="2" t="s">
        <v>461</v>
      </c>
      <c r="W705" s="2" t="s">
        <v>609</v>
      </c>
      <c r="X705" s="2" t="s">
        <v>2835</v>
      </c>
      <c r="Y705" s="2" t="s">
        <v>144</v>
      </c>
      <c r="Z705" s="4">
        <v>882</v>
      </c>
      <c r="AA705" s="4">
        <f>=ROUNDDOWN(16.6415094339623,0)</f>
      </c>
      <c r="AB705" s="5">
        <v>53</v>
      </c>
      <c r="AC705" s="2" t="s">
        <v>1094</v>
      </c>
      <c r="AD705" s="4">
        <v>500</v>
      </c>
      <c r="AE705" s="4">
        <v>1000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/>
      <c r="BJ705" s="4">
        <v>137</v>
      </c>
      <c r="BK705" s="8">
        <v>2144.91</v>
      </c>
      <c r="BL705" s="2" t="s">
        <v>2836</v>
      </c>
      <c r="BM705" s="7"/>
      <c r="BN705" s="7"/>
      <c r="BO705" s="4"/>
      <c r="BP705" s="8"/>
      <c r="BQ705" s="4"/>
      <c r="BR705" s="8"/>
      <c r="BS705" s="7"/>
      <c r="BT705" s="7"/>
      <c r="BU705" s="2" t="s">
        <v>2551</v>
      </c>
      <c r="BV705" s="2" t="s">
        <v>97</v>
      </c>
      <c r="BW705" s="2" t="s">
        <v>100</v>
      </c>
      <c r="BX705" s="2" t="s">
        <v>100</v>
      </c>
      <c r="BY705" s="2" t="s">
        <v>112</v>
      </c>
      <c r="BZ705" s="2" t="s">
        <v>100</v>
      </c>
    </row>
    <row r="706">
      <c r="A706" s="2" t="s">
        <v>2837</v>
      </c>
      <c r="B706" s="2" t="s">
        <v>87</v>
      </c>
      <c r="C706" s="2" t="s">
        <v>2831</v>
      </c>
      <c r="D706" s="2" t="s">
        <v>1785</v>
      </c>
      <c r="E706" s="2" t="s">
        <v>2467</v>
      </c>
      <c r="F706" s="2" t="s">
        <v>2832</v>
      </c>
      <c r="G706" s="2" t="s">
        <v>2832</v>
      </c>
      <c r="H706" s="2" t="s">
        <v>2832</v>
      </c>
      <c r="I706" s="2" t="s">
        <v>2833</v>
      </c>
      <c r="J706" s="2" t="s">
        <v>2470</v>
      </c>
      <c r="K706" s="2" t="s">
        <v>96</v>
      </c>
      <c r="L706" s="3">
        <v>14.85</v>
      </c>
      <c r="M706" s="3">
        <v>15.59</v>
      </c>
      <c r="N706" s="3">
        <v>32.99</v>
      </c>
      <c r="O706" s="2" t="s">
        <v>97</v>
      </c>
      <c r="P706" s="2" t="s">
        <v>98</v>
      </c>
      <c r="Q706" s="2" t="s">
        <v>99</v>
      </c>
      <c r="R706" s="2" t="s">
        <v>100</v>
      </c>
      <c r="S706" s="2" t="s">
        <v>2838</v>
      </c>
      <c r="T706" s="2" t="s">
        <v>100</v>
      </c>
      <c r="U706" s="2" t="s">
        <v>100</v>
      </c>
      <c r="V706" s="2" t="s">
        <v>461</v>
      </c>
      <c r="W706" s="2" t="s">
        <v>609</v>
      </c>
      <c r="X706" s="2" t="s">
        <v>2835</v>
      </c>
      <c r="Y706" s="2" t="s">
        <v>2839</v>
      </c>
      <c r="Z706" s="4">
        <v>284</v>
      </c>
      <c r="AA706" s="4">
        <f>=ROUNDDOWN(12.9090909090909,0)</f>
      </c>
      <c r="AB706" s="5">
        <v>22</v>
      </c>
      <c r="AC706" s="2" t="s">
        <v>2363</v>
      </c>
      <c r="AD706" s="4">
        <v>400</v>
      </c>
      <c r="AE706" s="4">
        <v>640</v>
      </c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/>
      <c r="BJ706" s="4">
        <v>70</v>
      </c>
      <c r="BK706" s="8">
        <v>1090.54</v>
      </c>
      <c r="BL706" s="2" t="s">
        <v>2840</v>
      </c>
      <c r="BM706" s="7"/>
      <c r="BN706" s="7"/>
      <c r="BO706" s="4"/>
      <c r="BP706" s="8"/>
      <c r="BQ706" s="4"/>
      <c r="BR706" s="8"/>
      <c r="BS706" s="7"/>
      <c r="BT706" s="7"/>
      <c r="BU706" s="2" t="s">
        <v>2551</v>
      </c>
      <c r="BV706" s="2" t="s">
        <v>97</v>
      </c>
      <c r="BW706" s="2" t="s">
        <v>100</v>
      </c>
      <c r="BX706" s="2" t="s">
        <v>100</v>
      </c>
      <c r="BY706" s="2" t="s">
        <v>112</v>
      </c>
      <c r="BZ706" s="2" t="s">
        <v>100</v>
      </c>
    </row>
    <row r="707">
      <c r="A707" s="2" t="s">
        <v>2841</v>
      </c>
      <c r="B707" s="2" t="s">
        <v>87</v>
      </c>
      <c r="C707" s="2" t="s">
        <v>2831</v>
      </c>
      <c r="D707" s="2" t="s">
        <v>1785</v>
      </c>
      <c r="E707" s="2" t="s">
        <v>2467</v>
      </c>
      <c r="F707" s="2" t="s">
        <v>2832</v>
      </c>
      <c r="G707" s="2" t="s">
        <v>2832</v>
      </c>
      <c r="H707" s="2" t="s">
        <v>2832</v>
      </c>
      <c r="I707" s="2" t="s">
        <v>2833</v>
      </c>
      <c r="J707" s="2" t="s">
        <v>2470</v>
      </c>
      <c r="K707" s="2" t="s">
        <v>223</v>
      </c>
      <c r="L707" s="3">
        <v>14.85</v>
      </c>
      <c r="M707" s="3">
        <v>15.59</v>
      </c>
      <c r="N707" s="3">
        <v>32.99</v>
      </c>
      <c r="O707" s="2" t="s">
        <v>97</v>
      </c>
      <c r="P707" s="2" t="s">
        <v>139</v>
      </c>
      <c r="Q707" s="2" t="s">
        <v>99</v>
      </c>
      <c r="R707" s="2" t="s">
        <v>100</v>
      </c>
      <c r="S707" s="2" t="s">
        <v>2842</v>
      </c>
      <c r="T707" s="2" t="s">
        <v>190</v>
      </c>
      <c r="U707" s="2" t="s">
        <v>1776</v>
      </c>
      <c r="V707" s="2" t="s">
        <v>461</v>
      </c>
      <c r="W707" s="2" t="s">
        <v>609</v>
      </c>
      <c r="X707" s="2" t="s">
        <v>2835</v>
      </c>
      <c r="Y707" s="2" t="s">
        <v>2313</v>
      </c>
      <c r="Z707" s="4">
        <v>886</v>
      </c>
      <c r="AA707" s="4">
        <f>=ROUNDDOWN(18.0816326530612,0)</f>
      </c>
      <c r="AB707" s="5">
        <v>49</v>
      </c>
      <c r="AC707" s="2" t="s">
        <v>2843</v>
      </c>
      <c r="AD707" s="4">
        <v>400</v>
      </c>
      <c r="AE707" s="4">
        <v>700</v>
      </c>
      <c r="AF707" s="6">
        <v>66</v>
      </c>
      <c r="AG707" s="6"/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/>
      <c r="BJ707" s="4">
        <v>185</v>
      </c>
      <c r="BK707" s="8">
        <v>2983.4</v>
      </c>
      <c r="BL707" s="2" t="s">
        <v>2844</v>
      </c>
      <c r="BM707" s="7"/>
      <c r="BN707" s="7"/>
      <c r="BO707" s="4"/>
      <c r="BP707" s="8"/>
      <c r="BQ707" s="4"/>
      <c r="BR707" s="8"/>
      <c r="BS707" s="7"/>
      <c r="BT707" s="7"/>
      <c r="BU707" s="2" t="s">
        <v>2551</v>
      </c>
      <c r="BV707" s="2" t="s">
        <v>97</v>
      </c>
      <c r="BW707" s="2" t="s">
        <v>100</v>
      </c>
      <c r="BX707" s="2" t="s">
        <v>100</v>
      </c>
      <c r="BY707" s="2" t="s">
        <v>112</v>
      </c>
      <c r="BZ707" s="2" t="s">
        <v>100</v>
      </c>
    </row>
    <row r="708">
      <c r="A708" s="2" t="s">
        <v>2845</v>
      </c>
      <c r="B708" s="2" t="s">
        <v>87</v>
      </c>
      <c r="C708" s="2" t="s">
        <v>2831</v>
      </c>
      <c r="D708" s="2" t="s">
        <v>1785</v>
      </c>
      <c r="E708" s="2" t="s">
        <v>2467</v>
      </c>
      <c r="F708" s="2" t="s">
        <v>2832</v>
      </c>
      <c r="G708" s="2" t="s">
        <v>2832</v>
      </c>
      <c r="H708" s="2" t="s">
        <v>2832</v>
      </c>
      <c r="I708" s="2" t="s">
        <v>2833</v>
      </c>
      <c r="J708" s="2" t="s">
        <v>2470</v>
      </c>
      <c r="K708" s="2" t="s">
        <v>673</v>
      </c>
      <c r="L708" s="3">
        <v>14.85</v>
      </c>
      <c r="M708" s="3">
        <v>15.59</v>
      </c>
      <c r="N708" s="3">
        <v>32.99</v>
      </c>
      <c r="O708" s="2" t="s">
        <v>97</v>
      </c>
      <c r="P708" s="2" t="s">
        <v>123</v>
      </c>
      <c r="Q708" s="2" t="s">
        <v>99</v>
      </c>
      <c r="R708" s="2" t="s">
        <v>100</v>
      </c>
      <c r="S708" s="2" t="s">
        <v>2846</v>
      </c>
      <c r="T708" s="2" t="s">
        <v>100</v>
      </c>
      <c r="U708" s="2" t="s">
        <v>100</v>
      </c>
      <c r="V708" s="2" t="s">
        <v>461</v>
      </c>
      <c r="W708" s="2" t="s">
        <v>609</v>
      </c>
      <c r="X708" s="2" t="s">
        <v>2835</v>
      </c>
      <c r="Y708" s="2" t="s">
        <v>144</v>
      </c>
      <c r="Z708" s="4">
        <v>436</v>
      </c>
      <c r="AA708" s="4">
        <f>=ROUNDDOWN(10.9,0)</f>
      </c>
      <c r="AB708" s="5">
        <v>40</v>
      </c>
      <c r="AC708" s="2" t="s">
        <v>206</v>
      </c>
      <c r="AD708" s="4">
        <v>800</v>
      </c>
      <c r="AE708" s="4">
        <v>800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/>
      <c r="BJ708" s="4">
        <v>104</v>
      </c>
      <c r="BK708" s="8">
        <v>1643.42</v>
      </c>
      <c r="BL708" s="2" t="s">
        <v>2840</v>
      </c>
      <c r="BM708" s="7"/>
      <c r="BN708" s="7"/>
      <c r="BO708" s="4"/>
      <c r="BP708" s="8"/>
      <c r="BQ708" s="4"/>
      <c r="BR708" s="8"/>
      <c r="BS708" s="7"/>
      <c r="BT708" s="7"/>
      <c r="BU708" s="2" t="s">
        <v>2551</v>
      </c>
      <c r="BV708" s="2" t="s">
        <v>97</v>
      </c>
      <c r="BW708" s="2" t="s">
        <v>100</v>
      </c>
      <c r="BX708" s="2" t="s">
        <v>100</v>
      </c>
      <c r="BY708" s="2" t="s">
        <v>112</v>
      </c>
      <c r="BZ708" s="2" t="s">
        <v>100</v>
      </c>
    </row>
    <row r="709">
      <c r="A709" s="2" t="s">
        <v>2847</v>
      </c>
      <c r="B709" s="2" t="s">
        <v>87</v>
      </c>
      <c r="C709" s="2" t="s">
        <v>2831</v>
      </c>
      <c r="D709" s="2" t="s">
        <v>1785</v>
      </c>
      <c r="E709" s="2" t="s">
        <v>2467</v>
      </c>
      <c r="F709" s="2" t="s">
        <v>2832</v>
      </c>
      <c r="G709" s="2" t="s">
        <v>2832</v>
      </c>
      <c r="H709" s="2" t="s">
        <v>2832</v>
      </c>
      <c r="I709" s="2" t="s">
        <v>2833</v>
      </c>
      <c r="J709" s="2" t="s">
        <v>2470</v>
      </c>
      <c r="K709" s="2" t="s">
        <v>458</v>
      </c>
      <c r="L709" s="3">
        <v>14.85</v>
      </c>
      <c r="M709" s="3">
        <v>15.59</v>
      </c>
      <c r="N709" s="3">
        <v>32.99</v>
      </c>
      <c r="O709" s="2" t="s">
        <v>97</v>
      </c>
      <c r="P709" s="2" t="s">
        <v>123</v>
      </c>
      <c r="Q709" s="2" t="s">
        <v>99</v>
      </c>
      <c r="R709" s="2" t="s">
        <v>100</v>
      </c>
      <c r="S709" s="2" t="s">
        <v>2848</v>
      </c>
      <c r="T709" s="2" t="s">
        <v>100</v>
      </c>
      <c r="U709" s="2" t="s">
        <v>100</v>
      </c>
      <c r="V709" s="2" t="s">
        <v>461</v>
      </c>
      <c r="W709" s="2" t="s">
        <v>609</v>
      </c>
      <c r="X709" s="2" t="s">
        <v>2835</v>
      </c>
      <c r="Y709" s="2" t="s">
        <v>144</v>
      </c>
      <c r="Z709" s="4">
        <v>339</v>
      </c>
      <c r="AA709" s="4">
        <f>=ROUNDDOWN(9.41666666666667,0)</f>
      </c>
      <c r="AB709" s="5">
        <v>36</v>
      </c>
      <c r="AC709" s="2" t="s">
        <v>206</v>
      </c>
      <c r="AD709" s="4">
        <v>500</v>
      </c>
      <c r="AE709" s="4">
        <v>500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100</v>
      </c>
      <c r="BD709" s="8" t="s">
        <v>100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/>
      <c r="BJ709" s="4">
        <v>100</v>
      </c>
      <c r="BK709" s="8">
        <v>1566.92</v>
      </c>
      <c r="BL709" s="2" t="s">
        <v>2849</v>
      </c>
      <c r="BM709" s="7"/>
      <c r="BN709" s="7"/>
      <c r="BO709" s="4"/>
      <c r="BP709" s="8"/>
      <c r="BQ709" s="4"/>
      <c r="BR709" s="8"/>
      <c r="BS709" s="7"/>
      <c r="BT709" s="7"/>
      <c r="BU709" s="2" t="s">
        <v>2551</v>
      </c>
      <c r="BV709" s="2" t="s">
        <v>97</v>
      </c>
      <c r="BW709" s="2" t="s">
        <v>100</v>
      </c>
      <c r="BX709" s="2" t="s">
        <v>100</v>
      </c>
      <c r="BY709" s="2" t="s">
        <v>112</v>
      </c>
      <c r="BZ709" s="2" t="s">
        <v>100</v>
      </c>
    </row>
    <row r="710">
      <c r="A710" s="2" t="s">
        <v>2850</v>
      </c>
      <c r="B710" s="2" t="s">
        <v>87</v>
      </c>
      <c r="C710" s="2" t="s">
        <v>2831</v>
      </c>
      <c r="D710" s="2" t="s">
        <v>1785</v>
      </c>
      <c r="E710" s="2" t="s">
        <v>2467</v>
      </c>
      <c r="F710" s="2" t="s">
        <v>681</v>
      </c>
      <c r="G710" s="2" t="s">
        <v>681</v>
      </c>
      <c r="H710" s="2" t="s">
        <v>681</v>
      </c>
      <c r="I710" s="2" t="s">
        <v>2851</v>
      </c>
      <c r="J710" s="2" t="s">
        <v>2470</v>
      </c>
      <c r="K710" s="2" t="s">
        <v>458</v>
      </c>
      <c r="L710" s="3">
        <v>14.85</v>
      </c>
      <c r="M710" s="3">
        <v>15.59</v>
      </c>
      <c r="N710" s="3">
        <v>32.99</v>
      </c>
      <c r="O710" s="2" t="s">
        <v>97</v>
      </c>
      <c r="P710" s="2" t="s">
        <v>139</v>
      </c>
      <c r="Q710" s="2" t="s">
        <v>99</v>
      </c>
      <c r="R710" s="2" t="s">
        <v>100</v>
      </c>
      <c r="S710" s="2" t="s">
        <v>2852</v>
      </c>
      <c r="T710" s="2" t="s">
        <v>100</v>
      </c>
      <c r="U710" s="2" t="s">
        <v>100</v>
      </c>
      <c r="V710" s="2" t="s">
        <v>492</v>
      </c>
      <c r="W710" s="2" t="s">
        <v>609</v>
      </c>
      <c r="X710" s="2" t="s">
        <v>2835</v>
      </c>
      <c r="Y710" s="2" t="s">
        <v>144</v>
      </c>
      <c r="Z710" s="4">
        <v>925</v>
      </c>
      <c r="AA710" s="4">
        <f>=ROUNDDOWN(21.5116279069767,0)</f>
      </c>
      <c r="AB710" s="5">
        <v>43</v>
      </c>
      <c r="AC710" s="2" t="s">
        <v>2363</v>
      </c>
      <c r="AD710" s="4">
        <v>580</v>
      </c>
      <c r="AE710" s="4">
        <v>1500</v>
      </c>
      <c r="AF710" s="6">
        <v>65</v>
      </c>
      <c r="AG710" s="6">
        <v>48</v>
      </c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>
        <v>168</v>
      </c>
      <c r="BK710" s="8">
        <v>2694.48</v>
      </c>
      <c r="BL710" s="2" t="s">
        <v>2853</v>
      </c>
      <c r="BM710" s="7"/>
      <c r="BN710" s="7"/>
      <c r="BO710" s="4"/>
      <c r="BP710" s="8"/>
      <c r="BQ710" s="4"/>
      <c r="BR710" s="8"/>
      <c r="BS710" s="7"/>
      <c r="BT710" s="7"/>
      <c r="BU710" s="2" t="s">
        <v>2551</v>
      </c>
      <c r="BV710" s="2" t="s">
        <v>97</v>
      </c>
      <c r="BW710" s="2" t="s">
        <v>100</v>
      </c>
      <c r="BX710" s="2" t="s">
        <v>100</v>
      </c>
      <c r="BY710" s="2" t="s">
        <v>112</v>
      </c>
      <c r="BZ710" s="2" t="s">
        <v>100</v>
      </c>
    </row>
    <row r="711">
      <c r="A711" s="2" t="s">
        <v>2854</v>
      </c>
      <c r="B711" s="2" t="s">
        <v>87</v>
      </c>
      <c r="C711" s="2" t="s">
        <v>2831</v>
      </c>
      <c r="D711" s="2" t="s">
        <v>1785</v>
      </c>
      <c r="E711" s="2" t="s">
        <v>2467</v>
      </c>
      <c r="F711" s="2" t="s">
        <v>2855</v>
      </c>
      <c r="G711" s="2" t="s">
        <v>2855</v>
      </c>
      <c r="H711" s="2" t="s">
        <v>100</v>
      </c>
      <c r="I711" s="2" t="s">
        <v>2856</v>
      </c>
      <c r="J711" s="2" t="s">
        <v>2470</v>
      </c>
      <c r="K711" s="2" t="s">
        <v>458</v>
      </c>
      <c r="L711" s="3">
        <v>14.85</v>
      </c>
      <c r="M711" s="3">
        <v>15.59</v>
      </c>
      <c r="N711" s="3">
        <v>32.99</v>
      </c>
      <c r="O711" s="2" t="s">
        <v>97</v>
      </c>
      <c r="P711" s="2" t="s">
        <v>98</v>
      </c>
      <c r="Q711" s="2" t="s">
        <v>99</v>
      </c>
      <c r="R711" s="2" t="s">
        <v>100</v>
      </c>
      <c r="S711" s="2" t="s">
        <v>2857</v>
      </c>
      <c r="T711" s="2" t="s">
        <v>190</v>
      </c>
      <c r="U711" s="2" t="s">
        <v>1776</v>
      </c>
      <c r="V711" s="2" t="s">
        <v>461</v>
      </c>
      <c r="W711" s="2" t="s">
        <v>609</v>
      </c>
      <c r="X711" s="2" t="s">
        <v>2835</v>
      </c>
      <c r="Y711" s="2" t="s">
        <v>144</v>
      </c>
      <c r="Z711" s="4">
        <v>331</v>
      </c>
      <c r="AA711" s="4">
        <f>=ROUNDDOWN(27.5833333333333,0)</f>
      </c>
      <c r="AB711" s="5">
        <v>12</v>
      </c>
      <c r="AC711" s="2" t="s">
        <v>629</v>
      </c>
      <c r="AD711" s="4">
        <v>380</v>
      </c>
      <c r="AE711" s="4">
        <v>380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>
        <v>22</v>
      </c>
      <c r="BK711" s="8">
        <v>342.12</v>
      </c>
      <c r="BL711" s="2" t="s">
        <v>1744</v>
      </c>
      <c r="BM711" s="7"/>
      <c r="BN711" s="7"/>
      <c r="BO711" s="4"/>
      <c r="BP711" s="8"/>
      <c r="BQ711" s="4"/>
      <c r="BR711" s="8"/>
      <c r="BS711" s="7"/>
      <c r="BT711" s="7"/>
      <c r="BU711" s="2" t="s">
        <v>2551</v>
      </c>
      <c r="BV711" s="2" t="s">
        <v>97</v>
      </c>
      <c r="BW711" s="2" t="s">
        <v>100</v>
      </c>
      <c r="BX711" s="2" t="s">
        <v>100</v>
      </c>
      <c r="BY711" s="2" t="s">
        <v>112</v>
      </c>
      <c r="BZ711" s="2" t="s">
        <v>100</v>
      </c>
    </row>
    <row r="712">
      <c r="A712" s="2" t="s">
        <v>2858</v>
      </c>
      <c r="B712" s="2" t="s">
        <v>87</v>
      </c>
      <c r="C712" s="2" t="s">
        <v>2831</v>
      </c>
      <c r="D712" s="2" t="s">
        <v>89</v>
      </c>
      <c r="E712" s="2" t="s">
        <v>90</v>
      </c>
      <c r="F712" s="2" t="s">
        <v>2859</v>
      </c>
      <c r="G712" s="2" t="s">
        <v>2859</v>
      </c>
      <c r="H712" s="2" t="s">
        <v>2859</v>
      </c>
      <c r="I712" s="2" t="s">
        <v>2860</v>
      </c>
      <c r="J712" s="2" t="s">
        <v>522</v>
      </c>
      <c r="K712" s="2" t="s">
        <v>458</v>
      </c>
      <c r="L712" s="3">
        <v>59.99</v>
      </c>
      <c r="M712" s="3">
        <v>62.99</v>
      </c>
      <c r="N712" s="3">
        <v>119.99</v>
      </c>
      <c r="O712" s="2" t="s">
        <v>97</v>
      </c>
      <c r="P712" s="2" t="s">
        <v>707</v>
      </c>
      <c r="Q712" s="2" t="s">
        <v>99</v>
      </c>
      <c r="R712" s="2" t="s">
        <v>100</v>
      </c>
      <c r="S712" s="2" t="s">
        <v>2857</v>
      </c>
      <c r="T712" s="2" t="s">
        <v>100</v>
      </c>
      <c r="U712" s="2" t="s">
        <v>901</v>
      </c>
      <c r="V712" s="2" t="s">
        <v>461</v>
      </c>
      <c r="W712" s="2" t="s">
        <v>142</v>
      </c>
      <c r="X712" s="2" t="s">
        <v>609</v>
      </c>
      <c r="Y712" s="2" t="s">
        <v>144</v>
      </c>
      <c r="Z712" s="4">
        <v>49</v>
      </c>
      <c r="AA712" s="4">
        <f>=ROUNDDOWN(12.25,0)</f>
      </c>
      <c r="AB712" s="5">
        <v>4</v>
      </c>
      <c r="AC712" s="2" t="s">
        <v>107</v>
      </c>
      <c r="AD712" s="4">
        <v>30</v>
      </c>
      <c r="AE712" s="4">
        <v>105</v>
      </c>
      <c r="AF712" s="6">
        <v>67</v>
      </c>
      <c r="AG712" s="6"/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/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/>
      <c r="BJ712" s="4">
        <v>10</v>
      </c>
      <c r="BK712" s="8">
        <v>624.8</v>
      </c>
      <c r="BL712" s="2" t="s">
        <v>933</v>
      </c>
      <c r="BM712" s="7"/>
      <c r="BN712" s="7"/>
      <c r="BO712" s="4"/>
      <c r="BP712" s="8"/>
      <c r="BQ712" s="4"/>
      <c r="BR712" s="8"/>
      <c r="BS712" s="7"/>
      <c r="BT712" s="7"/>
      <c r="BU712" s="2" t="s">
        <v>171</v>
      </c>
      <c r="BV712" s="2" t="s">
        <v>97</v>
      </c>
      <c r="BW712" s="2" t="s">
        <v>100</v>
      </c>
      <c r="BX712" s="2" t="s">
        <v>100</v>
      </c>
      <c r="BY712" s="2" t="s">
        <v>112</v>
      </c>
      <c r="BZ712" s="2" t="s">
        <v>100</v>
      </c>
    </row>
    <row r="713">
      <c r="A713" s="2" t="s">
        <v>2861</v>
      </c>
      <c r="B713" s="2" t="s">
        <v>87</v>
      </c>
      <c r="C713" s="2" t="s">
        <v>2831</v>
      </c>
      <c r="D713" s="2" t="s">
        <v>89</v>
      </c>
      <c r="E713" s="2" t="s">
        <v>90</v>
      </c>
      <c r="F713" s="2" t="s">
        <v>2859</v>
      </c>
      <c r="G713" s="2" t="s">
        <v>2859</v>
      </c>
      <c r="H713" s="2" t="s">
        <v>2859</v>
      </c>
      <c r="I713" s="2" t="s">
        <v>2860</v>
      </c>
      <c r="J713" s="2" t="s">
        <v>529</v>
      </c>
      <c r="K713" s="2" t="s">
        <v>458</v>
      </c>
      <c r="L713" s="3">
        <v>75</v>
      </c>
      <c r="M713" s="3">
        <v>78.74</v>
      </c>
      <c r="N713" s="3">
        <v>149.99</v>
      </c>
      <c r="O713" s="2" t="s">
        <v>97</v>
      </c>
      <c r="P713" s="2" t="s">
        <v>707</v>
      </c>
      <c r="Q713" s="2" t="s">
        <v>99</v>
      </c>
      <c r="R713" s="2" t="s">
        <v>100</v>
      </c>
      <c r="S713" s="2" t="s">
        <v>2857</v>
      </c>
      <c r="T713" s="2" t="s">
        <v>100</v>
      </c>
      <c r="U713" s="2" t="s">
        <v>901</v>
      </c>
      <c r="V713" s="2" t="s">
        <v>461</v>
      </c>
      <c r="W713" s="2" t="s">
        <v>142</v>
      </c>
      <c r="X713" s="2" t="s">
        <v>609</v>
      </c>
      <c r="Y713" s="2" t="s">
        <v>144</v>
      </c>
      <c r="Z713" s="4">
        <v>16</v>
      </c>
      <c r="AA713" s="4">
        <f>=ROUNDDOWN(4,0)</f>
      </c>
      <c r="AB713" s="5">
        <v>4</v>
      </c>
      <c r="AC713" s="2" t="s">
        <v>107</v>
      </c>
      <c r="AD713" s="4">
        <v>60</v>
      </c>
      <c r="AE713" s="4">
        <v>135</v>
      </c>
      <c r="AF713" s="6">
        <v>67</v>
      </c>
      <c r="AG713" s="6"/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100</v>
      </c>
      <c r="AW713" s="8" t="s">
        <v>100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/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/>
      <c r="BJ713" s="4">
        <v>7</v>
      </c>
      <c r="BK713" s="8">
        <v>572.53</v>
      </c>
      <c r="BL713" s="2" t="s">
        <v>2671</v>
      </c>
      <c r="BM713" s="7"/>
      <c r="BN713" s="7"/>
      <c r="BO713" s="4"/>
      <c r="BP713" s="8"/>
      <c r="BQ713" s="4"/>
      <c r="BR713" s="8"/>
      <c r="BS713" s="7"/>
      <c r="BT713" s="7"/>
      <c r="BU713" s="2" t="s">
        <v>171</v>
      </c>
      <c r="BV713" s="2" t="s">
        <v>97</v>
      </c>
      <c r="BW713" s="2" t="s">
        <v>100</v>
      </c>
      <c r="BX713" s="2" t="s">
        <v>100</v>
      </c>
      <c r="BY713" s="2" t="s">
        <v>112</v>
      </c>
      <c r="BZ713" s="2" t="s">
        <v>100</v>
      </c>
    </row>
    <row r="714">
      <c r="A714" s="2" t="s">
        <v>2862</v>
      </c>
      <c r="B714" s="2" t="s">
        <v>87</v>
      </c>
      <c r="C714" s="2" t="s">
        <v>2831</v>
      </c>
      <c r="D714" s="2" t="s">
        <v>89</v>
      </c>
      <c r="E714" s="2" t="s">
        <v>887</v>
      </c>
      <c r="F714" s="2" t="s">
        <v>2863</v>
      </c>
      <c r="G714" s="2" t="s">
        <v>2863</v>
      </c>
      <c r="H714" s="2" t="s">
        <v>2863</v>
      </c>
      <c r="I714" s="2" t="s">
        <v>2864</v>
      </c>
      <c r="J714" s="2" t="s">
        <v>522</v>
      </c>
      <c r="K714" s="2" t="s">
        <v>471</v>
      </c>
      <c r="L714" s="3">
        <v>54</v>
      </c>
      <c r="M714" s="3">
        <v>56.7</v>
      </c>
      <c r="N714" s="3">
        <v>109.99</v>
      </c>
      <c r="O714" s="2" t="s">
        <v>97</v>
      </c>
      <c r="P714" s="2" t="s">
        <v>123</v>
      </c>
      <c r="Q714" s="2" t="s">
        <v>99</v>
      </c>
      <c r="R714" s="2" t="s">
        <v>100</v>
      </c>
      <c r="S714" s="2" t="s">
        <v>2865</v>
      </c>
      <c r="T714" s="2" t="s">
        <v>190</v>
      </c>
      <c r="U714" s="2" t="s">
        <v>901</v>
      </c>
      <c r="V714" s="2" t="s">
        <v>2866</v>
      </c>
      <c r="W714" s="2" t="s">
        <v>2835</v>
      </c>
      <c r="X714" s="2" t="s">
        <v>194</v>
      </c>
      <c r="Y714" s="2" t="s">
        <v>144</v>
      </c>
      <c r="Z714" s="4">
        <v>162</v>
      </c>
      <c r="AA714" s="4">
        <f>=ROUNDDOWN(9.52941176470588,0)</f>
      </c>
      <c r="AB714" s="5">
        <v>17</v>
      </c>
      <c r="AC714" s="2" t="s">
        <v>783</v>
      </c>
      <c r="AD714" s="4">
        <v>160</v>
      </c>
      <c r="AE714" s="4">
        <v>520</v>
      </c>
      <c r="AF714" s="6">
        <v>65</v>
      </c>
      <c r="AG714" s="6">
        <v>73</v>
      </c>
      <c r="AH714" s="7">
        <v>0.3548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100</v>
      </c>
      <c r="AW714" s="8" t="s">
        <v>100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/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/>
      <c r="BJ714" s="4">
        <v>26</v>
      </c>
      <c r="BK714" s="8">
        <v>1639.85</v>
      </c>
      <c r="BL714" s="2" t="s">
        <v>2867</v>
      </c>
      <c r="BM714" s="7"/>
      <c r="BN714" s="7"/>
      <c r="BO714" s="4"/>
      <c r="BP714" s="8"/>
      <c r="BQ714" s="4"/>
      <c r="BR714" s="8"/>
      <c r="BS714" s="7"/>
      <c r="BT714" s="7"/>
      <c r="BU714" s="2" t="s">
        <v>2551</v>
      </c>
      <c r="BV714" s="2" t="s">
        <v>97</v>
      </c>
      <c r="BW714" s="2" t="s">
        <v>100</v>
      </c>
      <c r="BX714" s="2" t="s">
        <v>100</v>
      </c>
      <c r="BY714" s="2" t="s">
        <v>112</v>
      </c>
      <c r="BZ714" s="2" t="s">
        <v>149</v>
      </c>
    </row>
    <row r="715">
      <c r="A715" s="2" t="s">
        <v>2868</v>
      </c>
      <c r="B715" s="2" t="s">
        <v>87</v>
      </c>
      <c r="C715" s="2" t="s">
        <v>2831</v>
      </c>
      <c r="D715" s="2" t="s">
        <v>89</v>
      </c>
      <c r="E715" s="2" t="s">
        <v>887</v>
      </c>
      <c r="F715" s="2" t="s">
        <v>2863</v>
      </c>
      <c r="G715" s="2" t="s">
        <v>2863</v>
      </c>
      <c r="H715" s="2" t="s">
        <v>2863</v>
      </c>
      <c r="I715" s="2" t="s">
        <v>2864</v>
      </c>
      <c r="J715" s="2" t="s">
        <v>529</v>
      </c>
      <c r="K715" s="2" t="s">
        <v>471</v>
      </c>
      <c r="L715" s="3">
        <v>67.5</v>
      </c>
      <c r="M715" s="3">
        <v>70.88</v>
      </c>
      <c r="N715" s="3">
        <v>139.99</v>
      </c>
      <c r="O715" s="2" t="s">
        <v>97</v>
      </c>
      <c r="P715" s="2" t="s">
        <v>123</v>
      </c>
      <c r="Q715" s="2" t="s">
        <v>99</v>
      </c>
      <c r="R715" s="2" t="s">
        <v>100</v>
      </c>
      <c r="S715" s="2" t="s">
        <v>2865</v>
      </c>
      <c r="T715" s="2" t="s">
        <v>190</v>
      </c>
      <c r="U715" s="2" t="s">
        <v>901</v>
      </c>
      <c r="V715" s="2" t="s">
        <v>2866</v>
      </c>
      <c r="W715" s="2" t="s">
        <v>2835</v>
      </c>
      <c r="X715" s="2" t="s">
        <v>194</v>
      </c>
      <c r="Y715" s="2" t="s">
        <v>2869</v>
      </c>
      <c r="Z715" s="4">
        <v>458</v>
      </c>
      <c r="AA715" s="4">
        <f>=ROUNDDOWN(19.0833333333333,0)</f>
      </c>
      <c r="AB715" s="5">
        <v>24</v>
      </c>
      <c r="AC715" s="2" t="s">
        <v>2870</v>
      </c>
      <c r="AD715" s="4">
        <v>300</v>
      </c>
      <c r="AE715" s="4">
        <v>520</v>
      </c>
      <c r="AF715" s="6">
        <v>65</v>
      </c>
      <c r="AG715" s="6">
        <v>73</v>
      </c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100</v>
      </c>
      <c r="AW715" s="8" t="s">
        <v>100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/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/>
      <c r="BJ715" s="4">
        <v>84</v>
      </c>
      <c r="BK715" s="8">
        <v>6924.42</v>
      </c>
      <c r="BL715" s="2" t="s">
        <v>2461</v>
      </c>
      <c r="BM715" s="7"/>
      <c r="BN715" s="7"/>
      <c r="BO715" s="4"/>
      <c r="BP715" s="8"/>
      <c r="BQ715" s="4"/>
      <c r="BR715" s="8"/>
      <c r="BS715" s="7"/>
      <c r="BT715" s="7"/>
      <c r="BU715" s="2" t="s">
        <v>2551</v>
      </c>
      <c r="BV715" s="2" t="s">
        <v>97</v>
      </c>
      <c r="BW715" s="2" t="s">
        <v>100</v>
      </c>
      <c r="BX715" s="2" t="s">
        <v>100</v>
      </c>
      <c r="BY715" s="2" t="s">
        <v>112</v>
      </c>
      <c r="BZ715" s="2" t="s">
        <v>149</v>
      </c>
    </row>
    <row r="716">
      <c r="A716" s="2" t="s">
        <v>2871</v>
      </c>
      <c r="B716" s="2" t="s">
        <v>87</v>
      </c>
      <c r="C716" s="2" t="s">
        <v>2831</v>
      </c>
      <c r="D716" s="2" t="s">
        <v>89</v>
      </c>
      <c r="E716" s="2" t="s">
        <v>887</v>
      </c>
      <c r="F716" s="2" t="s">
        <v>2863</v>
      </c>
      <c r="G716" s="2" t="s">
        <v>2863</v>
      </c>
      <c r="H716" s="2" t="s">
        <v>2863</v>
      </c>
      <c r="I716" s="2" t="s">
        <v>2864</v>
      </c>
      <c r="J716" s="2" t="s">
        <v>522</v>
      </c>
      <c r="K716" s="2" t="s">
        <v>223</v>
      </c>
      <c r="L716" s="3">
        <v>54</v>
      </c>
      <c r="M716" s="3">
        <v>56.7</v>
      </c>
      <c r="N716" s="3">
        <v>109.99</v>
      </c>
      <c r="O716" s="2" t="s">
        <v>97</v>
      </c>
      <c r="P716" s="2" t="s">
        <v>139</v>
      </c>
      <c r="Q716" s="2" t="s">
        <v>99</v>
      </c>
      <c r="R716" s="2" t="s">
        <v>100</v>
      </c>
      <c r="S716" s="2" t="s">
        <v>2872</v>
      </c>
      <c r="T716" s="2" t="s">
        <v>190</v>
      </c>
      <c r="U716" s="2" t="s">
        <v>901</v>
      </c>
      <c r="V716" s="2" t="s">
        <v>2866</v>
      </c>
      <c r="W716" s="2" t="s">
        <v>2835</v>
      </c>
      <c r="X716" s="2" t="s">
        <v>194</v>
      </c>
      <c r="Y716" s="2" t="s">
        <v>144</v>
      </c>
      <c r="Z716" s="4">
        <v>409</v>
      </c>
      <c r="AA716" s="4">
        <f>=ROUNDDOWN(22.7222222222222,0)</f>
      </c>
      <c r="AB716" s="5">
        <v>18</v>
      </c>
      <c r="AC716" s="2" t="s">
        <v>196</v>
      </c>
      <c r="AD716" s="4">
        <v>105</v>
      </c>
      <c r="AE716" s="4">
        <v>485</v>
      </c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/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/>
      <c r="BJ716" s="4">
        <v>43</v>
      </c>
      <c r="BK716" s="8">
        <v>2694.69</v>
      </c>
      <c r="BL716" s="2" t="s">
        <v>2873</v>
      </c>
      <c r="BM716" s="7"/>
      <c r="BN716" s="7"/>
      <c r="BO716" s="4"/>
      <c r="BP716" s="8"/>
      <c r="BQ716" s="4"/>
      <c r="BR716" s="8"/>
      <c r="BS716" s="7"/>
      <c r="BT716" s="7"/>
      <c r="BU716" s="2" t="s">
        <v>2551</v>
      </c>
      <c r="BV716" s="2" t="s">
        <v>97</v>
      </c>
      <c r="BW716" s="2" t="s">
        <v>100</v>
      </c>
      <c r="BX716" s="2" t="s">
        <v>100</v>
      </c>
      <c r="BY716" s="2" t="s">
        <v>112</v>
      </c>
      <c r="BZ716" s="2" t="s">
        <v>100</v>
      </c>
    </row>
    <row r="717">
      <c r="A717" s="2" t="s">
        <v>2874</v>
      </c>
      <c r="B717" s="2" t="s">
        <v>87</v>
      </c>
      <c r="C717" s="2" t="s">
        <v>2831</v>
      </c>
      <c r="D717" s="2" t="s">
        <v>89</v>
      </c>
      <c r="E717" s="2" t="s">
        <v>887</v>
      </c>
      <c r="F717" s="2" t="s">
        <v>2863</v>
      </c>
      <c r="G717" s="2" t="s">
        <v>2863</v>
      </c>
      <c r="H717" s="2" t="s">
        <v>2863</v>
      </c>
      <c r="I717" s="2" t="s">
        <v>2864</v>
      </c>
      <c r="J717" s="2" t="s">
        <v>529</v>
      </c>
      <c r="K717" s="2" t="s">
        <v>223</v>
      </c>
      <c r="L717" s="3">
        <v>67.5</v>
      </c>
      <c r="M717" s="3">
        <v>70.88</v>
      </c>
      <c r="N717" s="3">
        <v>139.99</v>
      </c>
      <c r="O717" s="2" t="s">
        <v>97</v>
      </c>
      <c r="P717" s="2" t="s">
        <v>139</v>
      </c>
      <c r="Q717" s="2" t="s">
        <v>99</v>
      </c>
      <c r="R717" s="2" t="s">
        <v>100</v>
      </c>
      <c r="S717" s="2" t="s">
        <v>2872</v>
      </c>
      <c r="T717" s="2" t="s">
        <v>190</v>
      </c>
      <c r="U717" s="2" t="s">
        <v>901</v>
      </c>
      <c r="V717" s="2" t="s">
        <v>2866</v>
      </c>
      <c r="W717" s="2" t="s">
        <v>2835</v>
      </c>
      <c r="X717" s="2" t="s">
        <v>194</v>
      </c>
      <c r="Y717" s="2" t="s">
        <v>144</v>
      </c>
      <c r="Z717" s="4">
        <v>444</v>
      </c>
      <c r="AA717" s="4">
        <f>=ROUNDDOWN(19.304347826087,0)</f>
      </c>
      <c r="AB717" s="5">
        <v>23</v>
      </c>
      <c r="AC717" s="2" t="s">
        <v>196</v>
      </c>
      <c r="AD717" s="4">
        <v>120</v>
      </c>
      <c r="AE717" s="4">
        <v>490</v>
      </c>
      <c r="AF717" s="6">
        <v>65</v>
      </c>
      <c r="AG717" s="6">
        <v>73</v>
      </c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100</v>
      </c>
      <c r="AW717" s="8" t="s">
        <v>100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/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/>
      <c r="BJ717" s="4">
        <v>58</v>
      </c>
      <c r="BK717" s="8">
        <v>4630.09</v>
      </c>
      <c r="BL717" s="2" t="s">
        <v>2875</v>
      </c>
      <c r="BM717" s="7"/>
      <c r="BN717" s="7"/>
      <c r="BO717" s="4"/>
      <c r="BP717" s="8"/>
      <c r="BQ717" s="4"/>
      <c r="BR717" s="8"/>
      <c r="BS717" s="7"/>
      <c r="BT717" s="7"/>
      <c r="BU717" s="2" t="s">
        <v>2551</v>
      </c>
      <c r="BV717" s="2" t="s">
        <v>97</v>
      </c>
      <c r="BW717" s="2" t="s">
        <v>100</v>
      </c>
      <c r="BX717" s="2" t="s">
        <v>100</v>
      </c>
      <c r="BY717" s="2" t="s">
        <v>112</v>
      </c>
      <c r="BZ717" s="2" t="s">
        <v>100</v>
      </c>
    </row>
    <row r="718">
      <c r="A718" s="2" t="s">
        <v>2876</v>
      </c>
      <c r="B718" s="2" t="s">
        <v>87</v>
      </c>
      <c r="C718" s="2" t="s">
        <v>2831</v>
      </c>
      <c r="D718" s="2" t="s">
        <v>89</v>
      </c>
      <c r="E718" s="2" t="s">
        <v>887</v>
      </c>
      <c r="F718" s="2" t="s">
        <v>2863</v>
      </c>
      <c r="G718" s="2" t="s">
        <v>2863</v>
      </c>
      <c r="H718" s="2" t="s">
        <v>2863</v>
      </c>
      <c r="I718" s="2" t="s">
        <v>2864</v>
      </c>
      <c r="J718" s="2" t="s">
        <v>522</v>
      </c>
      <c r="K718" s="2" t="s">
        <v>626</v>
      </c>
      <c r="L718" s="3">
        <v>54</v>
      </c>
      <c r="M718" s="3">
        <v>56.7</v>
      </c>
      <c r="N718" s="3">
        <v>109.99</v>
      </c>
      <c r="O718" s="2" t="s">
        <v>97</v>
      </c>
      <c r="P718" s="2" t="s">
        <v>156</v>
      </c>
      <c r="Q718" s="2" t="s">
        <v>99</v>
      </c>
      <c r="R718" s="2" t="s">
        <v>100</v>
      </c>
      <c r="S718" s="2" t="s">
        <v>2877</v>
      </c>
      <c r="T718" s="2" t="s">
        <v>190</v>
      </c>
      <c r="U718" s="2" t="s">
        <v>901</v>
      </c>
      <c r="V718" s="2" t="s">
        <v>2866</v>
      </c>
      <c r="W718" s="2" t="s">
        <v>2835</v>
      </c>
      <c r="X718" s="2" t="s">
        <v>194</v>
      </c>
      <c r="Y718" s="2" t="s">
        <v>144</v>
      </c>
      <c r="Z718" s="4">
        <v>236</v>
      </c>
      <c r="AA718" s="4">
        <f>=ROUNDDOWN(23.6,0)</f>
      </c>
      <c r="AB718" s="5">
        <v>10</v>
      </c>
      <c r="AC718" s="2" t="s">
        <v>783</v>
      </c>
      <c r="AD718" s="4">
        <v>80</v>
      </c>
      <c r="AE718" s="4">
        <v>80</v>
      </c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/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/>
      <c r="BJ718" s="4">
        <v>27</v>
      </c>
      <c r="BK718" s="8">
        <v>1660.47</v>
      </c>
      <c r="BL718" s="2" t="s">
        <v>2461</v>
      </c>
      <c r="BM718" s="7"/>
      <c r="BN718" s="7"/>
      <c r="BO718" s="4"/>
      <c r="BP718" s="8"/>
      <c r="BQ718" s="4"/>
      <c r="BR718" s="8"/>
      <c r="BS718" s="7"/>
      <c r="BT718" s="7"/>
      <c r="BU718" s="2" t="s">
        <v>2526</v>
      </c>
      <c r="BV718" s="2" t="s">
        <v>97</v>
      </c>
      <c r="BW718" s="2" t="s">
        <v>100</v>
      </c>
      <c r="BX718" s="2" t="s">
        <v>100</v>
      </c>
      <c r="BY718" s="2" t="s">
        <v>112</v>
      </c>
      <c r="BZ718" s="2" t="s">
        <v>100</v>
      </c>
    </row>
    <row r="719">
      <c r="A719" s="2" t="s">
        <v>2878</v>
      </c>
      <c r="B719" s="2" t="s">
        <v>87</v>
      </c>
      <c r="C719" s="2" t="s">
        <v>2831</v>
      </c>
      <c r="D719" s="2" t="s">
        <v>89</v>
      </c>
      <c r="E719" s="2" t="s">
        <v>887</v>
      </c>
      <c r="F719" s="2" t="s">
        <v>2863</v>
      </c>
      <c r="G719" s="2" t="s">
        <v>2863</v>
      </c>
      <c r="H719" s="2" t="s">
        <v>2863</v>
      </c>
      <c r="I719" s="2" t="s">
        <v>2864</v>
      </c>
      <c r="J719" s="2" t="s">
        <v>529</v>
      </c>
      <c r="K719" s="2" t="s">
        <v>626</v>
      </c>
      <c r="L719" s="3">
        <v>67.5</v>
      </c>
      <c r="M719" s="3">
        <v>70.88</v>
      </c>
      <c r="N719" s="3">
        <v>139.99</v>
      </c>
      <c r="O719" s="2" t="s">
        <v>97</v>
      </c>
      <c r="P719" s="2" t="s">
        <v>156</v>
      </c>
      <c r="Q719" s="2" t="s">
        <v>99</v>
      </c>
      <c r="R719" s="2" t="s">
        <v>100</v>
      </c>
      <c r="S719" s="2" t="s">
        <v>2877</v>
      </c>
      <c r="T719" s="2" t="s">
        <v>190</v>
      </c>
      <c r="U719" s="2" t="s">
        <v>901</v>
      </c>
      <c r="V719" s="2" t="s">
        <v>2866</v>
      </c>
      <c r="W719" s="2" t="s">
        <v>2835</v>
      </c>
      <c r="X719" s="2" t="s">
        <v>194</v>
      </c>
      <c r="Y719" s="2" t="s">
        <v>144</v>
      </c>
      <c r="Z719" s="4">
        <v>268</v>
      </c>
      <c r="AA719" s="4">
        <f>=ROUNDDOWN(24.3636363636364,0)</f>
      </c>
      <c r="AB719" s="5">
        <v>11</v>
      </c>
      <c r="AC719" s="2" t="s">
        <v>550</v>
      </c>
      <c r="AD719" s="4">
        <v>89</v>
      </c>
      <c r="AE719" s="4">
        <v>89</v>
      </c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100</v>
      </c>
      <c r="AW719" s="8" t="s">
        <v>100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/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/>
      <c r="BJ719" s="4">
        <v>33</v>
      </c>
      <c r="BK719" s="8">
        <v>2724</v>
      </c>
      <c r="BL719" s="2" t="s">
        <v>2879</v>
      </c>
      <c r="BM719" s="7"/>
      <c r="BN719" s="7"/>
      <c r="BO719" s="4"/>
      <c r="BP719" s="8"/>
      <c r="BQ719" s="4"/>
      <c r="BR719" s="8"/>
      <c r="BS719" s="7"/>
      <c r="BT719" s="7"/>
      <c r="BU719" s="2" t="s">
        <v>2526</v>
      </c>
      <c r="BV719" s="2" t="s">
        <v>97</v>
      </c>
      <c r="BW719" s="2" t="s">
        <v>100</v>
      </c>
      <c r="BX719" s="2" t="s">
        <v>100</v>
      </c>
      <c r="BY719" s="2" t="s">
        <v>112</v>
      </c>
      <c r="BZ719" s="2" t="s">
        <v>100</v>
      </c>
    </row>
    <row r="720">
      <c r="A720" s="2" t="s">
        <v>2880</v>
      </c>
      <c r="B720" s="2" t="s">
        <v>87</v>
      </c>
      <c r="C720" s="2" t="s">
        <v>2831</v>
      </c>
      <c r="D720" s="2" t="s">
        <v>89</v>
      </c>
      <c r="E720" s="2" t="s">
        <v>887</v>
      </c>
      <c r="F720" s="2" t="s">
        <v>2881</v>
      </c>
      <c r="G720" s="2" t="s">
        <v>2881</v>
      </c>
      <c r="H720" s="2" t="s">
        <v>2881</v>
      </c>
      <c r="I720" s="2" t="s">
        <v>918</v>
      </c>
      <c r="J720" s="2" t="s">
        <v>522</v>
      </c>
      <c r="K720" s="2" t="s">
        <v>626</v>
      </c>
      <c r="L720" s="3">
        <v>75.6</v>
      </c>
      <c r="M720" s="3">
        <v>79.38</v>
      </c>
      <c r="N720" s="3">
        <v>151.99</v>
      </c>
      <c r="O720" s="2" t="s">
        <v>97</v>
      </c>
      <c r="P720" s="2" t="s">
        <v>123</v>
      </c>
      <c r="Q720" s="2" t="s">
        <v>99</v>
      </c>
      <c r="R720" s="2" t="s">
        <v>100</v>
      </c>
      <c r="S720" s="2" t="s">
        <v>2882</v>
      </c>
      <c r="T720" s="2" t="s">
        <v>190</v>
      </c>
      <c r="U720" s="2" t="s">
        <v>901</v>
      </c>
      <c r="V720" s="2" t="s">
        <v>473</v>
      </c>
      <c r="W720" s="2" t="s">
        <v>2883</v>
      </c>
      <c r="X720" s="2" t="s">
        <v>686</v>
      </c>
      <c r="Y720" s="2" t="s">
        <v>2884</v>
      </c>
      <c r="Z720" s="4">
        <v>354</v>
      </c>
      <c r="AA720" s="4">
        <f>=ROUNDDOWN(23.6,0)</f>
      </c>
      <c r="AB720" s="5">
        <v>15</v>
      </c>
      <c r="AC720" s="2" t="s">
        <v>832</v>
      </c>
      <c r="AD720" s="4">
        <v>229</v>
      </c>
      <c r="AE720" s="4">
        <v>309</v>
      </c>
      <c r="AF720" s="6">
        <v>67</v>
      </c>
      <c r="AG720" s="6">
        <v>75</v>
      </c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/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/>
      <c r="BJ720" s="4">
        <v>46</v>
      </c>
      <c r="BK720" s="8">
        <v>3758.2</v>
      </c>
      <c r="BL720" s="2" t="s">
        <v>2885</v>
      </c>
      <c r="BM720" s="7"/>
      <c r="BN720" s="7"/>
      <c r="BO720" s="4"/>
      <c r="BP720" s="8"/>
      <c r="BQ720" s="4"/>
      <c r="BR720" s="8"/>
      <c r="BS720" s="7"/>
      <c r="BT720" s="7"/>
      <c r="BU720" s="2" t="s">
        <v>2551</v>
      </c>
      <c r="BV720" s="2" t="s">
        <v>97</v>
      </c>
      <c r="BW720" s="2" t="s">
        <v>100</v>
      </c>
      <c r="BX720" s="2" t="s">
        <v>100</v>
      </c>
      <c r="BY720" s="2" t="s">
        <v>112</v>
      </c>
      <c r="BZ720" s="2" t="s">
        <v>100</v>
      </c>
    </row>
    <row r="721">
      <c r="A721" s="2" t="s">
        <v>2886</v>
      </c>
      <c r="B721" s="2" t="s">
        <v>87</v>
      </c>
      <c r="C721" s="2" t="s">
        <v>2831</v>
      </c>
      <c r="D721" s="2" t="s">
        <v>89</v>
      </c>
      <c r="E721" s="2" t="s">
        <v>887</v>
      </c>
      <c r="F721" s="2" t="s">
        <v>2881</v>
      </c>
      <c r="G721" s="2" t="s">
        <v>2881</v>
      </c>
      <c r="H721" s="2" t="s">
        <v>2881</v>
      </c>
      <c r="I721" s="2" t="s">
        <v>918</v>
      </c>
      <c r="J721" s="2" t="s">
        <v>529</v>
      </c>
      <c r="K721" s="2" t="s">
        <v>626</v>
      </c>
      <c r="L721" s="3">
        <v>91.8</v>
      </c>
      <c r="M721" s="3">
        <v>96.39</v>
      </c>
      <c r="N721" s="3">
        <v>183.99</v>
      </c>
      <c r="O721" s="2" t="s">
        <v>97</v>
      </c>
      <c r="P721" s="2" t="s">
        <v>123</v>
      </c>
      <c r="Q721" s="2" t="s">
        <v>99</v>
      </c>
      <c r="R721" s="2" t="s">
        <v>100</v>
      </c>
      <c r="S721" s="2" t="s">
        <v>2882</v>
      </c>
      <c r="T721" s="2" t="s">
        <v>190</v>
      </c>
      <c r="U721" s="2" t="s">
        <v>901</v>
      </c>
      <c r="V721" s="2" t="s">
        <v>473</v>
      </c>
      <c r="W721" s="2" t="s">
        <v>2883</v>
      </c>
      <c r="X721" s="2" t="s">
        <v>686</v>
      </c>
      <c r="Y721" s="2" t="s">
        <v>2884</v>
      </c>
      <c r="Z721" s="4">
        <v>275</v>
      </c>
      <c r="AA721" s="4">
        <f>=ROUNDDOWN(17.1875,0)</f>
      </c>
      <c r="AB721" s="5">
        <v>16</v>
      </c>
      <c r="AC721" s="2" t="s">
        <v>832</v>
      </c>
      <c r="AD721" s="4">
        <v>149</v>
      </c>
      <c r="AE721" s="4">
        <v>259</v>
      </c>
      <c r="AF721" s="6">
        <v>67</v>
      </c>
      <c r="AG721" s="6">
        <v>75</v>
      </c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100</v>
      </c>
      <c r="AW721" s="8" t="s">
        <v>100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/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/>
      <c r="BJ721" s="4">
        <v>34</v>
      </c>
      <c r="BK721" s="8">
        <v>3405.58</v>
      </c>
      <c r="BL721" s="2" t="s">
        <v>2887</v>
      </c>
      <c r="BM721" s="7"/>
      <c r="BN721" s="7"/>
      <c r="BO721" s="4"/>
      <c r="BP721" s="8"/>
      <c r="BQ721" s="4"/>
      <c r="BR721" s="8"/>
      <c r="BS721" s="7"/>
      <c r="BT721" s="7"/>
      <c r="BU721" s="2" t="s">
        <v>2551</v>
      </c>
      <c r="BV721" s="2" t="s">
        <v>97</v>
      </c>
      <c r="BW721" s="2" t="s">
        <v>100</v>
      </c>
      <c r="BX721" s="2" t="s">
        <v>100</v>
      </c>
      <c r="BY721" s="2" t="s">
        <v>112</v>
      </c>
      <c r="BZ721" s="2" t="s">
        <v>100</v>
      </c>
    </row>
    <row r="722">
      <c r="A722" s="2" t="s">
        <v>2888</v>
      </c>
      <c r="B722" s="2" t="s">
        <v>87</v>
      </c>
      <c r="C722" s="2" t="s">
        <v>2831</v>
      </c>
      <c r="D722" s="2" t="s">
        <v>89</v>
      </c>
      <c r="E722" s="2" t="s">
        <v>887</v>
      </c>
      <c r="F722" s="2" t="s">
        <v>2889</v>
      </c>
      <c r="G722" s="2" t="s">
        <v>2889</v>
      </c>
      <c r="H722" s="2" t="s">
        <v>2889</v>
      </c>
      <c r="I722" s="2" t="s">
        <v>918</v>
      </c>
      <c r="J722" s="2" t="s">
        <v>522</v>
      </c>
      <c r="K722" s="2" t="s">
        <v>2890</v>
      </c>
      <c r="L722" s="3">
        <v>70</v>
      </c>
      <c r="M722" s="3">
        <v>73.49</v>
      </c>
      <c r="N722" s="3">
        <v>139.99</v>
      </c>
      <c r="O722" s="2" t="s">
        <v>97</v>
      </c>
      <c r="P722" s="2" t="s">
        <v>123</v>
      </c>
      <c r="Q722" s="2" t="s">
        <v>99</v>
      </c>
      <c r="R722" s="2" t="s">
        <v>100</v>
      </c>
      <c r="S722" s="2" t="s">
        <v>2891</v>
      </c>
      <c r="T722" s="2" t="s">
        <v>190</v>
      </c>
      <c r="U722" s="2" t="s">
        <v>901</v>
      </c>
      <c r="V722" s="2" t="s">
        <v>367</v>
      </c>
      <c r="W722" s="2" t="s">
        <v>2883</v>
      </c>
      <c r="X722" s="2" t="s">
        <v>609</v>
      </c>
      <c r="Y722" s="2" t="s">
        <v>2892</v>
      </c>
      <c r="Z722" s="4">
        <v>457</v>
      </c>
      <c r="AA722" s="4">
        <f>=ROUNDDOWN(28.5625,0)</f>
      </c>
      <c r="AB722" s="5">
        <v>16</v>
      </c>
      <c r="AC722" s="2" t="s">
        <v>832</v>
      </c>
      <c r="AD722" s="4">
        <v>30</v>
      </c>
      <c r="AE722" s="4">
        <v>210</v>
      </c>
      <c r="AF722" s="6">
        <v>67</v>
      </c>
      <c r="AG722" s="6">
        <v>75</v>
      </c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100</v>
      </c>
      <c r="AW722" s="8" t="s">
        <v>100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/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/>
      <c r="BJ722" s="4">
        <v>57</v>
      </c>
      <c r="BK722" s="8">
        <v>4418.96</v>
      </c>
      <c r="BL722" s="2" t="s">
        <v>2893</v>
      </c>
      <c r="BM722" s="7"/>
      <c r="BN722" s="7"/>
      <c r="BO722" s="4"/>
      <c r="BP722" s="8"/>
      <c r="BQ722" s="4"/>
      <c r="BR722" s="8"/>
      <c r="BS722" s="7"/>
      <c r="BT722" s="7"/>
      <c r="BU722" s="2" t="s">
        <v>2551</v>
      </c>
      <c r="BV722" s="2" t="s">
        <v>97</v>
      </c>
      <c r="BW722" s="2" t="s">
        <v>100</v>
      </c>
      <c r="BX722" s="2" t="s">
        <v>100</v>
      </c>
      <c r="BY722" s="2" t="s">
        <v>112</v>
      </c>
      <c r="BZ722" s="2" t="s">
        <v>100</v>
      </c>
    </row>
    <row r="723">
      <c r="A723" s="2" t="s">
        <v>2894</v>
      </c>
      <c r="B723" s="2" t="s">
        <v>87</v>
      </c>
      <c r="C723" s="2" t="s">
        <v>2831</v>
      </c>
      <c r="D723" s="2" t="s">
        <v>89</v>
      </c>
      <c r="E723" s="2" t="s">
        <v>887</v>
      </c>
      <c r="F723" s="2" t="s">
        <v>2889</v>
      </c>
      <c r="G723" s="2" t="s">
        <v>2889</v>
      </c>
      <c r="H723" s="2" t="s">
        <v>2889</v>
      </c>
      <c r="I723" s="2" t="s">
        <v>918</v>
      </c>
      <c r="J723" s="2" t="s">
        <v>529</v>
      </c>
      <c r="K723" s="2" t="s">
        <v>2890</v>
      </c>
      <c r="L723" s="3">
        <v>85</v>
      </c>
      <c r="M723" s="3">
        <v>89.24</v>
      </c>
      <c r="N723" s="3">
        <v>169.99</v>
      </c>
      <c r="O723" s="2" t="s">
        <v>97</v>
      </c>
      <c r="P723" s="2" t="s">
        <v>123</v>
      </c>
      <c r="Q723" s="2" t="s">
        <v>99</v>
      </c>
      <c r="R723" s="2" t="s">
        <v>100</v>
      </c>
      <c r="S723" s="2" t="s">
        <v>2891</v>
      </c>
      <c r="T723" s="2" t="s">
        <v>190</v>
      </c>
      <c r="U723" s="2" t="s">
        <v>901</v>
      </c>
      <c r="V723" s="2" t="s">
        <v>367</v>
      </c>
      <c r="W723" s="2" t="s">
        <v>2883</v>
      </c>
      <c r="X723" s="2" t="s">
        <v>609</v>
      </c>
      <c r="Y723" s="2" t="s">
        <v>2892</v>
      </c>
      <c r="Z723" s="4">
        <v>326</v>
      </c>
      <c r="AA723" s="4">
        <f>=ROUNDDOWN(25.0769230769231,0)</f>
      </c>
      <c r="AB723" s="5">
        <v>13</v>
      </c>
      <c r="AC723" s="2" t="s">
        <v>832</v>
      </c>
      <c r="AD723" s="4">
        <v>50</v>
      </c>
      <c r="AE723" s="4">
        <v>210</v>
      </c>
      <c r="AF723" s="6">
        <v>67</v>
      </c>
      <c r="AG723" s="6">
        <v>75</v>
      </c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100</v>
      </c>
      <c r="AW723" s="8" t="s">
        <v>100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/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/>
      <c r="BJ723" s="4">
        <v>53</v>
      </c>
      <c r="BK723" s="8">
        <v>5014.07</v>
      </c>
      <c r="BL723" s="2" t="s">
        <v>1404</v>
      </c>
      <c r="BM723" s="7"/>
      <c r="BN723" s="7"/>
      <c r="BO723" s="4"/>
      <c r="BP723" s="8"/>
      <c r="BQ723" s="4"/>
      <c r="BR723" s="8"/>
      <c r="BS723" s="7"/>
      <c r="BT723" s="7"/>
      <c r="BU723" s="2" t="s">
        <v>2551</v>
      </c>
      <c r="BV723" s="2" t="s">
        <v>97</v>
      </c>
      <c r="BW723" s="2" t="s">
        <v>100</v>
      </c>
      <c r="BX723" s="2" t="s">
        <v>100</v>
      </c>
      <c r="BY723" s="2" t="s">
        <v>112</v>
      </c>
      <c r="BZ723" s="2" t="s">
        <v>100</v>
      </c>
    </row>
    <row r="724">
      <c r="A724" s="2" t="s">
        <v>2895</v>
      </c>
      <c r="B724" s="2" t="s">
        <v>87</v>
      </c>
      <c r="C724" s="2" t="s">
        <v>2831</v>
      </c>
      <c r="D724" s="2" t="s">
        <v>89</v>
      </c>
      <c r="E724" s="2" t="s">
        <v>887</v>
      </c>
      <c r="F724" s="2" t="s">
        <v>2896</v>
      </c>
      <c r="G724" s="2" t="s">
        <v>2896</v>
      </c>
      <c r="H724" s="2" t="s">
        <v>2896</v>
      </c>
      <c r="I724" s="2" t="s">
        <v>2897</v>
      </c>
      <c r="J724" s="2" t="s">
        <v>522</v>
      </c>
      <c r="K724" s="2" t="s">
        <v>188</v>
      </c>
      <c r="L724" s="3">
        <v>62.49</v>
      </c>
      <c r="M724" s="3">
        <v>65.62</v>
      </c>
      <c r="N724" s="3">
        <v>124.99</v>
      </c>
      <c r="O724" s="2" t="s">
        <v>97</v>
      </c>
      <c r="P724" s="2" t="s">
        <v>123</v>
      </c>
      <c r="Q724" s="2" t="s">
        <v>99</v>
      </c>
      <c r="R724" s="2" t="s">
        <v>100</v>
      </c>
      <c r="S724" s="2" t="s">
        <v>2898</v>
      </c>
      <c r="T724" s="2" t="s">
        <v>190</v>
      </c>
      <c r="U724" s="2" t="s">
        <v>901</v>
      </c>
      <c r="V724" s="2" t="s">
        <v>473</v>
      </c>
      <c r="W724" s="2" t="s">
        <v>493</v>
      </c>
      <c r="X724" s="2" t="s">
        <v>609</v>
      </c>
      <c r="Y724" s="2" t="s">
        <v>2899</v>
      </c>
      <c r="Z724" s="4">
        <v>310</v>
      </c>
      <c r="AA724" s="4">
        <f>=ROUNDDOWN(31,0)</f>
      </c>
      <c r="AB724" s="5">
        <v>10</v>
      </c>
      <c r="AC724" s="2" t="s">
        <v>2690</v>
      </c>
      <c r="AD724" s="4">
        <v>180</v>
      </c>
      <c r="AE724" s="4">
        <v>510</v>
      </c>
      <c r="AF724" s="6">
        <v>67</v>
      </c>
      <c r="AG724" s="6"/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/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/>
      <c r="BJ724" s="4">
        <v>37</v>
      </c>
      <c r="BK724" s="8">
        <v>2415.07</v>
      </c>
      <c r="BL724" s="2" t="s">
        <v>2900</v>
      </c>
      <c r="BM724" s="7"/>
      <c r="BN724" s="7"/>
      <c r="BO724" s="4"/>
      <c r="BP724" s="8"/>
      <c r="BQ724" s="4"/>
      <c r="BR724" s="8"/>
      <c r="BS724" s="7"/>
      <c r="BT724" s="7"/>
      <c r="BU724" s="2" t="s">
        <v>2551</v>
      </c>
      <c r="BV724" s="2" t="s">
        <v>97</v>
      </c>
      <c r="BW724" s="2" t="s">
        <v>100</v>
      </c>
      <c r="BX724" s="2" t="s">
        <v>100</v>
      </c>
      <c r="BY724" s="2" t="s">
        <v>112</v>
      </c>
      <c r="BZ724" s="2" t="s">
        <v>100</v>
      </c>
    </row>
    <row r="725">
      <c r="A725" s="2" t="s">
        <v>2901</v>
      </c>
      <c r="B725" s="2" t="s">
        <v>87</v>
      </c>
      <c r="C725" s="2" t="s">
        <v>2831</v>
      </c>
      <c r="D725" s="2" t="s">
        <v>89</v>
      </c>
      <c r="E725" s="2" t="s">
        <v>887</v>
      </c>
      <c r="F725" s="2" t="s">
        <v>2896</v>
      </c>
      <c r="G725" s="2" t="s">
        <v>2896</v>
      </c>
      <c r="H725" s="2" t="s">
        <v>2896</v>
      </c>
      <c r="I725" s="2" t="s">
        <v>2897</v>
      </c>
      <c r="J725" s="2" t="s">
        <v>529</v>
      </c>
      <c r="K725" s="2" t="s">
        <v>188</v>
      </c>
      <c r="L725" s="3">
        <v>77.5</v>
      </c>
      <c r="M725" s="3">
        <v>81.37</v>
      </c>
      <c r="N725" s="3">
        <v>154.99</v>
      </c>
      <c r="O725" s="2" t="s">
        <v>97</v>
      </c>
      <c r="P725" s="2" t="s">
        <v>123</v>
      </c>
      <c r="Q725" s="2" t="s">
        <v>99</v>
      </c>
      <c r="R725" s="2" t="s">
        <v>100</v>
      </c>
      <c r="S725" s="2" t="s">
        <v>2898</v>
      </c>
      <c r="T725" s="2" t="s">
        <v>190</v>
      </c>
      <c r="U725" s="2" t="s">
        <v>901</v>
      </c>
      <c r="V725" s="2" t="s">
        <v>473</v>
      </c>
      <c r="W725" s="2" t="s">
        <v>493</v>
      </c>
      <c r="X725" s="2" t="s">
        <v>609</v>
      </c>
      <c r="Y725" s="2" t="s">
        <v>2899</v>
      </c>
      <c r="Z725" s="4">
        <v>150</v>
      </c>
      <c r="AA725" s="4">
        <f>=ROUNDDOWN(18.75,0)</f>
      </c>
      <c r="AB725" s="5">
        <v>8</v>
      </c>
      <c r="AC725" s="2" t="s">
        <v>2690</v>
      </c>
      <c r="AD725" s="4">
        <v>86</v>
      </c>
      <c r="AE725" s="4">
        <v>226</v>
      </c>
      <c r="AF725" s="6">
        <v>67</v>
      </c>
      <c r="AG725" s="6"/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100</v>
      </c>
      <c r="AW725" s="8" t="s">
        <v>100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/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/>
      <c r="BJ725" s="4">
        <v>28</v>
      </c>
      <c r="BK725" s="8">
        <v>2309.12</v>
      </c>
      <c r="BL725" s="2" t="s">
        <v>2902</v>
      </c>
      <c r="BM725" s="7"/>
      <c r="BN725" s="7"/>
      <c r="BO725" s="4"/>
      <c r="BP725" s="8"/>
      <c r="BQ725" s="4"/>
      <c r="BR725" s="8"/>
      <c r="BS725" s="7"/>
      <c r="BT725" s="7"/>
      <c r="BU725" s="2" t="s">
        <v>2551</v>
      </c>
      <c r="BV725" s="2" t="s">
        <v>97</v>
      </c>
      <c r="BW725" s="2" t="s">
        <v>100</v>
      </c>
      <c r="BX725" s="2" t="s">
        <v>100</v>
      </c>
      <c r="BY725" s="2" t="s">
        <v>112</v>
      </c>
      <c r="BZ725" s="2" t="s">
        <v>100</v>
      </c>
    </row>
    <row r="726">
      <c r="A726" s="2" t="s">
        <v>2903</v>
      </c>
      <c r="B726" s="2" t="s">
        <v>87</v>
      </c>
      <c r="C726" s="2" t="s">
        <v>2831</v>
      </c>
      <c r="D726" s="2" t="s">
        <v>89</v>
      </c>
      <c r="E726" s="2" t="s">
        <v>887</v>
      </c>
      <c r="F726" s="2" t="s">
        <v>2896</v>
      </c>
      <c r="G726" s="2" t="s">
        <v>2896</v>
      </c>
      <c r="H726" s="2" t="s">
        <v>2896</v>
      </c>
      <c r="I726" s="2" t="s">
        <v>2897</v>
      </c>
      <c r="J726" s="2" t="s">
        <v>522</v>
      </c>
      <c r="K726" s="2" t="s">
        <v>223</v>
      </c>
      <c r="L726" s="3">
        <v>62.49</v>
      </c>
      <c r="M726" s="3">
        <v>65.62</v>
      </c>
      <c r="N726" s="3">
        <v>124.99</v>
      </c>
      <c r="O726" s="2" t="s">
        <v>97</v>
      </c>
      <c r="P726" s="2" t="s">
        <v>98</v>
      </c>
      <c r="Q726" s="2" t="s">
        <v>99</v>
      </c>
      <c r="R726" s="2" t="s">
        <v>100</v>
      </c>
      <c r="S726" s="2" t="s">
        <v>2904</v>
      </c>
      <c r="T726" s="2" t="s">
        <v>190</v>
      </c>
      <c r="U726" s="2" t="s">
        <v>901</v>
      </c>
      <c r="V726" s="2" t="s">
        <v>473</v>
      </c>
      <c r="W726" s="2" t="s">
        <v>493</v>
      </c>
      <c r="X726" s="2" t="s">
        <v>609</v>
      </c>
      <c r="Y726" s="2" t="s">
        <v>2905</v>
      </c>
      <c r="Z726" s="4">
        <v>84</v>
      </c>
      <c r="AA726" s="4">
        <f>=ROUNDDOWN(16.8,0)</f>
      </c>
      <c r="AB726" s="5">
        <v>5</v>
      </c>
      <c r="AC726" s="2" t="s">
        <v>2772</v>
      </c>
      <c r="AD726" s="4">
        <v>140</v>
      </c>
      <c r="AE726" s="4">
        <v>140</v>
      </c>
      <c r="AF726" s="6">
        <v>67</v>
      </c>
      <c r="AG726" s="6"/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100</v>
      </c>
      <c r="AW726" s="8" t="s">
        <v>100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/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/>
      <c r="BJ726" s="4">
        <v>19</v>
      </c>
      <c r="BK726" s="8">
        <v>1242.5</v>
      </c>
      <c r="BL726" s="2" t="s">
        <v>2532</v>
      </c>
      <c r="BM726" s="7"/>
      <c r="BN726" s="7"/>
      <c r="BO726" s="4"/>
      <c r="BP726" s="8"/>
      <c r="BQ726" s="4"/>
      <c r="BR726" s="8"/>
      <c r="BS726" s="7"/>
      <c r="BT726" s="7"/>
      <c r="BU726" s="2" t="s">
        <v>2551</v>
      </c>
      <c r="BV726" s="2" t="s">
        <v>97</v>
      </c>
      <c r="BW726" s="2" t="s">
        <v>100</v>
      </c>
      <c r="BX726" s="2" t="s">
        <v>100</v>
      </c>
      <c r="BY726" s="2" t="s">
        <v>112</v>
      </c>
      <c r="BZ726" s="2" t="s">
        <v>100</v>
      </c>
    </row>
    <row r="727">
      <c r="A727" s="2" t="s">
        <v>2906</v>
      </c>
      <c r="B727" s="2" t="s">
        <v>87</v>
      </c>
      <c r="C727" s="2" t="s">
        <v>2831</v>
      </c>
      <c r="D727" s="2" t="s">
        <v>89</v>
      </c>
      <c r="E727" s="2" t="s">
        <v>887</v>
      </c>
      <c r="F727" s="2" t="s">
        <v>2896</v>
      </c>
      <c r="G727" s="2" t="s">
        <v>2896</v>
      </c>
      <c r="H727" s="2" t="s">
        <v>2896</v>
      </c>
      <c r="I727" s="2" t="s">
        <v>2897</v>
      </c>
      <c r="J727" s="2" t="s">
        <v>529</v>
      </c>
      <c r="K727" s="2" t="s">
        <v>223</v>
      </c>
      <c r="L727" s="3">
        <v>77.5</v>
      </c>
      <c r="M727" s="3">
        <v>81.37</v>
      </c>
      <c r="N727" s="3">
        <v>154.99</v>
      </c>
      <c r="O727" s="2" t="s">
        <v>97</v>
      </c>
      <c r="P727" s="2" t="s">
        <v>98</v>
      </c>
      <c r="Q727" s="2" t="s">
        <v>99</v>
      </c>
      <c r="R727" s="2" t="s">
        <v>100</v>
      </c>
      <c r="S727" s="2" t="s">
        <v>2904</v>
      </c>
      <c r="T727" s="2" t="s">
        <v>190</v>
      </c>
      <c r="U727" s="2" t="s">
        <v>901</v>
      </c>
      <c r="V727" s="2" t="s">
        <v>473</v>
      </c>
      <c r="W727" s="2" t="s">
        <v>493</v>
      </c>
      <c r="X727" s="2" t="s">
        <v>609</v>
      </c>
      <c r="Y727" s="2" t="s">
        <v>2907</v>
      </c>
      <c r="Z727" s="4">
        <v>62</v>
      </c>
      <c r="AA727" s="4">
        <f>=ROUNDDOWN(10.3333333333333,0)</f>
      </c>
      <c r="AB727" s="5">
        <v>6</v>
      </c>
      <c r="AC727" s="2" t="s">
        <v>2772</v>
      </c>
      <c r="AD727" s="4">
        <v>65</v>
      </c>
      <c r="AE727" s="4">
        <v>135</v>
      </c>
      <c r="AF727" s="6">
        <v>67</v>
      </c>
      <c r="AG727" s="6"/>
      <c r="AH727" s="7">
        <v>0.5161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100</v>
      </c>
      <c r="AW727" s="8" t="s">
        <v>100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/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/>
      <c r="BJ727" s="4">
        <v>11</v>
      </c>
      <c r="BK727" s="8">
        <v>961.27</v>
      </c>
      <c r="BL727" s="2" t="s">
        <v>2908</v>
      </c>
      <c r="BM727" s="7"/>
      <c r="BN727" s="7"/>
      <c r="BO727" s="4"/>
      <c r="BP727" s="8"/>
      <c r="BQ727" s="4"/>
      <c r="BR727" s="8"/>
      <c r="BS727" s="7"/>
      <c r="BT727" s="7"/>
      <c r="BU727" s="2" t="s">
        <v>2551</v>
      </c>
      <c r="BV727" s="2" t="s">
        <v>97</v>
      </c>
      <c r="BW727" s="2" t="s">
        <v>100</v>
      </c>
      <c r="BX727" s="2" t="s">
        <v>100</v>
      </c>
      <c r="BY727" s="2" t="s">
        <v>112</v>
      </c>
      <c r="BZ727" s="2" t="s">
        <v>100</v>
      </c>
    </row>
    <row r="728">
      <c r="A728" s="2" t="s">
        <v>2909</v>
      </c>
      <c r="B728" s="2" t="s">
        <v>87</v>
      </c>
      <c r="C728" s="2" t="s">
        <v>2831</v>
      </c>
      <c r="D728" s="2" t="s">
        <v>89</v>
      </c>
      <c r="E728" s="2" t="s">
        <v>887</v>
      </c>
      <c r="F728" s="2" t="s">
        <v>2910</v>
      </c>
      <c r="G728" s="2" t="s">
        <v>2910</v>
      </c>
      <c r="H728" s="2" t="s">
        <v>2910</v>
      </c>
      <c r="I728" s="2" t="s">
        <v>2911</v>
      </c>
      <c r="J728" s="2" t="s">
        <v>522</v>
      </c>
      <c r="K728" s="2" t="s">
        <v>188</v>
      </c>
      <c r="L728" s="3">
        <v>61.18</v>
      </c>
      <c r="M728" s="3">
        <v>64.24</v>
      </c>
      <c r="N728" s="3">
        <v>129.99</v>
      </c>
      <c r="O728" s="2" t="s">
        <v>97</v>
      </c>
      <c r="P728" s="2" t="s">
        <v>98</v>
      </c>
      <c r="Q728" s="2" t="s">
        <v>99</v>
      </c>
      <c r="R728" s="2" t="s">
        <v>100</v>
      </c>
      <c r="S728" s="2" t="s">
        <v>2912</v>
      </c>
      <c r="T728" s="2" t="s">
        <v>190</v>
      </c>
      <c r="U728" s="2" t="s">
        <v>901</v>
      </c>
      <c r="V728" s="2" t="s">
        <v>2913</v>
      </c>
      <c r="W728" s="2" t="s">
        <v>686</v>
      </c>
      <c r="X728" s="2" t="s">
        <v>580</v>
      </c>
      <c r="Y728" s="2" t="s">
        <v>2914</v>
      </c>
      <c r="Z728" s="4">
        <v>169</v>
      </c>
      <c r="AA728" s="4">
        <f>=ROUNDDOWN(18.7777777777778,0)</f>
      </c>
      <c r="AB728" s="5">
        <v>9</v>
      </c>
      <c r="AC728" s="2" t="s">
        <v>990</v>
      </c>
      <c r="AD728" s="4">
        <v>120</v>
      </c>
      <c r="AE728" s="4">
        <v>250</v>
      </c>
      <c r="AF728" s="6">
        <v>69</v>
      </c>
      <c r="AG728" s="6"/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/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/>
      <c r="BJ728" s="4">
        <v>26</v>
      </c>
      <c r="BK728" s="8">
        <v>1783.3</v>
      </c>
      <c r="BL728" s="2" t="s">
        <v>898</v>
      </c>
      <c r="BM728" s="7"/>
      <c r="BN728" s="7"/>
      <c r="BO728" s="4"/>
      <c r="BP728" s="8"/>
      <c r="BQ728" s="4"/>
      <c r="BR728" s="8"/>
      <c r="BS728" s="7"/>
      <c r="BT728" s="7"/>
      <c r="BU728" s="2" t="s">
        <v>2551</v>
      </c>
      <c r="BV728" s="2" t="s">
        <v>97</v>
      </c>
      <c r="BW728" s="2" t="s">
        <v>100</v>
      </c>
      <c r="BX728" s="2" t="s">
        <v>100</v>
      </c>
      <c r="BY728" s="2" t="s">
        <v>112</v>
      </c>
      <c r="BZ728" s="2" t="s">
        <v>100</v>
      </c>
    </row>
    <row r="729">
      <c r="A729" s="2" t="s">
        <v>2915</v>
      </c>
      <c r="B729" s="2" t="s">
        <v>87</v>
      </c>
      <c r="C729" s="2" t="s">
        <v>2831</v>
      </c>
      <c r="D729" s="2" t="s">
        <v>89</v>
      </c>
      <c r="E729" s="2" t="s">
        <v>887</v>
      </c>
      <c r="F729" s="2" t="s">
        <v>2910</v>
      </c>
      <c r="G729" s="2" t="s">
        <v>2910</v>
      </c>
      <c r="H729" s="2" t="s">
        <v>2910</v>
      </c>
      <c r="I729" s="2" t="s">
        <v>2911</v>
      </c>
      <c r="J729" s="2" t="s">
        <v>529</v>
      </c>
      <c r="K729" s="2" t="s">
        <v>188</v>
      </c>
      <c r="L729" s="3">
        <v>74.29</v>
      </c>
      <c r="M729" s="3">
        <v>78</v>
      </c>
      <c r="N729" s="3">
        <v>159.99</v>
      </c>
      <c r="O729" s="2" t="s">
        <v>97</v>
      </c>
      <c r="P729" s="2" t="s">
        <v>98</v>
      </c>
      <c r="Q729" s="2" t="s">
        <v>99</v>
      </c>
      <c r="R729" s="2" t="s">
        <v>100</v>
      </c>
      <c r="S729" s="2" t="s">
        <v>2912</v>
      </c>
      <c r="T729" s="2" t="s">
        <v>190</v>
      </c>
      <c r="U729" s="2" t="s">
        <v>901</v>
      </c>
      <c r="V729" s="2" t="s">
        <v>2913</v>
      </c>
      <c r="W729" s="2" t="s">
        <v>686</v>
      </c>
      <c r="X729" s="2" t="s">
        <v>580</v>
      </c>
      <c r="Y729" s="2" t="s">
        <v>2914</v>
      </c>
      <c r="Z729" s="4">
        <v>174</v>
      </c>
      <c r="AA729" s="4">
        <f>=ROUNDDOWN(21.75,0)</f>
      </c>
      <c r="AB729" s="5">
        <v>8</v>
      </c>
      <c r="AC729" s="2" t="s">
        <v>676</v>
      </c>
      <c r="AD729" s="4">
        <v>150</v>
      </c>
      <c r="AE729" s="4">
        <v>150</v>
      </c>
      <c r="AF729" s="6">
        <v>69</v>
      </c>
      <c r="AG729" s="6"/>
      <c r="AH729" s="7">
        <v>0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/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/>
      <c r="BJ729" s="4">
        <v>1</v>
      </c>
      <c r="BK729" s="8">
        <v>90.25</v>
      </c>
      <c r="BL729" s="2" t="s">
        <v>2071</v>
      </c>
      <c r="BM729" s="7"/>
      <c r="BN729" s="7"/>
      <c r="BO729" s="4"/>
      <c r="BP729" s="8"/>
      <c r="BQ729" s="4"/>
      <c r="BR729" s="8"/>
      <c r="BS729" s="7"/>
      <c r="BT729" s="7"/>
      <c r="BU729" s="2" t="s">
        <v>2551</v>
      </c>
      <c r="BV729" s="2" t="s">
        <v>97</v>
      </c>
      <c r="BW729" s="2" t="s">
        <v>100</v>
      </c>
      <c r="BX729" s="2" t="s">
        <v>100</v>
      </c>
      <c r="BY729" s="2" t="s">
        <v>112</v>
      </c>
      <c r="BZ729" s="2" t="s">
        <v>100</v>
      </c>
    </row>
    <row r="730">
      <c r="A730" s="2" t="s">
        <v>2916</v>
      </c>
      <c r="B730" s="2" t="s">
        <v>87</v>
      </c>
      <c r="C730" s="2" t="s">
        <v>2831</v>
      </c>
      <c r="D730" s="2" t="s">
        <v>89</v>
      </c>
      <c r="E730" s="2" t="s">
        <v>887</v>
      </c>
      <c r="F730" s="2" t="s">
        <v>2910</v>
      </c>
      <c r="G730" s="2" t="s">
        <v>2910</v>
      </c>
      <c r="H730" s="2" t="s">
        <v>2910</v>
      </c>
      <c r="I730" s="2" t="s">
        <v>2911</v>
      </c>
      <c r="J730" s="2" t="s">
        <v>522</v>
      </c>
      <c r="K730" s="2" t="s">
        <v>545</v>
      </c>
      <c r="L730" s="3">
        <v>61.18</v>
      </c>
      <c r="M730" s="3">
        <v>64.24</v>
      </c>
      <c r="N730" s="3">
        <v>129.99</v>
      </c>
      <c r="O730" s="2" t="s">
        <v>97</v>
      </c>
      <c r="P730" s="2" t="s">
        <v>317</v>
      </c>
      <c r="Q730" s="2" t="s">
        <v>99</v>
      </c>
      <c r="R730" s="2" t="s">
        <v>100</v>
      </c>
      <c r="S730" s="2" t="s">
        <v>2917</v>
      </c>
      <c r="T730" s="2" t="s">
        <v>190</v>
      </c>
      <c r="U730" s="2" t="s">
        <v>901</v>
      </c>
      <c r="V730" s="2" t="s">
        <v>2913</v>
      </c>
      <c r="W730" s="2" t="s">
        <v>686</v>
      </c>
      <c r="X730" s="2" t="s">
        <v>580</v>
      </c>
      <c r="Y730" s="2" t="s">
        <v>1643</v>
      </c>
      <c r="Z730" s="4">
        <v>427</v>
      </c>
      <c r="AA730" s="4">
        <f>=ROUNDDOWN(13.34375,0)</f>
      </c>
      <c r="AB730" s="5">
        <v>32</v>
      </c>
      <c r="AC730" s="2" t="s">
        <v>262</v>
      </c>
      <c r="AD730" s="4">
        <v>100</v>
      </c>
      <c r="AE730" s="4">
        <v>690</v>
      </c>
      <c r="AF730" s="6">
        <v>69</v>
      </c>
      <c r="AG730" s="6">
        <v>77</v>
      </c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/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/>
      <c r="BJ730" s="4">
        <v>84</v>
      </c>
      <c r="BK730" s="8">
        <v>5774.09</v>
      </c>
      <c r="BL730" s="2" t="s">
        <v>2918</v>
      </c>
      <c r="BM730" s="7"/>
      <c r="BN730" s="7"/>
      <c r="BO730" s="4"/>
      <c r="BP730" s="8"/>
      <c r="BQ730" s="4"/>
      <c r="BR730" s="8"/>
      <c r="BS730" s="7"/>
      <c r="BT730" s="7"/>
      <c r="BU730" s="2" t="s">
        <v>2526</v>
      </c>
      <c r="BV730" s="2" t="s">
        <v>97</v>
      </c>
      <c r="BW730" s="2" t="s">
        <v>100</v>
      </c>
      <c r="BX730" s="2" t="s">
        <v>100</v>
      </c>
      <c r="BY730" s="2" t="s">
        <v>112</v>
      </c>
      <c r="BZ730" s="2" t="s">
        <v>100</v>
      </c>
    </row>
    <row r="731">
      <c r="A731" s="2" t="s">
        <v>2919</v>
      </c>
      <c r="B731" s="2" t="s">
        <v>87</v>
      </c>
      <c r="C731" s="2" t="s">
        <v>2831</v>
      </c>
      <c r="D731" s="2" t="s">
        <v>89</v>
      </c>
      <c r="E731" s="2" t="s">
        <v>887</v>
      </c>
      <c r="F731" s="2" t="s">
        <v>2910</v>
      </c>
      <c r="G731" s="2" t="s">
        <v>2910</v>
      </c>
      <c r="H731" s="2" t="s">
        <v>2910</v>
      </c>
      <c r="I731" s="2" t="s">
        <v>2911</v>
      </c>
      <c r="J731" s="2" t="s">
        <v>529</v>
      </c>
      <c r="K731" s="2" t="s">
        <v>545</v>
      </c>
      <c r="L731" s="3">
        <v>74.29</v>
      </c>
      <c r="M731" s="3">
        <v>78</v>
      </c>
      <c r="N731" s="3">
        <v>159.99</v>
      </c>
      <c r="O731" s="2" t="s">
        <v>97</v>
      </c>
      <c r="P731" s="2" t="s">
        <v>317</v>
      </c>
      <c r="Q731" s="2" t="s">
        <v>99</v>
      </c>
      <c r="R731" s="2" t="s">
        <v>100</v>
      </c>
      <c r="S731" s="2" t="s">
        <v>2917</v>
      </c>
      <c r="T731" s="2" t="s">
        <v>190</v>
      </c>
      <c r="U731" s="2" t="s">
        <v>901</v>
      </c>
      <c r="V731" s="2" t="s">
        <v>2913</v>
      </c>
      <c r="W731" s="2" t="s">
        <v>686</v>
      </c>
      <c r="X731" s="2" t="s">
        <v>580</v>
      </c>
      <c r="Y731" s="2" t="s">
        <v>2914</v>
      </c>
      <c r="Z731" s="4">
        <v>803</v>
      </c>
      <c r="AA731" s="4">
        <f>=ROUNDDOWN(20.075,0)</f>
      </c>
      <c r="AB731" s="5">
        <v>40</v>
      </c>
      <c r="AC731" s="2" t="s">
        <v>262</v>
      </c>
      <c r="AD731" s="4">
        <v>150</v>
      </c>
      <c r="AE731" s="4">
        <v>1118</v>
      </c>
      <c r="AF731" s="6">
        <v>69</v>
      </c>
      <c r="AG731" s="6">
        <v>77</v>
      </c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/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/>
      <c r="BJ731" s="4">
        <v>157</v>
      </c>
      <c r="BK731" s="8">
        <v>13561.07</v>
      </c>
      <c r="BL731" s="2" t="s">
        <v>2920</v>
      </c>
      <c r="BM731" s="7"/>
      <c r="BN731" s="7"/>
      <c r="BO731" s="4"/>
      <c r="BP731" s="8"/>
      <c r="BQ731" s="4"/>
      <c r="BR731" s="8"/>
      <c r="BS731" s="7"/>
      <c r="BT731" s="7"/>
      <c r="BU731" s="2" t="s">
        <v>2526</v>
      </c>
      <c r="BV731" s="2" t="s">
        <v>97</v>
      </c>
      <c r="BW731" s="2" t="s">
        <v>100</v>
      </c>
      <c r="BX731" s="2" t="s">
        <v>100</v>
      </c>
      <c r="BY731" s="2" t="s">
        <v>112</v>
      </c>
      <c r="BZ731" s="2" t="s">
        <v>100</v>
      </c>
    </row>
    <row r="732">
      <c r="A732" s="2" t="s">
        <v>2921</v>
      </c>
      <c r="B732" s="2" t="s">
        <v>87</v>
      </c>
      <c r="C732" s="2" t="s">
        <v>2831</v>
      </c>
      <c r="D732" s="2" t="s">
        <v>89</v>
      </c>
      <c r="E732" s="2" t="s">
        <v>887</v>
      </c>
      <c r="F732" s="2" t="s">
        <v>2910</v>
      </c>
      <c r="G732" s="2" t="s">
        <v>2910</v>
      </c>
      <c r="H732" s="2" t="s">
        <v>2910</v>
      </c>
      <c r="I732" s="2" t="s">
        <v>2911</v>
      </c>
      <c r="J732" s="2" t="s">
        <v>522</v>
      </c>
      <c r="K732" s="2" t="s">
        <v>1373</v>
      </c>
      <c r="L732" s="3">
        <v>61.18</v>
      </c>
      <c r="M732" s="3">
        <v>64.24</v>
      </c>
      <c r="N732" s="3">
        <v>129.99</v>
      </c>
      <c r="O732" s="2" t="s">
        <v>97</v>
      </c>
      <c r="P732" s="2" t="s">
        <v>317</v>
      </c>
      <c r="Q732" s="2" t="s">
        <v>99</v>
      </c>
      <c r="R732" s="2" t="s">
        <v>100</v>
      </c>
      <c r="S732" s="2" t="s">
        <v>2922</v>
      </c>
      <c r="T732" s="2" t="s">
        <v>190</v>
      </c>
      <c r="U732" s="2" t="s">
        <v>901</v>
      </c>
      <c r="V732" s="2" t="s">
        <v>2913</v>
      </c>
      <c r="W732" s="2" t="s">
        <v>686</v>
      </c>
      <c r="X732" s="2" t="s">
        <v>580</v>
      </c>
      <c r="Y732" s="2" t="s">
        <v>2923</v>
      </c>
      <c r="Z732" s="4">
        <v>1609</v>
      </c>
      <c r="AA732" s="4">
        <f>=ROUNDDOWN(34.9782608695652,0)</f>
      </c>
      <c r="AB732" s="5">
        <v>46</v>
      </c>
      <c r="AC732" s="2" t="s">
        <v>676</v>
      </c>
      <c r="AD732" s="4">
        <v>430</v>
      </c>
      <c r="AE732" s="4">
        <v>730</v>
      </c>
      <c r="AF732" s="6">
        <v>69</v>
      </c>
      <c r="AG732" s="6">
        <v>77</v>
      </c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/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/>
      <c r="BJ732" s="4">
        <v>129</v>
      </c>
      <c r="BK732" s="8">
        <v>8671.06</v>
      </c>
      <c r="BL732" s="2" t="s">
        <v>2924</v>
      </c>
      <c r="BM732" s="7"/>
      <c r="BN732" s="7"/>
      <c r="BO732" s="4"/>
      <c r="BP732" s="8"/>
      <c r="BQ732" s="4"/>
      <c r="BR732" s="8"/>
      <c r="BS732" s="7"/>
      <c r="BT732" s="7"/>
      <c r="BU732" s="2" t="s">
        <v>2526</v>
      </c>
      <c r="BV732" s="2" t="s">
        <v>97</v>
      </c>
      <c r="BW732" s="2" t="s">
        <v>100</v>
      </c>
      <c r="BX732" s="2" t="s">
        <v>100</v>
      </c>
      <c r="BY732" s="2" t="s">
        <v>112</v>
      </c>
      <c r="BZ732" s="2" t="s">
        <v>149</v>
      </c>
    </row>
    <row r="733">
      <c r="A733" s="2" t="s">
        <v>2925</v>
      </c>
      <c r="B733" s="2" t="s">
        <v>87</v>
      </c>
      <c r="C733" s="2" t="s">
        <v>2831</v>
      </c>
      <c r="D733" s="2" t="s">
        <v>89</v>
      </c>
      <c r="E733" s="2" t="s">
        <v>887</v>
      </c>
      <c r="F733" s="2" t="s">
        <v>2910</v>
      </c>
      <c r="G733" s="2" t="s">
        <v>2910</v>
      </c>
      <c r="H733" s="2" t="s">
        <v>2910</v>
      </c>
      <c r="I733" s="2" t="s">
        <v>2911</v>
      </c>
      <c r="J733" s="2" t="s">
        <v>529</v>
      </c>
      <c r="K733" s="2" t="s">
        <v>1373</v>
      </c>
      <c r="L733" s="3">
        <v>74.29</v>
      </c>
      <c r="M733" s="3">
        <v>78</v>
      </c>
      <c r="N733" s="3">
        <v>159.99</v>
      </c>
      <c r="O733" s="2" t="s">
        <v>97</v>
      </c>
      <c r="P733" s="2" t="s">
        <v>317</v>
      </c>
      <c r="Q733" s="2" t="s">
        <v>99</v>
      </c>
      <c r="R733" s="2" t="s">
        <v>100</v>
      </c>
      <c r="S733" s="2" t="s">
        <v>2922</v>
      </c>
      <c r="T733" s="2" t="s">
        <v>190</v>
      </c>
      <c r="U733" s="2" t="s">
        <v>901</v>
      </c>
      <c r="V733" s="2" t="s">
        <v>2913</v>
      </c>
      <c r="W733" s="2" t="s">
        <v>686</v>
      </c>
      <c r="X733" s="2" t="s">
        <v>580</v>
      </c>
      <c r="Y733" s="2" t="s">
        <v>2923</v>
      </c>
      <c r="Z733" s="4">
        <v>2000</v>
      </c>
      <c r="AA733" s="4">
        <f>=ROUNDDOWN(23.2558139534884,0)</f>
      </c>
      <c r="AB733" s="5">
        <v>86</v>
      </c>
      <c r="AC733" s="2" t="s">
        <v>676</v>
      </c>
      <c r="AD733" s="4">
        <v>300</v>
      </c>
      <c r="AE733" s="4">
        <v>2650</v>
      </c>
      <c r="AF733" s="6">
        <v>69</v>
      </c>
      <c r="AG733" s="6">
        <v>77</v>
      </c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/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/>
      <c r="BJ733" s="4">
        <v>252</v>
      </c>
      <c r="BK733" s="8">
        <v>21047.1</v>
      </c>
      <c r="BL733" s="2" t="s">
        <v>2926</v>
      </c>
      <c r="BM733" s="7"/>
      <c r="BN733" s="7"/>
      <c r="BO733" s="4"/>
      <c r="BP733" s="8"/>
      <c r="BQ733" s="4"/>
      <c r="BR733" s="8"/>
      <c r="BS733" s="7"/>
      <c r="BT733" s="7"/>
      <c r="BU733" s="2" t="s">
        <v>2526</v>
      </c>
      <c r="BV733" s="2" t="s">
        <v>97</v>
      </c>
      <c r="BW733" s="2" t="s">
        <v>100</v>
      </c>
      <c r="BX733" s="2" t="s">
        <v>100</v>
      </c>
      <c r="BY733" s="2" t="s">
        <v>112</v>
      </c>
      <c r="BZ733" s="2" t="s">
        <v>100</v>
      </c>
    </row>
    <row r="734">
      <c r="A734" s="2" t="s">
        <v>2927</v>
      </c>
      <c r="B734" s="2" t="s">
        <v>87</v>
      </c>
      <c r="C734" s="2" t="s">
        <v>2831</v>
      </c>
      <c r="D734" s="2" t="s">
        <v>89</v>
      </c>
      <c r="E734" s="2" t="s">
        <v>887</v>
      </c>
      <c r="F734" s="2" t="s">
        <v>2910</v>
      </c>
      <c r="G734" s="2" t="s">
        <v>2910</v>
      </c>
      <c r="H734" s="2" t="s">
        <v>2910</v>
      </c>
      <c r="I734" s="2" t="s">
        <v>2911</v>
      </c>
      <c r="J734" s="2" t="s">
        <v>522</v>
      </c>
      <c r="K734" s="2" t="s">
        <v>2928</v>
      </c>
      <c r="L734" s="3">
        <v>61.18</v>
      </c>
      <c r="M734" s="3">
        <v>64.24</v>
      </c>
      <c r="N734" s="3">
        <v>129.99</v>
      </c>
      <c r="O734" s="2" t="s">
        <v>97</v>
      </c>
      <c r="P734" s="2" t="s">
        <v>139</v>
      </c>
      <c r="Q734" s="2" t="s">
        <v>99</v>
      </c>
      <c r="R734" s="2" t="s">
        <v>100</v>
      </c>
      <c r="S734" s="2" t="s">
        <v>2929</v>
      </c>
      <c r="T734" s="2" t="s">
        <v>190</v>
      </c>
      <c r="U734" s="2" t="s">
        <v>901</v>
      </c>
      <c r="V734" s="2" t="s">
        <v>2913</v>
      </c>
      <c r="W734" s="2" t="s">
        <v>686</v>
      </c>
      <c r="X734" s="2" t="s">
        <v>580</v>
      </c>
      <c r="Y734" s="2" t="s">
        <v>2930</v>
      </c>
      <c r="Z734" s="4">
        <v>557</v>
      </c>
      <c r="AA734" s="4">
        <f>=ROUNDDOWN(16.8787878787879,0)</f>
      </c>
      <c r="AB734" s="5">
        <v>33</v>
      </c>
      <c r="AC734" s="2" t="s">
        <v>262</v>
      </c>
      <c r="AD734" s="4">
        <v>204</v>
      </c>
      <c r="AE734" s="4">
        <v>1120</v>
      </c>
      <c r="AF734" s="6">
        <v>69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/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/>
      <c r="BJ734" s="4">
        <v>173</v>
      </c>
      <c r="BK734" s="8">
        <v>12400.92</v>
      </c>
      <c r="BL734" s="2" t="s">
        <v>2931</v>
      </c>
      <c r="BM734" s="7"/>
      <c r="BN734" s="7"/>
      <c r="BO734" s="4"/>
      <c r="BP734" s="8"/>
      <c r="BQ734" s="4"/>
      <c r="BR734" s="8"/>
      <c r="BS734" s="7"/>
      <c r="BT734" s="7"/>
      <c r="BU734" s="2" t="s">
        <v>2551</v>
      </c>
      <c r="BV734" s="2" t="s">
        <v>97</v>
      </c>
      <c r="BW734" s="2" t="s">
        <v>100</v>
      </c>
      <c r="BX734" s="2" t="s">
        <v>100</v>
      </c>
      <c r="BY734" s="2" t="s">
        <v>112</v>
      </c>
      <c r="BZ734" s="2" t="s">
        <v>149</v>
      </c>
    </row>
    <row r="735">
      <c r="A735" s="2" t="s">
        <v>2932</v>
      </c>
      <c r="B735" s="2" t="s">
        <v>87</v>
      </c>
      <c r="C735" s="2" t="s">
        <v>2831</v>
      </c>
      <c r="D735" s="2" t="s">
        <v>89</v>
      </c>
      <c r="E735" s="2" t="s">
        <v>887</v>
      </c>
      <c r="F735" s="2" t="s">
        <v>2910</v>
      </c>
      <c r="G735" s="2" t="s">
        <v>2910</v>
      </c>
      <c r="H735" s="2" t="s">
        <v>2910</v>
      </c>
      <c r="I735" s="2" t="s">
        <v>2911</v>
      </c>
      <c r="J735" s="2" t="s">
        <v>529</v>
      </c>
      <c r="K735" s="2" t="s">
        <v>2928</v>
      </c>
      <c r="L735" s="3">
        <v>74.29</v>
      </c>
      <c r="M735" s="3">
        <v>78</v>
      </c>
      <c r="N735" s="3">
        <v>159.99</v>
      </c>
      <c r="O735" s="2" t="s">
        <v>97</v>
      </c>
      <c r="P735" s="2" t="s">
        <v>139</v>
      </c>
      <c r="Q735" s="2" t="s">
        <v>99</v>
      </c>
      <c r="R735" s="2" t="s">
        <v>100</v>
      </c>
      <c r="S735" s="2" t="s">
        <v>2929</v>
      </c>
      <c r="T735" s="2" t="s">
        <v>190</v>
      </c>
      <c r="U735" s="2" t="s">
        <v>901</v>
      </c>
      <c r="V735" s="2" t="s">
        <v>2913</v>
      </c>
      <c r="W735" s="2" t="s">
        <v>686</v>
      </c>
      <c r="X735" s="2" t="s">
        <v>580</v>
      </c>
      <c r="Y735" s="2" t="s">
        <v>2930</v>
      </c>
      <c r="Z735" s="4">
        <v>856</v>
      </c>
      <c r="AA735" s="4">
        <f>=ROUNDDOWN(25.9393939393939,0)</f>
      </c>
      <c r="AB735" s="5">
        <v>33</v>
      </c>
      <c r="AC735" s="2" t="s">
        <v>262</v>
      </c>
      <c r="AD735" s="4">
        <v>220</v>
      </c>
      <c r="AE735" s="4">
        <v>640</v>
      </c>
      <c r="AF735" s="6">
        <v>69</v>
      </c>
      <c r="AG735" s="6"/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/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/>
      <c r="BJ735" s="4">
        <v>137</v>
      </c>
      <c r="BK735" s="8">
        <v>11706.38</v>
      </c>
      <c r="BL735" s="2" t="s">
        <v>2933</v>
      </c>
      <c r="BM735" s="7"/>
      <c r="BN735" s="7"/>
      <c r="BO735" s="4"/>
      <c r="BP735" s="8"/>
      <c r="BQ735" s="4"/>
      <c r="BR735" s="8"/>
      <c r="BS735" s="7"/>
      <c r="BT735" s="7"/>
      <c r="BU735" s="2" t="s">
        <v>2551</v>
      </c>
      <c r="BV735" s="2" t="s">
        <v>97</v>
      </c>
      <c r="BW735" s="2" t="s">
        <v>100</v>
      </c>
      <c r="BX735" s="2" t="s">
        <v>100</v>
      </c>
      <c r="BY735" s="2" t="s">
        <v>112</v>
      </c>
      <c r="BZ735" s="2" t="s">
        <v>100</v>
      </c>
    </row>
    <row r="736">
      <c r="A736" s="2" t="s">
        <v>2934</v>
      </c>
      <c r="B736" s="2" t="s">
        <v>87</v>
      </c>
      <c r="C736" s="2" t="s">
        <v>2831</v>
      </c>
      <c r="D736" s="2" t="s">
        <v>89</v>
      </c>
      <c r="E736" s="2" t="s">
        <v>887</v>
      </c>
      <c r="F736" s="2" t="s">
        <v>2935</v>
      </c>
      <c r="G736" s="2" t="s">
        <v>2935</v>
      </c>
      <c r="H736" s="2" t="s">
        <v>2935</v>
      </c>
      <c r="I736" s="2" t="s">
        <v>2936</v>
      </c>
      <c r="J736" s="2" t="s">
        <v>522</v>
      </c>
      <c r="K736" s="2" t="s">
        <v>471</v>
      </c>
      <c r="L736" s="3">
        <v>65</v>
      </c>
      <c r="M736" s="3">
        <v>68.25</v>
      </c>
      <c r="N736" s="3">
        <v>129.99</v>
      </c>
      <c r="O736" s="2" t="s">
        <v>97</v>
      </c>
      <c r="P736" s="2" t="s">
        <v>123</v>
      </c>
      <c r="Q736" s="2" t="s">
        <v>99</v>
      </c>
      <c r="R736" s="2" t="s">
        <v>100</v>
      </c>
      <c r="S736" s="2" t="s">
        <v>2937</v>
      </c>
      <c r="T736" s="2" t="s">
        <v>190</v>
      </c>
      <c r="U736" s="2" t="s">
        <v>901</v>
      </c>
      <c r="V736" s="2" t="s">
        <v>461</v>
      </c>
      <c r="W736" s="2" t="s">
        <v>2523</v>
      </c>
      <c r="X736" s="2" t="s">
        <v>609</v>
      </c>
      <c r="Y736" s="2" t="s">
        <v>2938</v>
      </c>
      <c r="Z736" s="4">
        <v>258</v>
      </c>
      <c r="AA736" s="4">
        <f>=ROUNDDOWN(19.8461538461538,0)</f>
      </c>
      <c r="AB736" s="5">
        <v>13</v>
      </c>
      <c r="AC736" s="2" t="s">
        <v>832</v>
      </c>
      <c r="AD736" s="4">
        <v>45</v>
      </c>
      <c r="AE736" s="4">
        <v>195</v>
      </c>
      <c r="AF736" s="6">
        <v>67</v>
      </c>
      <c r="AG736" s="6">
        <v>75</v>
      </c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/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/>
      <c r="BJ736" s="4">
        <v>40</v>
      </c>
      <c r="BK736" s="8">
        <v>2961.21</v>
      </c>
      <c r="BL736" s="2" t="s">
        <v>2939</v>
      </c>
      <c r="BM736" s="7"/>
      <c r="BN736" s="7"/>
      <c r="BO736" s="4"/>
      <c r="BP736" s="8"/>
      <c r="BQ736" s="4"/>
      <c r="BR736" s="8"/>
      <c r="BS736" s="7"/>
      <c r="BT736" s="7"/>
      <c r="BU736" s="2" t="s">
        <v>2551</v>
      </c>
      <c r="BV736" s="2" t="s">
        <v>97</v>
      </c>
      <c r="BW736" s="2" t="s">
        <v>100</v>
      </c>
      <c r="BX736" s="2" t="s">
        <v>100</v>
      </c>
      <c r="BY736" s="2" t="s">
        <v>112</v>
      </c>
      <c r="BZ736" s="2" t="s">
        <v>149</v>
      </c>
    </row>
    <row r="737">
      <c r="A737" s="2" t="s">
        <v>2940</v>
      </c>
      <c r="B737" s="2" t="s">
        <v>87</v>
      </c>
      <c r="C737" s="2" t="s">
        <v>2831</v>
      </c>
      <c r="D737" s="2" t="s">
        <v>89</v>
      </c>
      <c r="E737" s="2" t="s">
        <v>887</v>
      </c>
      <c r="F737" s="2" t="s">
        <v>2935</v>
      </c>
      <c r="G737" s="2" t="s">
        <v>2935</v>
      </c>
      <c r="H737" s="2" t="s">
        <v>2935</v>
      </c>
      <c r="I737" s="2" t="s">
        <v>2936</v>
      </c>
      <c r="J737" s="2" t="s">
        <v>529</v>
      </c>
      <c r="K737" s="2" t="s">
        <v>471</v>
      </c>
      <c r="L737" s="3">
        <v>80</v>
      </c>
      <c r="M737" s="3">
        <v>84</v>
      </c>
      <c r="N737" s="3">
        <v>159.99</v>
      </c>
      <c r="O737" s="2" t="s">
        <v>97</v>
      </c>
      <c r="P737" s="2" t="s">
        <v>123</v>
      </c>
      <c r="Q737" s="2" t="s">
        <v>99</v>
      </c>
      <c r="R737" s="2" t="s">
        <v>100</v>
      </c>
      <c r="S737" s="2" t="s">
        <v>2937</v>
      </c>
      <c r="T737" s="2" t="s">
        <v>190</v>
      </c>
      <c r="U737" s="2" t="s">
        <v>901</v>
      </c>
      <c r="V737" s="2" t="s">
        <v>461</v>
      </c>
      <c r="W737" s="2" t="s">
        <v>2523</v>
      </c>
      <c r="X737" s="2" t="s">
        <v>609</v>
      </c>
      <c r="Y737" s="2" t="s">
        <v>2938</v>
      </c>
      <c r="Z737" s="4">
        <v>286</v>
      </c>
      <c r="AA737" s="4">
        <f>=ROUNDDOWN(22,0)</f>
      </c>
      <c r="AB737" s="5">
        <v>13</v>
      </c>
      <c r="AC737" s="2" t="s">
        <v>832</v>
      </c>
      <c r="AD737" s="4">
        <v>70</v>
      </c>
      <c r="AE737" s="4">
        <v>175</v>
      </c>
      <c r="AF737" s="6">
        <v>67</v>
      </c>
      <c r="AG737" s="6">
        <v>75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/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/>
      <c r="BJ737" s="4">
        <v>48</v>
      </c>
      <c r="BK737" s="8">
        <v>4381.28</v>
      </c>
      <c r="BL737" s="2" t="s">
        <v>2941</v>
      </c>
      <c r="BM737" s="7"/>
      <c r="BN737" s="7"/>
      <c r="BO737" s="4"/>
      <c r="BP737" s="8"/>
      <c r="BQ737" s="4"/>
      <c r="BR737" s="8"/>
      <c r="BS737" s="7"/>
      <c r="BT737" s="7"/>
      <c r="BU737" s="2" t="s">
        <v>2551</v>
      </c>
      <c r="BV737" s="2" t="s">
        <v>97</v>
      </c>
      <c r="BW737" s="2" t="s">
        <v>100</v>
      </c>
      <c r="BX737" s="2" t="s">
        <v>100</v>
      </c>
      <c r="BY737" s="2" t="s">
        <v>112</v>
      </c>
      <c r="BZ737" s="2" t="s">
        <v>100</v>
      </c>
    </row>
    <row r="738">
      <c r="A738" s="2" t="s">
        <v>2942</v>
      </c>
      <c r="B738" s="2" t="s">
        <v>87</v>
      </c>
      <c r="C738" s="2" t="s">
        <v>2831</v>
      </c>
      <c r="D738" s="2" t="s">
        <v>89</v>
      </c>
      <c r="E738" s="2" t="s">
        <v>887</v>
      </c>
      <c r="F738" s="2" t="s">
        <v>2935</v>
      </c>
      <c r="G738" s="2" t="s">
        <v>2935</v>
      </c>
      <c r="H738" s="2" t="s">
        <v>2935</v>
      </c>
      <c r="I738" s="2" t="s">
        <v>2936</v>
      </c>
      <c r="J738" s="2" t="s">
        <v>522</v>
      </c>
      <c r="K738" s="2" t="s">
        <v>188</v>
      </c>
      <c r="L738" s="3">
        <v>65</v>
      </c>
      <c r="M738" s="3">
        <v>68.25</v>
      </c>
      <c r="N738" s="3">
        <v>129.99</v>
      </c>
      <c r="O738" s="2" t="s">
        <v>97</v>
      </c>
      <c r="P738" s="2" t="s">
        <v>98</v>
      </c>
      <c r="Q738" s="2" t="s">
        <v>99</v>
      </c>
      <c r="R738" s="2" t="s">
        <v>100</v>
      </c>
      <c r="S738" s="2" t="s">
        <v>2943</v>
      </c>
      <c r="T738" s="2" t="s">
        <v>190</v>
      </c>
      <c r="U738" s="2" t="s">
        <v>901</v>
      </c>
      <c r="V738" s="2" t="s">
        <v>461</v>
      </c>
      <c r="W738" s="2" t="s">
        <v>2523</v>
      </c>
      <c r="X738" s="2" t="s">
        <v>609</v>
      </c>
      <c r="Y738" s="2" t="s">
        <v>2944</v>
      </c>
      <c r="Z738" s="4">
        <v>320</v>
      </c>
      <c r="AA738" s="4">
        <f>=ROUNDDOWN(35.5555555555556,0)</f>
      </c>
      <c r="AB738" s="5">
        <v>9</v>
      </c>
      <c r="AC738" s="2" t="s">
        <v>1238</v>
      </c>
      <c r="AD738" s="4">
        <v>180</v>
      </c>
      <c r="AE738" s="4">
        <v>180</v>
      </c>
      <c r="AF738" s="6">
        <v>67</v>
      </c>
      <c r="AG738" s="6"/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100</v>
      </c>
      <c r="AW738" s="8" t="s">
        <v>100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/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/>
      <c r="BJ738" s="4">
        <v>14</v>
      </c>
      <c r="BK738" s="8">
        <v>983.38</v>
      </c>
      <c r="BL738" s="2" t="s">
        <v>2532</v>
      </c>
      <c r="BM738" s="7"/>
      <c r="BN738" s="7"/>
      <c r="BO738" s="4"/>
      <c r="BP738" s="8"/>
      <c r="BQ738" s="4"/>
      <c r="BR738" s="8"/>
      <c r="BS738" s="7"/>
      <c r="BT738" s="7"/>
      <c r="BU738" s="2" t="s">
        <v>2551</v>
      </c>
      <c r="BV738" s="2" t="s">
        <v>97</v>
      </c>
      <c r="BW738" s="2" t="s">
        <v>100</v>
      </c>
      <c r="BX738" s="2" t="s">
        <v>100</v>
      </c>
      <c r="BY738" s="2" t="s">
        <v>112</v>
      </c>
      <c r="BZ738" s="2" t="s">
        <v>149</v>
      </c>
    </row>
    <row r="739">
      <c r="A739" s="2" t="s">
        <v>2945</v>
      </c>
      <c r="B739" s="2" t="s">
        <v>87</v>
      </c>
      <c r="C739" s="2" t="s">
        <v>2831</v>
      </c>
      <c r="D739" s="2" t="s">
        <v>89</v>
      </c>
      <c r="E739" s="2" t="s">
        <v>887</v>
      </c>
      <c r="F739" s="2" t="s">
        <v>2935</v>
      </c>
      <c r="G739" s="2" t="s">
        <v>2935</v>
      </c>
      <c r="H739" s="2" t="s">
        <v>2935</v>
      </c>
      <c r="I739" s="2" t="s">
        <v>2936</v>
      </c>
      <c r="J739" s="2" t="s">
        <v>529</v>
      </c>
      <c r="K739" s="2" t="s">
        <v>188</v>
      </c>
      <c r="L739" s="3">
        <v>80</v>
      </c>
      <c r="M739" s="3">
        <v>84</v>
      </c>
      <c r="N739" s="3">
        <v>159.99</v>
      </c>
      <c r="O739" s="2" t="s">
        <v>97</v>
      </c>
      <c r="P739" s="2" t="s">
        <v>98</v>
      </c>
      <c r="Q739" s="2" t="s">
        <v>99</v>
      </c>
      <c r="R739" s="2" t="s">
        <v>100</v>
      </c>
      <c r="S739" s="2" t="s">
        <v>2943</v>
      </c>
      <c r="T739" s="2" t="s">
        <v>190</v>
      </c>
      <c r="U739" s="2" t="s">
        <v>901</v>
      </c>
      <c r="V739" s="2" t="s">
        <v>461</v>
      </c>
      <c r="W739" s="2" t="s">
        <v>2523</v>
      </c>
      <c r="X739" s="2" t="s">
        <v>609</v>
      </c>
      <c r="Y739" s="2" t="s">
        <v>2944</v>
      </c>
      <c r="Z739" s="4">
        <v>206</v>
      </c>
      <c r="AA739" s="4">
        <f>=ROUNDDOWN(41.2,0)</f>
      </c>
      <c r="AB739" s="5">
        <v>5</v>
      </c>
      <c r="AC739" s="2" t="s">
        <v>1238</v>
      </c>
      <c r="AD739" s="4">
        <v>50</v>
      </c>
      <c r="AE739" s="4">
        <v>50</v>
      </c>
      <c r="AF739" s="6">
        <v>67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/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/>
      <c r="BJ739" s="4">
        <v>15</v>
      </c>
      <c r="BK739" s="8">
        <v>1350.65</v>
      </c>
      <c r="BL739" s="2" t="s">
        <v>2840</v>
      </c>
      <c r="BM739" s="7"/>
      <c r="BN739" s="7"/>
      <c r="BO739" s="4"/>
      <c r="BP739" s="8"/>
      <c r="BQ739" s="4"/>
      <c r="BR739" s="8"/>
      <c r="BS739" s="7"/>
      <c r="BT739" s="7"/>
      <c r="BU739" s="2" t="s">
        <v>2551</v>
      </c>
      <c r="BV739" s="2" t="s">
        <v>97</v>
      </c>
      <c r="BW739" s="2" t="s">
        <v>100</v>
      </c>
      <c r="BX739" s="2" t="s">
        <v>100</v>
      </c>
      <c r="BY739" s="2" t="s">
        <v>112</v>
      </c>
      <c r="BZ739" s="2" t="s">
        <v>100</v>
      </c>
    </row>
    <row r="740">
      <c r="A740" s="2" t="s">
        <v>2946</v>
      </c>
      <c r="B740" s="2" t="s">
        <v>87</v>
      </c>
      <c r="C740" s="2" t="s">
        <v>2831</v>
      </c>
      <c r="D740" s="2" t="s">
        <v>89</v>
      </c>
      <c r="E740" s="2" t="s">
        <v>887</v>
      </c>
      <c r="F740" s="2" t="s">
        <v>2935</v>
      </c>
      <c r="G740" s="2" t="s">
        <v>2935</v>
      </c>
      <c r="H740" s="2" t="s">
        <v>2935</v>
      </c>
      <c r="I740" s="2" t="s">
        <v>2936</v>
      </c>
      <c r="J740" s="2" t="s">
        <v>522</v>
      </c>
      <c r="K740" s="2" t="s">
        <v>545</v>
      </c>
      <c r="L740" s="3">
        <v>65</v>
      </c>
      <c r="M740" s="3">
        <v>68.25</v>
      </c>
      <c r="N740" s="3">
        <v>129.99</v>
      </c>
      <c r="O740" s="2" t="s">
        <v>97</v>
      </c>
      <c r="P740" s="2" t="s">
        <v>156</v>
      </c>
      <c r="Q740" s="2" t="s">
        <v>99</v>
      </c>
      <c r="R740" s="2" t="s">
        <v>100</v>
      </c>
      <c r="S740" s="2" t="s">
        <v>2947</v>
      </c>
      <c r="T740" s="2" t="s">
        <v>190</v>
      </c>
      <c r="U740" s="2" t="s">
        <v>901</v>
      </c>
      <c r="V740" s="2" t="s">
        <v>461</v>
      </c>
      <c r="W740" s="2" t="s">
        <v>2523</v>
      </c>
      <c r="X740" s="2" t="s">
        <v>609</v>
      </c>
      <c r="Y740" s="2" t="s">
        <v>2948</v>
      </c>
      <c r="Z740" s="4">
        <v>273</v>
      </c>
      <c r="AA740" s="4">
        <f>=ROUNDDOWN(39,0)</f>
      </c>
      <c r="AB740" s="5">
        <v>7</v>
      </c>
      <c r="AC740" s="2" t="s">
        <v>2949</v>
      </c>
      <c r="AD740" s="4">
        <v>90</v>
      </c>
      <c r="AE740" s="4">
        <v>90</v>
      </c>
      <c r="AF740" s="6">
        <v>67</v>
      </c>
      <c r="AG740" s="6"/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/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/>
      <c r="BJ740" s="4">
        <v>21</v>
      </c>
      <c r="BK740" s="8">
        <v>1527.41</v>
      </c>
      <c r="BL740" s="2" t="s">
        <v>2727</v>
      </c>
      <c r="BM740" s="7"/>
      <c r="BN740" s="7"/>
      <c r="BO740" s="4"/>
      <c r="BP740" s="8"/>
      <c r="BQ740" s="4"/>
      <c r="BR740" s="8"/>
      <c r="BS740" s="7"/>
      <c r="BT740" s="7"/>
      <c r="BU740" s="2" t="s">
        <v>2526</v>
      </c>
      <c r="BV740" s="2" t="s">
        <v>97</v>
      </c>
      <c r="BW740" s="2" t="s">
        <v>100</v>
      </c>
      <c r="BX740" s="2" t="s">
        <v>100</v>
      </c>
      <c r="BY740" s="2" t="s">
        <v>112</v>
      </c>
      <c r="BZ740" s="2" t="s">
        <v>100</v>
      </c>
    </row>
    <row r="741">
      <c r="A741" s="2" t="s">
        <v>2950</v>
      </c>
      <c r="B741" s="2" t="s">
        <v>87</v>
      </c>
      <c r="C741" s="2" t="s">
        <v>2831</v>
      </c>
      <c r="D741" s="2" t="s">
        <v>89</v>
      </c>
      <c r="E741" s="2" t="s">
        <v>887</v>
      </c>
      <c r="F741" s="2" t="s">
        <v>2935</v>
      </c>
      <c r="G741" s="2" t="s">
        <v>2935</v>
      </c>
      <c r="H741" s="2" t="s">
        <v>2935</v>
      </c>
      <c r="I741" s="2" t="s">
        <v>2936</v>
      </c>
      <c r="J741" s="2" t="s">
        <v>529</v>
      </c>
      <c r="K741" s="2" t="s">
        <v>545</v>
      </c>
      <c r="L741" s="3">
        <v>80</v>
      </c>
      <c r="M741" s="3">
        <v>83.99</v>
      </c>
      <c r="N741" s="3">
        <v>159.99</v>
      </c>
      <c r="O741" s="2" t="s">
        <v>97</v>
      </c>
      <c r="P741" s="2" t="s">
        <v>156</v>
      </c>
      <c r="Q741" s="2" t="s">
        <v>99</v>
      </c>
      <c r="R741" s="2" t="s">
        <v>100</v>
      </c>
      <c r="S741" s="2" t="s">
        <v>2947</v>
      </c>
      <c r="T741" s="2" t="s">
        <v>190</v>
      </c>
      <c r="U741" s="2" t="s">
        <v>901</v>
      </c>
      <c r="V741" s="2" t="s">
        <v>461</v>
      </c>
      <c r="W741" s="2" t="s">
        <v>2523</v>
      </c>
      <c r="X741" s="2" t="s">
        <v>609</v>
      </c>
      <c r="Y741" s="2" t="s">
        <v>2948</v>
      </c>
      <c r="Z741" s="4">
        <v>219</v>
      </c>
      <c r="AA741" s="4">
        <f>=ROUNDDOWN(24.3333333333333,0)</f>
      </c>
      <c r="AB741" s="5">
        <v>9</v>
      </c>
      <c r="AC741" s="2" t="s">
        <v>2949</v>
      </c>
      <c r="AD741" s="4">
        <v>210</v>
      </c>
      <c r="AE741" s="4">
        <v>210</v>
      </c>
      <c r="AF741" s="6">
        <v>67</v>
      </c>
      <c r="AG741" s="6"/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/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/>
      <c r="BJ741" s="4">
        <v>13</v>
      </c>
      <c r="BK741" s="8">
        <v>1197.59</v>
      </c>
      <c r="BL741" s="2" t="s">
        <v>2951</v>
      </c>
      <c r="BM741" s="7"/>
      <c r="BN741" s="7"/>
      <c r="BO741" s="4"/>
      <c r="BP741" s="8"/>
      <c r="BQ741" s="4"/>
      <c r="BR741" s="8"/>
      <c r="BS741" s="7"/>
      <c r="BT741" s="7"/>
      <c r="BU741" s="2" t="s">
        <v>2526</v>
      </c>
      <c r="BV741" s="2" t="s">
        <v>97</v>
      </c>
      <c r="BW741" s="2" t="s">
        <v>100</v>
      </c>
      <c r="BX741" s="2" t="s">
        <v>100</v>
      </c>
      <c r="BY741" s="2" t="s">
        <v>112</v>
      </c>
      <c r="BZ741" s="2" t="s">
        <v>100</v>
      </c>
    </row>
    <row r="742">
      <c r="A742" s="2" t="s">
        <v>2952</v>
      </c>
      <c r="B742" s="2" t="s">
        <v>87</v>
      </c>
      <c r="C742" s="2" t="s">
        <v>2831</v>
      </c>
      <c r="D742" s="2" t="s">
        <v>89</v>
      </c>
      <c r="E742" s="2" t="s">
        <v>887</v>
      </c>
      <c r="F742" s="2" t="s">
        <v>2935</v>
      </c>
      <c r="G742" s="2" t="s">
        <v>2935</v>
      </c>
      <c r="H742" s="2" t="s">
        <v>2935</v>
      </c>
      <c r="I742" s="2" t="s">
        <v>2936</v>
      </c>
      <c r="J742" s="2" t="s">
        <v>522</v>
      </c>
      <c r="K742" s="2" t="s">
        <v>1373</v>
      </c>
      <c r="L742" s="3">
        <v>65</v>
      </c>
      <c r="M742" s="3">
        <v>68.25</v>
      </c>
      <c r="N742" s="3">
        <v>129.99</v>
      </c>
      <c r="O742" s="2" t="s">
        <v>97</v>
      </c>
      <c r="P742" s="2" t="s">
        <v>98</v>
      </c>
      <c r="Q742" s="2" t="s">
        <v>99</v>
      </c>
      <c r="R742" s="2" t="s">
        <v>100</v>
      </c>
      <c r="S742" s="2" t="s">
        <v>2953</v>
      </c>
      <c r="T742" s="2" t="s">
        <v>190</v>
      </c>
      <c r="U742" s="2" t="s">
        <v>901</v>
      </c>
      <c r="V742" s="2" t="s">
        <v>461</v>
      </c>
      <c r="W742" s="2" t="s">
        <v>2523</v>
      </c>
      <c r="X742" s="2" t="s">
        <v>609</v>
      </c>
      <c r="Y742" s="2" t="s">
        <v>2948</v>
      </c>
      <c r="Z742" s="4">
        <v>215</v>
      </c>
      <c r="AA742" s="4">
        <f>=ROUNDDOWN(43,0)</f>
      </c>
      <c r="AB742" s="5">
        <v>5</v>
      </c>
      <c r="AC742" s="2" t="s">
        <v>1142</v>
      </c>
      <c r="AD742" s="4">
        <v>150</v>
      </c>
      <c r="AE742" s="4">
        <v>150</v>
      </c>
      <c r="AF742" s="6">
        <v>67</v>
      </c>
      <c r="AG742" s="6"/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/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/>
      <c r="BJ742" s="4">
        <v>17</v>
      </c>
      <c r="BK742" s="8">
        <v>1206.35</v>
      </c>
      <c r="BL742" s="2" t="s">
        <v>2954</v>
      </c>
      <c r="BM742" s="7"/>
      <c r="BN742" s="7"/>
      <c r="BO742" s="4"/>
      <c r="BP742" s="8"/>
      <c r="BQ742" s="4"/>
      <c r="BR742" s="8"/>
      <c r="BS742" s="7"/>
      <c r="BT742" s="7"/>
      <c r="BU742" s="2" t="s">
        <v>2551</v>
      </c>
      <c r="BV742" s="2" t="s">
        <v>97</v>
      </c>
      <c r="BW742" s="2" t="s">
        <v>100</v>
      </c>
      <c r="BX742" s="2" t="s">
        <v>100</v>
      </c>
      <c r="BY742" s="2" t="s">
        <v>112</v>
      </c>
      <c r="BZ742" s="2" t="s">
        <v>100</v>
      </c>
    </row>
    <row r="743">
      <c r="A743" s="2" t="s">
        <v>2955</v>
      </c>
      <c r="B743" s="2" t="s">
        <v>87</v>
      </c>
      <c r="C743" s="2" t="s">
        <v>2831</v>
      </c>
      <c r="D743" s="2" t="s">
        <v>89</v>
      </c>
      <c r="E743" s="2" t="s">
        <v>887</v>
      </c>
      <c r="F743" s="2" t="s">
        <v>2935</v>
      </c>
      <c r="G743" s="2" t="s">
        <v>2935</v>
      </c>
      <c r="H743" s="2" t="s">
        <v>2935</v>
      </c>
      <c r="I743" s="2" t="s">
        <v>2936</v>
      </c>
      <c r="J743" s="2" t="s">
        <v>529</v>
      </c>
      <c r="K743" s="2" t="s">
        <v>1373</v>
      </c>
      <c r="L743" s="3">
        <v>80</v>
      </c>
      <c r="M743" s="3">
        <v>83.99</v>
      </c>
      <c r="N743" s="3">
        <v>159.99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2953</v>
      </c>
      <c r="T743" s="2" t="s">
        <v>190</v>
      </c>
      <c r="U743" s="2" t="s">
        <v>901</v>
      </c>
      <c r="V743" s="2" t="s">
        <v>461</v>
      </c>
      <c r="W743" s="2" t="s">
        <v>2523</v>
      </c>
      <c r="X743" s="2" t="s">
        <v>609</v>
      </c>
      <c r="Y743" s="2" t="s">
        <v>2948</v>
      </c>
      <c r="Z743" s="4">
        <v>200</v>
      </c>
      <c r="AA743" s="4">
        <f>=ROUNDDOWN(40,0)</f>
      </c>
      <c r="AB743" s="5">
        <v>5</v>
      </c>
      <c r="AC743" s="2" t="s">
        <v>1142</v>
      </c>
      <c r="AD743" s="4">
        <v>90</v>
      </c>
      <c r="AE743" s="4">
        <v>90</v>
      </c>
      <c r="AF743" s="6">
        <v>67</v>
      </c>
      <c r="AG743" s="6"/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/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/>
      <c r="BJ743" s="4">
        <v>13</v>
      </c>
      <c r="BK743" s="8">
        <v>1146.95</v>
      </c>
      <c r="BL743" s="2" t="s">
        <v>2956</v>
      </c>
      <c r="BM743" s="7"/>
      <c r="BN743" s="7"/>
      <c r="BO743" s="4"/>
      <c r="BP743" s="8"/>
      <c r="BQ743" s="4"/>
      <c r="BR743" s="8"/>
      <c r="BS743" s="7"/>
      <c r="BT743" s="7"/>
      <c r="BU743" s="2" t="s">
        <v>2551</v>
      </c>
      <c r="BV743" s="2" t="s">
        <v>97</v>
      </c>
      <c r="BW743" s="2" t="s">
        <v>100</v>
      </c>
      <c r="BX743" s="2" t="s">
        <v>100</v>
      </c>
      <c r="BY743" s="2" t="s">
        <v>112</v>
      </c>
      <c r="BZ743" s="2" t="s">
        <v>100</v>
      </c>
    </row>
    <row r="744">
      <c r="A744" s="2" t="s">
        <v>2957</v>
      </c>
      <c r="B744" s="2" t="s">
        <v>87</v>
      </c>
      <c r="C744" s="2" t="s">
        <v>2831</v>
      </c>
      <c r="D744" s="2" t="s">
        <v>89</v>
      </c>
      <c r="E744" s="2" t="s">
        <v>887</v>
      </c>
      <c r="F744" s="2" t="s">
        <v>2958</v>
      </c>
      <c r="G744" s="2" t="s">
        <v>2958</v>
      </c>
      <c r="H744" s="2" t="s">
        <v>2958</v>
      </c>
      <c r="I744" s="2" t="s">
        <v>2959</v>
      </c>
      <c r="J744" s="2" t="s">
        <v>522</v>
      </c>
      <c r="K744" s="2" t="s">
        <v>446</v>
      </c>
      <c r="L744" s="3">
        <v>75.6</v>
      </c>
      <c r="M744" s="3">
        <v>79.38</v>
      </c>
      <c r="N744" s="3">
        <v>151.99</v>
      </c>
      <c r="O744" s="2" t="s">
        <v>97</v>
      </c>
      <c r="P744" s="2" t="s">
        <v>156</v>
      </c>
      <c r="Q744" s="2" t="s">
        <v>99</v>
      </c>
      <c r="R744" s="2" t="s">
        <v>100</v>
      </c>
      <c r="S744" s="2" t="s">
        <v>2960</v>
      </c>
      <c r="T744" s="2" t="s">
        <v>190</v>
      </c>
      <c r="U744" s="2" t="s">
        <v>901</v>
      </c>
      <c r="V744" s="2" t="s">
        <v>2913</v>
      </c>
      <c r="W744" s="2" t="s">
        <v>686</v>
      </c>
      <c r="X744" s="2" t="s">
        <v>2883</v>
      </c>
      <c r="Y744" s="2" t="s">
        <v>2961</v>
      </c>
      <c r="Z744" s="4">
        <v>170</v>
      </c>
      <c r="AA744" s="4">
        <f>=ROUNDDOWN(14.1666666666667,0)</f>
      </c>
      <c r="AB744" s="5">
        <v>12</v>
      </c>
      <c r="AC744" s="2" t="s">
        <v>1471</v>
      </c>
      <c r="AD744" s="4">
        <v>135</v>
      </c>
      <c r="AE744" s="4">
        <v>305</v>
      </c>
      <c r="AF744" s="6">
        <v>67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/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/>
      <c r="BJ744" s="4">
        <v>52</v>
      </c>
      <c r="BK744" s="8">
        <v>4381.91</v>
      </c>
      <c r="BL744" s="2" t="s">
        <v>2962</v>
      </c>
      <c r="BM744" s="7"/>
      <c r="BN744" s="7"/>
      <c r="BO744" s="4"/>
      <c r="BP744" s="8"/>
      <c r="BQ744" s="4"/>
      <c r="BR744" s="8"/>
      <c r="BS744" s="7"/>
      <c r="BT744" s="7"/>
      <c r="BU744" s="2" t="s">
        <v>2526</v>
      </c>
      <c r="BV744" s="2" t="s">
        <v>97</v>
      </c>
      <c r="BW744" s="2" t="s">
        <v>100</v>
      </c>
      <c r="BX744" s="2" t="s">
        <v>100</v>
      </c>
      <c r="BY744" s="2" t="s">
        <v>112</v>
      </c>
      <c r="BZ744" s="2" t="s">
        <v>100</v>
      </c>
    </row>
    <row r="745">
      <c r="A745" s="2" t="s">
        <v>2963</v>
      </c>
      <c r="B745" s="2" t="s">
        <v>87</v>
      </c>
      <c r="C745" s="2" t="s">
        <v>2831</v>
      </c>
      <c r="D745" s="2" t="s">
        <v>89</v>
      </c>
      <c r="E745" s="2" t="s">
        <v>887</v>
      </c>
      <c r="F745" s="2" t="s">
        <v>2958</v>
      </c>
      <c r="G745" s="2" t="s">
        <v>2958</v>
      </c>
      <c r="H745" s="2" t="s">
        <v>2958</v>
      </c>
      <c r="I745" s="2" t="s">
        <v>2959</v>
      </c>
      <c r="J745" s="2" t="s">
        <v>529</v>
      </c>
      <c r="K745" s="2" t="s">
        <v>446</v>
      </c>
      <c r="L745" s="3">
        <v>91.8</v>
      </c>
      <c r="M745" s="3">
        <v>96.39</v>
      </c>
      <c r="N745" s="3">
        <v>183.99</v>
      </c>
      <c r="O745" s="2" t="s">
        <v>97</v>
      </c>
      <c r="P745" s="2" t="s">
        <v>156</v>
      </c>
      <c r="Q745" s="2" t="s">
        <v>99</v>
      </c>
      <c r="R745" s="2" t="s">
        <v>100</v>
      </c>
      <c r="S745" s="2" t="s">
        <v>2960</v>
      </c>
      <c r="T745" s="2" t="s">
        <v>190</v>
      </c>
      <c r="U745" s="2" t="s">
        <v>901</v>
      </c>
      <c r="V745" s="2" t="s">
        <v>2913</v>
      </c>
      <c r="W745" s="2" t="s">
        <v>686</v>
      </c>
      <c r="X745" s="2" t="s">
        <v>2883</v>
      </c>
      <c r="Y745" s="2" t="s">
        <v>2961</v>
      </c>
      <c r="Z745" s="4">
        <v>263</v>
      </c>
      <c r="AA745" s="4">
        <f>=ROUNDDOWN(20.2307692307692,0)</f>
      </c>
      <c r="AB745" s="5">
        <v>13</v>
      </c>
      <c r="AC745" s="2" t="s">
        <v>1471</v>
      </c>
      <c r="AD745" s="4">
        <v>185</v>
      </c>
      <c r="AE745" s="4">
        <v>295</v>
      </c>
      <c r="AF745" s="6">
        <v>67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/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/>
      <c r="BJ745" s="4">
        <v>43</v>
      </c>
      <c r="BK745" s="8">
        <v>4396.46</v>
      </c>
      <c r="BL745" s="2" t="s">
        <v>2964</v>
      </c>
      <c r="BM745" s="7"/>
      <c r="BN745" s="7"/>
      <c r="BO745" s="4"/>
      <c r="BP745" s="8"/>
      <c r="BQ745" s="4"/>
      <c r="BR745" s="8"/>
      <c r="BS745" s="7"/>
      <c r="BT745" s="7"/>
      <c r="BU745" s="2" t="s">
        <v>2526</v>
      </c>
      <c r="BV745" s="2" t="s">
        <v>97</v>
      </c>
      <c r="BW745" s="2" t="s">
        <v>100</v>
      </c>
      <c r="BX745" s="2" t="s">
        <v>100</v>
      </c>
      <c r="BY745" s="2" t="s">
        <v>112</v>
      </c>
      <c r="BZ745" s="2" t="s">
        <v>100</v>
      </c>
    </row>
    <row r="746">
      <c r="A746" s="2" t="s">
        <v>2965</v>
      </c>
      <c r="B746" s="2" t="s">
        <v>87</v>
      </c>
      <c r="C746" s="2" t="s">
        <v>2831</v>
      </c>
      <c r="D746" s="2" t="s">
        <v>89</v>
      </c>
      <c r="E746" s="2" t="s">
        <v>887</v>
      </c>
      <c r="F746" s="2" t="s">
        <v>2966</v>
      </c>
      <c r="G746" s="2" t="s">
        <v>2966</v>
      </c>
      <c r="H746" s="2" t="s">
        <v>2966</v>
      </c>
      <c r="I746" s="2" t="s">
        <v>2967</v>
      </c>
      <c r="J746" s="2" t="s">
        <v>522</v>
      </c>
      <c r="K746" s="2" t="s">
        <v>2968</v>
      </c>
      <c r="L746" s="3">
        <v>59.85</v>
      </c>
      <c r="M746" s="3">
        <v>62.84</v>
      </c>
      <c r="N746" s="3">
        <v>129.99</v>
      </c>
      <c r="O746" s="2" t="s">
        <v>97</v>
      </c>
      <c r="P746" s="2" t="s">
        <v>98</v>
      </c>
      <c r="Q746" s="2" t="s">
        <v>99</v>
      </c>
      <c r="R746" s="2" t="s">
        <v>100</v>
      </c>
      <c r="S746" s="2" t="s">
        <v>2969</v>
      </c>
      <c r="T746" s="2" t="s">
        <v>190</v>
      </c>
      <c r="U746" s="2" t="s">
        <v>901</v>
      </c>
      <c r="V746" s="2" t="s">
        <v>2913</v>
      </c>
      <c r="W746" s="2" t="s">
        <v>686</v>
      </c>
      <c r="X746" s="2" t="s">
        <v>594</v>
      </c>
      <c r="Y746" s="2" t="s">
        <v>2970</v>
      </c>
      <c r="Z746" s="4">
        <v>214</v>
      </c>
      <c r="AA746" s="4">
        <f>=ROUNDDOWN(30.5714285714286,0)</f>
      </c>
      <c r="AB746" s="5">
        <v>7</v>
      </c>
      <c r="AC746" s="2" t="s">
        <v>100</v>
      </c>
      <c r="AD746" s="4"/>
      <c r="AE746" s="4"/>
      <c r="AF746" s="6">
        <v>66</v>
      </c>
      <c r="AG746" s="6"/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/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/>
      <c r="BJ746" s="4">
        <v>4</v>
      </c>
      <c r="BK746" s="8">
        <v>280.01</v>
      </c>
      <c r="BL746" s="2" t="s">
        <v>2263</v>
      </c>
      <c r="BM746" s="7"/>
      <c r="BN746" s="7"/>
      <c r="BO746" s="4"/>
      <c r="BP746" s="8"/>
      <c r="BQ746" s="4"/>
      <c r="BR746" s="8"/>
      <c r="BS746" s="7"/>
      <c r="BT746" s="7"/>
      <c r="BU746" s="2" t="s">
        <v>2551</v>
      </c>
      <c r="BV746" s="2" t="s">
        <v>97</v>
      </c>
      <c r="BW746" s="2" t="s">
        <v>100</v>
      </c>
      <c r="BX746" s="2" t="s">
        <v>100</v>
      </c>
      <c r="BY746" s="2" t="s">
        <v>112</v>
      </c>
      <c r="BZ746" s="2" t="s">
        <v>149</v>
      </c>
    </row>
    <row r="747">
      <c r="A747" s="2" t="s">
        <v>2971</v>
      </c>
      <c r="B747" s="2" t="s">
        <v>87</v>
      </c>
      <c r="C747" s="2" t="s">
        <v>2831</v>
      </c>
      <c r="D747" s="2" t="s">
        <v>89</v>
      </c>
      <c r="E747" s="2" t="s">
        <v>887</v>
      </c>
      <c r="F747" s="2" t="s">
        <v>2966</v>
      </c>
      <c r="G747" s="2" t="s">
        <v>2966</v>
      </c>
      <c r="H747" s="2" t="s">
        <v>2966</v>
      </c>
      <c r="I747" s="2" t="s">
        <v>2967</v>
      </c>
      <c r="J747" s="2" t="s">
        <v>529</v>
      </c>
      <c r="K747" s="2" t="s">
        <v>2968</v>
      </c>
      <c r="L747" s="3">
        <v>74.29</v>
      </c>
      <c r="M747" s="3">
        <v>78</v>
      </c>
      <c r="N747" s="3">
        <v>159.99</v>
      </c>
      <c r="O747" s="2" t="s">
        <v>97</v>
      </c>
      <c r="P747" s="2" t="s">
        <v>98</v>
      </c>
      <c r="Q747" s="2" t="s">
        <v>99</v>
      </c>
      <c r="R747" s="2" t="s">
        <v>100</v>
      </c>
      <c r="S747" s="2" t="s">
        <v>2969</v>
      </c>
      <c r="T747" s="2" t="s">
        <v>190</v>
      </c>
      <c r="U747" s="2" t="s">
        <v>901</v>
      </c>
      <c r="V747" s="2" t="s">
        <v>2913</v>
      </c>
      <c r="W747" s="2" t="s">
        <v>686</v>
      </c>
      <c r="X747" s="2" t="s">
        <v>594</v>
      </c>
      <c r="Y747" s="2" t="s">
        <v>2970</v>
      </c>
      <c r="Z747" s="4">
        <v>247</v>
      </c>
      <c r="AA747" s="4">
        <f>=ROUNDDOWN(41.1666666666667,0)</f>
      </c>
      <c r="AB747" s="5">
        <v>6</v>
      </c>
      <c r="AC747" s="2" t="s">
        <v>100</v>
      </c>
      <c r="AD747" s="4"/>
      <c r="AE747" s="4"/>
      <c r="AF747" s="6">
        <v>66</v>
      </c>
      <c r="AG747" s="6"/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/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/>
      <c r="BJ747" s="4">
        <v>3</v>
      </c>
      <c r="BK747" s="8">
        <v>255.71</v>
      </c>
      <c r="BL747" s="2" t="s">
        <v>1811</v>
      </c>
      <c r="BM747" s="7"/>
      <c r="BN747" s="7"/>
      <c r="BO747" s="4"/>
      <c r="BP747" s="8"/>
      <c r="BQ747" s="4"/>
      <c r="BR747" s="8"/>
      <c r="BS747" s="7"/>
      <c r="BT747" s="7"/>
      <c r="BU747" s="2" t="s">
        <v>2551</v>
      </c>
      <c r="BV747" s="2" t="s">
        <v>97</v>
      </c>
      <c r="BW747" s="2" t="s">
        <v>100</v>
      </c>
      <c r="BX747" s="2" t="s">
        <v>100</v>
      </c>
      <c r="BY747" s="2" t="s">
        <v>112</v>
      </c>
      <c r="BZ747" s="2" t="s">
        <v>149</v>
      </c>
    </row>
    <row r="748">
      <c r="A748" s="2" t="s">
        <v>2972</v>
      </c>
      <c r="B748" s="2" t="s">
        <v>87</v>
      </c>
      <c r="C748" s="2" t="s">
        <v>2831</v>
      </c>
      <c r="D748" s="2" t="s">
        <v>89</v>
      </c>
      <c r="E748" s="2" t="s">
        <v>887</v>
      </c>
      <c r="F748" s="2" t="s">
        <v>2966</v>
      </c>
      <c r="G748" s="2" t="s">
        <v>2966</v>
      </c>
      <c r="H748" s="2" t="s">
        <v>2966</v>
      </c>
      <c r="I748" s="2" t="s">
        <v>2967</v>
      </c>
      <c r="J748" s="2" t="s">
        <v>522</v>
      </c>
      <c r="K748" s="2" t="s">
        <v>545</v>
      </c>
      <c r="L748" s="3">
        <v>59.85</v>
      </c>
      <c r="M748" s="3">
        <v>62.84</v>
      </c>
      <c r="N748" s="3">
        <v>129.99</v>
      </c>
      <c r="O748" s="2" t="s">
        <v>97</v>
      </c>
      <c r="P748" s="2" t="s">
        <v>98</v>
      </c>
      <c r="Q748" s="2" t="s">
        <v>99</v>
      </c>
      <c r="R748" s="2" t="s">
        <v>100</v>
      </c>
      <c r="S748" s="2" t="s">
        <v>2973</v>
      </c>
      <c r="T748" s="2" t="s">
        <v>190</v>
      </c>
      <c r="U748" s="2" t="s">
        <v>901</v>
      </c>
      <c r="V748" s="2" t="s">
        <v>2913</v>
      </c>
      <c r="W748" s="2" t="s">
        <v>686</v>
      </c>
      <c r="X748" s="2" t="s">
        <v>594</v>
      </c>
      <c r="Y748" s="2" t="s">
        <v>2974</v>
      </c>
      <c r="Z748" s="4">
        <v>292</v>
      </c>
      <c r="AA748" s="4">
        <f>=ROUNDDOWN(48.6666666666667,0)</f>
      </c>
      <c r="AB748" s="5">
        <v>6</v>
      </c>
      <c r="AC748" s="2" t="s">
        <v>173</v>
      </c>
      <c r="AD748" s="4">
        <v>160</v>
      </c>
      <c r="AE748" s="4">
        <v>160</v>
      </c>
      <c r="AF748" s="6">
        <v>66</v>
      </c>
      <c r="AG748" s="6"/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/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/>
      <c r="BJ748" s="4">
        <v>13</v>
      </c>
      <c r="BK748" s="8">
        <v>876.81</v>
      </c>
      <c r="BL748" s="2" t="s">
        <v>2975</v>
      </c>
      <c r="BM748" s="7"/>
      <c r="BN748" s="7"/>
      <c r="BO748" s="4"/>
      <c r="BP748" s="8"/>
      <c r="BQ748" s="4"/>
      <c r="BR748" s="8"/>
      <c r="BS748" s="7"/>
      <c r="BT748" s="7"/>
      <c r="BU748" s="2" t="s">
        <v>2551</v>
      </c>
      <c r="BV748" s="2" t="s">
        <v>97</v>
      </c>
      <c r="BW748" s="2" t="s">
        <v>100</v>
      </c>
      <c r="BX748" s="2" t="s">
        <v>100</v>
      </c>
      <c r="BY748" s="2" t="s">
        <v>112</v>
      </c>
      <c r="BZ748" s="2" t="s">
        <v>149</v>
      </c>
    </row>
    <row r="749">
      <c r="A749" s="2" t="s">
        <v>2976</v>
      </c>
      <c r="B749" s="2" t="s">
        <v>87</v>
      </c>
      <c r="C749" s="2" t="s">
        <v>2831</v>
      </c>
      <c r="D749" s="2" t="s">
        <v>89</v>
      </c>
      <c r="E749" s="2" t="s">
        <v>887</v>
      </c>
      <c r="F749" s="2" t="s">
        <v>2966</v>
      </c>
      <c r="G749" s="2" t="s">
        <v>2966</v>
      </c>
      <c r="H749" s="2" t="s">
        <v>2966</v>
      </c>
      <c r="I749" s="2" t="s">
        <v>2967</v>
      </c>
      <c r="J749" s="2" t="s">
        <v>529</v>
      </c>
      <c r="K749" s="2" t="s">
        <v>545</v>
      </c>
      <c r="L749" s="3">
        <v>74.29</v>
      </c>
      <c r="M749" s="3">
        <v>78</v>
      </c>
      <c r="N749" s="3">
        <v>159.99</v>
      </c>
      <c r="O749" s="2" t="s">
        <v>97</v>
      </c>
      <c r="P749" s="2" t="s">
        <v>98</v>
      </c>
      <c r="Q749" s="2" t="s">
        <v>99</v>
      </c>
      <c r="R749" s="2" t="s">
        <v>100</v>
      </c>
      <c r="S749" s="2" t="s">
        <v>2973</v>
      </c>
      <c r="T749" s="2" t="s">
        <v>190</v>
      </c>
      <c r="U749" s="2" t="s">
        <v>901</v>
      </c>
      <c r="V749" s="2" t="s">
        <v>2913</v>
      </c>
      <c r="W749" s="2" t="s">
        <v>686</v>
      </c>
      <c r="X749" s="2" t="s">
        <v>594</v>
      </c>
      <c r="Y749" s="2" t="s">
        <v>2974</v>
      </c>
      <c r="Z749" s="4">
        <v>348</v>
      </c>
      <c r="AA749" s="4">
        <f>=ROUNDDOWN(43.5,0)</f>
      </c>
      <c r="AB749" s="5">
        <v>8</v>
      </c>
      <c r="AC749" s="2" t="s">
        <v>173</v>
      </c>
      <c r="AD749" s="4">
        <v>200</v>
      </c>
      <c r="AE749" s="4">
        <v>200</v>
      </c>
      <c r="AF749" s="6">
        <v>66</v>
      </c>
      <c r="AG749" s="6"/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/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/>
      <c r="BJ749" s="4">
        <v>29</v>
      </c>
      <c r="BK749" s="8">
        <v>2367.05</v>
      </c>
      <c r="BL749" s="2" t="s">
        <v>1657</v>
      </c>
      <c r="BM749" s="7"/>
      <c r="BN749" s="7"/>
      <c r="BO749" s="4"/>
      <c r="BP749" s="8"/>
      <c r="BQ749" s="4"/>
      <c r="BR749" s="8"/>
      <c r="BS749" s="7"/>
      <c r="BT749" s="7"/>
      <c r="BU749" s="2" t="s">
        <v>2551</v>
      </c>
      <c r="BV749" s="2" t="s">
        <v>97</v>
      </c>
      <c r="BW749" s="2" t="s">
        <v>100</v>
      </c>
      <c r="BX749" s="2" t="s">
        <v>100</v>
      </c>
      <c r="BY749" s="2" t="s">
        <v>112</v>
      </c>
      <c r="BZ749" s="2" t="s">
        <v>100</v>
      </c>
    </row>
    <row r="750">
      <c r="A750" s="2" t="s">
        <v>2977</v>
      </c>
      <c r="B750" s="2" t="s">
        <v>87</v>
      </c>
      <c r="C750" s="2" t="s">
        <v>2831</v>
      </c>
      <c r="D750" s="2" t="s">
        <v>89</v>
      </c>
      <c r="E750" s="2" t="s">
        <v>887</v>
      </c>
      <c r="F750" s="2" t="s">
        <v>2966</v>
      </c>
      <c r="G750" s="2" t="s">
        <v>2966</v>
      </c>
      <c r="H750" s="2" t="s">
        <v>2966</v>
      </c>
      <c r="I750" s="2" t="s">
        <v>2967</v>
      </c>
      <c r="J750" s="2" t="s">
        <v>522</v>
      </c>
      <c r="K750" s="2" t="s">
        <v>223</v>
      </c>
      <c r="L750" s="3">
        <v>59.85</v>
      </c>
      <c r="M750" s="3">
        <v>62.84</v>
      </c>
      <c r="N750" s="3">
        <v>129.99</v>
      </c>
      <c r="O750" s="2" t="s">
        <v>97</v>
      </c>
      <c r="P750" s="2" t="s">
        <v>139</v>
      </c>
      <c r="Q750" s="2" t="s">
        <v>99</v>
      </c>
      <c r="R750" s="2" t="s">
        <v>100</v>
      </c>
      <c r="S750" s="2" t="s">
        <v>2978</v>
      </c>
      <c r="T750" s="2" t="s">
        <v>190</v>
      </c>
      <c r="U750" s="2" t="s">
        <v>901</v>
      </c>
      <c r="V750" s="2" t="s">
        <v>2913</v>
      </c>
      <c r="W750" s="2" t="s">
        <v>686</v>
      </c>
      <c r="X750" s="2" t="s">
        <v>594</v>
      </c>
      <c r="Y750" s="2" t="s">
        <v>2313</v>
      </c>
      <c r="Z750" s="4">
        <v>628</v>
      </c>
      <c r="AA750" s="4">
        <f>=ROUNDDOWN(33.0526315789474,0)</f>
      </c>
      <c r="AB750" s="5">
        <v>19</v>
      </c>
      <c r="AC750" s="2" t="s">
        <v>2008</v>
      </c>
      <c r="AD750" s="4">
        <v>100</v>
      </c>
      <c r="AE750" s="4">
        <v>100</v>
      </c>
      <c r="AF750" s="6">
        <v>66</v>
      </c>
      <c r="AG750" s="6">
        <v>74</v>
      </c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100</v>
      </c>
      <c r="AW750" s="8" t="s">
        <v>100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/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/>
      <c r="BJ750" s="4">
        <v>54</v>
      </c>
      <c r="BK750" s="8">
        <v>3670.1</v>
      </c>
      <c r="BL750" s="2" t="s">
        <v>2979</v>
      </c>
      <c r="BM750" s="7"/>
      <c r="BN750" s="7"/>
      <c r="BO750" s="4"/>
      <c r="BP750" s="8"/>
      <c r="BQ750" s="4"/>
      <c r="BR750" s="8"/>
      <c r="BS750" s="7"/>
      <c r="BT750" s="7"/>
      <c r="BU750" s="2" t="s">
        <v>2551</v>
      </c>
      <c r="BV750" s="2" t="s">
        <v>97</v>
      </c>
      <c r="BW750" s="2" t="s">
        <v>100</v>
      </c>
      <c r="BX750" s="2" t="s">
        <v>100</v>
      </c>
      <c r="BY750" s="2" t="s">
        <v>112</v>
      </c>
      <c r="BZ750" s="2" t="s">
        <v>149</v>
      </c>
    </row>
    <row r="751">
      <c r="A751" s="2" t="s">
        <v>2980</v>
      </c>
      <c r="B751" s="2" t="s">
        <v>87</v>
      </c>
      <c r="C751" s="2" t="s">
        <v>2831</v>
      </c>
      <c r="D751" s="2" t="s">
        <v>89</v>
      </c>
      <c r="E751" s="2" t="s">
        <v>887</v>
      </c>
      <c r="F751" s="2" t="s">
        <v>2966</v>
      </c>
      <c r="G751" s="2" t="s">
        <v>2966</v>
      </c>
      <c r="H751" s="2" t="s">
        <v>2966</v>
      </c>
      <c r="I751" s="2" t="s">
        <v>2967</v>
      </c>
      <c r="J751" s="2" t="s">
        <v>529</v>
      </c>
      <c r="K751" s="2" t="s">
        <v>223</v>
      </c>
      <c r="L751" s="3">
        <v>74.29</v>
      </c>
      <c r="M751" s="3">
        <v>78</v>
      </c>
      <c r="N751" s="3">
        <v>159.99</v>
      </c>
      <c r="O751" s="2" t="s">
        <v>97</v>
      </c>
      <c r="P751" s="2" t="s">
        <v>139</v>
      </c>
      <c r="Q751" s="2" t="s">
        <v>99</v>
      </c>
      <c r="R751" s="2" t="s">
        <v>100</v>
      </c>
      <c r="S751" s="2" t="s">
        <v>2978</v>
      </c>
      <c r="T751" s="2" t="s">
        <v>190</v>
      </c>
      <c r="U751" s="2" t="s">
        <v>901</v>
      </c>
      <c r="V751" s="2" t="s">
        <v>2913</v>
      </c>
      <c r="W751" s="2" t="s">
        <v>686</v>
      </c>
      <c r="X751" s="2" t="s">
        <v>594</v>
      </c>
      <c r="Y751" s="2" t="s">
        <v>2313</v>
      </c>
      <c r="Z751" s="4">
        <v>741</v>
      </c>
      <c r="AA751" s="4">
        <f>=ROUNDDOWN(46.3125,0)</f>
      </c>
      <c r="AB751" s="5">
        <v>16</v>
      </c>
      <c r="AC751" s="2" t="s">
        <v>2008</v>
      </c>
      <c r="AD751" s="4">
        <v>100</v>
      </c>
      <c r="AE751" s="4">
        <v>100</v>
      </c>
      <c r="AF751" s="6">
        <v>66</v>
      </c>
      <c r="AG751" s="6">
        <v>74</v>
      </c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/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/>
      <c r="BJ751" s="4">
        <v>59</v>
      </c>
      <c r="BK751" s="8">
        <v>4960.16</v>
      </c>
      <c r="BL751" s="2" t="s">
        <v>2981</v>
      </c>
      <c r="BM751" s="7"/>
      <c r="BN751" s="7"/>
      <c r="BO751" s="4"/>
      <c r="BP751" s="8"/>
      <c r="BQ751" s="4"/>
      <c r="BR751" s="8"/>
      <c r="BS751" s="7"/>
      <c r="BT751" s="7"/>
      <c r="BU751" s="2" t="s">
        <v>2551</v>
      </c>
      <c r="BV751" s="2" t="s">
        <v>97</v>
      </c>
      <c r="BW751" s="2" t="s">
        <v>100</v>
      </c>
      <c r="BX751" s="2" t="s">
        <v>100</v>
      </c>
      <c r="BY751" s="2" t="s">
        <v>112</v>
      </c>
      <c r="BZ751" s="2" t="s">
        <v>100</v>
      </c>
    </row>
    <row r="752">
      <c r="A752" s="2" t="s">
        <v>2982</v>
      </c>
      <c r="B752" s="2" t="s">
        <v>87</v>
      </c>
      <c r="C752" s="2" t="s">
        <v>2831</v>
      </c>
      <c r="D752" s="2" t="s">
        <v>89</v>
      </c>
      <c r="E752" s="2" t="s">
        <v>887</v>
      </c>
      <c r="F752" s="2" t="s">
        <v>2966</v>
      </c>
      <c r="G752" s="2" t="s">
        <v>2966</v>
      </c>
      <c r="H752" s="2" t="s">
        <v>2966</v>
      </c>
      <c r="I752" s="2" t="s">
        <v>2967</v>
      </c>
      <c r="J752" s="2" t="s">
        <v>522</v>
      </c>
      <c r="K752" s="2" t="s">
        <v>673</v>
      </c>
      <c r="L752" s="3">
        <v>59.85</v>
      </c>
      <c r="M752" s="3">
        <v>62.84</v>
      </c>
      <c r="N752" s="3">
        <v>129.99</v>
      </c>
      <c r="O752" s="2" t="s">
        <v>97</v>
      </c>
      <c r="P752" s="2" t="s">
        <v>139</v>
      </c>
      <c r="Q752" s="2" t="s">
        <v>99</v>
      </c>
      <c r="R752" s="2" t="s">
        <v>100</v>
      </c>
      <c r="S752" s="2" t="s">
        <v>2983</v>
      </c>
      <c r="T752" s="2" t="s">
        <v>190</v>
      </c>
      <c r="U752" s="2" t="s">
        <v>901</v>
      </c>
      <c r="V752" s="2" t="s">
        <v>2913</v>
      </c>
      <c r="W752" s="2" t="s">
        <v>686</v>
      </c>
      <c r="X752" s="2" t="s">
        <v>193</v>
      </c>
      <c r="Y752" s="2" t="s">
        <v>1921</v>
      </c>
      <c r="Z752" s="4">
        <v>813</v>
      </c>
      <c r="AA752" s="4">
        <f>=ROUNDDOWN(58.0714285714286,0)</f>
      </c>
      <c r="AB752" s="5">
        <v>14</v>
      </c>
      <c r="AC752" s="2" t="s">
        <v>2008</v>
      </c>
      <c r="AD752" s="4">
        <v>60</v>
      </c>
      <c r="AE752" s="4">
        <v>60</v>
      </c>
      <c r="AF752" s="6">
        <v>66</v>
      </c>
      <c r="AG752" s="6">
        <v>74</v>
      </c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/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/>
      <c r="BJ752" s="4">
        <v>42</v>
      </c>
      <c r="BK752" s="8">
        <v>2906.93</v>
      </c>
      <c r="BL752" s="2" t="s">
        <v>2984</v>
      </c>
      <c r="BM752" s="7"/>
      <c r="BN752" s="7"/>
      <c r="BO752" s="4"/>
      <c r="BP752" s="8"/>
      <c r="BQ752" s="4"/>
      <c r="BR752" s="8"/>
      <c r="BS752" s="7"/>
      <c r="BT752" s="7"/>
      <c r="BU752" s="2" t="s">
        <v>2551</v>
      </c>
      <c r="BV752" s="2" t="s">
        <v>97</v>
      </c>
      <c r="BW752" s="2" t="s">
        <v>100</v>
      </c>
      <c r="BX752" s="2" t="s">
        <v>100</v>
      </c>
      <c r="BY752" s="2" t="s">
        <v>112</v>
      </c>
      <c r="BZ752" s="2" t="s">
        <v>100</v>
      </c>
    </row>
    <row r="753">
      <c r="A753" s="2" t="s">
        <v>2985</v>
      </c>
      <c r="B753" s="2" t="s">
        <v>87</v>
      </c>
      <c r="C753" s="2" t="s">
        <v>2831</v>
      </c>
      <c r="D753" s="2" t="s">
        <v>89</v>
      </c>
      <c r="E753" s="2" t="s">
        <v>887</v>
      </c>
      <c r="F753" s="2" t="s">
        <v>2966</v>
      </c>
      <c r="G753" s="2" t="s">
        <v>2966</v>
      </c>
      <c r="H753" s="2" t="s">
        <v>2966</v>
      </c>
      <c r="I753" s="2" t="s">
        <v>2967</v>
      </c>
      <c r="J753" s="2" t="s">
        <v>529</v>
      </c>
      <c r="K753" s="2" t="s">
        <v>673</v>
      </c>
      <c r="L753" s="3">
        <v>74.29</v>
      </c>
      <c r="M753" s="3">
        <v>78</v>
      </c>
      <c r="N753" s="3">
        <v>159.99</v>
      </c>
      <c r="O753" s="2" t="s">
        <v>97</v>
      </c>
      <c r="P753" s="2" t="s">
        <v>139</v>
      </c>
      <c r="Q753" s="2" t="s">
        <v>99</v>
      </c>
      <c r="R753" s="2" t="s">
        <v>100</v>
      </c>
      <c r="S753" s="2" t="s">
        <v>2983</v>
      </c>
      <c r="T753" s="2" t="s">
        <v>190</v>
      </c>
      <c r="U753" s="2" t="s">
        <v>901</v>
      </c>
      <c r="V753" s="2" t="s">
        <v>2913</v>
      </c>
      <c r="W753" s="2" t="s">
        <v>686</v>
      </c>
      <c r="X753" s="2" t="s">
        <v>193</v>
      </c>
      <c r="Y753" s="2" t="s">
        <v>1921</v>
      </c>
      <c r="Z753" s="4">
        <v>829</v>
      </c>
      <c r="AA753" s="4">
        <f>=ROUNDDOWN(39.4761904761905,0)</f>
      </c>
      <c r="AB753" s="5">
        <v>21</v>
      </c>
      <c r="AC753" s="2" t="s">
        <v>897</v>
      </c>
      <c r="AD753" s="4">
        <v>80</v>
      </c>
      <c r="AE753" s="4">
        <v>230</v>
      </c>
      <c r="AF753" s="6">
        <v>66</v>
      </c>
      <c r="AG753" s="6">
        <v>74</v>
      </c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100</v>
      </c>
      <c r="AW753" s="8" t="s">
        <v>100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/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/>
      <c r="BJ753" s="4">
        <v>69</v>
      </c>
      <c r="BK753" s="8">
        <v>5868.27</v>
      </c>
      <c r="BL753" s="2" t="s">
        <v>2986</v>
      </c>
      <c r="BM753" s="7"/>
      <c r="BN753" s="7"/>
      <c r="BO753" s="4"/>
      <c r="BP753" s="8"/>
      <c r="BQ753" s="4"/>
      <c r="BR753" s="8"/>
      <c r="BS753" s="7"/>
      <c r="BT753" s="7"/>
      <c r="BU753" s="2" t="s">
        <v>2551</v>
      </c>
      <c r="BV753" s="2" t="s">
        <v>97</v>
      </c>
      <c r="BW753" s="2" t="s">
        <v>100</v>
      </c>
      <c r="BX753" s="2" t="s">
        <v>100</v>
      </c>
      <c r="BY753" s="2" t="s">
        <v>112</v>
      </c>
      <c r="BZ753" s="2" t="s">
        <v>100</v>
      </c>
    </row>
    <row r="754">
      <c r="A754" s="2" t="s">
        <v>2987</v>
      </c>
      <c r="B754" s="2" t="s">
        <v>87</v>
      </c>
      <c r="C754" s="2" t="s">
        <v>2831</v>
      </c>
      <c r="D754" s="2" t="s">
        <v>89</v>
      </c>
      <c r="E754" s="2" t="s">
        <v>887</v>
      </c>
      <c r="F754" s="2" t="s">
        <v>2988</v>
      </c>
      <c r="G754" s="2" t="s">
        <v>2988</v>
      </c>
      <c r="H754" s="2" t="s">
        <v>2988</v>
      </c>
      <c r="I754" s="2" t="s">
        <v>2989</v>
      </c>
      <c r="J754" s="2" t="s">
        <v>522</v>
      </c>
      <c r="K754" s="2" t="s">
        <v>2990</v>
      </c>
      <c r="L754" s="3">
        <v>51.84</v>
      </c>
      <c r="M754" s="3">
        <v>54.43</v>
      </c>
      <c r="N754" s="3">
        <v>104.99</v>
      </c>
      <c r="O754" s="2" t="s">
        <v>97</v>
      </c>
      <c r="P754" s="2" t="s">
        <v>98</v>
      </c>
      <c r="Q754" s="2" t="s">
        <v>99</v>
      </c>
      <c r="R754" s="2" t="s">
        <v>100</v>
      </c>
      <c r="S754" s="2" t="s">
        <v>2991</v>
      </c>
      <c r="T754" s="2" t="s">
        <v>190</v>
      </c>
      <c r="U754" s="2" t="s">
        <v>901</v>
      </c>
      <c r="V754" s="2" t="s">
        <v>2883</v>
      </c>
      <c r="W754" s="2" t="s">
        <v>493</v>
      </c>
      <c r="X754" s="2" t="s">
        <v>2883</v>
      </c>
      <c r="Y754" s="2" t="s">
        <v>2992</v>
      </c>
      <c r="Z754" s="4">
        <v>76</v>
      </c>
      <c r="AA754" s="4">
        <f>=ROUNDDOWN(7.6,0)</f>
      </c>
      <c r="AB754" s="5">
        <v>10</v>
      </c>
      <c r="AC754" s="2" t="s">
        <v>2363</v>
      </c>
      <c r="AD754" s="4">
        <v>190</v>
      </c>
      <c r="AE754" s="4">
        <v>190</v>
      </c>
      <c r="AF754" s="6">
        <v>64</v>
      </c>
      <c r="AG754" s="6"/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/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/>
      <c r="BJ754" s="4">
        <v>35</v>
      </c>
      <c r="BK754" s="8">
        <v>2038.27</v>
      </c>
      <c r="BL754" s="2" t="s">
        <v>2993</v>
      </c>
      <c r="BM754" s="7"/>
      <c r="BN754" s="7"/>
      <c r="BO754" s="4"/>
      <c r="BP754" s="8"/>
      <c r="BQ754" s="4"/>
      <c r="BR754" s="8"/>
      <c r="BS754" s="7"/>
      <c r="BT754" s="7"/>
      <c r="BU754" s="2" t="s">
        <v>2551</v>
      </c>
      <c r="BV754" s="2" t="s">
        <v>97</v>
      </c>
      <c r="BW754" s="2" t="s">
        <v>100</v>
      </c>
      <c r="BX754" s="2" t="s">
        <v>100</v>
      </c>
      <c r="BY754" s="2" t="s">
        <v>112</v>
      </c>
      <c r="BZ754" s="2" t="s">
        <v>149</v>
      </c>
    </row>
    <row r="755">
      <c r="A755" s="2" t="s">
        <v>2994</v>
      </c>
      <c r="B755" s="2" t="s">
        <v>87</v>
      </c>
      <c r="C755" s="2" t="s">
        <v>2831</v>
      </c>
      <c r="D755" s="2" t="s">
        <v>89</v>
      </c>
      <c r="E755" s="2" t="s">
        <v>887</v>
      </c>
      <c r="F755" s="2" t="s">
        <v>2988</v>
      </c>
      <c r="G755" s="2" t="s">
        <v>2988</v>
      </c>
      <c r="H755" s="2" t="s">
        <v>2988</v>
      </c>
      <c r="I755" s="2" t="s">
        <v>2989</v>
      </c>
      <c r="J755" s="2" t="s">
        <v>529</v>
      </c>
      <c r="K755" s="2" t="s">
        <v>2990</v>
      </c>
      <c r="L755" s="3">
        <v>67.5</v>
      </c>
      <c r="M755" s="3">
        <v>70.88</v>
      </c>
      <c r="N755" s="3">
        <v>134.99</v>
      </c>
      <c r="O755" s="2" t="s">
        <v>97</v>
      </c>
      <c r="P755" s="2" t="s">
        <v>98</v>
      </c>
      <c r="Q755" s="2" t="s">
        <v>99</v>
      </c>
      <c r="R755" s="2" t="s">
        <v>100</v>
      </c>
      <c r="S755" s="2" t="s">
        <v>2991</v>
      </c>
      <c r="T755" s="2" t="s">
        <v>190</v>
      </c>
      <c r="U755" s="2" t="s">
        <v>901</v>
      </c>
      <c r="V755" s="2" t="s">
        <v>2883</v>
      </c>
      <c r="W755" s="2" t="s">
        <v>493</v>
      </c>
      <c r="X755" s="2" t="s">
        <v>2883</v>
      </c>
      <c r="Y755" s="2" t="s">
        <v>2992</v>
      </c>
      <c r="Z755" s="4">
        <v>158</v>
      </c>
      <c r="AA755" s="4">
        <f>=ROUNDDOWN(15.8,0)</f>
      </c>
      <c r="AB755" s="5">
        <v>10</v>
      </c>
      <c r="AC755" s="2" t="s">
        <v>2363</v>
      </c>
      <c r="AD755" s="4">
        <v>130</v>
      </c>
      <c r="AE755" s="4">
        <v>130</v>
      </c>
      <c r="AF755" s="6">
        <v>64</v>
      </c>
      <c r="AG755" s="6"/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100</v>
      </c>
      <c r="AW755" s="8" t="s">
        <v>100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/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/>
      <c r="BJ755" s="4">
        <v>40</v>
      </c>
      <c r="BK755" s="8">
        <v>2987.69</v>
      </c>
      <c r="BL755" s="2" t="s">
        <v>2995</v>
      </c>
      <c r="BM755" s="7"/>
      <c r="BN755" s="7"/>
      <c r="BO755" s="4"/>
      <c r="BP755" s="8"/>
      <c r="BQ755" s="4"/>
      <c r="BR755" s="8"/>
      <c r="BS755" s="7"/>
      <c r="BT755" s="7"/>
      <c r="BU755" s="2" t="s">
        <v>2551</v>
      </c>
      <c r="BV755" s="2" t="s">
        <v>97</v>
      </c>
      <c r="BW755" s="2" t="s">
        <v>100</v>
      </c>
      <c r="BX755" s="2" t="s">
        <v>100</v>
      </c>
      <c r="BY755" s="2" t="s">
        <v>112</v>
      </c>
      <c r="BZ755" s="2" t="s">
        <v>149</v>
      </c>
    </row>
    <row r="756">
      <c r="A756" s="2" t="s">
        <v>2996</v>
      </c>
      <c r="B756" s="2" t="s">
        <v>87</v>
      </c>
      <c r="C756" s="2" t="s">
        <v>2831</v>
      </c>
      <c r="D756" s="2" t="s">
        <v>89</v>
      </c>
      <c r="E756" s="2" t="s">
        <v>887</v>
      </c>
      <c r="F756" s="2" t="s">
        <v>2988</v>
      </c>
      <c r="G756" s="2" t="s">
        <v>2988</v>
      </c>
      <c r="H756" s="2" t="s">
        <v>2988</v>
      </c>
      <c r="I756" s="2" t="s">
        <v>2989</v>
      </c>
      <c r="J756" s="2" t="s">
        <v>522</v>
      </c>
      <c r="K756" s="2" t="s">
        <v>2997</v>
      </c>
      <c r="L756" s="3">
        <v>51.84</v>
      </c>
      <c r="M756" s="3">
        <v>54.43</v>
      </c>
      <c r="N756" s="3">
        <v>104.99</v>
      </c>
      <c r="O756" s="2" t="s">
        <v>97</v>
      </c>
      <c r="P756" s="2" t="s">
        <v>156</v>
      </c>
      <c r="Q756" s="2" t="s">
        <v>99</v>
      </c>
      <c r="R756" s="2" t="s">
        <v>100</v>
      </c>
      <c r="S756" s="2" t="s">
        <v>2998</v>
      </c>
      <c r="T756" s="2" t="s">
        <v>190</v>
      </c>
      <c r="U756" s="2" t="s">
        <v>901</v>
      </c>
      <c r="V756" s="2" t="s">
        <v>2883</v>
      </c>
      <c r="W756" s="2" t="s">
        <v>493</v>
      </c>
      <c r="X756" s="2" t="s">
        <v>2999</v>
      </c>
      <c r="Y756" s="2" t="s">
        <v>3000</v>
      </c>
      <c r="Z756" s="4">
        <v>451</v>
      </c>
      <c r="AA756" s="4">
        <f>=ROUNDDOWN(30.0666666666667,0)</f>
      </c>
      <c r="AB756" s="5">
        <v>15</v>
      </c>
      <c r="AC756" s="2" t="s">
        <v>100</v>
      </c>
      <c r="AD756" s="4"/>
      <c r="AE756" s="4"/>
      <c r="AF756" s="6">
        <v>64</v>
      </c>
      <c r="AG756" s="6">
        <v>47</v>
      </c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/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/>
      <c r="BJ756" s="4">
        <v>35</v>
      </c>
      <c r="BK756" s="8">
        <v>2046.71</v>
      </c>
      <c r="BL756" s="2" t="s">
        <v>3001</v>
      </c>
      <c r="BM756" s="7"/>
      <c r="BN756" s="7"/>
      <c r="BO756" s="4"/>
      <c r="BP756" s="8"/>
      <c r="BQ756" s="4"/>
      <c r="BR756" s="8"/>
      <c r="BS756" s="7"/>
      <c r="BT756" s="7"/>
      <c r="BU756" s="2" t="s">
        <v>2526</v>
      </c>
      <c r="BV756" s="2" t="s">
        <v>97</v>
      </c>
      <c r="BW756" s="2" t="s">
        <v>100</v>
      </c>
      <c r="BX756" s="2" t="s">
        <v>100</v>
      </c>
      <c r="BY756" s="2" t="s">
        <v>112</v>
      </c>
      <c r="BZ756" s="2" t="s">
        <v>149</v>
      </c>
    </row>
    <row r="757">
      <c r="A757" s="2" t="s">
        <v>3002</v>
      </c>
      <c r="B757" s="2" t="s">
        <v>87</v>
      </c>
      <c r="C757" s="2" t="s">
        <v>2831</v>
      </c>
      <c r="D757" s="2" t="s">
        <v>89</v>
      </c>
      <c r="E757" s="2" t="s">
        <v>887</v>
      </c>
      <c r="F757" s="2" t="s">
        <v>2988</v>
      </c>
      <c r="G757" s="2" t="s">
        <v>2988</v>
      </c>
      <c r="H757" s="2" t="s">
        <v>2988</v>
      </c>
      <c r="I757" s="2" t="s">
        <v>2989</v>
      </c>
      <c r="J757" s="2" t="s">
        <v>529</v>
      </c>
      <c r="K757" s="2" t="s">
        <v>2997</v>
      </c>
      <c r="L757" s="3">
        <v>67.5</v>
      </c>
      <c r="M757" s="3">
        <v>70.88</v>
      </c>
      <c r="N757" s="3">
        <v>134.99</v>
      </c>
      <c r="O757" s="2" t="s">
        <v>97</v>
      </c>
      <c r="P757" s="2" t="s">
        <v>156</v>
      </c>
      <c r="Q757" s="2" t="s">
        <v>99</v>
      </c>
      <c r="R757" s="2" t="s">
        <v>100</v>
      </c>
      <c r="S757" s="2" t="s">
        <v>2998</v>
      </c>
      <c r="T757" s="2" t="s">
        <v>190</v>
      </c>
      <c r="U757" s="2" t="s">
        <v>901</v>
      </c>
      <c r="V757" s="2" t="s">
        <v>2883</v>
      </c>
      <c r="W757" s="2" t="s">
        <v>493</v>
      </c>
      <c r="X757" s="2" t="s">
        <v>2999</v>
      </c>
      <c r="Y757" s="2" t="s">
        <v>3000</v>
      </c>
      <c r="Z757" s="4">
        <v>140</v>
      </c>
      <c r="AA757" s="4">
        <f>=ROUNDDOWN(10,0)</f>
      </c>
      <c r="AB757" s="5">
        <v>14</v>
      </c>
      <c r="AC757" s="2" t="s">
        <v>2363</v>
      </c>
      <c r="AD757" s="4">
        <v>100</v>
      </c>
      <c r="AE757" s="4">
        <v>270</v>
      </c>
      <c r="AF757" s="6">
        <v>64</v>
      </c>
      <c r="AG757" s="6">
        <v>47</v>
      </c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/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/>
      <c r="BJ757" s="4">
        <v>43</v>
      </c>
      <c r="BK757" s="8">
        <v>3201.66</v>
      </c>
      <c r="BL757" s="2" t="s">
        <v>3003</v>
      </c>
      <c r="BM757" s="7"/>
      <c r="BN757" s="7"/>
      <c r="BO757" s="4"/>
      <c r="BP757" s="8"/>
      <c r="BQ757" s="4"/>
      <c r="BR757" s="8"/>
      <c r="BS757" s="7"/>
      <c r="BT757" s="7"/>
      <c r="BU757" s="2" t="s">
        <v>2526</v>
      </c>
      <c r="BV757" s="2" t="s">
        <v>97</v>
      </c>
      <c r="BW757" s="2" t="s">
        <v>100</v>
      </c>
      <c r="BX757" s="2" t="s">
        <v>100</v>
      </c>
      <c r="BY757" s="2" t="s">
        <v>112</v>
      </c>
      <c r="BZ757" s="2" t="s">
        <v>149</v>
      </c>
    </row>
    <row r="758">
      <c r="A758" s="2" t="s">
        <v>3004</v>
      </c>
      <c r="B758" s="2" t="s">
        <v>87</v>
      </c>
      <c r="C758" s="2" t="s">
        <v>2831</v>
      </c>
      <c r="D758" s="2" t="s">
        <v>89</v>
      </c>
      <c r="E758" s="2" t="s">
        <v>887</v>
      </c>
      <c r="F758" s="2" t="s">
        <v>3005</v>
      </c>
      <c r="G758" s="2" t="s">
        <v>3005</v>
      </c>
      <c r="H758" s="2" t="s">
        <v>3005</v>
      </c>
      <c r="I758" s="2" t="s">
        <v>3006</v>
      </c>
      <c r="J758" s="2" t="s">
        <v>522</v>
      </c>
      <c r="K758" s="2" t="s">
        <v>3007</v>
      </c>
      <c r="L758" s="3">
        <v>52.99</v>
      </c>
      <c r="M758" s="3">
        <v>55.64</v>
      </c>
      <c r="N758" s="3">
        <v>104.99</v>
      </c>
      <c r="O758" s="2" t="s">
        <v>97</v>
      </c>
      <c r="P758" s="2" t="s">
        <v>98</v>
      </c>
      <c r="Q758" s="2" t="s">
        <v>99</v>
      </c>
      <c r="R758" s="2" t="s">
        <v>100</v>
      </c>
      <c r="S758" s="2" t="s">
        <v>3008</v>
      </c>
      <c r="T758" s="2" t="s">
        <v>190</v>
      </c>
      <c r="U758" s="2" t="s">
        <v>901</v>
      </c>
      <c r="V758" s="2" t="s">
        <v>473</v>
      </c>
      <c r="W758" s="2" t="s">
        <v>2835</v>
      </c>
      <c r="X758" s="2" t="s">
        <v>580</v>
      </c>
      <c r="Y758" s="2" t="s">
        <v>1218</v>
      </c>
      <c r="Z758" s="4">
        <v>364</v>
      </c>
      <c r="AA758" s="4">
        <f>=ROUNDDOWN(36.4,0)</f>
      </c>
      <c r="AB758" s="5">
        <v>10</v>
      </c>
      <c r="AC758" s="2" t="s">
        <v>1452</v>
      </c>
      <c r="AD758" s="4">
        <v>130</v>
      </c>
      <c r="AE758" s="4">
        <v>130</v>
      </c>
      <c r="AF758" s="6">
        <v>67</v>
      </c>
      <c r="AG758" s="6"/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/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/>
      <c r="BJ758" s="4">
        <v>25</v>
      </c>
      <c r="BK758" s="8">
        <v>1454.31</v>
      </c>
      <c r="BL758" s="2" t="s">
        <v>2404</v>
      </c>
      <c r="BM758" s="7"/>
      <c r="BN758" s="7"/>
      <c r="BO758" s="4"/>
      <c r="BP758" s="8"/>
      <c r="BQ758" s="4"/>
      <c r="BR758" s="8"/>
      <c r="BS758" s="7"/>
      <c r="BT758" s="7"/>
      <c r="BU758" s="2" t="s">
        <v>2551</v>
      </c>
      <c r="BV758" s="2" t="s">
        <v>97</v>
      </c>
      <c r="BW758" s="2" t="s">
        <v>100</v>
      </c>
      <c r="BX758" s="2" t="s">
        <v>100</v>
      </c>
      <c r="BY758" s="2" t="s">
        <v>112</v>
      </c>
      <c r="BZ758" s="2" t="s">
        <v>149</v>
      </c>
    </row>
    <row r="759">
      <c r="A759" s="2" t="s">
        <v>3009</v>
      </c>
      <c r="B759" s="2" t="s">
        <v>87</v>
      </c>
      <c r="C759" s="2" t="s">
        <v>2831</v>
      </c>
      <c r="D759" s="2" t="s">
        <v>89</v>
      </c>
      <c r="E759" s="2" t="s">
        <v>887</v>
      </c>
      <c r="F759" s="2" t="s">
        <v>3005</v>
      </c>
      <c r="G759" s="2" t="s">
        <v>3005</v>
      </c>
      <c r="H759" s="2" t="s">
        <v>3005</v>
      </c>
      <c r="I759" s="2" t="s">
        <v>3006</v>
      </c>
      <c r="J759" s="2" t="s">
        <v>529</v>
      </c>
      <c r="K759" s="2" t="s">
        <v>3007</v>
      </c>
      <c r="L759" s="3">
        <v>69</v>
      </c>
      <c r="M759" s="3">
        <v>72.45</v>
      </c>
      <c r="N759" s="3">
        <v>134.99</v>
      </c>
      <c r="O759" s="2" t="s">
        <v>97</v>
      </c>
      <c r="P759" s="2" t="s">
        <v>98</v>
      </c>
      <c r="Q759" s="2" t="s">
        <v>99</v>
      </c>
      <c r="R759" s="2" t="s">
        <v>100</v>
      </c>
      <c r="S759" s="2" t="s">
        <v>3008</v>
      </c>
      <c r="T759" s="2" t="s">
        <v>190</v>
      </c>
      <c r="U759" s="2" t="s">
        <v>901</v>
      </c>
      <c r="V759" s="2" t="s">
        <v>473</v>
      </c>
      <c r="W759" s="2" t="s">
        <v>2835</v>
      </c>
      <c r="X759" s="2" t="s">
        <v>580</v>
      </c>
      <c r="Y759" s="2" t="s">
        <v>1218</v>
      </c>
      <c r="Z759" s="4">
        <v>165</v>
      </c>
      <c r="AA759" s="4">
        <f>=ROUNDDOWN(12.6923076923077,0)</f>
      </c>
      <c r="AB759" s="5">
        <v>13</v>
      </c>
      <c r="AC759" s="2" t="s">
        <v>3010</v>
      </c>
      <c r="AD759" s="4">
        <v>150</v>
      </c>
      <c r="AE759" s="4">
        <v>340</v>
      </c>
      <c r="AF759" s="6">
        <v>67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100</v>
      </c>
      <c r="AW759" s="8" t="s">
        <v>100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/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/>
      <c r="BJ759" s="4">
        <v>27</v>
      </c>
      <c r="BK759" s="8">
        <v>2015.14</v>
      </c>
      <c r="BL759" s="2" t="s">
        <v>3011</v>
      </c>
      <c r="BM759" s="7"/>
      <c r="BN759" s="7"/>
      <c r="BO759" s="4"/>
      <c r="BP759" s="8"/>
      <c r="BQ759" s="4"/>
      <c r="BR759" s="8"/>
      <c r="BS759" s="7"/>
      <c r="BT759" s="7"/>
      <c r="BU759" s="2" t="s">
        <v>2551</v>
      </c>
      <c r="BV759" s="2" t="s">
        <v>97</v>
      </c>
      <c r="BW759" s="2" t="s">
        <v>100</v>
      </c>
      <c r="BX759" s="2" t="s">
        <v>100</v>
      </c>
      <c r="BY759" s="2" t="s">
        <v>112</v>
      </c>
      <c r="BZ759" s="2" t="s">
        <v>149</v>
      </c>
    </row>
    <row r="760">
      <c r="A760" s="2" t="s">
        <v>3012</v>
      </c>
      <c r="B760" s="2" t="s">
        <v>87</v>
      </c>
      <c r="C760" s="2" t="s">
        <v>2831</v>
      </c>
      <c r="D760" s="2" t="s">
        <v>89</v>
      </c>
      <c r="E760" s="2" t="s">
        <v>887</v>
      </c>
      <c r="F760" s="2" t="s">
        <v>3005</v>
      </c>
      <c r="G760" s="2" t="s">
        <v>3005</v>
      </c>
      <c r="H760" s="2" t="s">
        <v>3005</v>
      </c>
      <c r="I760" s="2" t="s">
        <v>3006</v>
      </c>
      <c r="J760" s="2" t="s">
        <v>522</v>
      </c>
      <c r="K760" s="2" t="s">
        <v>3013</v>
      </c>
      <c r="L760" s="3">
        <v>52.99</v>
      </c>
      <c r="M760" s="3">
        <v>55.64</v>
      </c>
      <c r="N760" s="3">
        <v>104.99</v>
      </c>
      <c r="O760" s="2" t="s">
        <v>97</v>
      </c>
      <c r="P760" s="2" t="s">
        <v>139</v>
      </c>
      <c r="Q760" s="2" t="s">
        <v>99</v>
      </c>
      <c r="R760" s="2" t="s">
        <v>100</v>
      </c>
      <c r="S760" s="2" t="s">
        <v>3014</v>
      </c>
      <c r="T760" s="2" t="s">
        <v>190</v>
      </c>
      <c r="U760" s="2" t="s">
        <v>901</v>
      </c>
      <c r="V760" s="2" t="s">
        <v>473</v>
      </c>
      <c r="W760" s="2" t="s">
        <v>2835</v>
      </c>
      <c r="X760" s="2" t="s">
        <v>580</v>
      </c>
      <c r="Y760" s="2" t="s">
        <v>3015</v>
      </c>
      <c r="Z760" s="4">
        <v>873</v>
      </c>
      <c r="AA760" s="4">
        <f>=ROUNDDOWN(39.6818181818182,0)</f>
      </c>
      <c r="AB760" s="5">
        <v>22</v>
      </c>
      <c r="AC760" s="2" t="s">
        <v>100</v>
      </c>
      <c r="AD760" s="4"/>
      <c r="AE760" s="4"/>
      <c r="AF760" s="6">
        <v>67</v>
      </c>
      <c r="AG760" s="6"/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/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/>
      <c r="BJ760" s="4">
        <v>95</v>
      </c>
      <c r="BK760" s="8">
        <v>5717.48</v>
      </c>
      <c r="BL760" s="2" t="s">
        <v>3016</v>
      </c>
      <c r="BM760" s="7"/>
      <c r="BN760" s="7"/>
      <c r="BO760" s="4"/>
      <c r="BP760" s="8"/>
      <c r="BQ760" s="4"/>
      <c r="BR760" s="8"/>
      <c r="BS760" s="7"/>
      <c r="BT760" s="7"/>
      <c r="BU760" s="2" t="s">
        <v>2551</v>
      </c>
      <c r="BV760" s="2" t="s">
        <v>97</v>
      </c>
      <c r="BW760" s="2" t="s">
        <v>100</v>
      </c>
      <c r="BX760" s="2" t="s">
        <v>100</v>
      </c>
      <c r="BY760" s="2" t="s">
        <v>112</v>
      </c>
      <c r="BZ760" s="2" t="s">
        <v>149</v>
      </c>
    </row>
    <row r="761">
      <c r="A761" s="2" t="s">
        <v>3017</v>
      </c>
      <c r="B761" s="2" t="s">
        <v>87</v>
      </c>
      <c r="C761" s="2" t="s">
        <v>2831</v>
      </c>
      <c r="D761" s="2" t="s">
        <v>89</v>
      </c>
      <c r="E761" s="2" t="s">
        <v>887</v>
      </c>
      <c r="F761" s="2" t="s">
        <v>3005</v>
      </c>
      <c r="G761" s="2" t="s">
        <v>3005</v>
      </c>
      <c r="H761" s="2" t="s">
        <v>3005</v>
      </c>
      <c r="I761" s="2" t="s">
        <v>3006</v>
      </c>
      <c r="J761" s="2" t="s">
        <v>529</v>
      </c>
      <c r="K761" s="2" t="s">
        <v>3013</v>
      </c>
      <c r="L761" s="3">
        <v>69</v>
      </c>
      <c r="M761" s="3">
        <v>72.45</v>
      </c>
      <c r="N761" s="3">
        <v>134.99</v>
      </c>
      <c r="O761" s="2" t="s">
        <v>97</v>
      </c>
      <c r="P761" s="2" t="s">
        <v>139</v>
      </c>
      <c r="Q761" s="2" t="s">
        <v>99</v>
      </c>
      <c r="R761" s="2" t="s">
        <v>100</v>
      </c>
      <c r="S761" s="2" t="s">
        <v>3014</v>
      </c>
      <c r="T761" s="2" t="s">
        <v>190</v>
      </c>
      <c r="U761" s="2" t="s">
        <v>901</v>
      </c>
      <c r="V761" s="2" t="s">
        <v>473</v>
      </c>
      <c r="W761" s="2" t="s">
        <v>2835</v>
      </c>
      <c r="X761" s="2" t="s">
        <v>580</v>
      </c>
      <c r="Y761" s="2" t="s">
        <v>3015</v>
      </c>
      <c r="Z761" s="4">
        <v>6932</v>
      </c>
      <c r="AA761" s="4">
        <f>=ROUNDDOWN(256.740740740741,0)</f>
      </c>
      <c r="AB761" s="5">
        <v>27</v>
      </c>
      <c r="AC761" s="2" t="s">
        <v>100</v>
      </c>
      <c r="AD761" s="4"/>
      <c r="AE761" s="4"/>
      <c r="AF761" s="6">
        <v>67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100</v>
      </c>
      <c r="AW761" s="8" t="s">
        <v>100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/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/>
      <c r="BJ761" s="4">
        <v>79</v>
      </c>
      <c r="BK761" s="8">
        <v>6128.37</v>
      </c>
      <c r="BL761" s="2" t="s">
        <v>3018</v>
      </c>
      <c r="BM761" s="7"/>
      <c r="BN761" s="7"/>
      <c r="BO761" s="4"/>
      <c r="BP761" s="8"/>
      <c r="BQ761" s="4"/>
      <c r="BR761" s="8"/>
      <c r="BS761" s="7"/>
      <c r="BT761" s="7"/>
      <c r="BU761" s="2" t="s">
        <v>2551</v>
      </c>
      <c r="BV761" s="2" t="s">
        <v>97</v>
      </c>
      <c r="BW761" s="2" t="s">
        <v>100</v>
      </c>
      <c r="BX761" s="2" t="s">
        <v>100</v>
      </c>
      <c r="BY761" s="2" t="s">
        <v>112</v>
      </c>
      <c r="BZ761" s="2" t="s">
        <v>149</v>
      </c>
    </row>
    <row r="762">
      <c r="A762" s="2" t="s">
        <v>3019</v>
      </c>
      <c r="B762" s="2" t="s">
        <v>87</v>
      </c>
      <c r="C762" s="2" t="s">
        <v>2831</v>
      </c>
      <c r="D762" s="2" t="s">
        <v>89</v>
      </c>
      <c r="E762" s="2" t="s">
        <v>887</v>
      </c>
      <c r="F762" s="2" t="s">
        <v>3020</v>
      </c>
      <c r="G762" s="2" t="s">
        <v>3020</v>
      </c>
      <c r="H762" s="2" t="s">
        <v>3020</v>
      </c>
      <c r="I762" s="2" t="s">
        <v>3021</v>
      </c>
      <c r="J762" s="2" t="s">
        <v>522</v>
      </c>
      <c r="K762" s="2" t="s">
        <v>3022</v>
      </c>
      <c r="L762" s="3">
        <v>65</v>
      </c>
      <c r="M762" s="3">
        <v>68.25</v>
      </c>
      <c r="N762" s="3">
        <v>129.99</v>
      </c>
      <c r="O762" s="2" t="s">
        <v>97</v>
      </c>
      <c r="P762" s="2" t="s">
        <v>98</v>
      </c>
      <c r="Q762" s="2" t="s">
        <v>99</v>
      </c>
      <c r="R762" s="2" t="s">
        <v>100</v>
      </c>
      <c r="S762" s="2" t="s">
        <v>3023</v>
      </c>
      <c r="T762" s="2" t="s">
        <v>190</v>
      </c>
      <c r="U762" s="2" t="s">
        <v>901</v>
      </c>
      <c r="V762" s="2" t="s">
        <v>547</v>
      </c>
      <c r="W762" s="2" t="s">
        <v>193</v>
      </c>
      <c r="X762" s="2" t="s">
        <v>609</v>
      </c>
      <c r="Y762" s="2" t="s">
        <v>845</v>
      </c>
      <c r="Z762" s="4">
        <v>103</v>
      </c>
      <c r="AA762" s="4">
        <f>=ROUNDDOWN(12.875,0)</f>
      </c>
      <c r="AB762" s="5">
        <v>8</v>
      </c>
      <c r="AC762" s="2" t="s">
        <v>3024</v>
      </c>
      <c r="AD762" s="4">
        <v>125</v>
      </c>
      <c r="AE762" s="4">
        <v>325</v>
      </c>
      <c r="AF762" s="6">
        <v>67</v>
      </c>
      <c r="AG762" s="6"/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/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/>
      <c r="BJ762" s="4">
        <v>13</v>
      </c>
      <c r="BK762" s="8">
        <v>958.23</v>
      </c>
      <c r="BL762" s="2" t="s">
        <v>3025</v>
      </c>
      <c r="BM762" s="7"/>
      <c r="BN762" s="7"/>
      <c r="BO762" s="4"/>
      <c r="BP762" s="8"/>
      <c r="BQ762" s="4"/>
      <c r="BR762" s="8"/>
      <c r="BS762" s="7"/>
      <c r="BT762" s="7"/>
      <c r="BU762" s="2" t="s">
        <v>2551</v>
      </c>
      <c r="BV762" s="2" t="s">
        <v>97</v>
      </c>
      <c r="BW762" s="2" t="s">
        <v>100</v>
      </c>
      <c r="BX762" s="2" t="s">
        <v>100</v>
      </c>
      <c r="BY762" s="2" t="s">
        <v>112</v>
      </c>
      <c r="BZ762" s="2" t="s">
        <v>149</v>
      </c>
    </row>
    <row r="763">
      <c r="A763" s="2" t="s">
        <v>3026</v>
      </c>
      <c r="B763" s="2" t="s">
        <v>87</v>
      </c>
      <c r="C763" s="2" t="s">
        <v>2831</v>
      </c>
      <c r="D763" s="2" t="s">
        <v>89</v>
      </c>
      <c r="E763" s="2" t="s">
        <v>887</v>
      </c>
      <c r="F763" s="2" t="s">
        <v>3020</v>
      </c>
      <c r="G763" s="2" t="s">
        <v>3020</v>
      </c>
      <c r="H763" s="2" t="s">
        <v>3020</v>
      </c>
      <c r="I763" s="2" t="s">
        <v>3021</v>
      </c>
      <c r="J763" s="2" t="s">
        <v>529</v>
      </c>
      <c r="K763" s="2" t="s">
        <v>3022</v>
      </c>
      <c r="L763" s="3">
        <v>80</v>
      </c>
      <c r="M763" s="3">
        <v>84</v>
      </c>
      <c r="N763" s="3">
        <v>159.99</v>
      </c>
      <c r="O763" s="2" t="s">
        <v>97</v>
      </c>
      <c r="P763" s="2" t="s">
        <v>98</v>
      </c>
      <c r="Q763" s="2" t="s">
        <v>99</v>
      </c>
      <c r="R763" s="2" t="s">
        <v>100</v>
      </c>
      <c r="S763" s="2" t="s">
        <v>3023</v>
      </c>
      <c r="T763" s="2" t="s">
        <v>190</v>
      </c>
      <c r="U763" s="2" t="s">
        <v>901</v>
      </c>
      <c r="V763" s="2" t="s">
        <v>547</v>
      </c>
      <c r="W763" s="2" t="s">
        <v>193</v>
      </c>
      <c r="X763" s="2" t="s">
        <v>609</v>
      </c>
      <c r="Y763" s="2" t="s">
        <v>845</v>
      </c>
      <c r="Z763" s="4">
        <v>261</v>
      </c>
      <c r="AA763" s="4">
        <f>=ROUNDDOWN(32.625,0)</f>
      </c>
      <c r="AB763" s="5">
        <v>8</v>
      </c>
      <c r="AC763" s="2" t="s">
        <v>3027</v>
      </c>
      <c r="AD763" s="4">
        <v>180</v>
      </c>
      <c r="AE763" s="4">
        <v>180</v>
      </c>
      <c r="AF763" s="6">
        <v>67</v>
      </c>
      <c r="AG763" s="6"/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100</v>
      </c>
      <c r="AW763" s="8" t="s">
        <v>100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/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/>
      <c r="BJ763" s="4">
        <v>9</v>
      </c>
      <c r="BK763" s="8">
        <v>816.48</v>
      </c>
      <c r="BL763" s="2" t="s">
        <v>3028</v>
      </c>
      <c r="BM763" s="7"/>
      <c r="BN763" s="7"/>
      <c r="BO763" s="4"/>
      <c r="BP763" s="8"/>
      <c r="BQ763" s="4"/>
      <c r="BR763" s="8"/>
      <c r="BS763" s="7"/>
      <c r="BT763" s="7"/>
      <c r="BU763" s="2" t="s">
        <v>2551</v>
      </c>
      <c r="BV763" s="2" t="s">
        <v>97</v>
      </c>
      <c r="BW763" s="2" t="s">
        <v>100</v>
      </c>
      <c r="BX763" s="2" t="s">
        <v>100</v>
      </c>
      <c r="BY763" s="2" t="s">
        <v>112</v>
      </c>
      <c r="BZ763" s="2" t="s">
        <v>149</v>
      </c>
    </row>
    <row r="764">
      <c r="A764" s="2" t="s">
        <v>3029</v>
      </c>
      <c r="B764" s="2" t="s">
        <v>87</v>
      </c>
      <c r="C764" s="2" t="s">
        <v>2831</v>
      </c>
      <c r="D764" s="2" t="s">
        <v>963</v>
      </c>
      <c r="E764" s="2" t="s">
        <v>1486</v>
      </c>
      <c r="F764" s="2" t="s">
        <v>2863</v>
      </c>
      <c r="G764" s="2" t="s">
        <v>2863</v>
      </c>
      <c r="H764" s="2" t="s">
        <v>2863</v>
      </c>
      <c r="I764" s="2" t="s">
        <v>3030</v>
      </c>
      <c r="J764" s="2" t="s">
        <v>522</v>
      </c>
      <c r="K764" s="2" t="s">
        <v>223</v>
      </c>
      <c r="L764" s="3">
        <v>52.8</v>
      </c>
      <c r="M764" s="3">
        <v>55.43</v>
      </c>
      <c r="N764" s="3">
        <v>109.99</v>
      </c>
      <c r="O764" s="2" t="s">
        <v>97</v>
      </c>
      <c r="P764" s="2" t="s">
        <v>98</v>
      </c>
      <c r="Q764" s="2" t="s">
        <v>99</v>
      </c>
      <c r="R764" s="2" t="s">
        <v>100</v>
      </c>
      <c r="S764" s="2" t="s">
        <v>2872</v>
      </c>
      <c r="T764" s="2" t="s">
        <v>190</v>
      </c>
      <c r="U764" s="2" t="s">
        <v>901</v>
      </c>
      <c r="V764" s="2" t="s">
        <v>2866</v>
      </c>
      <c r="W764" s="2" t="s">
        <v>2835</v>
      </c>
      <c r="X764" s="2" t="s">
        <v>1068</v>
      </c>
      <c r="Y764" s="2" t="s">
        <v>3031</v>
      </c>
      <c r="Z764" s="4">
        <v>416</v>
      </c>
      <c r="AA764" s="4">
        <f>=ROUNDDOWN(41.6,0)</f>
      </c>
      <c r="AB764" s="5">
        <v>10</v>
      </c>
      <c r="AC764" s="2" t="s">
        <v>100</v>
      </c>
      <c r="AD764" s="4"/>
      <c r="AE764" s="4"/>
      <c r="AF764" s="6">
        <v>65</v>
      </c>
      <c r="AG764" s="6">
        <v>73</v>
      </c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/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/>
      <c r="BJ764" s="4">
        <v>29</v>
      </c>
      <c r="BK764" s="8">
        <v>1664.81</v>
      </c>
      <c r="BL764" s="2" t="s">
        <v>859</v>
      </c>
      <c r="BM764" s="7"/>
      <c r="BN764" s="7"/>
      <c r="BO764" s="4"/>
      <c r="BP764" s="8"/>
      <c r="BQ764" s="4"/>
      <c r="BR764" s="8"/>
      <c r="BS764" s="7"/>
      <c r="BT764" s="7"/>
      <c r="BU764" s="2" t="s">
        <v>2551</v>
      </c>
      <c r="BV764" s="2" t="s">
        <v>97</v>
      </c>
      <c r="BW764" s="2" t="s">
        <v>100</v>
      </c>
      <c r="BX764" s="2" t="s">
        <v>100</v>
      </c>
      <c r="BY764" s="2" t="s">
        <v>112</v>
      </c>
      <c r="BZ764" s="2" t="s">
        <v>149</v>
      </c>
    </row>
    <row r="765">
      <c r="A765" s="2" t="s">
        <v>3032</v>
      </c>
      <c r="B765" s="2" t="s">
        <v>87</v>
      </c>
      <c r="C765" s="2" t="s">
        <v>2831</v>
      </c>
      <c r="D765" s="2" t="s">
        <v>963</v>
      </c>
      <c r="E765" s="2" t="s">
        <v>1486</v>
      </c>
      <c r="F765" s="2" t="s">
        <v>2863</v>
      </c>
      <c r="G765" s="2" t="s">
        <v>2863</v>
      </c>
      <c r="H765" s="2" t="s">
        <v>2863</v>
      </c>
      <c r="I765" s="2" t="s">
        <v>3030</v>
      </c>
      <c r="J765" s="2" t="s">
        <v>529</v>
      </c>
      <c r="K765" s="2" t="s">
        <v>223</v>
      </c>
      <c r="L765" s="3">
        <v>72.79</v>
      </c>
      <c r="M765" s="3">
        <v>76.43</v>
      </c>
      <c r="N765" s="3">
        <v>139.99</v>
      </c>
      <c r="O765" s="2" t="s">
        <v>97</v>
      </c>
      <c r="P765" s="2" t="s">
        <v>98</v>
      </c>
      <c r="Q765" s="2" t="s">
        <v>99</v>
      </c>
      <c r="R765" s="2" t="s">
        <v>100</v>
      </c>
      <c r="S765" s="2" t="s">
        <v>2872</v>
      </c>
      <c r="T765" s="2" t="s">
        <v>190</v>
      </c>
      <c r="U765" s="2" t="s">
        <v>901</v>
      </c>
      <c r="V765" s="2" t="s">
        <v>2866</v>
      </c>
      <c r="W765" s="2" t="s">
        <v>2835</v>
      </c>
      <c r="X765" s="2" t="s">
        <v>1068</v>
      </c>
      <c r="Y765" s="2" t="s">
        <v>3031</v>
      </c>
      <c r="Z765" s="4">
        <v>520</v>
      </c>
      <c r="AA765" s="4">
        <f>=ROUNDDOWN(40,0)</f>
      </c>
      <c r="AB765" s="5">
        <v>13</v>
      </c>
      <c r="AC765" s="2" t="s">
        <v>3033</v>
      </c>
      <c r="AD765" s="4">
        <v>50</v>
      </c>
      <c r="AE765" s="4">
        <v>50</v>
      </c>
      <c r="AF765" s="6">
        <v>65</v>
      </c>
      <c r="AG765" s="6">
        <v>73</v>
      </c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/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/>
      <c r="BJ765" s="4">
        <v>36</v>
      </c>
      <c r="BK765" s="8">
        <v>2834.52</v>
      </c>
      <c r="BL765" s="2" t="s">
        <v>2404</v>
      </c>
      <c r="BM765" s="7"/>
      <c r="BN765" s="7"/>
      <c r="BO765" s="4"/>
      <c r="BP765" s="8"/>
      <c r="BQ765" s="4"/>
      <c r="BR765" s="8"/>
      <c r="BS765" s="7"/>
      <c r="BT765" s="7"/>
      <c r="BU765" s="2" t="s">
        <v>2551</v>
      </c>
      <c r="BV765" s="2" t="s">
        <v>97</v>
      </c>
      <c r="BW765" s="2" t="s">
        <v>100</v>
      </c>
      <c r="BX765" s="2" t="s">
        <v>100</v>
      </c>
      <c r="BY765" s="2" t="s">
        <v>112</v>
      </c>
      <c r="BZ765" s="2" t="s">
        <v>149</v>
      </c>
    </row>
    <row r="766">
      <c r="A766" s="2" t="s">
        <v>3034</v>
      </c>
      <c r="B766" s="2" t="s">
        <v>87</v>
      </c>
      <c r="C766" s="2" t="s">
        <v>2831</v>
      </c>
      <c r="D766" s="2" t="s">
        <v>963</v>
      </c>
      <c r="E766" s="2" t="s">
        <v>1486</v>
      </c>
      <c r="F766" s="2" t="s">
        <v>3035</v>
      </c>
      <c r="G766" s="2" t="s">
        <v>3035</v>
      </c>
      <c r="H766" s="2" t="s">
        <v>3035</v>
      </c>
      <c r="I766" s="2" t="s">
        <v>3036</v>
      </c>
      <c r="J766" s="2" t="s">
        <v>522</v>
      </c>
      <c r="K766" s="2" t="s">
        <v>165</v>
      </c>
      <c r="L766" s="3">
        <v>63.7</v>
      </c>
      <c r="M766" s="3">
        <v>66.89</v>
      </c>
      <c r="N766" s="3">
        <v>129.99</v>
      </c>
      <c r="O766" s="2" t="s">
        <v>97</v>
      </c>
      <c r="P766" s="2" t="s">
        <v>98</v>
      </c>
      <c r="Q766" s="2" t="s">
        <v>99</v>
      </c>
      <c r="R766" s="2" t="s">
        <v>100</v>
      </c>
      <c r="S766" s="2" t="s">
        <v>3037</v>
      </c>
      <c r="T766" s="2" t="s">
        <v>190</v>
      </c>
      <c r="U766" s="2" t="s">
        <v>901</v>
      </c>
      <c r="V766" s="2" t="s">
        <v>3038</v>
      </c>
      <c r="W766" s="2" t="s">
        <v>609</v>
      </c>
      <c r="X766" s="2" t="s">
        <v>100</v>
      </c>
      <c r="Y766" s="2" t="s">
        <v>3039</v>
      </c>
      <c r="Z766" s="4">
        <v>58</v>
      </c>
      <c r="AA766" s="4">
        <f>=ROUNDDOWN(9.66666666666667,0)</f>
      </c>
      <c r="AB766" s="5">
        <v>6</v>
      </c>
      <c r="AC766" s="2" t="s">
        <v>330</v>
      </c>
      <c r="AD766" s="4">
        <v>100</v>
      </c>
      <c r="AE766" s="4">
        <v>250</v>
      </c>
      <c r="AF766" s="6">
        <v>64</v>
      </c>
      <c r="AG766" s="6"/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100</v>
      </c>
      <c r="AW766" s="8" t="s">
        <v>100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/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/>
      <c r="BJ766" s="4">
        <v>13</v>
      </c>
      <c r="BK766" s="8">
        <v>870.43</v>
      </c>
      <c r="BL766" s="2" t="s">
        <v>3040</v>
      </c>
      <c r="BM766" s="7"/>
      <c r="BN766" s="7"/>
      <c r="BO766" s="4"/>
      <c r="BP766" s="8"/>
      <c r="BQ766" s="4"/>
      <c r="BR766" s="8"/>
      <c r="BS766" s="7"/>
      <c r="BT766" s="7"/>
      <c r="BU766" s="2" t="s">
        <v>2551</v>
      </c>
      <c r="BV766" s="2" t="s">
        <v>97</v>
      </c>
      <c r="BW766" s="2" t="s">
        <v>100</v>
      </c>
      <c r="BX766" s="2" t="s">
        <v>100</v>
      </c>
      <c r="BY766" s="2" t="s">
        <v>112</v>
      </c>
      <c r="BZ766" s="2" t="s">
        <v>100</v>
      </c>
    </row>
    <row r="767">
      <c r="A767" s="2" t="s">
        <v>3041</v>
      </c>
      <c r="B767" s="2" t="s">
        <v>87</v>
      </c>
      <c r="C767" s="2" t="s">
        <v>2831</v>
      </c>
      <c r="D767" s="2" t="s">
        <v>963</v>
      </c>
      <c r="E767" s="2" t="s">
        <v>1486</v>
      </c>
      <c r="F767" s="2" t="s">
        <v>3035</v>
      </c>
      <c r="G767" s="2" t="s">
        <v>3035</v>
      </c>
      <c r="H767" s="2" t="s">
        <v>3035</v>
      </c>
      <c r="I767" s="2" t="s">
        <v>3036</v>
      </c>
      <c r="J767" s="2" t="s">
        <v>529</v>
      </c>
      <c r="K767" s="2" t="s">
        <v>165</v>
      </c>
      <c r="L767" s="3">
        <v>73.5</v>
      </c>
      <c r="M767" s="3">
        <v>77.18</v>
      </c>
      <c r="N767" s="3">
        <v>149.99</v>
      </c>
      <c r="O767" s="2" t="s">
        <v>97</v>
      </c>
      <c r="P767" s="2" t="s">
        <v>98</v>
      </c>
      <c r="Q767" s="2" t="s">
        <v>99</v>
      </c>
      <c r="R767" s="2" t="s">
        <v>100</v>
      </c>
      <c r="S767" s="2" t="s">
        <v>3037</v>
      </c>
      <c r="T767" s="2" t="s">
        <v>190</v>
      </c>
      <c r="U767" s="2" t="s">
        <v>901</v>
      </c>
      <c r="V767" s="2" t="s">
        <v>3038</v>
      </c>
      <c r="W767" s="2" t="s">
        <v>609</v>
      </c>
      <c r="X767" s="2" t="s">
        <v>100</v>
      </c>
      <c r="Y767" s="2" t="s">
        <v>3039</v>
      </c>
      <c r="Z767" s="4">
        <v>122</v>
      </c>
      <c r="AA767" s="4">
        <f>=ROUNDDOWN(20.3333333333333,0)</f>
      </c>
      <c r="AB767" s="5">
        <v>6</v>
      </c>
      <c r="AC767" s="2" t="s">
        <v>3027</v>
      </c>
      <c r="AD767" s="4">
        <v>250</v>
      </c>
      <c r="AE767" s="4">
        <v>250</v>
      </c>
      <c r="AF767" s="6">
        <v>64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100</v>
      </c>
      <c r="AW767" s="8" t="s">
        <v>100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/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/>
      <c r="BJ767" s="4">
        <v>36</v>
      </c>
      <c r="BK767" s="8">
        <v>2797.19</v>
      </c>
      <c r="BL767" s="2" t="s">
        <v>3042</v>
      </c>
      <c r="BM767" s="7"/>
      <c r="BN767" s="7"/>
      <c r="BO767" s="4"/>
      <c r="BP767" s="8"/>
      <c r="BQ767" s="4"/>
      <c r="BR767" s="8"/>
      <c r="BS767" s="7"/>
      <c r="BT767" s="7"/>
      <c r="BU767" s="2" t="s">
        <v>2551</v>
      </c>
      <c r="BV767" s="2" t="s">
        <v>97</v>
      </c>
      <c r="BW767" s="2" t="s">
        <v>100</v>
      </c>
      <c r="BX767" s="2" t="s">
        <v>100</v>
      </c>
      <c r="BY767" s="2" t="s">
        <v>112</v>
      </c>
      <c r="BZ767" s="2" t="s">
        <v>100</v>
      </c>
    </row>
    <row r="768">
      <c r="A768" s="2" t="s">
        <v>3043</v>
      </c>
      <c r="B768" s="2" t="s">
        <v>87</v>
      </c>
      <c r="C768" s="2" t="s">
        <v>2831</v>
      </c>
      <c r="D768" s="2" t="s">
        <v>963</v>
      </c>
      <c r="E768" s="2" t="s">
        <v>1486</v>
      </c>
      <c r="F768" s="2" t="s">
        <v>3035</v>
      </c>
      <c r="G768" s="2" t="s">
        <v>3035</v>
      </c>
      <c r="H768" s="2" t="s">
        <v>3035</v>
      </c>
      <c r="I768" s="2" t="s">
        <v>3036</v>
      </c>
      <c r="J768" s="2" t="s">
        <v>522</v>
      </c>
      <c r="K768" s="2" t="s">
        <v>223</v>
      </c>
      <c r="L768" s="3">
        <v>63.7</v>
      </c>
      <c r="M768" s="3">
        <v>66.88</v>
      </c>
      <c r="N768" s="3">
        <v>129.99</v>
      </c>
      <c r="O768" s="2" t="s">
        <v>97</v>
      </c>
      <c r="P768" s="2" t="s">
        <v>156</v>
      </c>
      <c r="Q768" s="2" t="s">
        <v>99</v>
      </c>
      <c r="R768" s="2" t="s">
        <v>100</v>
      </c>
      <c r="S768" s="2" t="s">
        <v>3044</v>
      </c>
      <c r="T768" s="2" t="s">
        <v>190</v>
      </c>
      <c r="U768" s="2" t="s">
        <v>901</v>
      </c>
      <c r="V768" s="2" t="s">
        <v>3038</v>
      </c>
      <c r="W768" s="2" t="s">
        <v>609</v>
      </c>
      <c r="X768" s="2" t="s">
        <v>194</v>
      </c>
      <c r="Y768" s="2" t="s">
        <v>144</v>
      </c>
      <c r="Z768" s="4">
        <v>102</v>
      </c>
      <c r="AA768" s="4">
        <f>=ROUNDDOWN(14.5714285714286,0)</f>
      </c>
      <c r="AB768" s="5">
        <v>7</v>
      </c>
      <c r="AC768" s="2" t="s">
        <v>2363</v>
      </c>
      <c r="AD768" s="4">
        <v>200</v>
      </c>
      <c r="AE768" s="4">
        <v>200</v>
      </c>
      <c r="AF768" s="6">
        <v>64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/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/>
      <c r="BJ768" s="4">
        <v>20</v>
      </c>
      <c r="BK768" s="8">
        <v>1340.29</v>
      </c>
      <c r="BL768" s="2" t="s">
        <v>2993</v>
      </c>
      <c r="BM768" s="7"/>
      <c r="BN768" s="7"/>
      <c r="BO768" s="4"/>
      <c r="BP768" s="8"/>
      <c r="BQ768" s="4"/>
      <c r="BR768" s="8"/>
      <c r="BS768" s="7"/>
      <c r="BT768" s="7"/>
      <c r="BU768" s="2" t="s">
        <v>2526</v>
      </c>
      <c r="BV768" s="2" t="s">
        <v>97</v>
      </c>
      <c r="BW768" s="2" t="s">
        <v>100</v>
      </c>
      <c r="BX768" s="2" t="s">
        <v>100</v>
      </c>
      <c r="BY768" s="2" t="s">
        <v>112</v>
      </c>
      <c r="BZ768" s="2" t="s">
        <v>149</v>
      </c>
    </row>
    <row r="769">
      <c r="A769" s="2" t="s">
        <v>3045</v>
      </c>
      <c r="B769" s="2" t="s">
        <v>87</v>
      </c>
      <c r="C769" s="2" t="s">
        <v>2831</v>
      </c>
      <c r="D769" s="2" t="s">
        <v>963</v>
      </c>
      <c r="E769" s="2" t="s">
        <v>1486</v>
      </c>
      <c r="F769" s="2" t="s">
        <v>3035</v>
      </c>
      <c r="G769" s="2" t="s">
        <v>3035</v>
      </c>
      <c r="H769" s="2" t="s">
        <v>3035</v>
      </c>
      <c r="I769" s="2" t="s">
        <v>3036</v>
      </c>
      <c r="J769" s="2" t="s">
        <v>529</v>
      </c>
      <c r="K769" s="2" t="s">
        <v>223</v>
      </c>
      <c r="L769" s="3">
        <v>73.5</v>
      </c>
      <c r="M769" s="3">
        <v>77.17</v>
      </c>
      <c r="N769" s="3">
        <v>149.99</v>
      </c>
      <c r="O769" s="2" t="s">
        <v>97</v>
      </c>
      <c r="P769" s="2" t="s">
        <v>156</v>
      </c>
      <c r="Q769" s="2" t="s">
        <v>99</v>
      </c>
      <c r="R769" s="2" t="s">
        <v>100</v>
      </c>
      <c r="S769" s="2" t="s">
        <v>3044</v>
      </c>
      <c r="T769" s="2" t="s">
        <v>190</v>
      </c>
      <c r="U769" s="2" t="s">
        <v>901</v>
      </c>
      <c r="V769" s="2" t="s">
        <v>3038</v>
      </c>
      <c r="W769" s="2" t="s">
        <v>609</v>
      </c>
      <c r="X769" s="2" t="s">
        <v>194</v>
      </c>
      <c r="Y769" s="2" t="s">
        <v>144</v>
      </c>
      <c r="Z769" s="4">
        <v>338</v>
      </c>
      <c r="AA769" s="4">
        <f>=ROUNDDOWN(30.7272727272727,0)</f>
      </c>
      <c r="AB769" s="5">
        <v>11</v>
      </c>
      <c r="AC769" s="2" t="s">
        <v>2363</v>
      </c>
      <c r="AD769" s="4">
        <v>300</v>
      </c>
      <c r="AE769" s="4">
        <v>300</v>
      </c>
      <c r="AF769" s="6">
        <v>64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100</v>
      </c>
      <c r="AW769" s="8" t="s">
        <v>100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/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/>
      <c r="BJ769" s="4">
        <v>34</v>
      </c>
      <c r="BK769" s="8">
        <v>2690.57</v>
      </c>
      <c r="BL769" s="2" t="s">
        <v>3046</v>
      </c>
      <c r="BM769" s="7"/>
      <c r="BN769" s="7"/>
      <c r="BO769" s="4"/>
      <c r="BP769" s="8"/>
      <c r="BQ769" s="4"/>
      <c r="BR769" s="8"/>
      <c r="BS769" s="7"/>
      <c r="BT769" s="7"/>
      <c r="BU769" s="2" t="s">
        <v>2526</v>
      </c>
      <c r="BV769" s="2" t="s">
        <v>97</v>
      </c>
      <c r="BW769" s="2" t="s">
        <v>100</v>
      </c>
      <c r="BX769" s="2" t="s">
        <v>100</v>
      </c>
      <c r="BY769" s="2" t="s">
        <v>112</v>
      </c>
      <c r="BZ769" s="2" t="s">
        <v>149</v>
      </c>
    </row>
    <row r="770">
      <c r="A770" s="2" t="s">
        <v>3047</v>
      </c>
      <c r="B770" s="2" t="s">
        <v>87</v>
      </c>
      <c r="C770" s="2" t="s">
        <v>2831</v>
      </c>
      <c r="D770" s="2" t="s">
        <v>963</v>
      </c>
      <c r="E770" s="2" t="s">
        <v>1046</v>
      </c>
      <c r="F770" s="2" t="s">
        <v>3048</v>
      </c>
      <c r="G770" s="2" t="s">
        <v>3048</v>
      </c>
      <c r="H770" s="2" t="s">
        <v>3048</v>
      </c>
      <c r="I770" s="2" t="s">
        <v>3049</v>
      </c>
      <c r="J770" s="2" t="s">
        <v>522</v>
      </c>
      <c r="K770" s="2" t="s">
        <v>446</v>
      </c>
      <c r="L770" s="3">
        <v>58.8</v>
      </c>
      <c r="M770" s="3">
        <v>61.74</v>
      </c>
      <c r="N770" s="3">
        <v>119.99</v>
      </c>
      <c r="O770" s="2" t="s">
        <v>97</v>
      </c>
      <c r="P770" s="2" t="s">
        <v>98</v>
      </c>
      <c r="Q770" s="2" t="s">
        <v>99</v>
      </c>
      <c r="R770" s="2" t="s">
        <v>100</v>
      </c>
      <c r="S770" s="2" t="s">
        <v>3050</v>
      </c>
      <c r="T770" s="2" t="s">
        <v>190</v>
      </c>
      <c r="U770" s="2" t="s">
        <v>901</v>
      </c>
      <c r="V770" s="2" t="s">
        <v>2913</v>
      </c>
      <c r="W770" s="2" t="s">
        <v>686</v>
      </c>
      <c r="X770" s="2" t="s">
        <v>609</v>
      </c>
      <c r="Y770" s="2" t="s">
        <v>718</v>
      </c>
      <c r="Z770" s="4">
        <v>185</v>
      </c>
      <c r="AA770" s="4">
        <f>=ROUNDDOWN(43.0232558139535,0)</f>
      </c>
      <c r="AB770" s="5">
        <v>4.3</v>
      </c>
      <c r="AC770" s="2" t="s">
        <v>100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/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/>
      <c r="BJ770" s="4">
        <v>15</v>
      </c>
      <c r="BK770" s="8">
        <v>971.75</v>
      </c>
      <c r="BL770" s="2" t="s">
        <v>515</v>
      </c>
      <c r="BM770" s="7"/>
      <c r="BN770" s="7"/>
      <c r="BO770" s="4"/>
      <c r="BP770" s="8"/>
      <c r="BQ770" s="4"/>
      <c r="BR770" s="8"/>
      <c r="BS770" s="7"/>
      <c r="BT770" s="7"/>
      <c r="BU770" s="2" t="s">
        <v>2551</v>
      </c>
      <c r="BV770" s="2" t="s">
        <v>97</v>
      </c>
      <c r="BW770" s="2" t="s">
        <v>100</v>
      </c>
      <c r="BX770" s="2" t="s">
        <v>100</v>
      </c>
      <c r="BY770" s="2" t="s">
        <v>112</v>
      </c>
      <c r="BZ770" s="2" t="s">
        <v>149</v>
      </c>
    </row>
    <row r="771">
      <c r="A771" s="2" t="s">
        <v>3051</v>
      </c>
      <c r="B771" s="2" t="s">
        <v>87</v>
      </c>
      <c r="C771" s="2" t="s">
        <v>2831</v>
      </c>
      <c r="D771" s="2" t="s">
        <v>963</v>
      </c>
      <c r="E771" s="2" t="s">
        <v>1046</v>
      </c>
      <c r="F771" s="2" t="s">
        <v>3048</v>
      </c>
      <c r="G771" s="2" t="s">
        <v>3048</v>
      </c>
      <c r="H771" s="2" t="s">
        <v>3048</v>
      </c>
      <c r="I771" s="2" t="s">
        <v>3049</v>
      </c>
      <c r="J771" s="2" t="s">
        <v>529</v>
      </c>
      <c r="K771" s="2" t="s">
        <v>446</v>
      </c>
      <c r="L771" s="3">
        <v>75</v>
      </c>
      <c r="M771" s="3">
        <v>78.75</v>
      </c>
      <c r="N771" s="3">
        <v>149.99</v>
      </c>
      <c r="O771" s="2" t="s">
        <v>97</v>
      </c>
      <c r="P771" s="2" t="s">
        <v>98</v>
      </c>
      <c r="Q771" s="2" t="s">
        <v>99</v>
      </c>
      <c r="R771" s="2" t="s">
        <v>100</v>
      </c>
      <c r="S771" s="2" t="s">
        <v>3050</v>
      </c>
      <c r="T771" s="2" t="s">
        <v>190</v>
      </c>
      <c r="U771" s="2" t="s">
        <v>901</v>
      </c>
      <c r="V771" s="2" t="s">
        <v>2913</v>
      </c>
      <c r="W771" s="2" t="s">
        <v>686</v>
      </c>
      <c r="X771" s="2" t="s">
        <v>609</v>
      </c>
      <c r="Y771" s="2" t="s">
        <v>718</v>
      </c>
      <c r="Z771" s="4">
        <v>320</v>
      </c>
      <c r="AA771" s="4">
        <f>=ROUNDDOWN(53.3333333333333,0)</f>
      </c>
      <c r="AB771" s="5">
        <v>6</v>
      </c>
      <c r="AC771" s="2" t="s">
        <v>100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/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/>
      <c r="BJ771" s="4">
        <v>20</v>
      </c>
      <c r="BK771" s="8">
        <v>1634.83</v>
      </c>
      <c r="BL771" s="2" t="s">
        <v>3052</v>
      </c>
      <c r="BM771" s="7"/>
      <c r="BN771" s="7"/>
      <c r="BO771" s="4"/>
      <c r="BP771" s="8"/>
      <c r="BQ771" s="4"/>
      <c r="BR771" s="8"/>
      <c r="BS771" s="7"/>
      <c r="BT771" s="7"/>
      <c r="BU771" s="2" t="s">
        <v>2551</v>
      </c>
      <c r="BV771" s="2" t="s">
        <v>97</v>
      </c>
      <c r="BW771" s="2" t="s">
        <v>100</v>
      </c>
      <c r="BX771" s="2" t="s">
        <v>100</v>
      </c>
      <c r="BY771" s="2" t="s">
        <v>112</v>
      </c>
      <c r="BZ771" s="2" t="s">
        <v>100</v>
      </c>
    </row>
    <row r="772">
      <c r="A772" s="2" t="s">
        <v>3053</v>
      </c>
      <c r="B772" s="2" t="s">
        <v>87</v>
      </c>
      <c r="C772" s="2" t="s">
        <v>2831</v>
      </c>
      <c r="D772" s="2" t="s">
        <v>1496</v>
      </c>
      <c r="E772" s="2" t="s">
        <v>1497</v>
      </c>
      <c r="F772" s="2" t="s">
        <v>2863</v>
      </c>
      <c r="G772" s="2" t="s">
        <v>2863</v>
      </c>
      <c r="H772" s="2" t="s">
        <v>2863</v>
      </c>
      <c r="I772" s="2" t="s">
        <v>3054</v>
      </c>
      <c r="J772" s="2" t="s">
        <v>522</v>
      </c>
      <c r="K772" s="2" t="s">
        <v>471</v>
      </c>
      <c r="L772" s="3">
        <v>44.1</v>
      </c>
      <c r="M772" s="3">
        <v>46.3</v>
      </c>
      <c r="N772" s="3">
        <v>89.99</v>
      </c>
      <c r="O772" s="2" t="s">
        <v>97</v>
      </c>
      <c r="P772" s="2" t="s">
        <v>98</v>
      </c>
      <c r="Q772" s="2" t="s">
        <v>99</v>
      </c>
      <c r="R772" s="2" t="s">
        <v>100</v>
      </c>
      <c r="S772" s="2" t="s">
        <v>2865</v>
      </c>
      <c r="T772" s="2" t="s">
        <v>190</v>
      </c>
      <c r="U772" s="2" t="s">
        <v>901</v>
      </c>
      <c r="V772" s="2" t="s">
        <v>2866</v>
      </c>
      <c r="W772" s="2" t="s">
        <v>2835</v>
      </c>
      <c r="X772" s="2" t="s">
        <v>194</v>
      </c>
      <c r="Y772" s="2" t="s">
        <v>144</v>
      </c>
      <c r="Z772" s="4">
        <v>143</v>
      </c>
      <c r="AA772" s="4">
        <f>=ROUNDDOWN(28.6,0)</f>
      </c>
      <c r="AB772" s="5">
        <v>5</v>
      </c>
      <c r="AC772" s="2" t="s">
        <v>783</v>
      </c>
      <c r="AD772" s="4">
        <v>70</v>
      </c>
      <c r="AE772" s="4">
        <v>70</v>
      </c>
      <c r="AF772" s="6">
        <v>65</v>
      </c>
      <c r="AG772" s="6">
        <v>73</v>
      </c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100</v>
      </c>
      <c r="AW772" s="8" t="s">
        <v>100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/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/>
      <c r="BJ772" s="4">
        <v>18</v>
      </c>
      <c r="BK772" s="8">
        <v>894.68</v>
      </c>
      <c r="BL772" s="2" t="s">
        <v>1694</v>
      </c>
      <c r="BM772" s="7"/>
      <c r="BN772" s="7"/>
      <c r="BO772" s="4"/>
      <c r="BP772" s="8"/>
      <c r="BQ772" s="4"/>
      <c r="BR772" s="8"/>
      <c r="BS772" s="7"/>
      <c r="BT772" s="7"/>
      <c r="BU772" s="2" t="s">
        <v>2551</v>
      </c>
      <c r="BV772" s="2" t="s">
        <v>97</v>
      </c>
      <c r="BW772" s="2" t="s">
        <v>100</v>
      </c>
      <c r="BX772" s="2" t="s">
        <v>100</v>
      </c>
      <c r="BY772" s="2" t="s">
        <v>112</v>
      </c>
      <c r="BZ772" s="2" t="s">
        <v>100</v>
      </c>
    </row>
    <row r="773">
      <c r="A773" s="2" t="s">
        <v>3055</v>
      </c>
      <c r="B773" s="2" t="s">
        <v>87</v>
      </c>
      <c r="C773" s="2" t="s">
        <v>2831</v>
      </c>
      <c r="D773" s="2" t="s">
        <v>1496</v>
      </c>
      <c r="E773" s="2" t="s">
        <v>1497</v>
      </c>
      <c r="F773" s="2" t="s">
        <v>2863</v>
      </c>
      <c r="G773" s="2" t="s">
        <v>2863</v>
      </c>
      <c r="H773" s="2" t="s">
        <v>2863</v>
      </c>
      <c r="I773" s="2" t="s">
        <v>3054</v>
      </c>
      <c r="J773" s="2" t="s">
        <v>529</v>
      </c>
      <c r="K773" s="2" t="s">
        <v>471</v>
      </c>
      <c r="L773" s="3">
        <v>58.5</v>
      </c>
      <c r="M773" s="3">
        <v>61.42</v>
      </c>
      <c r="N773" s="3">
        <v>119.99</v>
      </c>
      <c r="O773" s="2" t="s">
        <v>97</v>
      </c>
      <c r="P773" s="2" t="s">
        <v>98</v>
      </c>
      <c r="Q773" s="2" t="s">
        <v>99</v>
      </c>
      <c r="R773" s="2" t="s">
        <v>100</v>
      </c>
      <c r="S773" s="2" t="s">
        <v>2865</v>
      </c>
      <c r="T773" s="2" t="s">
        <v>190</v>
      </c>
      <c r="U773" s="2" t="s">
        <v>901</v>
      </c>
      <c r="V773" s="2" t="s">
        <v>2866</v>
      </c>
      <c r="W773" s="2" t="s">
        <v>2835</v>
      </c>
      <c r="X773" s="2" t="s">
        <v>194</v>
      </c>
      <c r="Y773" s="2" t="s">
        <v>144</v>
      </c>
      <c r="Z773" s="4">
        <v>107</v>
      </c>
      <c r="AA773" s="4">
        <f>=ROUNDDOWN(21.4,0)</f>
      </c>
      <c r="AB773" s="5">
        <v>5</v>
      </c>
      <c r="AC773" s="2" t="s">
        <v>783</v>
      </c>
      <c r="AD773" s="4">
        <v>60</v>
      </c>
      <c r="AE773" s="4">
        <v>60</v>
      </c>
      <c r="AF773" s="6">
        <v>65</v>
      </c>
      <c r="AG773" s="6">
        <v>73</v>
      </c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/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/>
      <c r="BJ773" s="4">
        <v>20</v>
      </c>
      <c r="BK773" s="8">
        <v>1361.87</v>
      </c>
      <c r="BL773" s="2" t="s">
        <v>3056</v>
      </c>
      <c r="BM773" s="7"/>
      <c r="BN773" s="7"/>
      <c r="BO773" s="4"/>
      <c r="BP773" s="8"/>
      <c r="BQ773" s="4"/>
      <c r="BR773" s="8"/>
      <c r="BS773" s="7"/>
      <c r="BT773" s="7"/>
      <c r="BU773" s="2" t="s">
        <v>2551</v>
      </c>
      <c r="BV773" s="2" t="s">
        <v>97</v>
      </c>
      <c r="BW773" s="2" t="s">
        <v>100</v>
      </c>
      <c r="BX773" s="2" t="s">
        <v>100</v>
      </c>
      <c r="BY773" s="2" t="s">
        <v>112</v>
      </c>
      <c r="BZ773" s="2" t="s">
        <v>100</v>
      </c>
    </row>
    <row r="774">
      <c r="A774" s="2" t="s">
        <v>3057</v>
      </c>
      <c r="B774" s="2" t="s">
        <v>87</v>
      </c>
      <c r="C774" s="2" t="s">
        <v>2831</v>
      </c>
      <c r="D774" s="2" t="s">
        <v>1496</v>
      </c>
      <c r="E774" s="2" t="s">
        <v>1497</v>
      </c>
      <c r="F774" s="2" t="s">
        <v>2863</v>
      </c>
      <c r="G774" s="2" t="s">
        <v>2863</v>
      </c>
      <c r="H774" s="2" t="s">
        <v>2863</v>
      </c>
      <c r="I774" s="2" t="s">
        <v>3054</v>
      </c>
      <c r="J774" s="2" t="s">
        <v>522</v>
      </c>
      <c r="K774" s="2" t="s">
        <v>223</v>
      </c>
      <c r="L774" s="3">
        <v>44.1</v>
      </c>
      <c r="M774" s="3">
        <v>46.3</v>
      </c>
      <c r="N774" s="3">
        <v>89.99</v>
      </c>
      <c r="O774" s="2" t="s">
        <v>97</v>
      </c>
      <c r="P774" s="2" t="s">
        <v>98</v>
      </c>
      <c r="Q774" s="2" t="s">
        <v>99</v>
      </c>
      <c r="R774" s="2" t="s">
        <v>100</v>
      </c>
      <c r="S774" s="2" t="s">
        <v>2872</v>
      </c>
      <c r="T774" s="2" t="s">
        <v>190</v>
      </c>
      <c r="U774" s="2" t="s">
        <v>901</v>
      </c>
      <c r="V774" s="2" t="s">
        <v>2866</v>
      </c>
      <c r="W774" s="2" t="s">
        <v>2835</v>
      </c>
      <c r="X774" s="2" t="s">
        <v>194</v>
      </c>
      <c r="Y774" s="2" t="s">
        <v>144</v>
      </c>
      <c r="Z774" s="4">
        <v>147</v>
      </c>
      <c r="AA774" s="4">
        <f>=ROUNDDOWN(29.4,0)</f>
      </c>
      <c r="AB774" s="5">
        <v>5</v>
      </c>
      <c r="AC774" s="2" t="s">
        <v>196</v>
      </c>
      <c r="AD774" s="4">
        <v>40</v>
      </c>
      <c r="AE774" s="4">
        <v>40</v>
      </c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100</v>
      </c>
      <c r="AW774" s="8" t="s">
        <v>100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/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/>
      <c r="BJ774" s="4">
        <v>3</v>
      </c>
      <c r="BK774" s="8">
        <v>158.25</v>
      </c>
      <c r="BL774" s="2" t="s">
        <v>2071</v>
      </c>
      <c r="BM774" s="7"/>
      <c r="BN774" s="7"/>
      <c r="BO774" s="4"/>
      <c r="BP774" s="8"/>
      <c r="BQ774" s="4"/>
      <c r="BR774" s="8"/>
      <c r="BS774" s="7"/>
      <c r="BT774" s="7"/>
      <c r="BU774" s="2" t="s">
        <v>2551</v>
      </c>
      <c r="BV774" s="2" t="s">
        <v>97</v>
      </c>
      <c r="BW774" s="2" t="s">
        <v>100</v>
      </c>
      <c r="BX774" s="2" t="s">
        <v>100</v>
      </c>
      <c r="BY774" s="2" t="s">
        <v>112</v>
      </c>
      <c r="BZ774" s="2" t="s">
        <v>100</v>
      </c>
    </row>
    <row r="775">
      <c r="A775" s="2" t="s">
        <v>3058</v>
      </c>
      <c r="B775" s="2" t="s">
        <v>87</v>
      </c>
      <c r="C775" s="2" t="s">
        <v>2831</v>
      </c>
      <c r="D775" s="2" t="s">
        <v>1496</v>
      </c>
      <c r="E775" s="2" t="s">
        <v>1497</v>
      </c>
      <c r="F775" s="2" t="s">
        <v>2863</v>
      </c>
      <c r="G775" s="2" t="s">
        <v>2863</v>
      </c>
      <c r="H775" s="2" t="s">
        <v>2863</v>
      </c>
      <c r="I775" s="2" t="s">
        <v>3054</v>
      </c>
      <c r="J775" s="2" t="s">
        <v>529</v>
      </c>
      <c r="K775" s="2" t="s">
        <v>223</v>
      </c>
      <c r="L775" s="3">
        <v>58.5</v>
      </c>
      <c r="M775" s="3">
        <v>61.42</v>
      </c>
      <c r="N775" s="3">
        <v>119.99</v>
      </c>
      <c r="O775" s="2" t="s">
        <v>97</v>
      </c>
      <c r="P775" s="2" t="s">
        <v>98</v>
      </c>
      <c r="Q775" s="2" t="s">
        <v>99</v>
      </c>
      <c r="R775" s="2" t="s">
        <v>100</v>
      </c>
      <c r="S775" s="2" t="s">
        <v>2872</v>
      </c>
      <c r="T775" s="2" t="s">
        <v>190</v>
      </c>
      <c r="U775" s="2" t="s">
        <v>901</v>
      </c>
      <c r="V775" s="2" t="s">
        <v>2866</v>
      </c>
      <c r="W775" s="2" t="s">
        <v>2835</v>
      </c>
      <c r="X775" s="2" t="s">
        <v>194</v>
      </c>
      <c r="Y775" s="2" t="s">
        <v>144</v>
      </c>
      <c r="Z775" s="4">
        <v>152</v>
      </c>
      <c r="AA775" s="4">
        <f>=ROUNDDOWN(30.4,0)</f>
      </c>
      <c r="AB775" s="5">
        <v>5</v>
      </c>
      <c r="AC775" s="2" t="s">
        <v>196</v>
      </c>
      <c r="AD775" s="4">
        <v>50</v>
      </c>
      <c r="AE775" s="4">
        <v>50</v>
      </c>
      <c r="AF775" s="6">
        <v>65</v>
      </c>
      <c r="AG775" s="6">
        <v>73</v>
      </c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/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/>
      <c r="BJ775" s="4">
        <v>7</v>
      </c>
      <c r="BK775" s="8">
        <v>448.52</v>
      </c>
      <c r="BL775" s="2" t="s">
        <v>1939</v>
      </c>
      <c r="BM775" s="7"/>
      <c r="BN775" s="7"/>
      <c r="BO775" s="4"/>
      <c r="BP775" s="8"/>
      <c r="BQ775" s="4"/>
      <c r="BR775" s="8"/>
      <c r="BS775" s="7"/>
      <c r="BT775" s="7"/>
      <c r="BU775" s="2" t="s">
        <v>2551</v>
      </c>
      <c r="BV775" s="2" t="s">
        <v>97</v>
      </c>
      <c r="BW775" s="2" t="s">
        <v>100</v>
      </c>
      <c r="BX775" s="2" t="s">
        <v>100</v>
      </c>
      <c r="BY775" s="2" t="s">
        <v>112</v>
      </c>
      <c r="BZ775" s="2" t="s">
        <v>100</v>
      </c>
    </row>
    <row r="776">
      <c r="A776" s="2" t="s">
        <v>3059</v>
      </c>
      <c r="B776" s="2" t="s">
        <v>87</v>
      </c>
      <c r="C776" s="2" t="s">
        <v>2831</v>
      </c>
      <c r="D776" s="2" t="s">
        <v>1496</v>
      </c>
      <c r="E776" s="2" t="s">
        <v>1497</v>
      </c>
      <c r="F776" s="2" t="s">
        <v>2863</v>
      </c>
      <c r="G776" s="2" t="s">
        <v>2863</v>
      </c>
      <c r="H776" s="2" t="s">
        <v>2863</v>
      </c>
      <c r="I776" s="2" t="s">
        <v>3054</v>
      </c>
      <c r="J776" s="2" t="s">
        <v>522</v>
      </c>
      <c r="K776" s="2" t="s">
        <v>626</v>
      </c>
      <c r="L776" s="3">
        <v>44.1</v>
      </c>
      <c r="M776" s="3">
        <v>46.3</v>
      </c>
      <c r="N776" s="3">
        <v>89.99</v>
      </c>
      <c r="O776" s="2" t="s">
        <v>97</v>
      </c>
      <c r="P776" s="2" t="s">
        <v>98</v>
      </c>
      <c r="Q776" s="2" t="s">
        <v>99</v>
      </c>
      <c r="R776" s="2" t="s">
        <v>100</v>
      </c>
      <c r="S776" s="2" t="s">
        <v>2877</v>
      </c>
      <c r="T776" s="2" t="s">
        <v>190</v>
      </c>
      <c r="U776" s="2" t="s">
        <v>901</v>
      </c>
      <c r="V776" s="2" t="s">
        <v>2866</v>
      </c>
      <c r="W776" s="2" t="s">
        <v>2835</v>
      </c>
      <c r="X776" s="2" t="s">
        <v>194</v>
      </c>
      <c r="Y776" s="2" t="s">
        <v>144</v>
      </c>
      <c r="Z776" s="4">
        <v>235</v>
      </c>
      <c r="AA776" s="4">
        <f>=ROUNDDOWN(58.75,0)</f>
      </c>
      <c r="AB776" s="5">
        <v>4</v>
      </c>
      <c r="AC776" s="2" t="s">
        <v>100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/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/>
      <c r="BJ776" s="4">
        <v>8</v>
      </c>
      <c r="BK776" s="8">
        <v>382.98</v>
      </c>
      <c r="BL776" s="2" t="s">
        <v>880</v>
      </c>
      <c r="BM776" s="7"/>
      <c r="BN776" s="7"/>
      <c r="BO776" s="4"/>
      <c r="BP776" s="8"/>
      <c r="BQ776" s="4"/>
      <c r="BR776" s="8"/>
      <c r="BS776" s="7"/>
      <c r="BT776" s="7"/>
      <c r="BU776" s="2" t="s">
        <v>2551</v>
      </c>
      <c r="BV776" s="2" t="s">
        <v>97</v>
      </c>
      <c r="BW776" s="2" t="s">
        <v>100</v>
      </c>
      <c r="BX776" s="2" t="s">
        <v>100</v>
      </c>
      <c r="BY776" s="2" t="s">
        <v>112</v>
      </c>
      <c r="BZ776" s="2" t="s">
        <v>100</v>
      </c>
    </row>
    <row r="777">
      <c r="A777" s="2" t="s">
        <v>3060</v>
      </c>
      <c r="B777" s="2" t="s">
        <v>87</v>
      </c>
      <c r="C777" s="2" t="s">
        <v>2831</v>
      </c>
      <c r="D777" s="2" t="s">
        <v>1496</v>
      </c>
      <c r="E777" s="2" t="s">
        <v>1497</v>
      </c>
      <c r="F777" s="2" t="s">
        <v>2863</v>
      </c>
      <c r="G777" s="2" t="s">
        <v>2863</v>
      </c>
      <c r="H777" s="2" t="s">
        <v>2863</v>
      </c>
      <c r="I777" s="2" t="s">
        <v>3054</v>
      </c>
      <c r="J777" s="2" t="s">
        <v>529</v>
      </c>
      <c r="K777" s="2" t="s">
        <v>626</v>
      </c>
      <c r="L777" s="3">
        <v>58.5</v>
      </c>
      <c r="M777" s="3">
        <v>61.42</v>
      </c>
      <c r="N777" s="3">
        <v>119.99</v>
      </c>
      <c r="O777" s="2" t="s">
        <v>97</v>
      </c>
      <c r="P777" s="2" t="s">
        <v>98</v>
      </c>
      <c r="Q777" s="2" t="s">
        <v>99</v>
      </c>
      <c r="R777" s="2" t="s">
        <v>100</v>
      </c>
      <c r="S777" s="2" t="s">
        <v>2877</v>
      </c>
      <c r="T777" s="2" t="s">
        <v>190</v>
      </c>
      <c r="U777" s="2" t="s">
        <v>901</v>
      </c>
      <c r="V777" s="2" t="s">
        <v>2866</v>
      </c>
      <c r="W777" s="2" t="s">
        <v>2835</v>
      </c>
      <c r="X777" s="2" t="s">
        <v>194</v>
      </c>
      <c r="Y777" s="2" t="s">
        <v>144</v>
      </c>
      <c r="Z777" s="4">
        <v>179</v>
      </c>
      <c r="AA777" s="4">
        <f>=ROUNDDOWN(66.2962962962963,0)</f>
      </c>
      <c r="AB777" s="5">
        <v>2.7</v>
      </c>
      <c r="AC777" s="2" t="s">
        <v>100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/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/>
      <c r="BJ777" s="4">
        <v>13</v>
      </c>
      <c r="BK777" s="8">
        <v>779.68</v>
      </c>
      <c r="BL777" s="2" t="s">
        <v>3061</v>
      </c>
      <c r="BM777" s="7"/>
      <c r="BN777" s="7"/>
      <c r="BO777" s="4"/>
      <c r="BP777" s="8"/>
      <c r="BQ777" s="4"/>
      <c r="BR777" s="8"/>
      <c r="BS777" s="7"/>
      <c r="BT777" s="7"/>
      <c r="BU777" s="2" t="s">
        <v>2551</v>
      </c>
      <c r="BV777" s="2" t="s">
        <v>97</v>
      </c>
      <c r="BW777" s="2" t="s">
        <v>100</v>
      </c>
      <c r="BX777" s="2" t="s">
        <v>100</v>
      </c>
      <c r="BY777" s="2" t="s">
        <v>112</v>
      </c>
      <c r="BZ777" s="2" t="s">
        <v>100</v>
      </c>
    </row>
    <row r="778">
      <c r="A778" s="2" t="s">
        <v>3062</v>
      </c>
      <c r="B778" s="2" t="s">
        <v>87</v>
      </c>
      <c r="C778" s="2" t="s">
        <v>2831</v>
      </c>
      <c r="D778" s="2" t="s">
        <v>1496</v>
      </c>
      <c r="E778" s="2" t="s">
        <v>1497</v>
      </c>
      <c r="F778" s="2" t="s">
        <v>2881</v>
      </c>
      <c r="G778" s="2" t="s">
        <v>2881</v>
      </c>
      <c r="H778" s="2" t="s">
        <v>2881</v>
      </c>
      <c r="I778" s="2" t="s">
        <v>1608</v>
      </c>
      <c r="J778" s="2" t="s">
        <v>522</v>
      </c>
      <c r="K778" s="2" t="s">
        <v>626</v>
      </c>
      <c r="L778" s="3">
        <v>64.79</v>
      </c>
      <c r="M778" s="3">
        <v>68.03</v>
      </c>
      <c r="N778" s="3">
        <v>131.99</v>
      </c>
      <c r="O778" s="2" t="s">
        <v>97</v>
      </c>
      <c r="P778" s="2" t="s">
        <v>156</v>
      </c>
      <c r="Q778" s="2" t="s">
        <v>99</v>
      </c>
      <c r="R778" s="2" t="s">
        <v>100</v>
      </c>
      <c r="S778" s="2" t="s">
        <v>2882</v>
      </c>
      <c r="T778" s="2" t="s">
        <v>190</v>
      </c>
      <c r="U778" s="2" t="s">
        <v>901</v>
      </c>
      <c r="V778" s="2" t="s">
        <v>473</v>
      </c>
      <c r="W778" s="2" t="s">
        <v>2883</v>
      </c>
      <c r="X778" s="2" t="s">
        <v>686</v>
      </c>
      <c r="Y778" s="2" t="s">
        <v>2884</v>
      </c>
      <c r="Z778" s="4">
        <v>186</v>
      </c>
      <c r="AA778" s="4">
        <f>=ROUNDDOWN(23.25,0)</f>
      </c>
      <c r="AB778" s="5">
        <v>8</v>
      </c>
      <c r="AC778" s="2" t="s">
        <v>832</v>
      </c>
      <c r="AD778" s="4">
        <v>100</v>
      </c>
      <c r="AE778" s="4">
        <v>150</v>
      </c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100</v>
      </c>
      <c r="AW778" s="8" t="s">
        <v>100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/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/>
      <c r="BJ778" s="4">
        <v>26</v>
      </c>
      <c r="BK778" s="8">
        <v>1878.76</v>
      </c>
      <c r="BL778" s="2" t="s">
        <v>2461</v>
      </c>
      <c r="BM778" s="7"/>
      <c r="BN778" s="7"/>
      <c r="BO778" s="4"/>
      <c r="BP778" s="8"/>
      <c r="BQ778" s="4"/>
      <c r="BR778" s="8"/>
      <c r="BS778" s="7"/>
      <c r="BT778" s="7"/>
      <c r="BU778" s="2" t="s">
        <v>2526</v>
      </c>
      <c r="BV778" s="2" t="s">
        <v>97</v>
      </c>
      <c r="BW778" s="2" t="s">
        <v>100</v>
      </c>
      <c r="BX778" s="2" t="s">
        <v>100</v>
      </c>
      <c r="BY778" s="2" t="s">
        <v>112</v>
      </c>
      <c r="BZ778" s="2" t="s">
        <v>100</v>
      </c>
    </row>
    <row r="779">
      <c r="A779" s="2" t="s">
        <v>3063</v>
      </c>
      <c r="B779" s="2" t="s">
        <v>87</v>
      </c>
      <c r="C779" s="2" t="s">
        <v>2831</v>
      </c>
      <c r="D779" s="2" t="s">
        <v>1496</v>
      </c>
      <c r="E779" s="2" t="s">
        <v>1497</v>
      </c>
      <c r="F779" s="2" t="s">
        <v>2881</v>
      </c>
      <c r="G779" s="2" t="s">
        <v>2881</v>
      </c>
      <c r="H779" s="2" t="s">
        <v>2881</v>
      </c>
      <c r="I779" s="2" t="s">
        <v>1608</v>
      </c>
      <c r="J779" s="2" t="s">
        <v>529</v>
      </c>
      <c r="K779" s="2" t="s">
        <v>626</v>
      </c>
      <c r="L779" s="3">
        <v>79.38</v>
      </c>
      <c r="M779" s="3">
        <v>83.35</v>
      </c>
      <c r="N779" s="3">
        <v>161.99</v>
      </c>
      <c r="O779" s="2" t="s">
        <v>97</v>
      </c>
      <c r="P779" s="2" t="s">
        <v>156</v>
      </c>
      <c r="Q779" s="2" t="s">
        <v>99</v>
      </c>
      <c r="R779" s="2" t="s">
        <v>100</v>
      </c>
      <c r="S779" s="2" t="s">
        <v>2882</v>
      </c>
      <c r="T779" s="2" t="s">
        <v>190</v>
      </c>
      <c r="U779" s="2" t="s">
        <v>901</v>
      </c>
      <c r="V779" s="2" t="s">
        <v>473</v>
      </c>
      <c r="W779" s="2" t="s">
        <v>2883</v>
      </c>
      <c r="X779" s="2" t="s">
        <v>686</v>
      </c>
      <c r="Y779" s="2" t="s">
        <v>2884</v>
      </c>
      <c r="Z779" s="4">
        <v>134</v>
      </c>
      <c r="AA779" s="4">
        <f>=ROUNDDOWN(19.1428571428571,0)</f>
      </c>
      <c r="AB779" s="5">
        <v>7</v>
      </c>
      <c r="AC779" s="2" t="s">
        <v>832</v>
      </c>
      <c r="AD779" s="4">
        <v>60</v>
      </c>
      <c r="AE779" s="4">
        <v>90</v>
      </c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/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/>
      <c r="BJ779" s="4">
        <v>12</v>
      </c>
      <c r="BK779" s="8">
        <v>1041.1</v>
      </c>
      <c r="BL779" s="2" t="s">
        <v>2206</v>
      </c>
      <c r="BM779" s="7"/>
      <c r="BN779" s="7"/>
      <c r="BO779" s="4"/>
      <c r="BP779" s="8"/>
      <c r="BQ779" s="4"/>
      <c r="BR779" s="8"/>
      <c r="BS779" s="7"/>
      <c r="BT779" s="7"/>
      <c r="BU779" s="2" t="s">
        <v>2526</v>
      </c>
      <c r="BV779" s="2" t="s">
        <v>97</v>
      </c>
      <c r="BW779" s="2" t="s">
        <v>100</v>
      </c>
      <c r="BX779" s="2" t="s">
        <v>100</v>
      </c>
      <c r="BY779" s="2" t="s">
        <v>112</v>
      </c>
      <c r="BZ779" s="2" t="s">
        <v>100</v>
      </c>
    </row>
    <row r="780">
      <c r="A780" s="2" t="s">
        <v>3064</v>
      </c>
      <c r="B780" s="2" t="s">
        <v>87</v>
      </c>
      <c r="C780" s="2" t="s">
        <v>2831</v>
      </c>
      <c r="D780" s="2" t="s">
        <v>1496</v>
      </c>
      <c r="E780" s="2" t="s">
        <v>1497</v>
      </c>
      <c r="F780" s="2" t="s">
        <v>2889</v>
      </c>
      <c r="G780" s="2" t="s">
        <v>2889</v>
      </c>
      <c r="H780" s="2" t="s">
        <v>2889</v>
      </c>
      <c r="I780" s="2" t="s">
        <v>1608</v>
      </c>
      <c r="J780" s="2" t="s">
        <v>522</v>
      </c>
      <c r="K780" s="2" t="s">
        <v>2890</v>
      </c>
      <c r="L780" s="3">
        <v>58.8</v>
      </c>
      <c r="M780" s="3">
        <v>61.73</v>
      </c>
      <c r="N780" s="3">
        <v>119.99</v>
      </c>
      <c r="O780" s="2" t="s">
        <v>97</v>
      </c>
      <c r="P780" s="2" t="s">
        <v>156</v>
      </c>
      <c r="Q780" s="2" t="s">
        <v>99</v>
      </c>
      <c r="R780" s="2" t="s">
        <v>100</v>
      </c>
      <c r="S780" s="2" t="s">
        <v>2891</v>
      </c>
      <c r="T780" s="2" t="s">
        <v>190</v>
      </c>
      <c r="U780" s="2" t="s">
        <v>901</v>
      </c>
      <c r="V780" s="2" t="s">
        <v>367</v>
      </c>
      <c r="W780" s="2" t="s">
        <v>2883</v>
      </c>
      <c r="X780" s="2" t="s">
        <v>609</v>
      </c>
      <c r="Y780" s="2" t="s">
        <v>2892</v>
      </c>
      <c r="Z780" s="4">
        <v>137</v>
      </c>
      <c r="AA780" s="4">
        <f>=ROUNDDOWN(22.8333333333333,0)</f>
      </c>
      <c r="AB780" s="5">
        <v>6</v>
      </c>
      <c r="AC780" s="2" t="s">
        <v>832</v>
      </c>
      <c r="AD780" s="4">
        <v>90</v>
      </c>
      <c r="AE780" s="4">
        <v>170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/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/>
      <c r="BJ780" s="4">
        <v>19</v>
      </c>
      <c r="BK780" s="8">
        <v>1229.43</v>
      </c>
      <c r="BL780" s="2" t="s">
        <v>3065</v>
      </c>
      <c r="BM780" s="7"/>
      <c r="BN780" s="7"/>
      <c r="BO780" s="4"/>
      <c r="BP780" s="8"/>
      <c r="BQ780" s="4"/>
      <c r="BR780" s="8"/>
      <c r="BS780" s="7"/>
      <c r="BT780" s="7"/>
      <c r="BU780" s="2" t="s">
        <v>2526</v>
      </c>
      <c r="BV780" s="2" t="s">
        <v>97</v>
      </c>
      <c r="BW780" s="2" t="s">
        <v>100</v>
      </c>
      <c r="BX780" s="2" t="s">
        <v>100</v>
      </c>
      <c r="BY780" s="2" t="s">
        <v>112</v>
      </c>
      <c r="BZ780" s="2" t="s">
        <v>100</v>
      </c>
    </row>
    <row r="781">
      <c r="A781" s="2" t="s">
        <v>3066</v>
      </c>
      <c r="B781" s="2" t="s">
        <v>87</v>
      </c>
      <c r="C781" s="2" t="s">
        <v>2831</v>
      </c>
      <c r="D781" s="2" t="s">
        <v>1496</v>
      </c>
      <c r="E781" s="2" t="s">
        <v>1497</v>
      </c>
      <c r="F781" s="2" t="s">
        <v>2889</v>
      </c>
      <c r="G781" s="2" t="s">
        <v>2889</v>
      </c>
      <c r="H781" s="2" t="s">
        <v>2889</v>
      </c>
      <c r="I781" s="2" t="s">
        <v>1608</v>
      </c>
      <c r="J781" s="2" t="s">
        <v>529</v>
      </c>
      <c r="K781" s="2" t="s">
        <v>2890</v>
      </c>
      <c r="L781" s="3">
        <v>73.5</v>
      </c>
      <c r="M781" s="3">
        <v>77.17</v>
      </c>
      <c r="N781" s="3">
        <v>149.99</v>
      </c>
      <c r="O781" s="2" t="s">
        <v>97</v>
      </c>
      <c r="P781" s="2" t="s">
        <v>156</v>
      </c>
      <c r="Q781" s="2" t="s">
        <v>99</v>
      </c>
      <c r="R781" s="2" t="s">
        <v>100</v>
      </c>
      <c r="S781" s="2" t="s">
        <v>2891</v>
      </c>
      <c r="T781" s="2" t="s">
        <v>190</v>
      </c>
      <c r="U781" s="2" t="s">
        <v>901</v>
      </c>
      <c r="V781" s="2" t="s">
        <v>367</v>
      </c>
      <c r="W781" s="2" t="s">
        <v>2999</v>
      </c>
      <c r="X781" s="2" t="s">
        <v>609</v>
      </c>
      <c r="Y781" s="2" t="s">
        <v>2892</v>
      </c>
      <c r="Z781" s="4">
        <v>114</v>
      </c>
      <c r="AA781" s="4">
        <f>=ROUNDDOWN(14.25,0)</f>
      </c>
      <c r="AB781" s="5">
        <v>8</v>
      </c>
      <c r="AC781" s="2" t="s">
        <v>832</v>
      </c>
      <c r="AD781" s="4">
        <v>120</v>
      </c>
      <c r="AE781" s="4">
        <v>210</v>
      </c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/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/>
      <c r="BJ781" s="4">
        <v>17</v>
      </c>
      <c r="BK781" s="8">
        <v>1380.95</v>
      </c>
      <c r="BL781" s="2" t="s">
        <v>1694</v>
      </c>
      <c r="BM781" s="7"/>
      <c r="BN781" s="7"/>
      <c r="BO781" s="4"/>
      <c r="BP781" s="8"/>
      <c r="BQ781" s="4"/>
      <c r="BR781" s="8"/>
      <c r="BS781" s="7"/>
      <c r="BT781" s="7"/>
      <c r="BU781" s="2" t="s">
        <v>2526</v>
      </c>
      <c r="BV781" s="2" t="s">
        <v>97</v>
      </c>
      <c r="BW781" s="2" t="s">
        <v>100</v>
      </c>
      <c r="BX781" s="2" t="s">
        <v>100</v>
      </c>
      <c r="BY781" s="2" t="s">
        <v>112</v>
      </c>
      <c r="BZ781" s="2" t="s">
        <v>100</v>
      </c>
    </row>
    <row r="782">
      <c r="A782" s="2" t="s">
        <v>3067</v>
      </c>
      <c r="B782" s="2" t="s">
        <v>87</v>
      </c>
      <c r="C782" s="2" t="s">
        <v>2831</v>
      </c>
      <c r="D782" s="2" t="s">
        <v>1496</v>
      </c>
      <c r="E782" s="2" t="s">
        <v>1497</v>
      </c>
      <c r="F782" s="2" t="s">
        <v>2896</v>
      </c>
      <c r="G782" s="2" t="s">
        <v>2896</v>
      </c>
      <c r="H782" s="2" t="s">
        <v>2896</v>
      </c>
      <c r="I782" s="2" t="s">
        <v>3068</v>
      </c>
      <c r="J782" s="2" t="s">
        <v>522</v>
      </c>
      <c r="K782" s="2" t="s">
        <v>188</v>
      </c>
      <c r="L782" s="3">
        <v>50.4</v>
      </c>
      <c r="M782" s="3">
        <v>52.91</v>
      </c>
      <c r="N782" s="3">
        <v>104.99</v>
      </c>
      <c r="O782" s="2" t="s">
        <v>97</v>
      </c>
      <c r="P782" s="2" t="s">
        <v>98</v>
      </c>
      <c r="Q782" s="2" t="s">
        <v>99</v>
      </c>
      <c r="R782" s="2" t="s">
        <v>100</v>
      </c>
      <c r="S782" s="2" t="s">
        <v>2898</v>
      </c>
      <c r="T782" s="2" t="s">
        <v>190</v>
      </c>
      <c r="U782" s="2" t="s">
        <v>901</v>
      </c>
      <c r="V782" s="2" t="s">
        <v>473</v>
      </c>
      <c r="W782" s="2" t="s">
        <v>493</v>
      </c>
      <c r="X782" s="2" t="s">
        <v>609</v>
      </c>
      <c r="Y782" s="2" t="s">
        <v>2899</v>
      </c>
      <c r="Z782" s="4">
        <v>214</v>
      </c>
      <c r="AA782" s="4">
        <f>=ROUNDDOWN(21.4,0)</f>
      </c>
      <c r="AB782" s="5">
        <v>10</v>
      </c>
      <c r="AC782" s="2" t="s">
        <v>2690</v>
      </c>
      <c r="AD782" s="4">
        <v>130</v>
      </c>
      <c r="AE782" s="4">
        <v>320</v>
      </c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100</v>
      </c>
      <c r="AW782" s="8" t="s">
        <v>100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/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/>
      <c r="BJ782" s="4">
        <v>26</v>
      </c>
      <c r="BK782" s="8">
        <v>1381.6</v>
      </c>
      <c r="BL782" s="2" t="s">
        <v>3069</v>
      </c>
      <c r="BM782" s="7"/>
      <c r="BN782" s="7"/>
      <c r="BO782" s="4"/>
      <c r="BP782" s="8"/>
      <c r="BQ782" s="4"/>
      <c r="BR782" s="8"/>
      <c r="BS782" s="7"/>
      <c r="BT782" s="7"/>
      <c r="BU782" s="2" t="s">
        <v>2551</v>
      </c>
      <c r="BV782" s="2" t="s">
        <v>97</v>
      </c>
      <c r="BW782" s="2" t="s">
        <v>100</v>
      </c>
      <c r="BX782" s="2" t="s">
        <v>100</v>
      </c>
      <c r="BY782" s="2" t="s">
        <v>112</v>
      </c>
      <c r="BZ782" s="2" t="s">
        <v>100</v>
      </c>
    </row>
    <row r="783">
      <c r="A783" s="2" t="s">
        <v>3070</v>
      </c>
      <c r="B783" s="2" t="s">
        <v>87</v>
      </c>
      <c r="C783" s="2" t="s">
        <v>2831</v>
      </c>
      <c r="D783" s="2" t="s">
        <v>1496</v>
      </c>
      <c r="E783" s="2" t="s">
        <v>1497</v>
      </c>
      <c r="F783" s="2" t="s">
        <v>2896</v>
      </c>
      <c r="G783" s="2" t="s">
        <v>2896</v>
      </c>
      <c r="H783" s="2" t="s">
        <v>2896</v>
      </c>
      <c r="I783" s="2" t="s">
        <v>3068</v>
      </c>
      <c r="J783" s="2" t="s">
        <v>529</v>
      </c>
      <c r="K783" s="2" t="s">
        <v>188</v>
      </c>
      <c r="L783" s="3">
        <v>66.15</v>
      </c>
      <c r="M783" s="3">
        <v>69.45</v>
      </c>
      <c r="N783" s="3">
        <v>134.99</v>
      </c>
      <c r="O783" s="2" t="s">
        <v>97</v>
      </c>
      <c r="P783" s="2" t="s">
        <v>98</v>
      </c>
      <c r="Q783" s="2" t="s">
        <v>99</v>
      </c>
      <c r="R783" s="2" t="s">
        <v>100</v>
      </c>
      <c r="S783" s="2" t="s">
        <v>2898</v>
      </c>
      <c r="T783" s="2" t="s">
        <v>190</v>
      </c>
      <c r="U783" s="2" t="s">
        <v>901</v>
      </c>
      <c r="V783" s="2" t="s">
        <v>473</v>
      </c>
      <c r="W783" s="2" t="s">
        <v>493</v>
      </c>
      <c r="X783" s="2" t="s">
        <v>609</v>
      </c>
      <c r="Y783" s="2" t="s">
        <v>2899</v>
      </c>
      <c r="Z783" s="4">
        <v>42</v>
      </c>
      <c r="AA783" s="4">
        <f>=ROUNDDOWN(6,0)</f>
      </c>
      <c r="AB783" s="5">
        <v>7</v>
      </c>
      <c r="AC783" s="2" t="s">
        <v>2690</v>
      </c>
      <c r="AD783" s="4">
        <v>42</v>
      </c>
      <c r="AE783" s="4">
        <v>182</v>
      </c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/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/>
      <c r="BJ783" s="4">
        <v>30</v>
      </c>
      <c r="BK783" s="8">
        <v>2040.78</v>
      </c>
      <c r="BL783" s="2" t="s">
        <v>3071</v>
      </c>
      <c r="BM783" s="7"/>
      <c r="BN783" s="7"/>
      <c r="BO783" s="4"/>
      <c r="BP783" s="8"/>
      <c r="BQ783" s="4"/>
      <c r="BR783" s="8"/>
      <c r="BS783" s="7"/>
      <c r="BT783" s="7"/>
      <c r="BU783" s="2" t="s">
        <v>2551</v>
      </c>
      <c r="BV783" s="2" t="s">
        <v>97</v>
      </c>
      <c r="BW783" s="2" t="s">
        <v>100</v>
      </c>
      <c r="BX783" s="2" t="s">
        <v>100</v>
      </c>
      <c r="BY783" s="2" t="s">
        <v>112</v>
      </c>
      <c r="BZ783" s="2" t="s">
        <v>100</v>
      </c>
    </row>
    <row r="784">
      <c r="A784" s="2" t="s">
        <v>3072</v>
      </c>
      <c r="B784" s="2" t="s">
        <v>87</v>
      </c>
      <c r="C784" s="2" t="s">
        <v>2831</v>
      </c>
      <c r="D784" s="2" t="s">
        <v>1496</v>
      </c>
      <c r="E784" s="2" t="s">
        <v>1497</v>
      </c>
      <c r="F784" s="2" t="s">
        <v>2896</v>
      </c>
      <c r="G784" s="2" t="s">
        <v>2896</v>
      </c>
      <c r="H784" s="2" t="s">
        <v>2896</v>
      </c>
      <c r="I784" s="2" t="s">
        <v>3068</v>
      </c>
      <c r="J784" s="2" t="s">
        <v>522</v>
      </c>
      <c r="K784" s="2" t="s">
        <v>223</v>
      </c>
      <c r="L784" s="3">
        <v>50.4</v>
      </c>
      <c r="M784" s="3">
        <v>52.91</v>
      </c>
      <c r="N784" s="3">
        <v>104.99</v>
      </c>
      <c r="O784" s="2" t="s">
        <v>97</v>
      </c>
      <c r="P784" s="2" t="s">
        <v>98</v>
      </c>
      <c r="Q784" s="2" t="s">
        <v>99</v>
      </c>
      <c r="R784" s="2" t="s">
        <v>100</v>
      </c>
      <c r="S784" s="2" t="s">
        <v>2904</v>
      </c>
      <c r="T784" s="2" t="s">
        <v>190</v>
      </c>
      <c r="U784" s="2" t="s">
        <v>901</v>
      </c>
      <c r="V784" s="2" t="s">
        <v>473</v>
      </c>
      <c r="W784" s="2" t="s">
        <v>493</v>
      </c>
      <c r="X784" s="2" t="s">
        <v>609</v>
      </c>
      <c r="Y784" s="2" t="s">
        <v>2907</v>
      </c>
      <c r="Z784" s="4">
        <v>62</v>
      </c>
      <c r="AA784" s="4">
        <f>=ROUNDDOWN(15.5,0)</f>
      </c>
      <c r="AB784" s="5">
        <v>4</v>
      </c>
      <c r="AC784" s="2" t="s">
        <v>2772</v>
      </c>
      <c r="AD784" s="4">
        <v>100</v>
      </c>
      <c r="AE784" s="4">
        <v>100</v>
      </c>
      <c r="AF784" s="6">
        <v>67</v>
      </c>
      <c r="AG784" s="6"/>
      <c r="AH784" s="7">
        <v>0.5161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/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/>
      <c r="BJ784" s="4">
        <v>13</v>
      </c>
      <c r="BK784" s="8">
        <v>701.83</v>
      </c>
      <c r="BL784" s="2" t="s">
        <v>3073</v>
      </c>
      <c r="BM784" s="7"/>
      <c r="BN784" s="7"/>
      <c r="BO784" s="4"/>
      <c r="BP784" s="8"/>
      <c r="BQ784" s="4"/>
      <c r="BR784" s="8"/>
      <c r="BS784" s="7"/>
      <c r="BT784" s="7"/>
      <c r="BU784" s="2" t="s">
        <v>2551</v>
      </c>
      <c r="BV784" s="2" t="s">
        <v>97</v>
      </c>
      <c r="BW784" s="2" t="s">
        <v>100</v>
      </c>
      <c r="BX784" s="2" t="s">
        <v>100</v>
      </c>
      <c r="BY784" s="2" t="s">
        <v>112</v>
      </c>
      <c r="BZ784" s="2" t="s">
        <v>100</v>
      </c>
    </row>
    <row r="785">
      <c r="A785" s="2" t="s">
        <v>3074</v>
      </c>
      <c r="B785" s="2" t="s">
        <v>87</v>
      </c>
      <c r="C785" s="2" t="s">
        <v>2831</v>
      </c>
      <c r="D785" s="2" t="s">
        <v>1496</v>
      </c>
      <c r="E785" s="2" t="s">
        <v>1497</v>
      </c>
      <c r="F785" s="2" t="s">
        <v>2896</v>
      </c>
      <c r="G785" s="2" t="s">
        <v>2896</v>
      </c>
      <c r="H785" s="2" t="s">
        <v>2896</v>
      </c>
      <c r="I785" s="2" t="s">
        <v>3068</v>
      </c>
      <c r="J785" s="2" t="s">
        <v>529</v>
      </c>
      <c r="K785" s="2" t="s">
        <v>223</v>
      </c>
      <c r="L785" s="3">
        <v>66.15</v>
      </c>
      <c r="M785" s="3">
        <v>69.45</v>
      </c>
      <c r="N785" s="3">
        <v>134.99</v>
      </c>
      <c r="O785" s="2" t="s">
        <v>97</v>
      </c>
      <c r="P785" s="2" t="s">
        <v>98</v>
      </c>
      <c r="Q785" s="2" t="s">
        <v>99</v>
      </c>
      <c r="R785" s="2" t="s">
        <v>100</v>
      </c>
      <c r="S785" s="2" t="s">
        <v>2904</v>
      </c>
      <c r="T785" s="2" t="s">
        <v>190</v>
      </c>
      <c r="U785" s="2" t="s">
        <v>901</v>
      </c>
      <c r="V785" s="2" t="s">
        <v>473</v>
      </c>
      <c r="W785" s="2" t="s">
        <v>493</v>
      </c>
      <c r="X785" s="2" t="s">
        <v>609</v>
      </c>
      <c r="Y785" s="2" t="s">
        <v>2905</v>
      </c>
      <c r="Z785" s="4">
        <v>58</v>
      </c>
      <c r="AA785" s="4">
        <f>=ROUNDDOWN(11.6,0)</f>
      </c>
      <c r="AB785" s="5">
        <v>5</v>
      </c>
      <c r="AC785" s="2" t="s">
        <v>2772</v>
      </c>
      <c r="AD785" s="4">
        <v>95</v>
      </c>
      <c r="AE785" s="4">
        <v>95</v>
      </c>
      <c r="AF785" s="6">
        <v>67</v>
      </c>
      <c r="AG785" s="6"/>
      <c r="AH785" s="7">
        <v>0.5161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100</v>
      </c>
      <c r="AW785" s="8" t="s">
        <v>100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/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/>
      <c r="BJ785" s="4">
        <v>5</v>
      </c>
      <c r="BK785" s="8">
        <v>377.22</v>
      </c>
      <c r="BL785" s="2" t="s">
        <v>3075</v>
      </c>
      <c r="BM785" s="7"/>
      <c r="BN785" s="7"/>
      <c r="BO785" s="4"/>
      <c r="BP785" s="8"/>
      <c r="BQ785" s="4"/>
      <c r="BR785" s="8"/>
      <c r="BS785" s="7"/>
      <c r="BT785" s="7"/>
      <c r="BU785" s="2" t="s">
        <v>2551</v>
      </c>
      <c r="BV785" s="2" t="s">
        <v>97</v>
      </c>
      <c r="BW785" s="2" t="s">
        <v>100</v>
      </c>
      <c r="BX785" s="2" t="s">
        <v>100</v>
      </c>
      <c r="BY785" s="2" t="s">
        <v>112</v>
      </c>
      <c r="BZ785" s="2" t="s">
        <v>100</v>
      </c>
    </row>
    <row r="786">
      <c r="A786" s="2" t="s">
        <v>3076</v>
      </c>
      <c r="B786" s="2" t="s">
        <v>87</v>
      </c>
      <c r="C786" s="2" t="s">
        <v>2831</v>
      </c>
      <c r="D786" s="2" t="s">
        <v>1496</v>
      </c>
      <c r="E786" s="2" t="s">
        <v>1497</v>
      </c>
      <c r="F786" s="2" t="s">
        <v>2910</v>
      </c>
      <c r="G786" s="2" t="s">
        <v>2910</v>
      </c>
      <c r="H786" s="2" t="s">
        <v>2910</v>
      </c>
      <c r="I786" s="2" t="s">
        <v>3077</v>
      </c>
      <c r="J786" s="2" t="s">
        <v>522</v>
      </c>
      <c r="K786" s="2" t="s">
        <v>188</v>
      </c>
      <c r="L786" s="3">
        <v>51.3</v>
      </c>
      <c r="M786" s="3">
        <v>53.86</v>
      </c>
      <c r="N786" s="3">
        <v>109.99</v>
      </c>
      <c r="O786" s="2" t="s">
        <v>97</v>
      </c>
      <c r="P786" s="2" t="s">
        <v>98</v>
      </c>
      <c r="Q786" s="2" t="s">
        <v>99</v>
      </c>
      <c r="R786" s="2" t="s">
        <v>100</v>
      </c>
      <c r="S786" s="2" t="s">
        <v>2912</v>
      </c>
      <c r="T786" s="2" t="s">
        <v>190</v>
      </c>
      <c r="U786" s="2" t="s">
        <v>901</v>
      </c>
      <c r="V786" s="2" t="s">
        <v>2913</v>
      </c>
      <c r="W786" s="2" t="s">
        <v>686</v>
      </c>
      <c r="X786" s="2" t="s">
        <v>580</v>
      </c>
      <c r="Y786" s="2" t="s">
        <v>2914</v>
      </c>
      <c r="Z786" s="4">
        <v>73</v>
      </c>
      <c r="AA786" s="4">
        <f>=ROUNDDOWN(24.3333333333333,0)</f>
      </c>
      <c r="AB786" s="5">
        <v>3</v>
      </c>
      <c r="AC786" s="2" t="s">
        <v>676</v>
      </c>
      <c r="AD786" s="4">
        <v>50</v>
      </c>
      <c r="AE786" s="4">
        <v>50</v>
      </c>
      <c r="AF786" s="6">
        <v>69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/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/>
      <c r="BJ786" s="4">
        <v>10</v>
      </c>
      <c r="BK786" s="8">
        <v>523.78</v>
      </c>
      <c r="BL786" s="2" t="s">
        <v>3078</v>
      </c>
      <c r="BM786" s="7"/>
      <c r="BN786" s="7"/>
      <c r="BO786" s="4"/>
      <c r="BP786" s="8"/>
      <c r="BQ786" s="4"/>
      <c r="BR786" s="8"/>
      <c r="BS786" s="7"/>
      <c r="BT786" s="7"/>
      <c r="BU786" s="2" t="s">
        <v>2551</v>
      </c>
      <c r="BV786" s="2" t="s">
        <v>97</v>
      </c>
      <c r="BW786" s="2" t="s">
        <v>100</v>
      </c>
      <c r="BX786" s="2" t="s">
        <v>100</v>
      </c>
      <c r="BY786" s="2" t="s">
        <v>112</v>
      </c>
      <c r="BZ786" s="2" t="s">
        <v>100</v>
      </c>
    </row>
    <row r="787">
      <c r="A787" s="2" t="s">
        <v>3079</v>
      </c>
      <c r="B787" s="2" t="s">
        <v>87</v>
      </c>
      <c r="C787" s="2" t="s">
        <v>2831</v>
      </c>
      <c r="D787" s="2" t="s">
        <v>1496</v>
      </c>
      <c r="E787" s="2" t="s">
        <v>1497</v>
      </c>
      <c r="F787" s="2" t="s">
        <v>2910</v>
      </c>
      <c r="G787" s="2" t="s">
        <v>2910</v>
      </c>
      <c r="H787" s="2" t="s">
        <v>2910</v>
      </c>
      <c r="I787" s="2" t="s">
        <v>3077</v>
      </c>
      <c r="J787" s="2" t="s">
        <v>529</v>
      </c>
      <c r="K787" s="2" t="s">
        <v>188</v>
      </c>
      <c r="L787" s="3">
        <v>65.55</v>
      </c>
      <c r="M787" s="3">
        <v>68.83</v>
      </c>
      <c r="N787" s="3">
        <v>139.99</v>
      </c>
      <c r="O787" s="2" t="s">
        <v>97</v>
      </c>
      <c r="P787" s="2" t="s">
        <v>98</v>
      </c>
      <c r="Q787" s="2" t="s">
        <v>99</v>
      </c>
      <c r="R787" s="2" t="s">
        <v>100</v>
      </c>
      <c r="S787" s="2" t="s">
        <v>2912</v>
      </c>
      <c r="T787" s="2" t="s">
        <v>190</v>
      </c>
      <c r="U787" s="2" t="s">
        <v>901</v>
      </c>
      <c r="V787" s="2" t="s">
        <v>2913</v>
      </c>
      <c r="W787" s="2" t="s">
        <v>686</v>
      </c>
      <c r="X787" s="2" t="s">
        <v>580</v>
      </c>
      <c r="Y787" s="2" t="s">
        <v>2914</v>
      </c>
      <c r="Z787" s="4">
        <v>75</v>
      </c>
      <c r="AA787" s="4">
        <f>=ROUNDDOWN(25,0)</f>
      </c>
      <c r="AB787" s="5">
        <v>3</v>
      </c>
      <c r="AC787" s="2" t="s">
        <v>676</v>
      </c>
      <c r="AD787" s="4">
        <v>40</v>
      </c>
      <c r="AE787" s="4">
        <v>40</v>
      </c>
      <c r="AF787" s="6">
        <v>69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/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/>
      <c r="BJ787" s="4">
        <v>6</v>
      </c>
      <c r="BK787" s="8">
        <v>427.21</v>
      </c>
      <c r="BL787" s="2" t="s">
        <v>2607</v>
      </c>
      <c r="BM787" s="7"/>
      <c r="BN787" s="7"/>
      <c r="BO787" s="4"/>
      <c r="BP787" s="8"/>
      <c r="BQ787" s="4"/>
      <c r="BR787" s="8"/>
      <c r="BS787" s="7"/>
      <c r="BT787" s="7"/>
      <c r="BU787" s="2" t="s">
        <v>2551</v>
      </c>
      <c r="BV787" s="2" t="s">
        <v>97</v>
      </c>
      <c r="BW787" s="2" t="s">
        <v>100</v>
      </c>
      <c r="BX787" s="2" t="s">
        <v>100</v>
      </c>
      <c r="BY787" s="2" t="s">
        <v>112</v>
      </c>
      <c r="BZ787" s="2" t="s">
        <v>100</v>
      </c>
    </row>
    <row r="788">
      <c r="A788" s="2" t="s">
        <v>3080</v>
      </c>
      <c r="B788" s="2" t="s">
        <v>87</v>
      </c>
      <c r="C788" s="2" t="s">
        <v>2831</v>
      </c>
      <c r="D788" s="2" t="s">
        <v>1496</v>
      </c>
      <c r="E788" s="2" t="s">
        <v>1497</v>
      </c>
      <c r="F788" s="2" t="s">
        <v>2910</v>
      </c>
      <c r="G788" s="2" t="s">
        <v>2910</v>
      </c>
      <c r="H788" s="2" t="s">
        <v>2910</v>
      </c>
      <c r="I788" s="2" t="s">
        <v>3077</v>
      </c>
      <c r="J788" s="2" t="s">
        <v>522</v>
      </c>
      <c r="K788" s="2" t="s">
        <v>545</v>
      </c>
      <c r="L788" s="3">
        <v>51.3</v>
      </c>
      <c r="M788" s="3">
        <v>53.86</v>
      </c>
      <c r="N788" s="3">
        <v>109.99</v>
      </c>
      <c r="O788" s="2" t="s">
        <v>97</v>
      </c>
      <c r="P788" s="2" t="s">
        <v>123</v>
      </c>
      <c r="Q788" s="2" t="s">
        <v>99</v>
      </c>
      <c r="R788" s="2" t="s">
        <v>100</v>
      </c>
      <c r="S788" s="2" t="s">
        <v>2917</v>
      </c>
      <c r="T788" s="2" t="s">
        <v>190</v>
      </c>
      <c r="U788" s="2" t="s">
        <v>901</v>
      </c>
      <c r="V788" s="2" t="s">
        <v>2913</v>
      </c>
      <c r="W788" s="2" t="s">
        <v>686</v>
      </c>
      <c r="X788" s="2" t="s">
        <v>580</v>
      </c>
      <c r="Y788" s="2" t="s">
        <v>3081</v>
      </c>
      <c r="Z788" s="4">
        <v>372</v>
      </c>
      <c r="AA788" s="4">
        <f>=ROUNDDOWN(41.3333333333333,0)</f>
      </c>
      <c r="AB788" s="5">
        <v>9</v>
      </c>
      <c r="AC788" s="2" t="s">
        <v>3082</v>
      </c>
      <c r="AD788" s="4">
        <v>30</v>
      </c>
      <c r="AE788" s="4">
        <v>30</v>
      </c>
      <c r="AF788" s="6">
        <v>69</v>
      </c>
      <c r="AG788" s="6">
        <v>77</v>
      </c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100</v>
      </c>
      <c r="AW788" s="8" t="s">
        <v>100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/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/>
      <c r="BJ788" s="4">
        <v>19</v>
      </c>
      <c r="BK788" s="8">
        <v>1059.91</v>
      </c>
      <c r="BL788" s="2" t="s">
        <v>3083</v>
      </c>
      <c r="BM788" s="7"/>
      <c r="BN788" s="7"/>
      <c r="BO788" s="4"/>
      <c r="BP788" s="8"/>
      <c r="BQ788" s="4"/>
      <c r="BR788" s="8"/>
      <c r="BS788" s="7"/>
      <c r="BT788" s="7"/>
      <c r="BU788" s="2" t="s">
        <v>2551</v>
      </c>
      <c r="BV788" s="2" t="s">
        <v>97</v>
      </c>
      <c r="BW788" s="2" t="s">
        <v>100</v>
      </c>
      <c r="BX788" s="2" t="s">
        <v>100</v>
      </c>
      <c r="BY788" s="2" t="s">
        <v>112</v>
      </c>
      <c r="BZ788" s="2" t="s">
        <v>100</v>
      </c>
    </row>
    <row r="789">
      <c r="A789" s="2" t="s">
        <v>3084</v>
      </c>
      <c r="B789" s="2" t="s">
        <v>87</v>
      </c>
      <c r="C789" s="2" t="s">
        <v>2831</v>
      </c>
      <c r="D789" s="2" t="s">
        <v>1496</v>
      </c>
      <c r="E789" s="2" t="s">
        <v>1497</v>
      </c>
      <c r="F789" s="2" t="s">
        <v>2910</v>
      </c>
      <c r="G789" s="2" t="s">
        <v>2910</v>
      </c>
      <c r="H789" s="2" t="s">
        <v>2910</v>
      </c>
      <c r="I789" s="2" t="s">
        <v>3077</v>
      </c>
      <c r="J789" s="2" t="s">
        <v>529</v>
      </c>
      <c r="K789" s="2" t="s">
        <v>545</v>
      </c>
      <c r="L789" s="3">
        <v>65.55</v>
      </c>
      <c r="M789" s="3">
        <v>68.83</v>
      </c>
      <c r="N789" s="3">
        <v>139.99</v>
      </c>
      <c r="O789" s="2" t="s">
        <v>97</v>
      </c>
      <c r="P789" s="2" t="s">
        <v>123</v>
      </c>
      <c r="Q789" s="2" t="s">
        <v>99</v>
      </c>
      <c r="R789" s="2" t="s">
        <v>100</v>
      </c>
      <c r="S789" s="2" t="s">
        <v>2917</v>
      </c>
      <c r="T789" s="2" t="s">
        <v>190</v>
      </c>
      <c r="U789" s="2" t="s">
        <v>901</v>
      </c>
      <c r="V789" s="2" t="s">
        <v>2913</v>
      </c>
      <c r="W789" s="2" t="s">
        <v>686</v>
      </c>
      <c r="X789" s="2" t="s">
        <v>580</v>
      </c>
      <c r="Y789" s="2" t="s">
        <v>2914</v>
      </c>
      <c r="Z789" s="4">
        <v>510</v>
      </c>
      <c r="AA789" s="4">
        <f>=ROUNDDOWN(46.3636363636364,0)</f>
      </c>
      <c r="AB789" s="5">
        <v>11</v>
      </c>
      <c r="AC789" s="2" t="s">
        <v>130</v>
      </c>
      <c r="AD789" s="4">
        <v>80</v>
      </c>
      <c r="AE789" s="4">
        <v>120</v>
      </c>
      <c r="AF789" s="6">
        <v>69</v>
      </c>
      <c r="AG789" s="6">
        <v>77</v>
      </c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/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/>
      <c r="BJ789" s="4">
        <v>14</v>
      </c>
      <c r="BK789" s="8">
        <v>1013.53</v>
      </c>
      <c r="BL789" s="2" t="s">
        <v>3085</v>
      </c>
      <c r="BM789" s="7"/>
      <c r="BN789" s="7"/>
      <c r="BO789" s="4"/>
      <c r="BP789" s="8"/>
      <c r="BQ789" s="4"/>
      <c r="BR789" s="8"/>
      <c r="BS789" s="7"/>
      <c r="BT789" s="7"/>
      <c r="BU789" s="2" t="s">
        <v>2551</v>
      </c>
      <c r="BV789" s="2" t="s">
        <v>97</v>
      </c>
      <c r="BW789" s="2" t="s">
        <v>100</v>
      </c>
      <c r="BX789" s="2" t="s">
        <v>100</v>
      </c>
      <c r="BY789" s="2" t="s">
        <v>112</v>
      </c>
      <c r="BZ789" s="2" t="s">
        <v>100</v>
      </c>
    </row>
    <row r="790">
      <c r="A790" s="2" t="s">
        <v>3086</v>
      </c>
      <c r="B790" s="2" t="s">
        <v>87</v>
      </c>
      <c r="C790" s="2" t="s">
        <v>2831</v>
      </c>
      <c r="D790" s="2" t="s">
        <v>1496</v>
      </c>
      <c r="E790" s="2" t="s">
        <v>1497</v>
      </c>
      <c r="F790" s="2" t="s">
        <v>2910</v>
      </c>
      <c r="G790" s="2" t="s">
        <v>2910</v>
      </c>
      <c r="H790" s="2" t="s">
        <v>2910</v>
      </c>
      <c r="I790" s="2" t="s">
        <v>3077</v>
      </c>
      <c r="J790" s="2" t="s">
        <v>522</v>
      </c>
      <c r="K790" s="2" t="s">
        <v>1373</v>
      </c>
      <c r="L790" s="3">
        <v>51.3</v>
      </c>
      <c r="M790" s="3">
        <v>53.86</v>
      </c>
      <c r="N790" s="3">
        <v>109.99</v>
      </c>
      <c r="O790" s="2" t="s">
        <v>97</v>
      </c>
      <c r="P790" s="2" t="s">
        <v>139</v>
      </c>
      <c r="Q790" s="2" t="s">
        <v>99</v>
      </c>
      <c r="R790" s="2" t="s">
        <v>100</v>
      </c>
      <c r="S790" s="2" t="s">
        <v>2922</v>
      </c>
      <c r="T790" s="2" t="s">
        <v>190</v>
      </c>
      <c r="U790" s="2" t="s">
        <v>901</v>
      </c>
      <c r="V790" s="2" t="s">
        <v>2913</v>
      </c>
      <c r="W790" s="2" t="s">
        <v>686</v>
      </c>
      <c r="X790" s="2" t="s">
        <v>580</v>
      </c>
      <c r="Y790" s="2" t="s">
        <v>2923</v>
      </c>
      <c r="Z790" s="4">
        <v>683</v>
      </c>
      <c r="AA790" s="4">
        <f>=ROUNDDOWN(25.2962962962963,0)</f>
      </c>
      <c r="AB790" s="5">
        <v>27</v>
      </c>
      <c r="AC790" s="2" t="s">
        <v>2843</v>
      </c>
      <c r="AD790" s="4">
        <v>50</v>
      </c>
      <c r="AE790" s="4">
        <v>420</v>
      </c>
      <c r="AF790" s="6">
        <v>69</v>
      </c>
      <c r="AG790" s="6">
        <v>77</v>
      </c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/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/>
      <c r="BJ790" s="4">
        <v>74</v>
      </c>
      <c r="BK790" s="8">
        <v>4077.66</v>
      </c>
      <c r="BL790" s="2" t="s">
        <v>3087</v>
      </c>
      <c r="BM790" s="7"/>
      <c r="BN790" s="7"/>
      <c r="BO790" s="4"/>
      <c r="BP790" s="8"/>
      <c r="BQ790" s="4"/>
      <c r="BR790" s="8"/>
      <c r="BS790" s="7"/>
      <c r="BT790" s="7"/>
      <c r="BU790" s="2" t="s">
        <v>2551</v>
      </c>
      <c r="BV790" s="2" t="s">
        <v>97</v>
      </c>
      <c r="BW790" s="2" t="s">
        <v>100</v>
      </c>
      <c r="BX790" s="2" t="s">
        <v>100</v>
      </c>
      <c r="BY790" s="2" t="s">
        <v>112</v>
      </c>
      <c r="BZ790" s="2" t="s">
        <v>100</v>
      </c>
    </row>
    <row r="791">
      <c r="A791" s="2" t="s">
        <v>3088</v>
      </c>
      <c r="B791" s="2" t="s">
        <v>87</v>
      </c>
      <c r="C791" s="2" t="s">
        <v>2831</v>
      </c>
      <c r="D791" s="2" t="s">
        <v>1496</v>
      </c>
      <c r="E791" s="2" t="s">
        <v>1497</v>
      </c>
      <c r="F791" s="2" t="s">
        <v>2910</v>
      </c>
      <c r="G791" s="2" t="s">
        <v>2910</v>
      </c>
      <c r="H791" s="2" t="s">
        <v>2910</v>
      </c>
      <c r="I791" s="2" t="s">
        <v>3077</v>
      </c>
      <c r="J791" s="2" t="s">
        <v>529</v>
      </c>
      <c r="K791" s="2" t="s">
        <v>1373</v>
      </c>
      <c r="L791" s="3">
        <v>65.55</v>
      </c>
      <c r="M791" s="3">
        <v>68.83</v>
      </c>
      <c r="N791" s="3">
        <v>139.99</v>
      </c>
      <c r="O791" s="2" t="s">
        <v>97</v>
      </c>
      <c r="P791" s="2" t="s">
        <v>139</v>
      </c>
      <c r="Q791" s="2" t="s">
        <v>99</v>
      </c>
      <c r="R791" s="2" t="s">
        <v>100</v>
      </c>
      <c r="S791" s="2" t="s">
        <v>2922</v>
      </c>
      <c r="T791" s="2" t="s">
        <v>190</v>
      </c>
      <c r="U791" s="2" t="s">
        <v>901</v>
      </c>
      <c r="V791" s="2" t="s">
        <v>2913</v>
      </c>
      <c r="W791" s="2" t="s">
        <v>686</v>
      </c>
      <c r="X791" s="2" t="s">
        <v>580</v>
      </c>
      <c r="Y791" s="2" t="s">
        <v>2923</v>
      </c>
      <c r="Z791" s="4">
        <v>1202</v>
      </c>
      <c r="AA791" s="4">
        <f>=ROUNDDOWN(60.1,0)</f>
      </c>
      <c r="AB791" s="5">
        <v>20</v>
      </c>
      <c r="AC791" s="2" t="s">
        <v>100</v>
      </c>
      <c r="AD791" s="4"/>
      <c r="AE791" s="4"/>
      <c r="AF791" s="6">
        <v>69</v>
      </c>
      <c r="AG791" s="6">
        <v>77</v>
      </c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/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/>
      <c r="BJ791" s="4">
        <v>55</v>
      </c>
      <c r="BK791" s="8">
        <v>3924.57</v>
      </c>
      <c r="BL791" s="2" t="s">
        <v>3089</v>
      </c>
      <c r="BM791" s="7"/>
      <c r="BN791" s="7"/>
      <c r="BO791" s="4"/>
      <c r="BP791" s="8"/>
      <c r="BQ791" s="4"/>
      <c r="BR791" s="8"/>
      <c r="BS791" s="7"/>
      <c r="BT791" s="7"/>
      <c r="BU791" s="2" t="s">
        <v>2551</v>
      </c>
      <c r="BV791" s="2" t="s">
        <v>97</v>
      </c>
      <c r="BW791" s="2" t="s">
        <v>100</v>
      </c>
      <c r="BX791" s="2" t="s">
        <v>100</v>
      </c>
      <c r="BY791" s="2" t="s">
        <v>112</v>
      </c>
      <c r="BZ791" s="2" t="s">
        <v>100</v>
      </c>
    </row>
    <row r="792">
      <c r="A792" s="2" t="s">
        <v>3090</v>
      </c>
      <c r="B792" s="2" t="s">
        <v>87</v>
      </c>
      <c r="C792" s="2" t="s">
        <v>2831</v>
      </c>
      <c r="D792" s="2" t="s">
        <v>1496</v>
      </c>
      <c r="E792" s="2" t="s">
        <v>1497</v>
      </c>
      <c r="F792" s="2" t="s">
        <v>2910</v>
      </c>
      <c r="G792" s="2" t="s">
        <v>2910</v>
      </c>
      <c r="H792" s="2" t="s">
        <v>2910</v>
      </c>
      <c r="I792" s="2" t="s">
        <v>3077</v>
      </c>
      <c r="J792" s="2" t="s">
        <v>522</v>
      </c>
      <c r="K792" s="2" t="s">
        <v>2928</v>
      </c>
      <c r="L792" s="3">
        <v>51.3</v>
      </c>
      <c r="M792" s="3">
        <v>53.86</v>
      </c>
      <c r="N792" s="3">
        <v>109.99</v>
      </c>
      <c r="O792" s="2" t="s">
        <v>97</v>
      </c>
      <c r="P792" s="2" t="s">
        <v>139</v>
      </c>
      <c r="Q792" s="2" t="s">
        <v>99</v>
      </c>
      <c r="R792" s="2" t="s">
        <v>100</v>
      </c>
      <c r="S792" s="2" t="s">
        <v>2929</v>
      </c>
      <c r="T792" s="2" t="s">
        <v>190</v>
      </c>
      <c r="U792" s="2" t="s">
        <v>901</v>
      </c>
      <c r="V792" s="2" t="s">
        <v>2913</v>
      </c>
      <c r="W792" s="2" t="s">
        <v>686</v>
      </c>
      <c r="X792" s="2" t="s">
        <v>580</v>
      </c>
      <c r="Y792" s="2" t="s">
        <v>2930</v>
      </c>
      <c r="Z792" s="4">
        <v>304</v>
      </c>
      <c r="AA792" s="4">
        <f>=ROUNDDOWN(23.3846153846154,0)</f>
      </c>
      <c r="AB792" s="5">
        <v>13</v>
      </c>
      <c r="AC792" s="2" t="s">
        <v>262</v>
      </c>
      <c r="AD792" s="4">
        <v>70</v>
      </c>
      <c r="AE792" s="4">
        <v>240</v>
      </c>
      <c r="AF792" s="6">
        <v>69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/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/>
      <c r="BJ792" s="4">
        <v>36</v>
      </c>
      <c r="BK792" s="8">
        <v>2028.73</v>
      </c>
      <c r="BL792" s="2" t="s">
        <v>3091</v>
      </c>
      <c r="BM792" s="7"/>
      <c r="BN792" s="7"/>
      <c r="BO792" s="4"/>
      <c r="BP792" s="8"/>
      <c r="BQ792" s="4"/>
      <c r="BR792" s="8"/>
      <c r="BS792" s="7"/>
      <c r="BT792" s="7"/>
      <c r="BU792" s="2" t="s">
        <v>2551</v>
      </c>
      <c r="BV792" s="2" t="s">
        <v>97</v>
      </c>
      <c r="BW792" s="2" t="s">
        <v>100</v>
      </c>
      <c r="BX792" s="2" t="s">
        <v>100</v>
      </c>
      <c r="BY792" s="2" t="s">
        <v>112</v>
      </c>
      <c r="BZ792" s="2" t="s">
        <v>100</v>
      </c>
    </row>
    <row r="793">
      <c r="A793" s="2" t="s">
        <v>3092</v>
      </c>
      <c r="B793" s="2" t="s">
        <v>87</v>
      </c>
      <c r="C793" s="2" t="s">
        <v>2831</v>
      </c>
      <c r="D793" s="2" t="s">
        <v>1496</v>
      </c>
      <c r="E793" s="2" t="s">
        <v>1497</v>
      </c>
      <c r="F793" s="2" t="s">
        <v>2910</v>
      </c>
      <c r="G793" s="2" t="s">
        <v>2910</v>
      </c>
      <c r="H793" s="2" t="s">
        <v>2910</v>
      </c>
      <c r="I793" s="2" t="s">
        <v>3077</v>
      </c>
      <c r="J793" s="2" t="s">
        <v>529</v>
      </c>
      <c r="K793" s="2" t="s">
        <v>2928</v>
      </c>
      <c r="L793" s="3">
        <v>65.55</v>
      </c>
      <c r="M793" s="3">
        <v>68.83</v>
      </c>
      <c r="N793" s="3">
        <v>139.99</v>
      </c>
      <c r="O793" s="2" t="s">
        <v>97</v>
      </c>
      <c r="P793" s="2" t="s">
        <v>139</v>
      </c>
      <c r="Q793" s="2" t="s">
        <v>99</v>
      </c>
      <c r="R793" s="2" t="s">
        <v>100</v>
      </c>
      <c r="S793" s="2" t="s">
        <v>2929</v>
      </c>
      <c r="T793" s="2" t="s">
        <v>190</v>
      </c>
      <c r="U793" s="2" t="s">
        <v>901</v>
      </c>
      <c r="V793" s="2" t="s">
        <v>2913</v>
      </c>
      <c r="W793" s="2" t="s">
        <v>686</v>
      </c>
      <c r="X793" s="2" t="s">
        <v>580</v>
      </c>
      <c r="Y793" s="2" t="s">
        <v>2930</v>
      </c>
      <c r="Z793" s="4">
        <v>426</v>
      </c>
      <c r="AA793" s="4">
        <f>=ROUNDDOWN(42.6,0)</f>
      </c>
      <c r="AB793" s="5">
        <v>10</v>
      </c>
      <c r="AC793" s="2" t="s">
        <v>2709</v>
      </c>
      <c r="AD793" s="4">
        <v>60</v>
      </c>
      <c r="AE793" s="4">
        <v>158</v>
      </c>
      <c r="AF793" s="6">
        <v>69</v>
      </c>
      <c r="AG793" s="6"/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/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/>
      <c r="BJ793" s="4">
        <v>36</v>
      </c>
      <c r="BK793" s="8">
        <v>2626.9</v>
      </c>
      <c r="BL793" s="2" t="s">
        <v>1271</v>
      </c>
      <c r="BM793" s="7"/>
      <c r="BN793" s="7"/>
      <c r="BO793" s="4"/>
      <c r="BP793" s="8"/>
      <c r="BQ793" s="4"/>
      <c r="BR793" s="8"/>
      <c r="BS793" s="7"/>
      <c r="BT793" s="7"/>
      <c r="BU793" s="2" t="s">
        <v>2551</v>
      </c>
      <c r="BV793" s="2" t="s">
        <v>97</v>
      </c>
      <c r="BW793" s="2" t="s">
        <v>100</v>
      </c>
      <c r="BX793" s="2" t="s">
        <v>100</v>
      </c>
      <c r="BY793" s="2" t="s">
        <v>112</v>
      </c>
      <c r="BZ793" s="2" t="s">
        <v>100</v>
      </c>
    </row>
    <row r="794">
      <c r="A794" s="2" t="s">
        <v>3093</v>
      </c>
      <c r="B794" s="2" t="s">
        <v>87</v>
      </c>
      <c r="C794" s="2" t="s">
        <v>2831</v>
      </c>
      <c r="D794" s="2" t="s">
        <v>1496</v>
      </c>
      <c r="E794" s="2" t="s">
        <v>1497</v>
      </c>
      <c r="F794" s="2" t="s">
        <v>2935</v>
      </c>
      <c r="G794" s="2" t="s">
        <v>2935</v>
      </c>
      <c r="H794" s="2" t="s">
        <v>2935</v>
      </c>
      <c r="I794" s="2" t="s">
        <v>3094</v>
      </c>
      <c r="J794" s="2" t="s">
        <v>522</v>
      </c>
      <c r="K794" s="2" t="s">
        <v>471</v>
      </c>
      <c r="L794" s="3">
        <v>55</v>
      </c>
      <c r="M794" s="3">
        <v>57.75</v>
      </c>
      <c r="N794" s="3">
        <v>109.99</v>
      </c>
      <c r="O794" s="2" t="s">
        <v>97</v>
      </c>
      <c r="P794" s="2" t="s">
        <v>139</v>
      </c>
      <c r="Q794" s="2" t="s">
        <v>99</v>
      </c>
      <c r="R794" s="2" t="s">
        <v>100</v>
      </c>
      <c r="S794" s="2" t="s">
        <v>2937</v>
      </c>
      <c r="T794" s="2" t="s">
        <v>190</v>
      </c>
      <c r="U794" s="2" t="s">
        <v>901</v>
      </c>
      <c r="V794" s="2" t="s">
        <v>461</v>
      </c>
      <c r="W794" s="2" t="s">
        <v>2523</v>
      </c>
      <c r="X794" s="2" t="s">
        <v>609</v>
      </c>
      <c r="Y794" s="2" t="s">
        <v>2938</v>
      </c>
      <c r="Z794" s="4">
        <v>329</v>
      </c>
      <c r="AA794" s="4">
        <f>=ROUNDDOWN(21.9333333333333,0)</f>
      </c>
      <c r="AB794" s="5">
        <v>15</v>
      </c>
      <c r="AC794" s="2" t="s">
        <v>832</v>
      </c>
      <c r="AD794" s="4">
        <v>120</v>
      </c>
      <c r="AE794" s="4">
        <v>220</v>
      </c>
      <c r="AF794" s="6">
        <v>67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100</v>
      </c>
      <c r="AW794" s="8" t="s">
        <v>100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/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/>
      <c r="BJ794" s="4">
        <v>22</v>
      </c>
      <c r="BK794" s="8">
        <v>1377.4</v>
      </c>
      <c r="BL794" s="2" t="s">
        <v>3095</v>
      </c>
      <c r="BM794" s="7"/>
      <c r="BN794" s="7"/>
      <c r="BO794" s="4"/>
      <c r="BP794" s="8"/>
      <c r="BQ794" s="4"/>
      <c r="BR794" s="8"/>
      <c r="BS794" s="7"/>
      <c r="BT794" s="7"/>
      <c r="BU794" s="2" t="s">
        <v>2551</v>
      </c>
      <c r="BV794" s="2" t="s">
        <v>97</v>
      </c>
      <c r="BW794" s="2" t="s">
        <v>100</v>
      </c>
      <c r="BX794" s="2" t="s">
        <v>100</v>
      </c>
      <c r="BY794" s="2" t="s">
        <v>112</v>
      </c>
      <c r="BZ794" s="2" t="s">
        <v>100</v>
      </c>
    </row>
    <row r="795">
      <c r="A795" s="2" t="s">
        <v>3096</v>
      </c>
      <c r="B795" s="2" t="s">
        <v>87</v>
      </c>
      <c r="C795" s="2" t="s">
        <v>2831</v>
      </c>
      <c r="D795" s="2" t="s">
        <v>1496</v>
      </c>
      <c r="E795" s="2" t="s">
        <v>1497</v>
      </c>
      <c r="F795" s="2" t="s">
        <v>2935</v>
      </c>
      <c r="G795" s="2" t="s">
        <v>2935</v>
      </c>
      <c r="H795" s="2" t="s">
        <v>2935</v>
      </c>
      <c r="I795" s="2" t="s">
        <v>3094</v>
      </c>
      <c r="J795" s="2" t="s">
        <v>529</v>
      </c>
      <c r="K795" s="2" t="s">
        <v>471</v>
      </c>
      <c r="L795" s="3">
        <v>70</v>
      </c>
      <c r="M795" s="3">
        <v>73.5</v>
      </c>
      <c r="N795" s="3">
        <v>139.99</v>
      </c>
      <c r="O795" s="2" t="s">
        <v>97</v>
      </c>
      <c r="P795" s="2" t="s">
        <v>139</v>
      </c>
      <c r="Q795" s="2" t="s">
        <v>99</v>
      </c>
      <c r="R795" s="2" t="s">
        <v>100</v>
      </c>
      <c r="S795" s="2" t="s">
        <v>2937</v>
      </c>
      <c r="T795" s="2" t="s">
        <v>190</v>
      </c>
      <c r="U795" s="2" t="s">
        <v>901</v>
      </c>
      <c r="V795" s="2" t="s">
        <v>461</v>
      </c>
      <c r="W795" s="2" t="s">
        <v>2523</v>
      </c>
      <c r="X795" s="2" t="s">
        <v>609</v>
      </c>
      <c r="Y795" s="2" t="s">
        <v>2938</v>
      </c>
      <c r="Z795" s="4">
        <v>202</v>
      </c>
      <c r="AA795" s="4">
        <f>=ROUNDDOWN(20.2,0)</f>
      </c>
      <c r="AB795" s="5">
        <v>10</v>
      </c>
      <c r="AC795" s="2" t="s">
        <v>832</v>
      </c>
      <c r="AD795" s="4">
        <v>45</v>
      </c>
      <c r="AE795" s="4">
        <v>210</v>
      </c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/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/>
      <c r="BJ795" s="4">
        <v>32</v>
      </c>
      <c r="BK795" s="8">
        <v>2463.52</v>
      </c>
      <c r="BL795" s="2" t="s">
        <v>2404</v>
      </c>
      <c r="BM795" s="7"/>
      <c r="BN795" s="7"/>
      <c r="BO795" s="4"/>
      <c r="BP795" s="8"/>
      <c r="BQ795" s="4"/>
      <c r="BR795" s="8"/>
      <c r="BS795" s="7"/>
      <c r="BT795" s="7"/>
      <c r="BU795" s="2" t="s">
        <v>2551</v>
      </c>
      <c r="BV795" s="2" t="s">
        <v>97</v>
      </c>
      <c r="BW795" s="2" t="s">
        <v>100</v>
      </c>
      <c r="BX795" s="2" t="s">
        <v>100</v>
      </c>
      <c r="BY795" s="2" t="s">
        <v>112</v>
      </c>
      <c r="BZ795" s="2" t="s">
        <v>100</v>
      </c>
    </row>
    <row r="796">
      <c r="A796" s="2" t="s">
        <v>3097</v>
      </c>
      <c r="B796" s="2" t="s">
        <v>87</v>
      </c>
      <c r="C796" s="2" t="s">
        <v>2831</v>
      </c>
      <c r="D796" s="2" t="s">
        <v>1496</v>
      </c>
      <c r="E796" s="2" t="s">
        <v>1497</v>
      </c>
      <c r="F796" s="2" t="s">
        <v>2935</v>
      </c>
      <c r="G796" s="2" t="s">
        <v>2935</v>
      </c>
      <c r="H796" s="2" t="s">
        <v>2935</v>
      </c>
      <c r="I796" s="2" t="s">
        <v>3094</v>
      </c>
      <c r="J796" s="2" t="s">
        <v>522</v>
      </c>
      <c r="K796" s="2" t="s">
        <v>188</v>
      </c>
      <c r="L796" s="3">
        <v>55</v>
      </c>
      <c r="M796" s="3">
        <v>57.75</v>
      </c>
      <c r="N796" s="3">
        <v>109.99</v>
      </c>
      <c r="O796" s="2" t="s">
        <v>97</v>
      </c>
      <c r="P796" s="2" t="s">
        <v>98</v>
      </c>
      <c r="Q796" s="2" t="s">
        <v>99</v>
      </c>
      <c r="R796" s="2" t="s">
        <v>100</v>
      </c>
      <c r="S796" s="2" t="s">
        <v>2943</v>
      </c>
      <c r="T796" s="2" t="s">
        <v>190</v>
      </c>
      <c r="U796" s="2" t="s">
        <v>901</v>
      </c>
      <c r="V796" s="2" t="s">
        <v>461</v>
      </c>
      <c r="W796" s="2" t="s">
        <v>2523</v>
      </c>
      <c r="X796" s="2" t="s">
        <v>609</v>
      </c>
      <c r="Y796" s="2" t="s">
        <v>3098</v>
      </c>
      <c r="Z796" s="4">
        <v>85</v>
      </c>
      <c r="AA796" s="4">
        <f>=ROUNDDOWN(14.1666666666667,0)</f>
      </c>
      <c r="AB796" s="5">
        <v>6</v>
      </c>
      <c r="AC796" s="2" t="s">
        <v>1238</v>
      </c>
      <c r="AD796" s="4">
        <v>70</v>
      </c>
      <c r="AE796" s="4">
        <v>70</v>
      </c>
      <c r="AF796" s="6">
        <v>67</v>
      </c>
      <c r="AG796" s="6"/>
      <c r="AH796" s="7">
        <v>0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100</v>
      </c>
      <c r="AW796" s="8" t="s">
        <v>100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/>
      <c r="BC796" s="4" t="s">
        <v>100</v>
      </c>
      <c r="BD796" s="8" t="s">
        <v>100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/>
      <c r="BJ796" s="4"/>
      <c r="BK796" s="8"/>
      <c r="BL796" s="2" t="s">
        <v>100</v>
      </c>
      <c r="BM796" s="7"/>
      <c r="BN796" s="7"/>
      <c r="BO796" s="4"/>
      <c r="BP796" s="8"/>
      <c r="BQ796" s="4"/>
      <c r="BR796" s="8"/>
      <c r="BS796" s="7"/>
      <c r="BT796" s="7"/>
      <c r="BU796" s="2" t="s">
        <v>2551</v>
      </c>
      <c r="BV796" s="2" t="s">
        <v>97</v>
      </c>
      <c r="BW796" s="2" t="s">
        <v>100</v>
      </c>
      <c r="BX796" s="2" t="s">
        <v>100</v>
      </c>
      <c r="BY796" s="2" t="s">
        <v>112</v>
      </c>
      <c r="BZ796" s="2" t="s">
        <v>100</v>
      </c>
    </row>
    <row r="797">
      <c r="A797" s="2" t="s">
        <v>3099</v>
      </c>
      <c r="B797" s="2" t="s">
        <v>87</v>
      </c>
      <c r="C797" s="2" t="s">
        <v>2831</v>
      </c>
      <c r="D797" s="2" t="s">
        <v>1496</v>
      </c>
      <c r="E797" s="2" t="s">
        <v>1497</v>
      </c>
      <c r="F797" s="2" t="s">
        <v>2935</v>
      </c>
      <c r="G797" s="2" t="s">
        <v>2935</v>
      </c>
      <c r="H797" s="2" t="s">
        <v>2935</v>
      </c>
      <c r="I797" s="2" t="s">
        <v>3094</v>
      </c>
      <c r="J797" s="2" t="s">
        <v>529</v>
      </c>
      <c r="K797" s="2" t="s">
        <v>188</v>
      </c>
      <c r="L797" s="3">
        <v>70</v>
      </c>
      <c r="M797" s="3">
        <v>73.5</v>
      </c>
      <c r="N797" s="3">
        <v>139.99</v>
      </c>
      <c r="O797" s="2" t="s">
        <v>97</v>
      </c>
      <c r="P797" s="2" t="s">
        <v>98</v>
      </c>
      <c r="Q797" s="2" t="s">
        <v>99</v>
      </c>
      <c r="R797" s="2" t="s">
        <v>100</v>
      </c>
      <c r="S797" s="2" t="s">
        <v>2943</v>
      </c>
      <c r="T797" s="2" t="s">
        <v>190</v>
      </c>
      <c r="U797" s="2" t="s">
        <v>901</v>
      </c>
      <c r="V797" s="2" t="s">
        <v>461</v>
      </c>
      <c r="W797" s="2" t="s">
        <v>2523</v>
      </c>
      <c r="X797" s="2" t="s">
        <v>609</v>
      </c>
      <c r="Y797" s="2" t="s">
        <v>3100</v>
      </c>
      <c r="Z797" s="4">
        <v>78</v>
      </c>
      <c r="AA797" s="4">
        <f>=ROUNDDOWN(19.5,0)</f>
      </c>
      <c r="AB797" s="5">
        <v>4</v>
      </c>
      <c r="AC797" s="2" t="s">
        <v>1238</v>
      </c>
      <c r="AD797" s="4">
        <v>14</v>
      </c>
      <c r="AE797" s="4">
        <v>14</v>
      </c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/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/>
      <c r="BJ797" s="4">
        <v>7</v>
      </c>
      <c r="BK797" s="8">
        <v>543.89</v>
      </c>
      <c r="BL797" s="2" t="s">
        <v>3101</v>
      </c>
      <c r="BM797" s="7"/>
      <c r="BN797" s="7"/>
      <c r="BO797" s="4"/>
      <c r="BP797" s="8"/>
      <c r="BQ797" s="4"/>
      <c r="BR797" s="8"/>
      <c r="BS797" s="7"/>
      <c r="BT797" s="7"/>
      <c r="BU797" s="2" t="s">
        <v>2551</v>
      </c>
      <c r="BV797" s="2" t="s">
        <v>97</v>
      </c>
      <c r="BW797" s="2" t="s">
        <v>100</v>
      </c>
      <c r="BX797" s="2" t="s">
        <v>100</v>
      </c>
      <c r="BY797" s="2" t="s">
        <v>112</v>
      </c>
      <c r="BZ797" s="2" t="s">
        <v>100</v>
      </c>
    </row>
    <row r="798">
      <c r="A798" s="2" t="s">
        <v>3102</v>
      </c>
      <c r="B798" s="2" t="s">
        <v>87</v>
      </c>
      <c r="C798" s="2" t="s">
        <v>2831</v>
      </c>
      <c r="D798" s="2" t="s">
        <v>1496</v>
      </c>
      <c r="E798" s="2" t="s">
        <v>1497</v>
      </c>
      <c r="F798" s="2" t="s">
        <v>2935</v>
      </c>
      <c r="G798" s="2" t="s">
        <v>2935</v>
      </c>
      <c r="H798" s="2" t="s">
        <v>2935</v>
      </c>
      <c r="I798" s="2" t="s">
        <v>3094</v>
      </c>
      <c r="J798" s="2" t="s">
        <v>522</v>
      </c>
      <c r="K798" s="2" t="s">
        <v>545</v>
      </c>
      <c r="L798" s="3">
        <v>55</v>
      </c>
      <c r="M798" s="3">
        <v>57.74</v>
      </c>
      <c r="N798" s="3">
        <v>109.99</v>
      </c>
      <c r="O798" s="2" t="s">
        <v>97</v>
      </c>
      <c r="P798" s="2" t="s">
        <v>123</v>
      </c>
      <c r="Q798" s="2" t="s">
        <v>99</v>
      </c>
      <c r="R798" s="2" t="s">
        <v>100</v>
      </c>
      <c r="S798" s="2" t="s">
        <v>2947</v>
      </c>
      <c r="T798" s="2" t="s">
        <v>190</v>
      </c>
      <c r="U798" s="2" t="s">
        <v>901</v>
      </c>
      <c r="V798" s="2" t="s">
        <v>461</v>
      </c>
      <c r="W798" s="2" t="s">
        <v>2523</v>
      </c>
      <c r="X798" s="2" t="s">
        <v>609</v>
      </c>
      <c r="Y798" s="2" t="s">
        <v>2948</v>
      </c>
      <c r="Z798" s="4">
        <v>152</v>
      </c>
      <c r="AA798" s="4">
        <f>=ROUNDDOWN(19,0)</f>
      </c>
      <c r="AB798" s="5">
        <v>8</v>
      </c>
      <c r="AC798" s="2" t="s">
        <v>2949</v>
      </c>
      <c r="AD798" s="4">
        <v>180</v>
      </c>
      <c r="AE798" s="4">
        <v>180</v>
      </c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100</v>
      </c>
      <c r="AW798" s="8" t="s">
        <v>100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/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/>
      <c r="BJ798" s="4">
        <v>8</v>
      </c>
      <c r="BK798" s="8">
        <v>495.52</v>
      </c>
      <c r="BL798" s="2" t="s">
        <v>3103</v>
      </c>
      <c r="BM798" s="7"/>
      <c r="BN798" s="7"/>
      <c r="BO798" s="4"/>
      <c r="BP798" s="8"/>
      <c r="BQ798" s="4"/>
      <c r="BR798" s="8"/>
      <c r="BS798" s="7"/>
      <c r="BT798" s="7"/>
      <c r="BU798" s="2" t="s">
        <v>2551</v>
      </c>
      <c r="BV798" s="2" t="s">
        <v>97</v>
      </c>
      <c r="BW798" s="2" t="s">
        <v>100</v>
      </c>
      <c r="BX798" s="2" t="s">
        <v>100</v>
      </c>
      <c r="BY798" s="2" t="s">
        <v>112</v>
      </c>
      <c r="BZ798" s="2" t="s">
        <v>100</v>
      </c>
    </row>
    <row r="799">
      <c r="A799" s="2" t="s">
        <v>3104</v>
      </c>
      <c r="B799" s="2" t="s">
        <v>87</v>
      </c>
      <c r="C799" s="2" t="s">
        <v>2831</v>
      </c>
      <c r="D799" s="2" t="s">
        <v>1496</v>
      </c>
      <c r="E799" s="2" t="s">
        <v>1497</v>
      </c>
      <c r="F799" s="2" t="s">
        <v>2935</v>
      </c>
      <c r="G799" s="2" t="s">
        <v>2935</v>
      </c>
      <c r="H799" s="2" t="s">
        <v>2935</v>
      </c>
      <c r="I799" s="2" t="s">
        <v>3094</v>
      </c>
      <c r="J799" s="2" t="s">
        <v>529</v>
      </c>
      <c r="K799" s="2" t="s">
        <v>545</v>
      </c>
      <c r="L799" s="3">
        <v>70</v>
      </c>
      <c r="M799" s="3">
        <v>73.49</v>
      </c>
      <c r="N799" s="3">
        <v>139.99</v>
      </c>
      <c r="O799" s="2" t="s">
        <v>97</v>
      </c>
      <c r="P799" s="2" t="s">
        <v>123</v>
      </c>
      <c r="Q799" s="2" t="s">
        <v>99</v>
      </c>
      <c r="R799" s="2" t="s">
        <v>100</v>
      </c>
      <c r="S799" s="2" t="s">
        <v>2947</v>
      </c>
      <c r="T799" s="2" t="s">
        <v>190</v>
      </c>
      <c r="U799" s="2" t="s">
        <v>901</v>
      </c>
      <c r="V799" s="2" t="s">
        <v>461</v>
      </c>
      <c r="W799" s="2" t="s">
        <v>2523</v>
      </c>
      <c r="X799" s="2" t="s">
        <v>609</v>
      </c>
      <c r="Y799" s="2" t="s">
        <v>2948</v>
      </c>
      <c r="Z799" s="4">
        <v>161</v>
      </c>
      <c r="AA799" s="4">
        <f>=ROUNDDOWN(23,0)</f>
      </c>
      <c r="AB799" s="5">
        <v>7</v>
      </c>
      <c r="AC799" s="2" t="s">
        <v>2949</v>
      </c>
      <c r="AD799" s="4">
        <v>120</v>
      </c>
      <c r="AE799" s="4">
        <v>120</v>
      </c>
      <c r="AF799" s="6">
        <v>67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/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/>
      <c r="BJ799" s="4">
        <v>12</v>
      </c>
      <c r="BK799" s="8">
        <v>938.35</v>
      </c>
      <c r="BL799" s="2" t="s">
        <v>722</v>
      </c>
      <c r="BM799" s="7"/>
      <c r="BN799" s="7"/>
      <c r="BO799" s="4"/>
      <c r="BP799" s="8"/>
      <c r="BQ799" s="4"/>
      <c r="BR799" s="8"/>
      <c r="BS799" s="7"/>
      <c r="BT799" s="7"/>
      <c r="BU799" s="2" t="s">
        <v>2551</v>
      </c>
      <c r="BV799" s="2" t="s">
        <v>97</v>
      </c>
      <c r="BW799" s="2" t="s">
        <v>100</v>
      </c>
      <c r="BX799" s="2" t="s">
        <v>100</v>
      </c>
      <c r="BY799" s="2" t="s">
        <v>112</v>
      </c>
      <c r="BZ799" s="2" t="s">
        <v>100</v>
      </c>
    </row>
    <row r="800">
      <c r="A800" s="2" t="s">
        <v>3105</v>
      </c>
      <c r="B800" s="2" t="s">
        <v>87</v>
      </c>
      <c r="C800" s="2" t="s">
        <v>2831</v>
      </c>
      <c r="D800" s="2" t="s">
        <v>1496</v>
      </c>
      <c r="E800" s="2" t="s">
        <v>1497</v>
      </c>
      <c r="F800" s="2" t="s">
        <v>2935</v>
      </c>
      <c r="G800" s="2" t="s">
        <v>2935</v>
      </c>
      <c r="H800" s="2" t="s">
        <v>2935</v>
      </c>
      <c r="I800" s="2" t="s">
        <v>3094</v>
      </c>
      <c r="J800" s="2" t="s">
        <v>522</v>
      </c>
      <c r="K800" s="2" t="s">
        <v>1373</v>
      </c>
      <c r="L800" s="3">
        <v>55</v>
      </c>
      <c r="M800" s="3">
        <v>57.74</v>
      </c>
      <c r="N800" s="3">
        <v>109.99</v>
      </c>
      <c r="O800" s="2" t="s">
        <v>97</v>
      </c>
      <c r="P800" s="2" t="s">
        <v>98</v>
      </c>
      <c r="Q800" s="2" t="s">
        <v>99</v>
      </c>
      <c r="R800" s="2" t="s">
        <v>100</v>
      </c>
      <c r="S800" s="2" t="s">
        <v>2953</v>
      </c>
      <c r="T800" s="2" t="s">
        <v>190</v>
      </c>
      <c r="U800" s="2" t="s">
        <v>901</v>
      </c>
      <c r="V800" s="2" t="s">
        <v>461</v>
      </c>
      <c r="W800" s="2" t="s">
        <v>2523</v>
      </c>
      <c r="X800" s="2" t="s">
        <v>609</v>
      </c>
      <c r="Y800" s="2" t="s">
        <v>2948</v>
      </c>
      <c r="Z800" s="4">
        <v>174</v>
      </c>
      <c r="AA800" s="4">
        <f>=ROUNDDOWN(29,0)</f>
      </c>
      <c r="AB800" s="5">
        <v>6</v>
      </c>
      <c r="AC800" s="2" t="s">
        <v>1142</v>
      </c>
      <c r="AD800" s="4">
        <v>180</v>
      </c>
      <c r="AE800" s="4">
        <v>180</v>
      </c>
      <c r="AF800" s="6">
        <v>67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100</v>
      </c>
      <c r="AW800" s="8" t="s">
        <v>100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/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/>
      <c r="BJ800" s="4">
        <v>10</v>
      </c>
      <c r="BK800" s="8">
        <v>603.6</v>
      </c>
      <c r="BL800" s="2" t="s">
        <v>3106</v>
      </c>
      <c r="BM800" s="7"/>
      <c r="BN800" s="7"/>
      <c r="BO800" s="4"/>
      <c r="BP800" s="8"/>
      <c r="BQ800" s="4"/>
      <c r="BR800" s="8"/>
      <c r="BS800" s="7"/>
      <c r="BT800" s="7"/>
      <c r="BU800" s="2" t="s">
        <v>2551</v>
      </c>
      <c r="BV800" s="2" t="s">
        <v>97</v>
      </c>
      <c r="BW800" s="2" t="s">
        <v>100</v>
      </c>
      <c r="BX800" s="2" t="s">
        <v>100</v>
      </c>
      <c r="BY800" s="2" t="s">
        <v>112</v>
      </c>
      <c r="BZ800" s="2" t="s">
        <v>100</v>
      </c>
    </row>
    <row r="801">
      <c r="A801" s="2" t="s">
        <v>3107</v>
      </c>
      <c r="B801" s="2" t="s">
        <v>87</v>
      </c>
      <c r="C801" s="2" t="s">
        <v>2831</v>
      </c>
      <c r="D801" s="2" t="s">
        <v>1496</v>
      </c>
      <c r="E801" s="2" t="s">
        <v>1497</v>
      </c>
      <c r="F801" s="2" t="s">
        <v>2935</v>
      </c>
      <c r="G801" s="2" t="s">
        <v>2935</v>
      </c>
      <c r="H801" s="2" t="s">
        <v>2935</v>
      </c>
      <c r="I801" s="2" t="s">
        <v>3094</v>
      </c>
      <c r="J801" s="2" t="s">
        <v>529</v>
      </c>
      <c r="K801" s="2" t="s">
        <v>1373</v>
      </c>
      <c r="L801" s="3">
        <v>70</v>
      </c>
      <c r="M801" s="3">
        <v>73.49</v>
      </c>
      <c r="N801" s="3">
        <v>139.99</v>
      </c>
      <c r="O801" s="2" t="s">
        <v>97</v>
      </c>
      <c r="P801" s="2" t="s">
        <v>98</v>
      </c>
      <c r="Q801" s="2" t="s">
        <v>99</v>
      </c>
      <c r="R801" s="2" t="s">
        <v>100</v>
      </c>
      <c r="S801" s="2" t="s">
        <v>2953</v>
      </c>
      <c r="T801" s="2" t="s">
        <v>190</v>
      </c>
      <c r="U801" s="2" t="s">
        <v>901</v>
      </c>
      <c r="V801" s="2" t="s">
        <v>461</v>
      </c>
      <c r="W801" s="2" t="s">
        <v>2523</v>
      </c>
      <c r="X801" s="2" t="s">
        <v>609</v>
      </c>
      <c r="Y801" s="2" t="s">
        <v>2948</v>
      </c>
      <c r="Z801" s="4">
        <v>172</v>
      </c>
      <c r="AA801" s="4">
        <f>=ROUNDDOWN(34.4,0)</f>
      </c>
      <c r="AB801" s="5">
        <v>5</v>
      </c>
      <c r="AC801" s="2" t="s">
        <v>1142</v>
      </c>
      <c r="AD801" s="4">
        <v>130</v>
      </c>
      <c r="AE801" s="4">
        <v>130</v>
      </c>
      <c r="AF801" s="6">
        <v>67</v>
      </c>
      <c r="AG801" s="6"/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/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/>
      <c r="BJ801" s="4">
        <v>7</v>
      </c>
      <c r="BK801" s="8">
        <v>527.95</v>
      </c>
      <c r="BL801" s="2" t="s">
        <v>3108</v>
      </c>
      <c r="BM801" s="7"/>
      <c r="BN801" s="7"/>
      <c r="BO801" s="4"/>
      <c r="BP801" s="8"/>
      <c r="BQ801" s="4"/>
      <c r="BR801" s="8"/>
      <c r="BS801" s="7"/>
      <c r="BT801" s="7"/>
      <c r="BU801" s="2" t="s">
        <v>2551</v>
      </c>
      <c r="BV801" s="2" t="s">
        <v>97</v>
      </c>
      <c r="BW801" s="2" t="s">
        <v>100</v>
      </c>
      <c r="BX801" s="2" t="s">
        <v>100</v>
      </c>
      <c r="BY801" s="2" t="s">
        <v>112</v>
      </c>
      <c r="BZ801" s="2" t="s">
        <v>100</v>
      </c>
    </row>
    <row r="802">
      <c r="A802" s="2" t="s">
        <v>3109</v>
      </c>
      <c r="B802" s="2" t="s">
        <v>87</v>
      </c>
      <c r="C802" s="2" t="s">
        <v>2831</v>
      </c>
      <c r="D802" s="2" t="s">
        <v>1496</v>
      </c>
      <c r="E802" s="2" t="s">
        <v>1497</v>
      </c>
      <c r="F802" s="2" t="s">
        <v>2958</v>
      </c>
      <c r="G802" s="2" t="s">
        <v>2958</v>
      </c>
      <c r="H802" s="2" t="s">
        <v>2958</v>
      </c>
      <c r="I802" s="2" t="s">
        <v>3110</v>
      </c>
      <c r="J802" s="2" t="s">
        <v>522</v>
      </c>
      <c r="K802" s="2" t="s">
        <v>446</v>
      </c>
      <c r="L802" s="3">
        <v>64.79</v>
      </c>
      <c r="M802" s="3">
        <v>68.03</v>
      </c>
      <c r="N802" s="3">
        <v>131.99</v>
      </c>
      <c r="O802" s="2" t="s">
        <v>97</v>
      </c>
      <c r="P802" s="2" t="s">
        <v>156</v>
      </c>
      <c r="Q802" s="2" t="s">
        <v>99</v>
      </c>
      <c r="R802" s="2" t="s">
        <v>100</v>
      </c>
      <c r="S802" s="2" t="s">
        <v>2960</v>
      </c>
      <c r="T802" s="2" t="s">
        <v>190</v>
      </c>
      <c r="U802" s="2" t="s">
        <v>901</v>
      </c>
      <c r="V802" s="2" t="s">
        <v>2913</v>
      </c>
      <c r="W802" s="2" t="s">
        <v>686</v>
      </c>
      <c r="X802" s="2" t="s">
        <v>2883</v>
      </c>
      <c r="Y802" s="2" t="s">
        <v>3111</v>
      </c>
      <c r="Z802" s="4">
        <v>134</v>
      </c>
      <c r="AA802" s="4">
        <f>=ROUNDDOWN(26.8,0)</f>
      </c>
      <c r="AB802" s="5">
        <v>5</v>
      </c>
      <c r="AC802" s="2" t="s">
        <v>1471</v>
      </c>
      <c r="AD802" s="4">
        <v>30</v>
      </c>
      <c r="AE802" s="4">
        <v>90</v>
      </c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100</v>
      </c>
      <c r="AW802" s="8" t="s">
        <v>100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/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/>
      <c r="BJ802" s="4">
        <v>20</v>
      </c>
      <c r="BK802" s="8">
        <v>1467.88</v>
      </c>
      <c r="BL802" s="2" t="s">
        <v>3112</v>
      </c>
      <c r="BM802" s="7"/>
      <c r="BN802" s="7"/>
      <c r="BO802" s="4"/>
      <c r="BP802" s="8"/>
      <c r="BQ802" s="4"/>
      <c r="BR802" s="8"/>
      <c r="BS802" s="7"/>
      <c r="BT802" s="7"/>
      <c r="BU802" s="2" t="s">
        <v>2526</v>
      </c>
      <c r="BV802" s="2" t="s">
        <v>97</v>
      </c>
      <c r="BW802" s="2" t="s">
        <v>100</v>
      </c>
      <c r="BX802" s="2" t="s">
        <v>100</v>
      </c>
      <c r="BY802" s="2" t="s">
        <v>112</v>
      </c>
      <c r="BZ802" s="2" t="s">
        <v>100</v>
      </c>
    </row>
    <row r="803">
      <c r="A803" s="2" t="s">
        <v>3113</v>
      </c>
      <c r="B803" s="2" t="s">
        <v>87</v>
      </c>
      <c r="C803" s="2" t="s">
        <v>2831</v>
      </c>
      <c r="D803" s="2" t="s">
        <v>1496</v>
      </c>
      <c r="E803" s="2" t="s">
        <v>1497</v>
      </c>
      <c r="F803" s="2" t="s">
        <v>2958</v>
      </c>
      <c r="G803" s="2" t="s">
        <v>2958</v>
      </c>
      <c r="H803" s="2" t="s">
        <v>2958</v>
      </c>
      <c r="I803" s="2" t="s">
        <v>3110</v>
      </c>
      <c r="J803" s="2" t="s">
        <v>529</v>
      </c>
      <c r="K803" s="2" t="s">
        <v>446</v>
      </c>
      <c r="L803" s="3">
        <v>79.38</v>
      </c>
      <c r="M803" s="3">
        <v>83.35</v>
      </c>
      <c r="N803" s="3">
        <v>161.99</v>
      </c>
      <c r="O803" s="2" t="s">
        <v>97</v>
      </c>
      <c r="P803" s="2" t="s">
        <v>156</v>
      </c>
      <c r="Q803" s="2" t="s">
        <v>99</v>
      </c>
      <c r="R803" s="2" t="s">
        <v>100</v>
      </c>
      <c r="S803" s="2" t="s">
        <v>2960</v>
      </c>
      <c r="T803" s="2" t="s">
        <v>190</v>
      </c>
      <c r="U803" s="2" t="s">
        <v>901</v>
      </c>
      <c r="V803" s="2" t="s">
        <v>2913</v>
      </c>
      <c r="W803" s="2" t="s">
        <v>686</v>
      </c>
      <c r="X803" s="2" t="s">
        <v>2883</v>
      </c>
      <c r="Y803" s="2" t="s">
        <v>3111</v>
      </c>
      <c r="Z803" s="4">
        <v>153</v>
      </c>
      <c r="AA803" s="4">
        <f>=ROUNDDOWN(25.5,0)</f>
      </c>
      <c r="AB803" s="5">
        <v>6</v>
      </c>
      <c r="AC803" s="2" t="s">
        <v>1471</v>
      </c>
      <c r="AD803" s="4">
        <v>50</v>
      </c>
      <c r="AE803" s="4">
        <v>120</v>
      </c>
      <c r="AF803" s="6">
        <v>67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/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/>
      <c r="BJ803" s="4">
        <v>20</v>
      </c>
      <c r="BK803" s="8">
        <v>1812.94</v>
      </c>
      <c r="BL803" s="2" t="s">
        <v>3114</v>
      </c>
      <c r="BM803" s="7"/>
      <c r="BN803" s="7"/>
      <c r="BO803" s="4"/>
      <c r="BP803" s="8"/>
      <c r="BQ803" s="4"/>
      <c r="BR803" s="8"/>
      <c r="BS803" s="7"/>
      <c r="BT803" s="7"/>
      <c r="BU803" s="2" t="s">
        <v>2526</v>
      </c>
      <c r="BV803" s="2" t="s">
        <v>97</v>
      </c>
      <c r="BW803" s="2" t="s">
        <v>100</v>
      </c>
      <c r="BX803" s="2" t="s">
        <v>100</v>
      </c>
      <c r="BY803" s="2" t="s">
        <v>112</v>
      </c>
      <c r="BZ803" s="2" t="s">
        <v>100</v>
      </c>
    </row>
    <row r="804">
      <c r="A804" s="2" t="s">
        <v>3115</v>
      </c>
      <c r="B804" s="2" t="s">
        <v>87</v>
      </c>
      <c r="C804" s="2" t="s">
        <v>2831</v>
      </c>
      <c r="D804" s="2" t="s">
        <v>1496</v>
      </c>
      <c r="E804" s="2" t="s">
        <v>1497</v>
      </c>
      <c r="F804" s="2" t="s">
        <v>2966</v>
      </c>
      <c r="G804" s="2" t="s">
        <v>2966</v>
      </c>
      <c r="H804" s="2" t="s">
        <v>2966</v>
      </c>
      <c r="I804" s="2" t="s">
        <v>3116</v>
      </c>
      <c r="J804" s="2" t="s">
        <v>522</v>
      </c>
      <c r="K804" s="2" t="s">
        <v>2968</v>
      </c>
      <c r="L804" s="3">
        <v>51.3</v>
      </c>
      <c r="M804" s="3">
        <v>53.86</v>
      </c>
      <c r="N804" s="3">
        <v>109.99</v>
      </c>
      <c r="O804" s="2" t="s">
        <v>97</v>
      </c>
      <c r="P804" s="2" t="s">
        <v>98</v>
      </c>
      <c r="Q804" s="2" t="s">
        <v>99</v>
      </c>
      <c r="R804" s="2" t="s">
        <v>100</v>
      </c>
      <c r="S804" s="2" t="s">
        <v>2969</v>
      </c>
      <c r="T804" s="2" t="s">
        <v>190</v>
      </c>
      <c r="U804" s="2" t="s">
        <v>901</v>
      </c>
      <c r="V804" s="2" t="s">
        <v>2913</v>
      </c>
      <c r="W804" s="2" t="s">
        <v>686</v>
      </c>
      <c r="X804" s="2" t="s">
        <v>594</v>
      </c>
      <c r="Y804" s="2" t="s">
        <v>2970</v>
      </c>
      <c r="Z804" s="4">
        <v>112</v>
      </c>
      <c r="AA804" s="4">
        <f>=ROUNDDOWN(56,0)</f>
      </c>
      <c r="AB804" s="5">
        <v>2</v>
      </c>
      <c r="AC804" s="2" t="s">
        <v>100</v>
      </c>
      <c r="AD804" s="4"/>
      <c r="AE804" s="4"/>
      <c r="AF804" s="6">
        <v>66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100</v>
      </c>
      <c r="AW804" s="8" t="s">
        <v>100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/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/>
      <c r="BJ804" s="4">
        <v>2</v>
      </c>
      <c r="BK804" s="8">
        <v>112.49</v>
      </c>
      <c r="BL804" s="2" t="s">
        <v>2619</v>
      </c>
      <c r="BM804" s="7"/>
      <c r="BN804" s="7"/>
      <c r="BO804" s="4"/>
      <c r="BP804" s="8"/>
      <c r="BQ804" s="4"/>
      <c r="BR804" s="8"/>
      <c r="BS804" s="7"/>
      <c r="BT804" s="7"/>
      <c r="BU804" s="2" t="s">
        <v>2551</v>
      </c>
      <c r="BV804" s="2" t="s">
        <v>97</v>
      </c>
      <c r="BW804" s="2" t="s">
        <v>100</v>
      </c>
      <c r="BX804" s="2" t="s">
        <v>100</v>
      </c>
      <c r="BY804" s="2" t="s">
        <v>112</v>
      </c>
      <c r="BZ804" s="2" t="s">
        <v>100</v>
      </c>
    </row>
    <row r="805">
      <c r="A805" s="2" t="s">
        <v>3117</v>
      </c>
      <c r="B805" s="2" t="s">
        <v>87</v>
      </c>
      <c r="C805" s="2" t="s">
        <v>2831</v>
      </c>
      <c r="D805" s="2" t="s">
        <v>1496</v>
      </c>
      <c r="E805" s="2" t="s">
        <v>1497</v>
      </c>
      <c r="F805" s="2" t="s">
        <v>2966</v>
      </c>
      <c r="G805" s="2" t="s">
        <v>2966</v>
      </c>
      <c r="H805" s="2" t="s">
        <v>2966</v>
      </c>
      <c r="I805" s="2" t="s">
        <v>3116</v>
      </c>
      <c r="J805" s="2" t="s">
        <v>529</v>
      </c>
      <c r="K805" s="2" t="s">
        <v>2968</v>
      </c>
      <c r="L805" s="3">
        <v>65.55</v>
      </c>
      <c r="M805" s="3">
        <v>68.83</v>
      </c>
      <c r="N805" s="3">
        <v>139.99</v>
      </c>
      <c r="O805" s="2" t="s">
        <v>97</v>
      </c>
      <c r="P805" s="2" t="s">
        <v>98</v>
      </c>
      <c r="Q805" s="2" t="s">
        <v>99</v>
      </c>
      <c r="R805" s="2" t="s">
        <v>100</v>
      </c>
      <c r="S805" s="2" t="s">
        <v>2969</v>
      </c>
      <c r="T805" s="2" t="s">
        <v>190</v>
      </c>
      <c r="U805" s="2" t="s">
        <v>901</v>
      </c>
      <c r="V805" s="2" t="s">
        <v>2913</v>
      </c>
      <c r="W805" s="2" t="s">
        <v>686</v>
      </c>
      <c r="X805" s="2" t="s">
        <v>594</v>
      </c>
      <c r="Y805" s="2" t="s">
        <v>2970</v>
      </c>
      <c r="Z805" s="4">
        <v>165</v>
      </c>
      <c r="AA805" s="4">
        <f>=ROUNDDOWN(165,0)</f>
      </c>
      <c r="AB805" s="5">
        <v>1</v>
      </c>
      <c r="AC805" s="2" t="s">
        <v>100</v>
      </c>
      <c r="AD805" s="4"/>
      <c r="AE805" s="4"/>
      <c r="AF805" s="6">
        <v>66</v>
      </c>
      <c r="AG805" s="6"/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/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/>
      <c r="BJ805" s="4"/>
      <c r="BK805" s="8"/>
      <c r="BL805" s="2" t="s">
        <v>100</v>
      </c>
      <c r="BM805" s="7"/>
      <c r="BN805" s="7"/>
      <c r="BO805" s="4"/>
      <c r="BP805" s="8"/>
      <c r="BQ805" s="4"/>
      <c r="BR805" s="8"/>
      <c r="BS805" s="7"/>
      <c r="BT805" s="7"/>
      <c r="BU805" s="2" t="s">
        <v>2551</v>
      </c>
      <c r="BV805" s="2" t="s">
        <v>97</v>
      </c>
      <c r="BW805" s="2" t="s">
        <v>100</v>
      </c>
      <c r="BX805" s="2" t="s">
        <v>100</v>
      </c>
      <c r="BY805" s="2" t="s">
        <v>112</v>
      </c>
      <c r="BZ805" s="2" t="s">
        <v>100</v>
      </c>
    </row>
    <row r="806">
      <c r="A806" s="2" t="s">
        <v>3118</v>
      </c>
      <c r="B806" s="2" t="s">
        <v>87</v>
      </c>
      <c r="C806" s="2" t="s">
        <v>2831</v>
      </c>
      <c r="D806" s="2" t="s">
        <v>1496</v>
      </c>
      <c r="E806" s="2" t="s">
        <v>1497</v>
      </c>
      <c r="F806" s="2" t="s">
        <v>2966</v>
      </c>
      <c r="G806" s="2" t="s">
        <v>2966</v>
      </c>
      <c r="H806" s="2" t="s">
        <v>2966</v>
      </c>
      <c r="I806" s="2" t="s">
        <v>3116</v>
      </c>
      <c r="J806" s="2" t="s">
        <v>522</v>
      </c>
      <c r="K806" s="2" t="s">
        <v>545</v>
      </c>
      <c r="L806" s="3">
        <v>51.3</v>
      </c>
      <c r="M806" s="3">
        <v>53.86</v>
      </c>
      <c r="N806" s="3">
        <v>109.99</v>
      </c>
      <c r="O806" s="2" t="s">
        <v>97</v>
      </c>
      <c r="P806" s="2" t="s">
        <v>98</v>
      </c>
      <c r="Q806" s="2" t="s">
        <v>99</v>
      </c>
      <c r="R806" s="2" t="s">
        <v>100</v>
      </c>
      <c r="S806" s="2" t="s">
        <v>2973</v>
      </c>
      <c r="T806" s="2" t="s">
        <v>190</v>
      </c>
      <c r="U806" s="2" t="s">
        <v>901</v>
      </c>
      <c r="V806" s="2" t="s">
        <v>2913</v>
      </c>
      <c r="W806" s="2" t="s">
        <v>686</v>
      </c>
      <c r="X806" s="2" t="s">
        <v>594</v>
      </c>
      <c r="Y806" s="2" t="s">
        <v>2974</v>
      </c>
      <c r="Z806" s="4">
        <v>122</v>
      </c>
      <c r="AA806" s="4">
        <f>=ROUNDDOWN(40.6666666666667,0)</f>
      </c>
      <c r="AB806" s="5">
        <v>3</v>
      </c>
      <c r="AC806" s="2" t="s">
        <v>173</v>
      </c>
      <c r="AD806" s="4">
        <v>20</v>
      </c>
      <c r="AE806" s="4">
        <v>20</v>
      </c>
      <c r="AF806" s="6">
        <v>66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100</v>
      </c>
      <c r="AW806" s="8" t="s">
        <v>100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/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/>
      <c r="BJ806" s="4">
        <v>6</v>
      </c>
      <c r="BK806" s="8">
        <v>335.38</v>
      </c>
      <c r="BL806" s="2" t="s">
        <v>3119</v>
      </c>
      <c r="BM806" s="7"/>
      <c r="BN806" s="7"/>
      <c r="BO806" s="4"/>
      <c r="BP806" s="8"/>
      <c r="BQ806" s="4"/>
      <c r="BR806" s="8"/>
      <c r="BS806" s="7"/>
      <c r="BT806" s="7"/>
      <c r="BU806" s="2" t="s">
        <v>2551</v>
      </c>
      <c r="BV806" s="2" t="s">
        <v>97</v>
      </c>
      <c r="BW806" s="2" t="s">
        <v>100</v>
      </c>
      <c r="BX806" s="2" t="s">
        <v>100</v>
      </c>
      <c r="BY806" s="2" t="s">
        <v>112</v>
      </c>
      <c r="BZ806" s="2" t="s">
        <v>100</v>
      </c>
    </row>
    <row r="807">
      <c r="A807" s="2" t="s">
        <v>3120</v>
      </c>
      <c r="B807" s="2" t="s">
        <v>87</v>
      </c>
      <c r="C807" s="2" t="s">
        <v>2831</v>
      </c>
      <c r="D807" s="2" t="s">
        <v>1496</v>
      </c>
      <c r="E807" s="2" t="s">
        <v>1497</v>
      </c>
      <c r="F807" s="2" t="s">
        <v>2966</v>
      </c>
      <c r="G807" s="2" t="s">
        <v>2966</v>
      </c>
      <c r="H807" s="2" t="s">
        <v>2966</v>
      </c>
      <c r="I807" s="2" t="s">
        <v>3116</v>
      </c>
      <c r="J807" s="2" t="s">
        <v>529</v>
      </c>
      <c r="K807" s="2" t="s">
        <v>545</v>
      </c>
      <c r="L807" s="3">
        <v>65.55</v>
      </c>
      <c r="M807" s="3">
        <v>68.83</v>
      </c>
      <c r="N807" s="3">
        <v>139.99</v>
      </c>
      <c r="O807" s="2" t="s">
        <v>97</v>
      </c>
      <c r="P807" s="2" t="s">
        <v>98</v>
      </c>
      <c r="Q807" s="2" t="s">
        <v>99</v>
      </c>
      <c r="R807" s="2" t="s">
        <v>100</v>
      </c>
      <c r="S807" s="2" t="s">
        <v>2973</v>
      </c>
      <c r="T807" s="2" t="s">
        <v>190</v>
      </c>
      <c r="U807" s="2" t="s">
        <v>901</v>
      </c>
      <c r="V807" s="2" t="s">
        <v>2913</v>
      </c>
      <c r="W807" s="2" t="s">
        <v>686</v>
      </c>
      <c r="X807" s="2" t="s">
        <v>594</v>
      </c>
      <c r="Y807" s="2" t="s">
        <v>2974</v>
      </c>
      <c r="Z807" s="4">
        <v>153</v>
      </c>
      <c r="AA807" s="4">
        <f>=ROUNDDOWN(38.25,0)</f>
      </c>
      <c r="AB807" s="5">
        <v>4</v>
      </c>
      <c r="AC807" s="2" t="s">
        <v>173</v>
      </c>
      <c r="AD807" s="4">
        <v>60</v>
      </c>
      <c r="AE807" s="4">
        <v>60</v>
      </c>
      <c r="AF807" s="6">
        <v>66</v>
      </c>
      <c r="AG807" s="6"/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/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/>
      <c r="BJ807" s="4">
        <v>5</v>
      </c>
      <c r="BK807" s="8">
        <v>351.68</v>
      </c>
      <c r="BL807" s="2" t="s">
        <v>2668</v>
      </c>
      <c r="BM807" s="7"/>
      <c r="BN807" s="7"/>
      <c r="BO807" s="4"/>
      <c r="BP807" s="8"/>
      <c r="BQ807" s="4"/>
      <c r="BR807" s="8"/>
      <c r="BS807" s="7"/>
      <c r="BT807" s="7"/>
      <c r="BU807" s="2" t="s">
        <v>2551</v>
      </c>
      <c r="BV807" s="2" t="s">
        <v>97</v>
      </c>
      <c r="BW807" s="2" t="s">
        <v>100</v>
      </c>
      <c r="BX807" s="2" t="s">
        <v>100</v>
      </c>
      <c r="BY807" s="2" t="s">
        <v>112</v>
      </c>
      <c r="BZ807" s="2" t="s">
        <v>100</v>
      </c>
    </row>
    <row r="808">
      <c r="A808" s="2" t="s">
        <v>3121</v>
      </c>
      <c r="B808" s="2" t="s">
        <v>87</v>
      </c>
      <c r="C808" s="2" t="s">
        <v>2831</v>
      </c>
      <c r="D808" s="2" t="s">
        <v>1496</v>
      </c>
      <c r="E808" s="2" t="s">
        <v>1497</v>
      </c>
      <c r="F808" s="2" t="s">
        <v>2966</v>
      </c>
      <c r="G808" s="2" t="s">
        <v>2966</v>
      </c>
      <c r="H808" s="2" t="s">
        <v>2966</v>
      </c>
      <c r="I808" s="2" t="s">
        <v>3116</v>
      </c>
      <c r="J808" s="2" t="s">
        <v>522</v>
      </c>
      <c r="K808" s="2" t="s">
        <v>223</v>
      </c>
      <c r="L808" s="3">
        <v>51.3</v>
      </c>
      <c r="M808" s="3">
        <v>53.86</v>
      </c>
      <c r="N808" s="3">
        <v>109.99</v>
      </c>
      <c r="O808" s="2" t="s">
        <v>97</v>
      </c>
      <c r="P808" s="2" t="s">
        <v>123</v>
      </c>
      <c r="Q808" s="2" t="s">
        <v>99</v>
      </c>
      <c r="R808" s="2" t="s">
        <v>100</v>
      </c>
      <c r="S808" s="2" t="s">
        <v>2978</v>
      </c>
      <c r="T808" s="2" t="s">
        <v>190</v>
      </c>
      <c r="U808" s="2" t="s">
        <v>901</v>
      </c>
      <c r="V808" s="2" t="s">
        <v>2913</v>
      </c>
      <c r="W808" s="2" t="s">
        <v>686</v>
      </c>
      <c r="X808" s="2" t="s">
        <v>594</v>
      </c>
      <c r="Y808" s="2" t="s">
        <v>2313</v>
      </c>
      <c r="Z808" s="4">
        <v>140</v>
      </c>
      <c r="AA808" s="4">
        <f>=ROUNDDOWN(20,0)</f>
      </c>
      <c r="AB808" s="5">
        <v>7</v>
      </c>
      <c r="AC808" s="2" t="s">
        <v>2008</v>
      </c>
      <c r="AD808" s="4">
        <v>40</v>
      </c>
      <c r="AE808" s="4">
        <v>100</v>
      </c>
      <c r="AF808" s="6">
        <v>66</v>
      </c>
      <c r="AG808" s="6">
        <v>74</v>
      </c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100</v>
      </c>
      <c r="AW808" s="8" t="s">
        <v>100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/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/>
      <c r="BJ808" s="4">
        <v>22</v>
      </c>
      <c r="BK808" s="8">
        <v>1274.11</v>
      </c>
      <c r="BL808" s="2" t="s">
        <v>3122</v>
      </c>
      <c r="BM808" s="7"/>
      <c r="BN808" s="7"/>
      <c r="BO808" s="4"/>
      <c r="BP808" s="8"/>
      <c r="BQ808" s="4"/>
      <c r="BR808" s="8"/>
      <c r="BS808" s="7"/>
      <c r="BT808" s="7"/>
      <c r="BU808" s="2" t="s">
        <v>2551</v>
      </c>
      <c r="BV808" s="2" t="s">
        <v>97</v>
      </c>
      <c r="BW808" s="2" t="s">
        <v>100</v>
      </c>
      <c r="BX808" s="2" t="s">
        <v>100</v>
      </c>
      <c r="BY808" s="2" t="s">
        <v>112</v>
      </c>
      <c r="BZ808" s="2" t="s">
        <v>100</v>
      </c>
    </row>
    <row r="809">
      <c r="A809" s="2" t="s">
        <v>3123</v>
      </c>
      <c r="B809" s="2" t="s">
        <v>87</v>
      </c>
      <c r="C809" s="2" t="s">
        <v>2831</v>
      </c>
      <c r="D809" s="2" t="s">
        <v>1496</v>
      </c>
      <c r="E809" s="2" t="s">
        <v>1497</v>
      </c>
      <c r="F809" s="2" t="s">
        <v>2966</v>
      </c>
      <c r="G809" s="2" t="s">
        <v>2966</v>
      </c>
      <c r="H809" s="2" t="s">
        <v>2966</v>
      </c>
      <c r="I809" s="2" t="s">
        <v>3116</v>
      </c>
      <c r="J809" s="2" t="s">
        <v>529</v>
      </c>
      <c r="K809" s="2" t="s">
        <v>223</v>
      </c>
      <c r="L809" s="3">
        <v>65.55</v>
      </c>
      <c r="M809" s="3">
        <v>68.83</v>
      </c>
      <c r="N809" s="3">
        <v>139.99</v>
      </c>
      <c r="O809" s="2" t="s">
        <v>97</v>
      </c>
      <c r="P809" s="2" t="s">
        <v>123</v>
      </c>
      <c r="Q809" s="2" t="s">
        <v>99</v>
      </c>
      <c r="R809" s="2" t="s">
        <v>100</v>
      </c>
      <c r="S809" s="2" t="s">
        <v>2978</v>
      </c>
      <c r="T809" s="2" t="s">
        <v>190</v>
      </c>
      <c r="U809" s="2" t="s">
        <v>901</v>
      </c>
      <c r="V809" s="2" t="s">
        <v>2913</v>
      </c>
      <c r="W809" s="2" t="s">
        <v>686</v>
      </c>
      <c r="X809" s="2" t="s">
        <v>594</v>
      </c>
      <c r="Y809" s="2" t="s">
        <v>2313</v>
      </c>
      <c r="Z809" s="4">
        <v>255</v>
      </c>
      <c r="AA809" s="4">
        <f>=ROUNDDOWN(23.1818181818182,0)</f>
      </c>
      <c r="AB809" s="5">
        <v>11</v>
      </c>
      <c r="AC809" s="2" t="s">
        <v>2008</v>
      </c>
      <c r="AD809" s="4">
        <v>50</v>
      </c>
      <c r="AE809" s="4">
        <v>140</v>
      </c>
      <c r="AF809" s="6">
        <v>66</v>
      </c>
      <c r="AG809" s="6">
        <v>74</v>
      </c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/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/>
      <c r="BJ809" s="4">
        <v>26</v>
      </c>
      <c r="BK809" s="8">
        <v>1933.72</v>
      </c>
      <c r="BL809" s="2" t="s">
        <v>3124</v>
      </c>
      <c r="BM809" s="7"/>
      <c r="BN809" s="7"/>
      <c r="BO809" s="4"/>
      <c r="BP809" s="8"/>
      <c r="BQ809" s="4"/>
      <c r="BR809" s="8"/>
      <c r="BS809" s="7"/>
      <c r="BT809" s="7"/>
      <c r="BU809" s="2" t="s">
        <v>2551</v>
      </c>
      <c r="BV809" s="2" t="s">
        <v>97</v>
      </c>
      <c r="BW809" s="2" t="s">
        <v>100</v>
      </c>
      <c r="BX809" s="2" t="s">
        <v>100</v>
      </c>
      <c r="BY809" s="2" t="s">
        <v>112</v>
      </c>
      <c r="BZ809" s="2" t="s">
        <v>100</v>
      </c>
    </row>
    <row r="810">
      <c r="A810" s="2" t="s">
        <v>3125</v>
      </c>
      <c r="B810" s="2" t="s">
        <v>87</v>
      </c>
      <c r="C810" s="2" t="s">
        <v>2831</v>
      </c>
      <c r="D810" s="2" t="s">
        <v>1496</v>
      </c>
      <c r="E810" s="2" t="s">
        <v>1497</v>
      </c>
      <c r="F810" s="2" t="s">
        <v>2966</v>
      </c>
      <c r="G810" s="2" t="s">
        <v>2966</v>
      </c>
      <c r="H810" s="2" t="s">
        <v>2966</v>
      </c>
      <c r="I810" s="2" t="s">
        <v>3116</v>
      </c>
      <c r="J810" s="2" t="s">
        <v>522</v>
      </c>
      <c r="K810" s="2" t="s">
        <v>673</v>
      </c>
      <c r="L810" s="3">
        <v>51.3</v>
      </c>
      <c r="M810" s="3">
        <v>53.86</v>
      </c>
      <c r="N810" s="3">
        <v>109.99</v>
      </c>
      <c r="O810" s="2" t="s">
        <v>97</v>
      </c>
      <c r="P810" s="2" t="s">
        <v>139</v>
      </c>
      <c r="Q810" s="2" t="s">
        <v>99</v>
      </c>
      <c r="R810" s="2" t="s">
        <v>100</v>
      </c>
      <c r="S810" s="2" t="s">
        <v>2983</v>
      </c>
      <c r="T810" s="2" t="s">
        <v>190</v>
      </c>
      <c r="U810" s="2" t="s">
        <v>901</v>
      </c>
      <c r="V810" s="2" t="s">
        <v>2913</v>
      </c>
      <c r="W810" s="2" t="s">
        <v>686</v>
      </c>
      <c r="X810" s="2" t="s">
        <v>594</v>
      </c>
      <c r="Y810" s="2" t="s">
        <v>3126</v>
      </c>
      <c r="Z810" s="4">
        <v>169</v>
      </c>
      <c r="AA810" s="4">
        <f>=ROUNDDOWN(19.8823529411765,0)</f>
      </c>
      <c r="AB810" s="5">
        <v>8.5</v>
      </c>
      <c r="AC810" s="2" t="s">
        <v>897</v>
      </c>
      <c r="AD810" s="4">
        <v>40</v>
      </c>
      <c r="AE810" s="4">
        <v>200</v>
      </c>
      <c r="AF810" s="6">
        <v>66</v>
      </c>
      <c r="AG810" s="6">
        <v>74</v>
      </c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100</v>
      </c>
      <c r="AW810" s="8" t="s">
        <v>100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/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/>
      <c r="BJ810" s="4">
        <v>40</v>
      </c>
      <c r="BK810" s="8">
        <v>2263.93</v>
      </c>
      <c r="BL810" s="2" t="s">
        <v>3127</v>
      </c>
      <c r="BM810" s="7"/>
      <c r="BN810" s="7"/>
      <c r="BO810" s="4"/>
      <c r="BP810" s="8"/>
      <c r="BQ810" s="4"/>
      <c r="BR810" s="8"/>
      <c r="BS810" s="7"/>
      <c r="BT810" s="7"/>
      <c r="BU810" s="2" t="s">
        <v>2551</v>
      </c>
      <c r="BV810" s="2" t="s">
        <v>97</v>
      </c>
      <c r="BW810" s="2" t="s">
        <v>100</v>
      </c>
      <c r="BX810" s="2" t="s">
        <v>100</v>
      </c>
      <c r="BY810" s="2" t="s">
        <v>112</v>
      </c>
      <c r="BZ810" s="2" t="s">
        <v>100</v>
      </c>
    </row>
    <row r="811">
      <c r="A811" s="2" t="s">
        <v>3128</v>
      </c>
      <c r="B811" s="2" t="s">
        <v>87</v>
      </c>
      <c r="C811" s="2" t="s">
        <v>2831</v>
      </c>
      <c r="D811" s="2" t="s">
        <v>1496</v>
      </c>
      <c r="E811" s="2" t="s">
        <v>1497</v>
      </c>
      <c r="F811" s="2" t="s">
        <v>2966</v>
      </c>
      <c r="G811" s="2" t="s">
        <v>2966</v>
      </c>
      <c r="H811" s="2" t="s">
        <v>2966</v>
      </c>
      <c r="I811" s="2" t="s">
        <v>3116</v>
      </c>
      <c r="J811" s="2" t="s">
        <v>529</v>
      </c>
      <c r="K811" s="2" t="s">
        <v>673</v>
      </c>
      <c r="L811" s="3">
        <v>65.55</v>
      </c>
      <c r="M811" s="3">
        <v>68.83</v>
      </c>
      <c r="N811" s="3">
        <v>139.99</v>
      </c>
      <c r="O811" s="2" t="s">
        <v>97</v>
      </c>
      <c r="P811" s="2" t="s">
        <v>139</v>
      </c>
      <c r="Q811" s="2" t="s">
        <v>99</v>
      </c>
      <c r="R811" s="2" t="s">
        <v>100</v>
      </c>
      <c r="S811" s="2" t="s">
        <v>2983</v>
      </c>
      <c r="T811" s="2" t="s">
        <v>190</v>
      </c>
      <c r="U811" s="2" t="s">
        <v>901</v>
      </c>
      <c r="V811" s="2" t="s">
        <v>2913</v>
      </c>
      <c r="W811" s="2" t="s">
        <v>686</v>
      </c>
      <c r="X811" s="2" t="s">
        <v>594</v>
      </c>
      <c r="Y811" s="2" t="s">
        <v>3126</v>
      </c>
      <c r="Z811" s="4">
        <v>422</v>
      </c>
      <c r="AA811" s="4">
        <f>=ROUNDDOWN(42.2,0)</f>
      </c>
      <c r="AB811" s="5">
        <v>10</v>
      </c>
      <c r="AC811" s="2" t="s">
        <v>1238</v>
      </c>
      <c r="AD811" s="4">
        <v>100</v>
      </c>
      <c r="AE811" s="4">
        <v>100</v>
      </c>
      <c r="AF811" s="6">
        <v>66</v>
      </c>
      <c r="AG811" s="6">
        <v>74</v>
      </c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/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/>
      <c r="BJ811" s="4">
        <v>40</v>
      </c>
      <c r="BK811" s="8">
        <v>2883.59</v>
      </c>
      <c r="BL811" s="2" t="s">
        <v>2902</v>
      </c>
      <c r="BM811" s="7"/>
      <c r="BN811" s="7"/>
      <c r="BO811" s="4"/>
      <c r="BP811" s="8"/>
      <c r="BQ811" s="4"/>
      <c r="BR811" s="8"/>
      <c r="BS811" s="7"/>
      <c r="BT811" s="7"/>
      <c r="BU811" s="2" t="s">
        <v>2551</v>
      </c>
      <c r="BV811" s="2" t="s">
        <v>97</v>
      </c>
      <c r="BW811" s="2" t="s">
        <v>100</v>
      </c>
      <c r="BX811" s="2" t="s">
        <v>100</v>
      </c>
      <c r="BY811" s="2" t="s">
        <v>112</v>
      </c>
      <c r="BZ811" s="2" t="s">
        <v>100</v>
      </c>
    </row>
    <row r="812">
      <c r="A812" s="2" t="s">
        <v>3129</v>
      </c>
      <c r="B812" s="2" t="s">
        <v>87</v>
      </c>
      <c r="C812" s="2" t="s">
        <v>2831</v>
      </c>
      <c r="D812" s="2" t="s">
        <v>1496</v>
      </c>
      <c r="E812" s="2" t="s">
        <v>1497</v>
      </c>
      <c r="F812" s="2" t="s">
        <v>2988</v>
      </c>
      <c r="G812" s="2" t="s">
        <v>2988</v>
      </c>
      <c r="H812" s="2" t="s">
        <v>2988</v>
      </c>
      <c r="I812" s="2" t="s">
        <v>3130</v>
      </c>
      <c r="J812" s="2" t="s">
        <v>522</v>
      </c>
      <c r="K812" s="2" t="s">
        <v>2990</v>
      </c>
      <c r="L812" s="3">
        <v>43.2</v>
      </c>
      <c r="M812" s="3">
        <v>45.36</v>
      </c>
      <c r="N812" s="3">
        <v>84.99</v>
      </c>
      <c r="O812" s="2" t="s">
        <v>97</v>
      </c>
      <c r="P812" s="2" t="s">
        <v>707</v>
      </c>
      <c r="Q812" s="2" t="s">
        <v>99</v>
      </c>
      <c r="R812" s="2" t="s">
        <v>100</v>
      </c>
      <c r="S812" s="2" t="s">
        <v>2991</v>
      </c>
      <c r="T812" s="2" t="s">
        <v>190</v>
      </c>
      <c r="U812" s="2" t="s">
        <v>901</v>
      </c>
      <c r="V812" s="2" t="s">
        <v>2883</v>
      </c>
      <c r="W812" s="2" t="s">
        <v>493</v>
      </c>
      <c r="X812" s="2" t="s">
        <v>2883</v>
      </c>
      <c r="Y812" s="2" t="s">
        <v>2992</v>
      </c>
      <c r="Z812" s="4">
        <v>73</v>
      </c>
      <c r="AA812" s="4">
        <f>=ROUNDDOWN(9.125,0)</f>
      </c>
      <c r="AB812" s="5">
        <v>8</v>
      </c>
      <c r="AC812" s="2" t="s">
        <v>2363</v>
      </c>
      <c r="AD812" s="4">
        <v>180</v>
      </c>
      <c r="AE812" s="4">
        <v>180</v>
      </c>
      <c r="AF812" s="6">
        <v>64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100</v>
      </c>
      <c r="AW812" s="8" t="s">
        <v>100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/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/>
      <c r="BJ812" s="4">
        <v>20</v>
      </c>
      <c r="BK812" s="8">
        <v>990.74</v>
      </c>
      <c r="BL812" s="2" t="s">
        <v>3131</v>
      </c>
      <c r="BM812" s="7"/>
      <c r="BN812" s="7"/>
      <c r="BO812" s="4"/>
      <c r="BP812" s="8"/>
      <c r="BQ812" s="4"/>
      <c r="BR812" s="8"/>
      <c r="BS812" s="7"/>
      <c r="BT812" s="7"/>
      <c r="BU812" s="2" t="s">
        <v>171</v>
      </c>
      <c r="BV812" s="2" t="s">
        <v>97</v>
      </c>
      <c r="BW812" s="2" t="s">
        <v>100</v>
      </c>
      <c r="BX812" s="2" t="s">
        <v>100</v>
      </c>
      <c r="BY812" s="2" t="s">
        <v>112</v>
      </c>
      <c r="BZ812" s="2" t="s">
        <v>100</v>
      </c>
    </row>
    <row r="813">
      <c r="A813" s="2" t="s">
        <v>3132</v>
      </c>
      <c r="B813" s="2" t="s">
        <v>87</v>
      </c>
      <c r="C813" s="2" t="s">
        <v>2831</v>
      </c>
      <c r="D813" s="2" t="s">
        <v>1496</v>
      </c>
      <c r="E813" s="2" t="s">
        <v>1497</v>
      </c>
      <c r="F813" s="2" t="s">
        <v>2988</v>
      </c>
      <c r="G813" s="2" t="s">
        <v>2988</v>
      </c>
      <c r="H813" s="2" t="s">
        <v>2988</v>
      </c>
      <c r="I813" s="2" t="s">
        <v>3130</v>
      </c>
      <c r="J813" s="2" t="s">
        <v>529</v>
      </c>
      <c r="K813" s="2" t="s">
        <v>2990</v>
      </c>
      <c r="L813" s="3">
        <v>57.33</v>
      </c>
      <c r="M813" s="3">
        <v>60.2</v>
      </c>
      <c r="N813" s="3">
        <v>114.99</v>
      </c>
      <c r="O813" s="2" t="s">
        <v>97</v>
      </c>
      <c r="P813" s="2" t="s">
        <v>707</v>
      </c>
      <c r="Q813" s="2" t="s">
        <v>99</v>
      </c>
      <c r="R813" s="2" t="s">
        <v>100</v>
      </c>
      <c r="S813" s="2" t="s">
        <v>2991</v>
      </c>
      <c r="T813" s="2" t="s">
        <v>190</v>
      </c>
      <c r="U813" s="2" t="s">
        <v>901</v>
      </c>
      <c r="V813" s="2" t="s">
        <v>2883</v>
      </c>
      <c r="W813" s="2" t="s">
        <v>493</v>
      </c>
      <c r="X813" s="2" t="s">
        <v>2883</v>
      </c>
      <c r="Y813" s="2" t="s">
        <v>2992</v>
      </c>
      <c r="Z813" s="4">
        <v>13</v>
      </c>
      <c r="AA813" s="4">
        <f>=ROUNDDOWN(2.16666666666667,0)</f>
      </c>
      <c r="AB813" s="5">
        <v>6</v>
      </c>
      <c r="AC813" s="2" t="s">
        <v>2363</v>
      </c>
      <c r="AD813" s="4">
        <v>110</v>
      </c>
      <c r="AE813" s="4">
        <v>110</v>
      </c>
      <c r="AF813" s="6">
        <v>64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/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/>
      <c r="BJ813" s="4">
        <v>27</v>
      </c>
      <c r="BK813" s="8">
        <v>1752.94</v>
      </c>
      <c r="BL813" s="2" t="s">
        <v>3133</v>
      </c>
      <c r="BM813" s="7"/>
      <c r="BN813" s="7"/>
      <c r="BO813" s="4"/>
      <c r="BP813" s="8"/>
      <c r="BQ813" s="4"/>
      <c r="BR813" s="8"/>
      <c r="BS813" s="7"/>
      <c r="BT813" s="7"/>
      <c r="BU813" s="2" t="s">
        <v>171</v>
      </c>
      <c r="BV813" s="2" t="s">
        <v>97</v>
      </c>
      <c r="BW813" s="2" t="s">
        <v>100</v>
      </c>
      <c r="BX813" s="2" t="s">
        <v>100</v>
      </c>
      <c r="BY813" s="2" t="s">
        <v>112</v>
      </c>
      <c r="BZ813" s="2" t="s">
        <v>100</v>
      </c>
    </row>
    <row r="814">
      <c r="A814" s="2" t="s">
        <v>3134</v>
      </c>
      <c r="B814" s="2" t="s">
        <v>87</v>
      </c>
      <c r="C814" s="2" t="s">
        <v>2831</v>
      </c>
      <c r="D814" s="2" t="s">
        <v>1496</v>
      </c>
      <c r="E814" s="2" t="s">
        <v>1497</v>
      </c>
      <c r="F814" s="2" t="s">
        <v>2988</v>
      </c>
      <c r="G814" s="2" t="s">
        <v>2988</v>
      </c>
      <c r="H814" s="2" t="s">
        <v>2988</v>
      </c>
      <c r="I814" s="2" t="s">
        <v>3130</v>
      </c>
      <c r="J814" s="2" t="s">
        <v>522</v>
      </c>
      <c r="K814" s="2" t="s">
        <v>2997</v>
      </c>
      <c r="L814" s="3">
        <v>43.2</v>
      </c>
      <c r="M814" s="3">
        <v>45.36</v>
      </c>
      <c r="N814" s="3">
        <v>84.99</v>
      </c>
      <c r="O814" s="2" t="s">
        <v>97</v>
      </c>
      <c r="P814" s="2" t="s">
        <v>156</v>
      </c>
      <c r="Q814" s="2" t="s">
        <v>99</v>
      </c>
      <c r="R814" s="2" t="s">
        <v>100</v>
      </c>
      <c r="S814" s="2" t="s">
        <v>2998</v>
      </c>
      <c r="T814" s="2" t="s">
        <v>190</v>
      </c>
      <c r="U814" s="2" t="s">
        <v>901</v>
      </c>
      <c r="V814" s="2" t="s">
        <v>2883</v>
      </c>
      <c r="W814" s="2" t="s">
        <v>493</v>
      </c>
      <c r="X814" s="2" t="s">
        <v>2999</v>
      </c>
      <c r="Y814" s="2" t="s">
        <v>3000</v>
      </c>
      <c r="Z814" s="4">
        <v>196</v>
      </c>
      <c r="AA814" s="4">
        <f>=ROUNDDOWN(16.3333333333333,0)</f>
      </c>
      <c r="AB814" s="5">
        <v>12</v>
      </c>
      <c r="AC814" s="2" t="s">
        <v>2363</v>
      </c>
      <c r="AD814" s="4">
        <v>110</v>
      </c>
      <c r="AE814" s="4">
        <v>240</v>
      </c>
      <c r="AF814" s="6">
        <v>64</v>
      </c>
      <c r="AG814" s="6">
        <v>47</v>
      </c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100</v>
      </c>
      <c r="AW814" s="8" t="s">
        <v>100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/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/>
      <c r="BJ814" s="4">
        <v>30</v>
      </c>
      <c r="BK814" s="8">
        <v>1452.13</v>
      </c>
      <c r="BL814" s="2" t="s">
        <v>3135</v>
      </c>
      <c r="BM814" s="7"/>
      <c r="BN814" s="7"/>
      <c r="BO814" s="4"/>
      <c r="BP814" s="8"/>
      <c r="BQ814" s="4"/>
      <c r="BR814" s="8"/>
      <c r="BS814" s="7"/>
      <c r="BT814" s="7"/>
      <c r="BU814" s="2" t="s">
        <v>2526</v>
      </c>
      <c r="BV814" s="2" t="s">
        <v>97</v>
      </c>
      <c r="BW814" s="2" t="s">
        <v>100</v>
      </c>
      <c r="BX814" s="2" t="s">
        <v>100</v>
      </c>
      <c r="BY814" s="2" t="s">
        <v>112</v>
      </c>
      <c r="BZ814" s="2" t="s">
        <v>100</v>
      </c>
    </row>
    <row r="815">
      <c r="A815" s="2" t="s">
        <v>3136</v>
      </c>
      <c r="B815" s="2" t="s">
        <v>87</v>
      </c>
      <c r="C815" s="2" t="s">
        <v>2831</v>
      </c>
      <c r="D815" s="2" t="s">
        <v>1496</v>
      </c>
      <c r="E815" s="2" t="s">
        <v>1497</v>
      </c>
      <c r="F815" s="2" t="s">
        <v>2988</v>
      </c>
      <c r="G815" s="2" t="s">
        <v>2988</v>
      </c>
      <c r="H815" s="2" t="s">
        <v>2988</v>
      </c>
      <c r="I815" s="2" t="s">
        <v>3130</v>
      </c>
      <c r="J815" s="2" t="s">
        <v>529</v>
      </c>
      <c r="K815" s="2" t="s">
        <v>2997</v>
      </c>
      <c r="L815" s="3">
        <v>57.33</v>
      </c>
      <c r="M815" s="3">
        <v>60.2</v>
      </c>
      <c r="N815" s="3">
        <v>114.99</v>
      </c>
      <c r="O815" s="2" t="s">
        <v>97</v>
      </c>
      <c r="P815" s="2" t="s">
        <v>156</v>
      </c>
      <c r="Q815" s="2" t="s">
        <v>99</v>
      </c>
      <c r="R815" s="2" t="s">
        <v>100</v>
      </c>
      <c r="S815" s="2" t="s">
        <v>2998</v>
      </c>
      <c r="T815" s="2" t="s">
        <v>190</v>
      </c>
      <c r="U815" s="2" t="s">
        <v>901</v>
      </c>
      <c r="V815" s="2" t="s">
        <v>2883</v>
      </c>
      <c r="W815" s="2" t="s">
        <v>493</v>
      </c>
      <c r="X815" s="2" t="s">
        <v>2999</v>
      </c>
      <c r="Y815" s="2" t="s">
        <v>3000</v>
      </c>
      <c r="Z815" s="4">
        <v>207</v>
      </c>
      <c r="AA815" s="4">
        <f>=ROUNDDOWN(20.7,0)</f>
      </c>
      <c r="AB815" s="5">
        <v>10</v>
      </c>
      <c r="AC815" s="2" t="s">
        <v>676</v>
      </c>
      <c r="AD815" s="4">
        <v>50</v>
      </c>
      <c r="AE815" s="4">
        <v>90</v>
      </c>
      <c r="AF815" s="6">
        <v>64</v>
      </c>
      <c r="AG815" s="6">
        <v>47</v>
      </c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/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/>
      <c r="BJ815" s="4">
        <v>30</v>
      </c>
      <c r="BK815" s="8">
        <v>1919.18</v>
      </c>
      <c r="BL815" s="2" t="s">
        <v>384</v>
      </c>
      <c r="BM815" s="7"/>
      <c r="BN815" s="7"/>
      <c r="BO815" s="4"/>
      <c r="BP815" s="8"/>
      <c r="BQ815" s="4"/>
      <c r="BR815" s="8"/>
      <c r="BS815" s="7"/>
      <c r="BT815" s="7"/>
      <c r="BU815" s="2" t="s">
        <v>2526</v>
      </c>
      <c r="BV815" s="2" t="s">
        <v>97</v>
      </c>
      <c r="BW815" s="2" t="s">
        <v>100</v>
      </c>
      <c r="BX815" s="2" t="s">
        <v>100</v>
      </c>
      <c r="BY815" s="2" t="s">
        <v>112</v>
      </c>
      <c r="BZ815" s="2" t="s">
        <v>100</v>
      </c>
    </row>
    <row r="816">
      <c r="A816" s="2" t="s">
        <v>3137</v>
      </c>
      <c r="B816" s="2" t="s">
        <v>87</v>
      </c>
      <c r="C816" s="2" t="s">
        <v>2831</v>
      </c>
      <c r="D816" s="2" t="s">
        <v>1496</v>
      </c>
      <c r="E816" s="2" t="s">
        <v>1497</v>
      </c>
      <c r="F816" s="2" t="s">
        <v>3005</v>
      </c>
      <c r="G816" s="2" t="s">
        <v>3005</v>
      </c>
      <c r="H816" s="2" t="s">
        <v>3005</v>
      </c>
      <c r="I816" s="2" t="s">
        <v>3138</v>
      </c>
      <c r="J816" s="2" t="s">
        <v>522</v>
      </c>
      <c r="K816" s="2" t="s">
        <v>3007</v>
      </c>
      <c r="L816" s="3">
        <v>44.16</v>
      </c>
      <c r="M816" s="3">
        <v>46.37</v>
      </c>
      <c r="N816" s="3">
        <v>84.99</v>
      </c>
      <c r="O816" s="2" t="s">
        <v>97</v>
      </c>
      <c r="P816" s="2" t="s">
        <v>98</v>
      </c>
      <c r="Q816" s="2" t="s">
        <v>99</v>
      </c>
      <c r="R816" s="2" t="s">
        <v>100</v>
      </c>
      <c r="S816" s="2" t="s">
        <v>3008</v>
      </c>
      <c r="T816" s="2" t="s">
        <v>190</v>
      </c>
      <c r="U816" s="2" t="s">
        <v>901</v>
      </c>
      <c r="V816" s="2" t="s">
        <v>473</v>
      </c>
      <c r="W816" s="2" t="s">
        <v>2835</v>
      </c>
      <c r="X816" s="2" t="s">
        <v>580</v>
      </c>
      <c r="Y816" s="2" t="s">
        <v>1218</v>
      </c>
      <c r="Z816" s="4">
        <v>106</v>
      </c>
      <c r="AA816" s="4">
        <f>=ROUNDDOWN(13.25,0)</f>
      </c>
      <c r="AB816" s="5">
        <v>8</v>
      </c>
      <c r="AC816" s="2" t="s">
        <v>3010</v>
      </c>
      <c r="AD816" s="4">
        <v>50</v>
      </c>
      <c r="AE816" s="4">
        <v>165</v>
      </c>
      <c r="AF816" s="6">
        <v>67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100</v>
      </c>
      <c r="AW816" s="8" t="s">
        <v>100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/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/>
      <c r="BJ816" s="4">
        <v>28</v>
      </c>
      <c r="BK816" s="8">
        <v>1327.49</v>
      </c>
      <c r="BL816" s="2" t="s">
        <v>1694</v>
      </c>
      <c r="BM816" s="7"/>
      <c r="BN816" s="7"/>
      <c r="BO816" s="4"/>
      <c r="BP816" s="8"/>
      <c r="BQ816" s="4"/>
      <c r="BR816" s="8"/>
      <c r="BS816" s="7"/>
      <c r="BT816" s="7"/>
      <c r="BU816" s="2" t="s">
        <v>2551</v>
      </c>
      <c r="BV816" s="2" t="s">
        <v>97</v>
      </c>
      <c r="BW816" s="2" t="s">
        <v>100</v>
      </c>
      <c r="BX816" s="2" t="s">
        <v>100</v>
      </c>
      <c r="BY816" s="2" t="s">
        <v>112</v>
      </c>
      <c r="BZ816" s="2" t="s">
        <v>100</v>
      </c>
    </row>
    <row r="817">
      <c r="A817" s="2" t="s">
        <v>3139</v>
      </c>
      <c r="B817" s="2" t="s">
        <v>87</v>
      </c>
      <c r="C817" s="2" t="s">
        <v>2831</v>
      </c>
      <c r="D817" s="2" t="s">
        <v>1496</v>
      </c>
      <c r="E817" s="2" t="s">
        <v>1497</v>
      </c>
      <c r="F817" s="2" t="s">
        <v>3005</v>
      </c>
      <c r="G817" s="2" t="s">
        <v>3005</v>
      </c>
      <c r="H817" s="2" t="s">
        <v>3005</v>
      </c>
      <c r="I817" s="2" t="s">
        <v>3138</v>
      </c>
      <c r="J817" s="2" t="s">
        <v>529</v>
      </c>
      <c r="K817" s="2" t="s">
        <v>3007</v>
      </c>
      <c r="L817" s="3">
        <v>58.6</v>
      </c>
      <c r="M817" s="3">
        <v>61.53</v>
      </c>
      <c r="N817" s="3">
        <v>114.99</v>
      </c>
      <c r="O817" s="2" t="s">
        <v>97</v>
      </c>
      <c r="P817" s="2" t="s">
        <v>98</v>
      </c>
      <c r="Q817" s="2" t="s">
        <v>99</v>
      </c>
      <c r="R817" s="2" t="s">
        <v>100</v>
      </c>
      <c r="S817" s="2" t="s">
        <v>3008</v>
      </c>
      <c r="T817" s="2" t="s">
        <v>190</v>
      </c>
      <c r="U817" s="2" t="s">
        <v>901</v>
      </c>
      <c r="V817" s="2" t="s">
        <v>473</v>
      </c>
      <c r="W817" s="2" t="s">
        <v>2835</v>
      </c>
      <c r="X817" s="2" t="s">
        <v>580</v>
      </c>
      <c r="Y817" s="2" t="s">
        <v>1218</v>
      </c>
      <c r="Z817" s="4">
        <v>73</v>
      </c>
      <c r="AA817" s="4">
        <f>=ROUNDDOWN(18.25,0)</f>
      </c>
      <c r="AB817" s="5">
        <v>4</v>
      </c>
      <c r="AC817" s="2" t="s">
        <v>3010</v>
      </c>
      <c r="AD817" s="4">
        <v>70</v>
      </c>
      <c r="AE817" s="4">
        <v>165</v>
      </c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/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/>
      <c r="BJ817" s="4">
        <v>22</v>
      </c>
      <c r="BK817" s="8">
        <v>1479.89</v>
      </c>
      <c r="BL817" s="2" t="s">
        <v>1694</v>
      </c>
      <c r="BM817" s="7"/>
      <c r="BN817" s="7"/>
      <c r="BO817" s="4"/>
      <c r="BP817" s="8"/>
      <c r="BQ817" s="4"/>
      <c r="BR817" s="8"/>
      <c r="BS817" s="7"/>
      <c r="BT817" s="7"/>
      <c r="BU817" s="2" t="s">
        <v>2551</v>
      </c>
      <c r="BV817" s="2" t="s">
        <v>97</v>
      </c>
      <c r="BW817" s="2" t="s">
        <v>100</v>
      </c>
      <c r="BX817" s="2" t="s">
        <v>100</v>
      </c>
      <c r="BY817" s="2" t="s">
        <v>112</v>
      </c>
      <c r="BZ817" s="2" t="s">
        <v>100</v>
      </c>
    </row>
    <row r="818">
      <c r="A818" s="2" t="s">
        <v>3140</v>
      </c>
      <c r="B818" s="2" t="s">
        <v>87</v>
      </c>
      <c r="C818" s="2" t="s">
        <v>2831</v>
      </c>
      <c r="D818" s="2" t="s">
        <v>1496</v>
      </c>
      <c r="E818" s="2" t="s">
        <v>1497</v>
      </c>
      <c r="F818" s="2" t="s">
        <v>3005</v>
      </c>
      <c r="G818" s="2" t="s">
        <v>3005</v>
      </c>
      <c r="H818" s="2" t="s">
        <v>3005</v>
      </c>
      <c r="I818" s="2" t="s">
        <v>3138</v>
      </c>
      <c r="J818" s="2" t="s">
        <v>522</v>
      </c>
      <c r="K818" s="2" t="s">
        <v>3013</v>
      </c>
      <c r="L818" s="3">
        <v>44.16</v>
      </c>
      <c r="M818" s="3">
        <v>46.37</v>
      </c>
      <c r="N818" s="3">
        <v>84.99</v>
      </c>
      <c r="O818" s="2" t="s">
        <v>97</v>
      </c>
      <c r="P818" s="2" t="s">
        <v>139</v>
      </c>
      <c r="Q818" s="2" t="s">
        <v>99</v>
      </c>
      <c r="R818" s="2" t="s">
        <v>100</v>
      </c>
      <c r="S818" s="2" t="s">
        <v>3014</v>
      </c>
      <c r="T818" s="2" t="s">
        <v>190</v>
      </c>
      <c r="U818" s="2" t="s">
        <v>901</v>
      </c>
      <c r="V818" s="2" t="s">
        <v>473</v>
      </c>
      <c r="W818" s="2" t="s">
        <v>2835</v>
      </c>
      <c r="X818" s="2" t="s">
        <v>580</v>
      </c>
      <c r="Y818" s="2" t="s">
        <v>3015</v>
      </c>
      <c r="Z818" s="4">
        <v>3431</v>
      </c>
      <c r="AA818" s="4">
        <f>=ROUNDDOWN(142.958333333333,0)</f>
      </c>
      <c r="AB818" s="5">
        <v>24</v>
      </c>
      <c r="AC818" s="2" t="s">
        <v>100</v>
      </c>
      <c r="AD818" s="4"/>
      <c r="AE818" s="4"/>
      <c r="AF818" s="6">
        <v>67</v>
      </c>
      <c r="AG818" s="6"/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100</v>
      </c>
      <c r="AW818" s="8" t="s">
        <v>100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/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/>
      <c r="BJ818" s="4">
        <v>62</v>
      </c>
      <c r="BK818" s="8">
        <v>2831.26</v>
      </c>
      <c r="BL818" s="2" t="s">
        <v>3141</v>
      </c>
      <c r="BM818" s="7"/>
      <c r="BN818" s="7"/>
      <c r="BO818" s="4"/>
      <c r="BP818" s="8"/>
      <c r="BQ818" s="4"/>
      <c r="BR818" s="8"/>
      <c r="BS818" s="7"/>
      <c r="BT818" s="7"/>
      <c r="BU818" s="2" t="s">
        <v>2551</v>
      </c>
      <c r="BV818" s="2" t="s">
        <v>97</v>
      </c>
      <c r="BW818" s="2" t="s">
        <v>100</v>
      </c>
      <c r="BX818" s="2" t="s">
        <v>100</v>
      </c>
      <c r="BY818" s="2" t="s">
        <v>112</v>
      </c>
      <c r="BZ818" s="2" t="s">
        <v>100</v>
      </c>
    </row>
    <row r="819">
      <c r="A819" s="2" t="s">
        <v>3142</v>
      </c>
      <c r="B819" s="2" t="s">
        <v>87</v>
      </c>
      <c r="C819" s="2" t="s">
        <v>2831</v>
      </c>
      <c r="D819" s="2" t="s">
        <v>1496</v>
      </c>
      <c r="E819" s="2" t="s">
        <v>1497</v>
      </c>
      <c r="F819" s="2" t="s">
        <v>3005</v>
      </c>
      <c r="G819" s="2" t="s">
        <v>3005</v>
      </c>
      <c r="H819" s="2" t="s">
        <v>3005</v>
      </c>
      <c r="I819" s="2" t="s">
        <v>3138</v>
      </c>
      <c r="J819" s="2" t="s">
        <v>529</v>
      </c>
      <c r="K819" s="2" t="s">
        <v>3013</v>
      </c>
      <c r="L819" s="3">
        <v>58.6</v>
      </c>
      <c r="M819" s="3">
        <v>61.53</v>
      </c>
      <c r="N819" s="3">
        <v>114.99</v>
      </c>
      <c r="O819" s="2" t="s">
        <v>97</v>
      </c>
      <c r="P819" s="2" t="s">
        <v>139</v>
      </c>
      <c r="Q819" s="2" t="s">
        <v>99</v>
      </c>
      <c r="R819" s="2" t="s">
        <v>100</v>
      </c>
      <c r="S819" s="2" t="s">
        <v>3014</v>
      </c>
      <c r="T819" s="2" t="s">
        <v>190</v>
      </c>
      <c r="U819" s="2" t="s">
        <v>901</v>
      </c>
      <c r="V819" s="2" t="s">
        <v>473</v>
      </c>
      <c r="W819" s="2" t="s">
        <v>2835</v>
      </c>
      <c r="X819" s="2" t="s">
        <v>580</v>
      </c>
      <c r="Y819" s="2" t="s">
        <v>3015</v>
      </c>
      <c r="Z819" s="4">
        <v>4087</v>
      </c>
      <c r="AA819" s="4">
        <f>=ROUNDDOWN(136.233333333333,0)</f>
      </c>
      <c r="AB819" s="5">
        <v>30</v>
      </c>
      <c r="AC819" s="2" t="s">
        <v>100</v>
      </c>
      <c r="AD819" s="4"/>
      <c r="AE819" s="4"/>
      <c r="AF819" s="6">
        <v>67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/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/>
      <c r="BJ819" s="4">
        <v>83</v>
      </c>
      <c r="BK819" s="8">
        <v>5445.29</v>
      </c>
      <c r="BL819" s="2" t="s">
        <v>3143</v>
      </c>
      <c r="BM819" s="7"/>
      <c r="BN819" s="7"/>
      <c r="BO819" s="4"/>
      <c r="BP819" s="8"/>
      <c r="BQ819" s="4"/>
      <c r="BR819" s="8"/>
      <c r="BS819" s="7"/>
      <c r="BT819" s="7"/>
      <c r="BU819" s="2" t="s">
        <v>2551</v>
      </c>
      <c r="BV819" s="2" t="s">
        <v>97</v>
      </c>
      <c r="BW819" s="2" t="s">
        <v>100</v>
      </c>
      <c r="BX819" s="2" t="s">
        <v>100</v>
      </c>
      <c r="BY819" s="2" t="s">
        <v>112</v>
      </c>
      <c r="BZ819" s="2" t="s">
        <v>100</v>
      </c>
    </row>
    <row r="820">
      <c r="A820" s="2" t="s">
        <v>3144</v>
      </c>
      <c r="B820" s="2" t="s">
        <v>87</v>
      </c>
      <c r="C820" s="2" t="s">
        <v>2831</v>
      </c>
      <c r="D820" s="2" t="s">
        <v>1496</v>
      </c>
      <c r="E820" s="2" t="s">
        <v>1497</v>
      </c>
      <c r="F820" s="2" t="s">
        <v>3020</v>
      </c>
      <c r="G820" s="2" t="s">
        <v>3020</v>
      </c>
      <c r="H820" s="2" t="s">
        <v>3020</v>
      </c>
      <c r="I820" s="2" t="s">
        <v>3145</v>
      </c>
      <c r="J820" s="2" t="s">
        <v>522</v>
      </c>
      <c r="K820" s="2" t="s">
        <v>3022</v>
      </c>
      <c r="L820" s="3">
        <v>53.9</v>
      </c>
      <c r="M820" s="3">
        <v>56.6</v>
      </c>
      <c r="N820" s="3">
        <v>109.99</v>
      </c>
      <c r="O820" s="2" t="s">
        <v>97</v>
      </c>
      <c r="P820" s="2" t="s">
        <v>98</v>
      </c>
      <c r="Q820" s="2" t="s">
        <v>99</v>
      </c>
      <c r="R820" s="2" t="s">
        <v>100</v>
      </c>
      <c r="S820" s="2" t="s">
        <v>3023</v>
      </c>
      <c r="T820" s="2" t="s">
        <v>190</v>
      </c>
      <c r="U820" s="2" t="s">
        <v>901</v>
      </c>
      <c r="V820" s="2" t="s">
        <v>547</v>
      </c>
      <c r="W820" s="2" t="s">
        <v>193</v>
      </c>
      <c r="X820" s="2" t="s">
        <v>609</v>
      </c>
      <c r="Y820" s="2" t="s">
        <v>845</v>
      </c>
      <c r="Z820" s="4">
        <v>35</v>
      </c>
      <c r="AA820" s="4">
        <f>=ROUNDDOWN(8.75,0)</f>
      </c>
      <c r="AB820" s="5">
        <v>4</v>
      </c>
      <c r="AC820" s="2" t="s">
        <v>3024</v>
      </c>
      <c r="AD820" s="4">
        <v>65</v>
      </c>
      <c r="AE820" s="4">
        <v>155</v>
      </c>
      <c r="AF820" s="6">
        <v>67</v>
      </c>
      <c r="AG820" s="6"/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100</v>
      </c>
      <c r="AW820" s="8" t="s">
        <v>100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/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/>
      <c r="BJ820" s="4">
        <v>6</v>
      </c>
      <c r="BK820" s="8">
        <v>346.36</v>
      </c>
      <c r="BL820" s="2" t="s">
        <v>3146</v>
      </c>
      <c r="BM820" s="7"/>
      <c r="BN820" s="7"/>
      <c r="BO820" s="4"/>
      <c r="BP820" s="8"/>
      <c r="BQ820" s="4"/>
      <c r="BR820" s="8"/>
      <c r="BS820" s="7"/>
      <c r="BT820" s="7"/>
      <c r="BU820" s="2" t="s">
        <v>2551</v>
      </c>
      <c r="BV820" s="2" t="s">
        <v>97</v>
      </c>
      <c r="BW820" s="2" t="s">
        <v>100</v>
      </c>
      <c r="BX820" s="2" t="s">
        <v>100</v>
      </c>
      <c r="BY820" s="2" t="s">
        <v>112</v>
      </c>
      <c r="BZ820" s="2" t="s">
        <v>100</v>
      </c>
    </row>
    <row r="821">
      <c r="A821" s="2" t="s">
        <v>3147</v>
      </c>
      <c r="B821" s="2" t="s">
        <v>87</v>
      </c>
      <c r="C821" s="2" t="s">
        <v>2831</v>
      </c>
      <c r="D821" s="2" t="s">
        <v>1496</v>
      </c>
      <c r="E821" s="2" t="s">
        <v>1497</v>
      </c>
      <c r="F821" s="2" t="s">
        <v>3020</v>
      </c>
      <c r="G821" s="2" t="s">
        <v>3020</v>
      </c>
      <c r="H821" s="2" t="s">
        <v>3020</v>
      </c>
      <c r="I821" s="2" t="s">
        <v>3145</v>
      </c>
      <c r="J821" s="2" t="s">
        <v>529</v>
      </c>
      <c r="K821" s="2" t="s">
        <v>3022</v>
      </c>
      <c r="L821" s="3">
        <v>67.2</v>
      </c>
      <c r="M821" s="3">
        <v>70.56</v>
      </c>
      <c r="N821" s="3">
        <v>139.99</v>
      </c>
      <c r="O821" s="2" t="s">
        <v>97</v>
      </c>
      <c r="P821" s="2" t="s">
        <v>98</v>
      </c>
      <c r="Q821" s="2" t="s">
        <v>99</v>
      </c>
      <c r="R821" s="2" t="s">
        <v>100</v>
      </c>
      <c r="S821" s="2" t="s">
        <v>3023</v>
      </c>
      <c r="T821" s="2" t="s">
        <v>190</v>
      </c>
      <c r="U821" s="2" t="s">
        <v>901</v>
      </c>
      <c r="V821" s="2" t="s">
        <v>547</v>
      </c>
      <c r="W821" s="2" t="s">
        <v>193</v>
      </c>
      <c r="X821" s="2" t="s">
        <v>609</v>
      </c>
      <c r="Y821" s="2" t="s">
        <v>845</v>
      </c>
      <c r="Z821" s="4">
        <v>61</v>
      </c>
      <c r="AA821" s="4">
        <f>=ROUNDDOWN(15.25,0)</f>
      </c>
      <c r="AB821" s="5">
        <v>4</v>
      </c>
      <c r="AC821" s="2" t="s">
        <v>3024</v>
      </c>
      <c r="AD821" s="4">
        <v>45</v>
      </c>
      <c r="AE821" s="4">
        <v>140</v>
      </c>
      <c r="AF821" s="6">
        <v>67</v>
      </c>
      <c r="AG821" s="6"/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/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/>
      <c r="BJ821" s="4">
        <v>14</v>
      </c>
      <c r="BK821" s="8">
        <v>1033.66</v>
      </c>
      <c r="BL821" s="2" t="s">
        <v>3148</v>
      </c>
      <c r="BM821" s="7"/>
      <c r="BN821" s="7"/>
      <c r="BO821" s="4"/>
      <c r="BP821" s="8"/>
      <c r="BQ821" s="4"/>
      <c r="BR821" s="8"/>
      <c r="BS821" s="7"/>
      <c r="BT821" s="7"/>
      <c r="BU821" s="2" t="s">
        <v>2551</v>
      </c>
      <c r="BV821" s="2" t="s">
        <v>97</v>
      </c>
      <c r="BW821" s="2" t="s">
        <v>100</v>
      </c>
      <c r="BX821" s="2" t="s">
        <v>100</v>
      </c>
      <c r="BY821" s="2" t="s">
        <v>112</v>
      </c>
      <c r="BZ821" s="2" t="s">
        <v>100</v>
      </c>
    </row>
    <row r="822">
      <c r="A822" s="2" t="s">
        <v>3149</v>
      </c>
      <c r="B822" s="2" t="s">
        <v>87</v>
      </c>
      <c r="C822" s="2" t="s">
        <v>2831</v>
      </c>
      <c r="D822" s="2" t="s">
        <v>1496</v>
      </c>
      <c r="E822" s="2" t="s">
        <v>1648</v>
      </c>
      <c r="F822" s="2" t="s">
        <v>2859</v>
      </c>
      <c r="G822" s="2" t="s">
        <v>2859</v>
      </c>
      <c r="H822" s="2" t="s">
        <v>100</v>
      </c>
      <c r="I822" s="2" t="s">
        <v>3150</v>
      </c>
      <c r="J822" s="2" t="s">
        <v>522</v>
      </c>
      <c r="K822" s="2" t="s">
        <v>458</v>
      </c>
      <c r="L822" s="3">
        <v>49</v>
      </c>
      <c r="M822" s="3">
        <v>51.44</v>
      </c>
      <c r="N822" s="3">
        <v>99.99</v>
      </c>
      <c r="O822" s="2" t="s">
        <v>97</v>
      </c>
      <c r="P822" s="2" t="s">
        <v>98</v>
      </c>
      <c r="Q822" s="2" t="s">
        <v>99</v>
      </c>
      <c r="R822" s="2" t="s">
        <v>100</v>
      </c>
      <c r="S822" s="2" t="s">
        <v>2857</v>
      </c>
      <c r="T822" s="2" t="s">
        <v>190</v>
      </c>
      <c r="U822" s="2" t="s">
        <v>901</v>
      </c>
      <c r="V822" s="2" t="s">
        <v>461</v>
      </c>
      <c r="W822" s="2" t="s">
        <v>142</v>
      </c>
      <c r="X822" s="2" t="s">
        <v>609</v>
      </c>
      <c r="Y822" s="2" t="s">
        <v>144</v>
      </c>
      <c r="Z822" s="4">
        <v>202</v>
      </c>
      <c r="AA822" s="4">
        <f>=ROUNDDOWN(33.6666666666667,0)</f>
      </c>
      <c r="AB822" s="5">
        <v>6</v>
      </c>
      <c r="AC822" s="2" t="s">
        <v>1452</v>
      </c>
      <c r="AD822" s="4">
        <v>35</v>
      </c>
      <c r="AE822" s="4">
        <v>35</v>
      </c>
      <c r="AF822" s="6">
        <v>67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/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/>
      <c r="BJ822" s="4">
        <v>17</v>
      </c>
      <c r="BK822" s="8">
        <v>927.32</v>
      </c>
      <c r="BL822" s="2" t="s">
        <v>3151</v>
      </c>
      <c r="BM822" s="7"/>
      <c r="BN822" s="7"/>
      <c r="BO822" s="4"/>
      <c r="BP822" s="8"/>
      <c r="BQ822" s="4"/>
      <c r="BR822" s="8"/>
      <c r="BS822" s="7"/>
      <c r="BT822" s="7"/>
      <c r="BU822" s="2" t="s">
        <v>2551</v>
      </c>
      <c r="BV822" s="2" t="s">
        <v>97</v>
      </c>
      <c r="BW822" s="2" t="s">
        <v>100</v>
      </c>
      <c r="BX822" s="2" t="s">
        <v>100</v>
      </c>
      <c r="BY822" s="2" t="s">
        <v>112</v>
      </c>
      <c r="BZ822" s="2" t="s">
        <v>100</v>
      </c>
    </row>
    <row r="823">
      <c r="A823" s="2" t="s">
        <v>3152</v>
      </c>
      <c r="B823" s="2" t="s">
        <v>87</v>
      </c>
      <c r="C823" s="2" t="s">
        <v>2831</v>
      </c>
      <c r="D823" s="2" t="s">
        <v>1496</v>
      </c>
      <c r="E823" s="2" t="s">
        <v>1648</v>
      </c>
      <c r="F823" s="2" t="s">
        <v>2859</v>
      </c>
      <c r="G823" s="2" t="s">
        <v>2859</v>
      </c>
      <c r="H823" s="2" t="s">
        <v>100</v>
      </c>
      <c r="I823" s="2" t="s">
        <v>3150</v>
      </c>
      <c r="J823" s="2" t="s">
        <v>529</v>
      </c>
      <c r="K823" s="2" t="s">
        <v>458</v>
      </c>
      <c r="L823" s="3">
        <v>65</v>
      </c>
      <c r="M823" s="3">
        <v>68.24</v>
      </c>
      <c r="N823" s="3">
        <v>129.99</v>
      </c>
      <c r="O823" s="2" t="s">
        <v>97</v>
      </c>
      <c r="P823" s="2" t="s">
        <v>98</v>
      </c>
      <c r="Q823" s="2" t="s">
        <v>99</v>
      </c>
      <c r="R823" s="2" t="s">
        <v>100</v>
      </c>
      <c r="S823" s="2" t="s">
        <v>2857</v>
      </c>
      <c r="T823" s="2" t="s">
        <v>190</v>
      </c>
      <c r="U823" s="2" t="s">
        <v>901</v>
      </c>
      <c r="V823" s="2" t="s">
        <v>461</v>
      </c>
      <c r="W823" s="2" t="s">
        <v>142</v>
      </c>
      <c r="X823" s="2" t="s">
        <v>609</v>
      </c>
      <c r="Y823" s="2" t="s">
        <v>144</v>
      </c>
      <c r="Z823" s="4">
        <v>3</v>
      </c>
      <c r="AA823" s="4">
        <f>=ROUNDDOWN(0.6,0)</f>
      </c>
      <c r="AB823" s="5">
        <v>5</v>
      </c>
      <c r="AC823" s="2" t="s">
        <v>107</v>
      </c>
      <c r="AD823" s="4">
        <v>105</v>
      </c>
      <c r="AE823" s="4">
        <v>230</v>
      </c>
      <c r="AF823" s="6">
        <v>67</v>
      </c>
      <c r="AG823" s="6"/>
      <c r="AH823" s="7">
        <v>0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/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/>
      <c r="BJ823" s="4"/>
      <c r="BK823" s="8"/>
      <c r="BL823" s="2" t="s">
        <v>100</v>
      </c>
      <c r="BM823" s="7"/>
      <c r="BN823" s="7"/>
      <c r="BO823" s="4"/>
      <c r="BP823" s="8"/>
      <c r="BQ823" s="4"/>
      <c r="BR823" s="8"/>
      <c r="BS823" s="7"/>
      <c r="BT823" s="7"/>
      <c r="BU823" s="2" t="s">
        <v>2551</v>
      </c>
      <c r="BV823" s="2" t="s">
        <v>97</v>
      </c>
      <c r="BW823" s="2" t="s">
        <v>100</v>
      </c>
      <c r="BX823" s="2" t="s">
        <v>100</v>
      </c>
      <c r="BY823" s="2" t="s">
        <v>112</v>
      </c>
      <c r="BZ823" s="2" t="s">
        <v>100</v>
      </c>
    </row>
    <row r="824">
      <c r="A824" s="2" t="s">
        <v>3153</v>
      </c>
      <c r="B824" s="2" t="s">
        <v>87</v>
      </c>
      <c r="C824" s="2" t="s">
        <v>2831</v>
      </c>
      <c r="D824" s="2" t="s">
        <v>2505</v>
      </c>
      <c r="E824" s="2" t="s">
        <v>2506</v>
      </c>
      <c r="F824" s="2" t="s">
        <v>3154</v>
      </c>
      <c r="G824" s="2" t="s">
        <v>3154</v>
      </c>
      <c r="H824" s="2" t="s">
        <v>3154</v>
      </c>
      <c r="I824" s="2" t="s">
        <v>3155</v>
      </c>
      <c r="J824" s="2" t="s">
        <v>3156</v>
      </c>
      <c r="K824" s="2" t="s">
        <v>1373</v>
      </c>
      <c r="L824" s="3">
        <v>14.4</v>
      </c>
      <c r="M824" s="3">
        <v>15.12</v>
      </c>
      <c r="N824" s="3">
        <v>31.99</v>
      </c>
      <c r="O824" s="2" t="s">
        <v>97</v>
      </c>
      <c r="P824" s="2" t="s">
        <v>123</v>
      </c>
      <c r="Q824" s="2" t="s">
        <v>99</v>
      </c>
      <c r="R824" s="2" t="s">
        <v>100</v>
      </c>
      <c r="S824" s="2" t="s">
        <v>100</v>
      </c>
      <c r="T824" s="2" t="s">
        <v>190</v>
      </c>
      <c r="U824" s="2" t="s">
        <v>1776</v>
      </c>
      <c r="V824" s="2" t="s">
        <v>473</v>
      </c>
      <c r="W824" s="2" t="s">
        <v>686</v>
      </c>
      <c r="X824" s="2" t="s">
        <v>580</v>
      </c>
      <c r="Y824" s="2" t="s">
        <v>3157</v>
      </c>
      <c r="Z824" s="4">
        <v>1532</v>
      </c>
      <c r="AA824" s="4">
        <f>=ROUNDDOWN(83.2608695652174,0)</f>
      </c>
      <c r="AB824" s="5">
        <v>18.4</v>
      </c>
      <c r="AC824" s="2" t="s">
        <v>100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>
        <v>41</v>
      </c>
      <c r="BK824" s="8">
        <v>617.6</v>
      </c>
      <c r="BL824" s="2" t="s">
        <v>3158</v>
      </c>
      <c r="BM824" s="7"/>
      <c r="BN824" s="7"/>
      <c r="BO824" s="4"/>
      <c r="BP824" s="8"/>
      <c r="BQ824" s="4"/>
      <c r="BR824" s="8"/>
      <c r="BS824" s="7"/>
      <c r="BT824" s="7"/>
      <c r="BU824" s="2" t="s">
        <v>2551</v>
      </c>
      <c r="BV824" s="2" t="s">
        <v>97</v>
      </c>
      <c r="BW824" s="2" t="s">
        <v>100</v>
      </c>
      <c r="BX824" s="2" t="s">
        <v>100</v>
      </c>
      <c r="BY824" s="2" t="s">
        <v>112</v>
      </c>
      <c r="BZ824" s="2" t="s">
        <v>100</v>
      </c>
    </row>
    <row r="825">
      <c r="A825" s="2" t="s">
        <v>3159</v>
      </c>
      <c r="B825" s="2" t="s">
        <v>87</v>
      </c>
      <c r="C825" s="2" t="s">
        <v>2831</v>
      </c>
      <c r="D825" s="2" t="s">
        <v>2505</v>
      </c>
      <c r="E825" s="2" t="s">
        <v>2506</v>
      </c>
      <c r="F825" s="2" t="s">
        <v>3160</v>
      </c>
      <c r="G825" s="2" t="s">
        <v>3160</v>
      </c>
      <c r="H825" s="2" t="s">
        <v>3160</v>
      </c>
      <c r="I825" s="2" t="s">
        <v>2802</v>
      </c>
      <c r="J825" s="2" t="s">
        <v>3156</v>
      </c>
      <c r="K825" s="2" t="s">
        <v>1373</v>
      </c>
      <c r="L825" s="3">
        <v>11.88</v>
      </c>
      <c r="M825" s="3">
        <v>12.47</v>
      </c>
      <c r="N825" s="3">
        <v>26.99</v>
      </c>
      <c r="O825" s="2" t="s">
        <v>97</v>
      </c>
      <c r="P825" s="2" t="s">
        <v>123</v>
      </c>
      <c r="Q825" s="2" t="s">
        <v>99</v>
      </c>
      <c r="R825" s="2" t="s">
        <v>100</v>
      </c>
      <c r="S825" s="2" t="s">
        <v>3161</v>
      </c>
      <c r="T825" s="2" t="s">
        <v>190</v>
      </c>
      <c r="U825" s="2" t="s">
        <v>1776</v>
      </c>
      <c r="V825" s="2" t="s">
        <v>461</v>
      </c>
      <c r="W825" s="2" t="s">
        <v>594</v>
      </c>
      <c r="X825" s="2" t="s">
        <v>609</v>
      </c>
      <c r="Y825" s="2" t="s">
        <v>3162</v>
      </c>
      <c r="Z825" s="4">
        <v>757</v>
      </c>
      <c r="AA825" s="4">
        <f>=ROUNDDOWN(62.0491803278689,0)</f>
      </c>
      <c r="AB825" s="5">
        <v>12.2</v>
      </c>
      <c r="AC825" s="2" t="s">
        <v>100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>
        <v>41</v>
      </c>
      <c r="BK825" s="8">
        <v>543.6</v>
      </c>
      <c r="BL825" s="2" t="s">
        <v>3163</v>
      </c>
      <c r="BM825" s="7"/>
      <c r="BN825" s="7"/>
      <c r="BO825" s="4"/>
      <c r="BP825" s="8"/>
      <c r="BQ825" s="4"/>
      <c r="BR825" s="8"/>
      <c r="BS825" s="7"/>
      <c r="BT825" s="7"/>
      <c r="BU825" s="2" t="s">
        <v>2551</v>
      </c>
      <c r="BV825" s="2" t="s">
        <v>97</v>
      </c>
      <c r="BW825" s="2" t="s">
        <v>100</v>
      </c>
      <c r="BX825" s="2" t="s">
        <v>100</v>
      </c>
      <c r="BY825" s="2" t="s">
        <v>112</v>
      </c>
      <c r="BZ825" s="2" t="s">
        <v>100</v>
      </c>
    </row>
    <row r="826">
      <c r="A826" s="2" t="s">
        <v>3164</v>
      </c>
      <c r="B826" s="2" t="s">
        <v>87</v>
      </c>
      <c r="C826" s="2" t="s">
        <v>2831</v>
      </c>
      <c r="D826" s="2" t="s">
        <v>2505</v>
      </c>
      <c r="E826" s="2" t="s">
        <v>2506</v>
      </c>
      <c r="F826" s="2" t="s">
        <v>3165</v>
      </c>
      <c r="G826" s="2" t="s">
        <v>100</v>
      </c>
      <c r="H826" s="2" t="s">
        <v>100</v>
      </c>
      <c r="I826" s="2" t="s">
        <v>3166</v>
      </c>
      <c r="J826" s="2" t="s">
        <v>2509</v>
      </c>
      <c r="K826" s="2" t="s">
        <v>223</v>
      </c>
      <c r="L826" s="3">
        <v>14.4</v>
      </c>
      <c r="M826" s="3">
        <v>15.12</v>
      </c>
      <c r="N826" s="3">
        <v>31.99</v>
      </c>
      <c r="O826" s="2" t="s">
        <v>97</v>
      </c>
      <c r="P826" s="2" t="s">
        <v>98</v>
      </c>
      <c r="Q826" s="2" t="s">
        <v>99</v>
      </c>
      <c r="R826" s="2" t="s">
        <v>100</v>
      </c>
      <c r="S826" s="2" t="s">
        <v>3167</v>
      </c>
      <c r="T826" s="2" t="s">
        <v>100</v>
      </c>
      <c r="U826" s="2" t="s">
        <v>100</v>
      </c>
      <c r="V826" s="2" t="s">
        <v>103</v>
      </c>
      <c r="W826" s="2" t="s">
        <v>609</v>
      </c>
      <c r="X826" s="2" t="s">
        <v>3168</v>
      </c>
      <c r="Y826" s="2" t="s">
        <v>144</v>
      </c>
      <c r="Z826" s="4">
        <v>187</v>
      </c>
      <c r="AA826" s="4">
        <f>=ROUNDDOWN(31.1666666666667,0)</f>
      </c>
      <c r="AB826" s="5">
        <v>6</v>
      </c>
      <c r="AC826" s="2" t="s">
        <v>206</v>
      </c>
      <c r="AD826" s="4">
        <v>150</v>
      </c>
      <c r="AE826" s="4">
        <v>150</v>
      </c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>
        <v>14</v>
      </c>
      <c r="BK826" s="8">
        <v>207.03</v>
      </c>
      <c r="BL826" s="2" t="s">
        <v>3169</v>
      </c>
      <c r="BM826" s="7"/>
      <c r="BN826" s="7"/>
      <c r="BO826" s="4"/>
      <c r="BP826" s="8"/>
      <c r="BQ826" s="4"/>
      <c r="BR826" s="8"/>
      <c r="BS826" s="7"/>
      <c r="BT826" s="7"/>
      <c r="BU826" s="2" t="s">
        <v>2551</v>
      </c>
      <c r="BV826" s="2" t="s">
        <v>97</v>
      </c>
      <c r="BW826" s="2" t="s">
        <v>100</v>
      </c>
      <c r="BX826" s="2" t="s">
        <v>100</v>
      </c>
      <c r="BY826" s="2" t="s">
        <v>112</v>
      </c>
      <c r="BZ826" s="2" t="s">
        <v>100</v>
      </c>
    </row>
    <row r="827">
      <c r="A827" s="2" t="s">
        <v>3170</v>
      </c>
      <c r="B827" s="2" t="s">
        <v>87</v>
      </c>
      <c r="C827" s="2" t="s">
        <v>2831</v>
      </c>
      <c r="D827" s="2" t="s">
        <v>2505</v>
      </c>
      <c r="E827" s="2" t="s">
        <v>2506</v>
      </c>
      <c r="F827" s="2" t="s">
        <v>3171</v>
      </c>
      <c r="G827" s="2" t="s">
        <v>3171</v>
      </c>
      <c r="H827" s="2" t="s">
        <v>3171</v>
      </c>
      <c r="I827" s="2" t="s">
        <v>2805</v>
      </c>
      <c r="J827" s="2" t="s">
        <v>3172</v>
      </c>
      <c r="K827" s="2" t="s">
        <v>673</v>
      </c>
      <c r="L827" s="3">
        <v>17.28</v>
      </c>
      <c r="M827" s="3">
        <v>18.14</v>
      </c>
      <c r="N827" s="3">
        <v>35.99</v>
      </c>
      <c r="O827" s="2" t="s">
        <v>97</v>
      </c>
      <c r="P827" s="2" t="s">
        <v>98</v>
      </c>
      <c r="Q827" s="2" t="s">
        <v>99</v>
      </c>
      <c r="R827" s="2" t="s">
        <v>100</v>
      </c>
      <c r="S827" s="2" t="s">
        <v>3173</v>
      </c>
      <c r="T827" s="2" t="s">
        <v>190</v>
      </c>
      <c r="U827" s="2" t="s">
        <v>1776</v>
      </c>
      <c r="V827" s="2" t="s">
        <v>461</v>
      </c>
      <c r="W827" s="2" t="s">
        <v>609</v>
      </c>
      <c r="X827" s="2" t="s">
        <v>594</v>
      </c>
      <c r="Y827" s="2" t="s">
        <v>3162</v>
      </c>
      <c r="Z827" s="4">
        <v>330</v>
      </c>
      <c r="AA827" s="4">
        <f>=ROUNDDOWN(47.1428571428571,0)</f>
      </c>
      <c r="AB827" s="5">
        <v>7</v>
      </c>
      <c r="AC827" s="2" t="s">
        <v>100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>
        <v>17</v>
      </c>
      <c r="BK827" s="8">
        <v>335.7</v>
      </c>
      <c r="BL827" s="2" t="s">
        <v>1387</v>
      </c>
      <c r="BM827" s="7"/>
      <c r="BN827" s="7"/>
      <c r="BO827" s="4"/>
      <c r="BP827" s="8"/>
      <c r="BQ827" s="4"/>
      <c r="BR827" s="8"/>
      <c r="BS827" s="7"/>
      <c r="BT827" s="7"/>
      <c r="BU827" s="2" t="s">
        <v>2551</v>
      </c>
      <c r="BV827" s="2" t="s">
        <v>97</v>
      </c>
      <c r="BW827" s="2" t="s">
        <v>100</v>
      </c>
      <c r="BX827" s="2" t="s">
        <v>100</v>
      </c>
      <c r="BY827" s="2" t="s">
        <v>112</v>
      </c>
      <c r="BZ827" s="2" t="s">
        <v>100</v>
      </c>
    </row>
    <row r="828">
      <c r="A828" s="2" t="s">
        <v>3174</v>
      </c>
      <c r="B828" s="2" t="s">
        <v>87</v>
      </c>
      <c r="C828" s="2" t="s">
        <v>2831</v>
      </c>
      <c r="D828" s="2" t="s">
        <v>2505</v>
      </c>
      <c r="E828" s="2" t="s">
        <v>2506</v>
      </c>
      <c r="F828" s="2" t="s">
        <v>3175</v>
      </c>
      <c r="G828" s="2" t="s">
        <v>3175</v>
      </c>
      <c r="H828" s="2" t="s">
        <v>3175</v>
      </c>
      <c r="I828" s="2" t="s">
        <v>3176</v>
      </c>
      <c r="J828" s="2" t="s">
        <v>3172</v>
      </c>
      <c r="K828" s="2" t="s">
        <v>223</v>
      </c>
      <c r="L828" s="3">
        <v>15.2</v>
      </c>
      <c r="M828" s="3">
        <v>15.96</v>
      </c>
      <c r="N828" s="3">
        <v>39.99</v>
      </c>
      <c r="O828" s="2" t="s">
        <v>97</v>
      </c>
      <c r="P828" s="2" t="s">
        <v>98</v>
      </c>
      <c r="Q828" s="2" t="s">
        <v>99</v>
      </c>
      <c r="R828" s="2" t="s">
        <v>100</v>
      </c>
      <c r="S828" s="2" t="s">
        <v>3177</v>
      </c>
      <c r="T828" s="2" t="s">
        <v>190</v>
      </c>
      <c r="U828" s="2" t="s">
        <v>1776</v>
      </c>
      <c r="V828" s="2" t="s">
        <v>473</v>
      </c>
      <c r="W828" s="2" t="s">
        <v>594</v>
      </c>
      <c r="X828" s="2" t="s">
        <v>686</v>
      </c>
      <c r="Y828" s="2" t="s">
        <v>654</v>
      </c>
      <c r="Z828" s="4">
        <v>232</v>
      </c>
      <c r="AA828" s="4">
        <f>=ROUNDDOWN(43.7735849056604,0)</f>
      </c>
      <c r="AB828" s="5">
        <v>5.3</v>
      </c>
      <c r="AC828" s="2" t="s">
        <v>100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>
        <v>11</v>
      </c>
      <c r="BK828" s="8">
        <v>175.64</v>
      </c>
      <c r="BL828" s="2" t="s">
        <v>3178</v>
      </c>
      <c r="BM828" s="7"/>
      <c r="BN828" s="7"/>
      <c r="BO828" s="4"/>
      <c r="BP828" s="8"/>
      <c r="BQ828" s="4"/>
      <c r="BR828" s="8"/>
      <c r="BS828" s="7"/>
      <c r="BT828" s="7"/>
      <c r="BU828" s="2" t="s">
        <v>2551</v>
      </c>
      <c r="BV828" s="2" t="s">
        <v>97</v>
      </c>
      <c r="BW828" s="2" t="s">
        <v>100</v>
      </c>
      <c r="BX828" s="2" t="s">
        <v>100</v>
      </c>
      <c r="BY828" s="2" t="s">
        <v>112</v>
      </c>
      <c r="BZ828" s="2" t="s">
        <v>100</v>
      </c>
    </row>
    <row r="829">
      <c r="A829" s="2" t="s">
        <v>3179</v>
      </c>
      <c r="B829" s="2" t="s">
        <v>87</v>
      </c>
      <c r="C829" s="2" t="s">
        <v>2831</v>
      </c>
      <c r="D829" s="2" t="s">
        <v>2505</v>
      </c>
      <c r="E829" s="2" t="s">
        <v>2506</v>
      </c>
      <c r="F829" s="2" t="s">
        <v>1914</v>
      </c>
      <c r="G829" s="2" t="s">
        <v>1914</v>
      </c>
      <c r="H829" s="2" t="s">
        <v>100</v>
      </c>
      <c r="I829" s="2" t="s">
        <v>3180</v>
      </c>
      <c r="J829" s="2" t="s">
        <v>3172</v>
      </c>
      <c r="K829" s="2" t="s">
        <v>96</v>
      </c>
      <c r="L829" s="3">
        <v>15.2</v>
      </c>
      <c r="M829" s="3">
        <v>15.96</v>
      </c>
      <c r="N829" s="3">
        <v>36.99</v>
      </c>
      <c r="O829" s="2" t="s">
        <v>97</v>
      </c>
      <c r="P829" s="2" t="s">
        <v>139</v>
      </c>
      <c r="Q829" s="2" t="s">
        <v>99</v>
      </c>
      <c r="R829" s="2" t="s">
        <v>100</v>
      </c>
      <c r="S829" s="2" t="s">
        <v>3181</v>
      </c>
      <c r="T829" s="2" t="s">
        <v>190</v>
      </c>
      <c r="U829" s="2" t="s">
        <v>1776</v>
      </c>
      <c r="V829" s="2" t="s">
        <v>103</v>
      </c>
      <c r="W829" s="2" t="s">
        <v>2835</v>
      </c>
      <c r="X829" s="2" t="s">
        <v>609</v>
      </c>
      <c r="Y829" s="2" t="s">
        <v>144</v>
      </c>
      <c r="Z829" s="4">
        <v>1124</v>
      </c>
      <c r="AA829" s="4">
        <f>=ROUNDDOWN(26.7619047619048,0)</f>
      </c>
      <c r="AB829" s="5">
        <v>42</v>
      </c>
      <c r="AC829" s="2" t="s">
        <v>100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>
        <v>150</v>
      </c>
      <c r="BK829" s="8">
        <v>2580.01</v>
      </c>
      <c r="BL829" s="2" t="s">
        <v>3182</v>
      </c>
      <c r="BM829" s="7"/>
      <c r="BN829" s="7"/>
      <c r="BO829" s="4"/>
      <c r="BP829" s="8"/>
      <c r="BQ829" s="4"/>
      <c r="BR829" s="8"/>
      <c r="BS829" s="7"/>
      <c r="BT829" s="7"/>
      <c r="BU829" s="2" t="s">
        <v>2551</v>
      </c>
      <c r="BV829" s="2" t="s">
        <v>97</v>
      </c>
      <c r="BW829" s="2" t="s">
        <v>100</v>
      </c>
      <c r="BX829" s="2" t="s">
        <v>100</v>
      </c>
      <c r="BY829" s="2" t="s">
        <v>112</v>
      </c>
      <c r="BZ829" s="2" t="s">
        <v>100</v>
      </c>
    </row>
    <row r="830">
      <c r="A830" s="2" t="s">
        <v>3183</v>
      </c>
      <c r="B830" s="2" t="s">
        <v>87</v>
      </c>
      <c r="C830" s="2" t="s">
        <v>3184</v>
      </c>
      <c r="D830" s="2" t="s">
        <v>963</v>
      </c>
      <c r="E830" s="2" t="s">
        <v>1232</v>
      </c>
      <c r="F830" s="2" t="s">
        <v>3185</v>
      </c>
      <c r="G830" s="2" t="s">
        <v>3186</v>
      </c>
      <c r="H830" s="2" t="s">
        <v>3187</v>
      </c>
      <c r="I830" s="2" t="s">
        <v>3188</v>
      </c>
      <c r="J830" s="2" t="s">
        <v>522</v>
      </c>
      <c r="K830" s="2" t="s">
        <v>179</v>
      </c>
      <c r="L830" s="3">
        <v>54.99</v>
      </c>
      <c r="M830" s="3">
        <v>57.74</v>
      </c>
      <c r="N830" s="3">
        <v>109.99</v>
      </c>
      <c r="O830" s="2" t="s">
        <v>97</v>
      </c>
      <c r="P830" s="2" t="s">
        <v>98</v>
      </c>
      <c r="Q830" s="2" t="s">
        <v>99</v>
      </c>
      <c r="R830" s="2" t="s">
        <v>100</v>
      </c>
      <c r="S830" s="2" t="s">
        <v>3189</v>
      </c>
      <c r="T830" s="2" t="s">
        <v>100</v>
      </c>
      <c r="U830" s="2" t="s">
        <v>1228</v>
      </c>
      <c r="V830" s="2" t="s">
        <v>401</v>
      </c>
      <c r="W830" s="2" t="s">
        <v>142</v>
      </c>
      <c r="X830" s="2" t="s">
        <v>3190</v>
      </c>
      <c r="Y830" s="2" t="s">
        <v>144</v>
      </c>
      <c r="Z830" s="4">
        <v>351</v>
      </c>
      <c r="AA830" s="4">
        <f>=ROUNDDOWN(29.25,0)</f>
      </c>
      <c r="AB830" s="5">
        <v>12</v>
      </c>
      <c r="AC830" s="2" t="s">
        <v>1094</v>
      </c>
      <c r="AD830" s="4">
        <v>30</v>
      </c>
      <c r="AE830" s="4">
        <v>250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/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/>
      <c r="BJ830" s="4">
        <v>43</v>
      </c>
      <c r="BK830" s="8">
        <v>2404.9</v>
      </c>
      <c r="BL830" s="2" t="s">
        <v>1458</v>
      </c>
      <c r="BM830" s="7"/>
      <c r="BN830" s="7"/>
      <c r="BO830" s="4"/>
      <c r="BP830" s="8"/>
      <c r="BQ830" s="4"/>
      <c r="BR830" s="8"/>
      <c r="BS830" s="7"/>
      <c r="BT830" s="7"/>
      <c r="BU830" s="2" t="s">
        <v>109</v>
      </c>
      <c r="BV830" s="2" t="s">
        <v>97</v>
      </c>
      <c r="BW830" s="2" t="s">
        <v>464</v>
      </c>
      <c r="BX830" s="2" t="s">
        <v>3191</v>
      </c>
      <c r="BY830" s="2" t="s">
        <v>112</v>
      </c>
      <c r="BZ830" s="2" t="s">
        <v>100</v>
      </c>
    </row>
    <row r="831">
      <c r="A831" s="2" t="s">
        <v>3192</v>
      </c>
      <c r="B831" s="2" t="s">
        <v>87</v>
      </c>
      <c r="C831" s="2" t="s">
        <v>3184</v>
      </c>
      <c r="D831" s="2" t="s">
        <v>963</v>
      </c>
      <c r="E831" s="2" t="s">
        <v>1232</v>
      </c>
      <c r="F831" s="2" t="s">
        <v>3185</v>
      </c>
      <c r="G831" s="2" t="s">
        <v>3186</v>
      </c>
      <c r="H831" s="2" t="s">
        <v>3187</v>
      </c>
      <c r="I831" s="2" t="s">
        <v>3193</v>
      </c>
      <c r="J831" s="2" t="s">
        <v>529</v>
      </c>
      <c r="K831" s="2" t="s">
        <v>179</v>
      </c>
      <c r="L831" s="3">
        <v>59.99</v>
      </c>
      <c r="M831" s="3">
        <v>62.99</v>
      </c>
      <c r="N831" s="3">
        <v>119.99</v>
      </c>
      <c r="O831" s="2" t="s">
        <v>97</v>
      </c>
      <c r="P831" s="2" t="s">
        <v>98</v>
      </c>
      <c r="Q831" s="2" t="s">
        <v>99</v>
      </c>
      <c r="R831" s="2" t="s">
        <v>100</v>
      </c>
      <c r="S831" s="2" t="s">
        <v>3189</v>
      </c>
      <c r="T831" s="2" t="s">
        <v>100</v>
      </c>
      <c r="U831" s="2" t="s">
        <v>1228</v>
      </c>
      <c r="V831" s="2" t="s">
        <v>401</v>
      </c>
      <c r="W831" s="2" t="s">
        <v>142</v>
      </c>
      <c r="X831" s="2" t="s">
        <v>3190</v>
      </c>
      <c r="Y831" s="2" t="s">
        <v>144</v>
      </c>
      <c r="Z831" s="4">
        <v>495</v>
      </c>
      <c r="AA831" s="4">
        <f>=ROUNDDOWN(19.0384615384615,0)</f>
      </c>
      <c r="AB831" s="5">
        <v>26</v>
      </c>
      <c r="AC831" s="2" t="s">
        <v>1094</v>
      </c>
      <c r="AD831" s="4">
        <v>190</v>
      </c>
      <c r="AE831" s="4">
        <v>550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/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/>
      <c r="BJ831" s="4">
        <v>90</v>
      </c>
      <c r="BK831" s="8">
        <v>5488.82</v>
      </c>
      <c r="BL831" s="2" t="s">
        <v>3194</v>
      </c>
      <c r="BM831" s="7"/>
      <c r="BN831" s="7"/>
      <c r="BO831" s="4"/>
      <c r="BP831" s="8"/>
      <c r="BQ831" s="4"/>
      <c r="BR831" s="8"/>
      <c r="BS831" s="7"/>
      <c r="BT831" s="7"/>
      <c r="BU831" s="2" t="s">
        <v>109</v>
      </c>
      <c r="BV831" s="2" t="s">
        <v>97</v>
      </c>
      <c r="BW831" s="2" t="s">
        <v>475</v>
      </c>
      <c r="BX831" s="2" t="s">
        <v>1898</v>
      </c>
      <c r="BY831" s="2" t="s">
        <v>112</v>
      </c>
      <c r="BZ831" s="2" t="s">
        <v>100</v>
      </c>
    </row>
    <row r="832">
      <c r="A832" s="2" t="s">
        <v>3195</v>
      </c>
      <c r="B832" s="2" t="s">
        <v>87</v>
      </c>
      <c r="C832" s="2" t="s">
        <v>3196</v>
      </c>
      <c r="D832" s="2" t="s">
        <v>89</v>
      </c>
      <c r="E832" s="2" t="s">
        <v>90</v>
      </c>
      <c r="F832" s="2" t="s">
        <v>3197</v>
      </c>
      <c r="G832" s="2" t="s">
        <v>3197</v>
      </c>
      <c r="H832" s="2" t="s">
        <v>3197</v>
      </c>
      <c r="I832" s="2" t="s">
        <v>2602</v>
      </c>
      <c r="J832" s="2" t="s">
        <v>95</v>
      </c>
      <c r="K832" s="2" t="s">
        <v>446</v>
      </c>
      <c r="L832" s="3">
        <v>172.2</v>
      </c>
      <c r="M832" s="3">
        <v>180.81</v>
      </c>
      <c r="N832" s="3">
        <v>409.99</v>
      </c>
      <c r="O832" s="2" t="s">
        <v>97</v>
      </c>
      <c r="P832" s="2" t="s">
        <v>123</v>
      </c>
      <c r="Q832" s="2" t="s">
        <v>99</v>
      </c>
      <c r="R832" s="2" t="s">
        <v>100</v>
      </c>
      <c r="S832" s="2" t="s">
        <v>3198</v>
      </c>
      <c r="T832" s="2" t="s">
        <v>100</v>
      </c>
      <c r="U832" s="2" t="s">
        <v>191</v>
      </c>
      <c r="V832" s="2" t="s">
        <v>304</v>
      </c>
      <c r="W832" s="2" t="s">
        <v>525</v>
      </c>
      <c r="X832" s="2" t="s">
        <v>377</v>
      </c>
      <c r="Y832" s="2" t="s">
        <v>3199</v>
      </c>
      <c r="Z832" s="4">
        <v>211</v>
      </c>
      <c r="AA832" s="4">
        <f>=ROUNDDOWN(23.4444444444444,0)</f>
      </c>
      <c r="AB832" s="5">
        <v>9</v>
      </c>
      <c r="AC832" s="2" t="s">
        <v>3200</v>
      </c>
      <c r="AD832" s="4">
        <v>50</v>
      </c>
      <c r="AE832" s="4">
        <v>150</v>
      </c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100</v>
      </c>
      <c r="AW832" s="8" t="s">
        <v>100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/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/>
      <c r="BJ832" s="4">
        <v>10</v>
      </c>
      <c r="BK832" s="8">
        <v>1780.68</v>
      </c>
      <c r="BL832" s="2" t="s">
        <v>3201</v>
      </c>
      <c r="BM832" s="7"/>
      <c r="BN832" s="7"/>
      <c r="BO832" s="4"/>
      <c r="BP832" s="8"/>
      <c r="BQ832" s="4"/>
      <c r="BR832" s="8"/>
      <c r="BS832" s="7"/>
      <c r="BT832" s="7"/>
      <c r="BU832" s="2" t="s">
        <v>2551</v>
      </c>
      <c r="BV832" s="2" t="s">
        <v>97</v>
      </c>
      <c r="BW832" s="2" t="s">
        <v>100</v>
      </c>
      <c r="BX832" s="2" t="s">
        <v>100</v>
      </c>
      <c r="BY832" s="2" t="s">
        <v>112</v>
      </c>
      <c r="BZ832" s="2" t="s">
        <v>100</v>
      </c>
    </row>
    <row r="833">
      <c r="A833" s="2" t="s">
        <v>3202</v>
      </c>
      <c r="B833" s="2" t="s">
        <v>87</v>
      </c>
      <c r="C833" s="2" t="s">
        <v>3196</v>
      </c>
      <c r="D833" s="2" t="s">
        <v>89</v>
      </c>
      <c r="E833" s="2" t="s">
        <v>90</v>
      </c>
      <c r="F833" s="2" t="s">
        <v>3197</v>
      </c>
      <c r="G833" s="2" t="s">
        <v>3197</v>
      </c>
      <c r="H833" s="2" t="s">
        <v>3197</v>
      </c>
      <c r="I833" s="2" t="s">
        <v>2602</v>
      </c>
      <c r="J833" s="2" t="s">
        <v>114</v>
      </c>
      <c r="K833" s="2" t="s">
        <v>446</v>
      </c>
      <c r="L833" s="3">
        <v>197.8</v>
      </c>
      <c r="M833" s="3">
        <v>207.69</v>
      </c>
      <c r="N833" s="3">
        <v>459.99</v>
      </c>
      <c r="O833" s="2" t="s">
        <v>97</v>
      </c>
      <c r="P833" s="2" t="s">
        <v>123</v>
      </c>
      <c r="Q833" s="2" t="s">
        <v>99</v>
      </c>
      <c r="R833" s="2" t="s">
        <v>100</v>
      </c>
      <c r="S833" s="2" t="s">
        <v>3198</v>
      </c>
      <c r="T833" s="2" t="s">
        <v>100</v>
      </c>
      <c r="U833" s="2" t="s">
        <v>618</v>
      </c>
      <c r="V833" s="2" t="s">
        <v>304</v>
      </c>
      <c r="W833" s="2" t="s">
        <v>525</v>
      </c>
      <c r="X833" s="2" t="s">
        <v>377</v>
      </c>
      <c r="Y833" s="2" t="s">
        <v>3199</v>
      </c>
      <c r="Z833" s="4">
        <v>113</v>
      </c>
      <c r="AA833" s="4">
        <f>=ROUNDDOWN(11.3,0)</f>
      </c>
      <c r="AB833" s="5">
        <v>10</v>
      </c>
      <c r="AC833" s="2" t="s">
        <v>3200</v>
      </c>
      <c r="AD833" s="4">
        <v>100</v>
      </c>
      <c r="AE833" s="4">
        <v>320</v>
      </c>
      <c r="AF833" s="6">
        <v>67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/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/>
      <c r="BJ833" s="4">
        <v>58</v>
      </c>
      <c r="BK833" s="8">
        <v>11907.46</v>
      </c>
      <c r="BL833" s="2" t="s">
        <v>3203</v>
      </c>
      <c r="BM833" s="7"/>
      <c r="BN833" s="7"/>
      <c r="BO833" s="4"/>
      <c r="BP833" s="8"/>
      <c r="BQ833" s="4"/>
      <c r="BR833" s="8"/>
      <c r="BS833" s="7"/>
      <c r="BT833" s="7"/>
      <c r="BU833" s="2" t="s">
        <v>2551</v>
      </c>
      <c r="BV833" s="2" t="s">
        <v>97</v>
      </c>
      <c r="BW833" s="2" t="s">
        <v>100</v>
      </c>
      <c r="BX833" s="2" t="s">
        <v>100</v>
      </c>
      <c r="BY833" s="2" t="s">
        <v>112</v>
      </c>
      <c r="BZ833" s="2" t="s">
        <v>100</v>
      </c>
    </row>
    <row r="834">
      <c r="A834" s="2" t="s">
        <v>3204</v>
      </c>
      <c r="B834" s="2" t="s">
        <v>87</v>
      </c>
      <c r="C834" s="2" t="s">
        <v>3196</v>
      </c>
      <c r="D834" s="2" t="s">
        <v>89</v>
      </c>
      <c r="E834" s="2" t="s">
        <v>90</v>
      </c>
      <c r="F834" s="2" t="s">
        <v>3205</v>
      </c>
      <c r="G834" s="2" t="s">
        <v>3205</v>
      </c>
      <c r="H834" s="2" t="s">
        <v>3205</v>
      </c>
      <c r="I834" s="2" t="s">
        <v>3206</v>
      </c>
      <c r="J834" s="2" t="s">
        <v>522</v>
      </c>
      <c r="K834" s="2" t="s">
        <v>3207</v>
      </c>
      <c r="L834" s="3">
        <v>126</v>
      </c>
      <c r="M834" s="3">
        <v>132.3</v>
      </c>
      <c r="N834" s="3">
        <v>299.99</v>
      </c>
      <c r="O834" s="2" t="s">
        <v>97</v>
      </c>
      <c r="P834" s="2" t="s">
        <v>98</v>
      </c>
      <c r="Q834" s="2" t="s">
        <v>99</v>
      </c>
      <c r="R834" s="2" t="s">
        <v>100</v>
      </c>
      <c r="S834" s="2" t="s">
        <v>3208</v>
      </c>
      <c r="T834" s="2" t="s">
        <v>2548</v>
      </c>
      <c r="U834" s="2" t="s">
        <v>191</v>
      </c>
      <c r="V834" s="2" t="s">
        <v>367</v>
      </c>
      <c r="W834" s="2" t="s">
        <v>609</v>
      </c>
      <c r="X834" s="2" t="s">
        <v>142</v>
      </c>
      <c r="Y834" s="2" t="s">
        <v>3209</v>
      </c>
      <c r="Z834" s="4">
        <v>1</v>
      </c>
      <c r="AA834" s="4">
        <f>=ROUNDDOWN(0.2,0)</f>
      </c>
      <c r="AB834" s="5">
        <v>5</v>
      </c>
      <c r="AC834" s="2" t="s">
        <v>1094</v>
      </c>
      <c r="AD834" s="4">
        <v>80</v>
      </c>
      <c r="AE834" s="4">
        <v>160</v>
      </c>
      <c r="AF834" s="6">
        <v>67</v>
      </c>
      <c r="AG834" s="6"/>
      <c r="AH834" s="7">
        <v>0.2581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/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/>
      <c r="BJ834" s="4">
        <v>6</v>
      </c>
      <c r="BK834" s="8">
        <v>814.96</v>
      </c>
      <c r="BL834" s="2" t="s">
        <v>2807</v>
      </c>
      <c r="BM834" s="7"/>
      <c r="BN834" s="7"/>
      <c r="BO834" s="4"/>
      <c r="BP834" s="8"/>
      <c r="BQ834" s="4"/>
      <c r="BR834" s="8"/>
      <c r="BS834" s="7"/>
      <c r="BT834" s="7"/>
      <c r="BU834" s="2" t="s">
        <v>2551</v>
      </c>
      <c r="BV834" s="2" t="s">
        <v>97</v>
      </c>
      <c r="BW834" s="2" t="s">
        <v>100</v>
      </c>
      <c r="BX834" s="2" t="s">
        <v>100</v>
      </c>
      <c r="BY834" s="2" t="s">
        <v>112</v>
      </c>
      <c r="BZ834" s="2" t="s">
        <v>100</v>
      </c>
    </row>
    <row r="835">
      <c r="A835" s="2" t="s">
        <v>3210</v>
      </c>
      <c r="B835" s="2" t="s">
        <v>87</v>
      </c>
      <c r="C835" s="2" t="s">
        <v>3196</v>
      </c>
      <c r="D835" s="2" t="s">
        <v>89</v>
      </c>
      <c r="E835" s="2" t="s">
        <v>90</v>
      </c>
      <c r="F835" s="2" t="s">
        <v>3205</v>
      </c>
      <c r="G835" s="2" t="s">
        <v>3205</v>
      </c>
      <c r="H835" s="2" t="s">
        <v>3205</v>
      </c>
      <c r="I835" s="2" t="s">
        <v>3211</v>
      </c>
      <c r="J835" s="2" t="s">
        <v>529</v>
      </c>
      <c r="K835" s="2" t="s">
        <v>3207</v>
      </c>
      <c r="L835" s="3">
        <v>147</v>
      </c>
      <c r="M835" s="3">
        <v>154.35</v>
      </c>
      <c r="N835" s="3">
        <v>349.99</v>
      </c>
      <c r="O835" s="2" t="s">
        <v>97</v>
      </c>
      <c r="P835" s="2" t="s">
        <v>98</v>
      </c>
      <c r="Q835" s="2" t="s">
        <v>99</v>
      </c>
      <c r="R835" s="2" t="s">
        <v>100</v>
      </c>
      <c r="S835" s="2" t="s">
        <v>3208</v>
      </c>
      <c r="T835" s="2" t="s">
        <v>2548</v>
      </c>
      <c r="U835" s="2" t="s">
        <v>618</v>
      </c>
      <c r="V835" s="2" t="s">
        <v>367</v>
      </c>
      <c r="W835" s="2" t="s">
        <v>609</v>
      </c>
      <c r="X835" s="2" t="s">
        <v>142</v>
      </c>
      <c r="Y835" s="2" t="s">
        <v>3209</v>
      </c>
      <c r="Z835" s="4"/>
      <c r="AA835" s="4">
        <f>=ROUNDDOWN({0},0)</f>
      </c>
      <c r="AB835" s="5">
        <v>7</v>
      </c>
      <c r="AC835" s="2" t="s">
        <v>1094</v>
      </c>
      <c r="AD835" s="4">
        <v>100</v>
      </c>
      <c r="AE835" s="4">
        <v>200</v>
      </c>
      <c r="AF835" s="6">
        <v>67</v>
      </c>
      <c r="AG835" s="6"/>
      <c r="AH835" s="7">
        <v>0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/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/>
      <c r="BJ835" s="4"/>
      <c r="BK835" s="8"/>
      <c r="BL835" s="2" t="s">
        <v>100</v>
      </c>
      <c r="BM835" s="7"/>
      <c r="BN835" s="7"/>
      <c r="BO835" s="4"/>
      <c r="BP835" s="8"/>
      <c r="BQ835" s="4"/>
      <c r="BR835" s="8"/>
      <c r="BS835" s="7"/>
      <c r="BT835" s="7"/>
      <c r="BU835" s="2" t="s">
        <v>2551</v>
      </c>
      <c r="BV835" s="2" t="s">
        <v>97</v>
      </c>
      <c r="BW835" s="2" t="s">
        <v>100</v>
      </c>
      <c r="BX835" s="2" t="s">
        <v>100</v>
      </c>
      <c r="BY835" s="2" t="s">
        <v>112</v>
      </c>
      <c r="BZ835" s="2" t="s">
        <v>100</v>
      </c>
    </row>
    <row r="836">
      <c r="A836" s="2" t="s">
        <v>3212</v>
      </c>
      <c r="B836" s="2" t="s">
        <v>87</v>
      </c>
      <c r="C836" s="2" t="s">
        <v>3196</v>
      </c>
      <c r="D836" s="2" t="s">
        <v>89</v>
      </c>
      <c r="E836" s="2" t="s">
        <v>90</v>
      </c>
      <c r="F836" s="2" t="s">
        <v>3213</v>
      </c>
      <c r="G836" s="2" t="s">
        <v>100</v>
      </c>
      <c r="H836" s="2" t="s">
        <v>100</v>
      </c>
      <c r="I836" s="2" t="s">
        <v>2602</v>
      </c>
      <c r="J836" s="2" t="s">
        <v>95</v>
      </c>
      <c r="K836" s="2" t="s">
        <v>2548</v>
      </c>
      <c r="L836" s="3">
        <v>172.2</v>
      </c>
      <c r="M836" s="3">
        <v>180.81</v>
      </c>
      <c r="N836" s="3">
        <v>409.99</v>
      </c>
      <c r="O836" s="2" t="s">
        <v>97</v>
      </c>
      <c r="P836" s="2" t="s">
        <v>123</v>
      </c>
      <c r="Q836" s="2" t="s">
        <v>99</v>
      </c>
      <c r="R836" s="2" t="s">
        <v>100</v>
      </c>
      <c r="S836" s="2" t="s">
        <v>3214</v>
      </c>
      <c r="T836" s="2" t="s">
        <v>100</v>
      </c>
      <c r="U836" s="2" t="s">
        <v>191</v>
      </c>
      <c r="V836" s="2" t="s">
        <v>367</v>
      </c>
      <c r="W836" s="2" t="s">
        <v>270</v>
      </c>
      <c r="X836" s="2" t="s">
        <v>3215</v>
      </c>
      <c r="Y836" s="2" t="s">
        <v>144</v>
      </c>
      <c r="Z836" s="4">
        <v>111</v>
      </c>
      <c r="AA836" s="4">
        <f>=ROUNDDOWN(11.1,0)</f>
      </c>
      <c r="AB836" s="5">
        <v>10</v>
      </c>
      <c r="AC836" s="2" t="s">
        <v>201</v>
      </c>
      <c r="AD836" s="4">
        <v>50</v>
      </c>
      <c r="AE836" s="4">
        <v>290</v>
      </c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/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/>
      <c r="BJ836" s="4">
        <v>24</v>
      </c>
      <c r="BK836" s="8">
        <v>4357.03</v>
      </c>
      <c r="BL836" s="2" t="s">
        <v>3216</v>
      </c>
      <c r="BM836" s="7"/>
      <c r="BN836" s="7"/>
      <c r="BO836" s="4"/>
      <c r="BP836" s="8"/>
      <c r="BQ836" s="4"/>
      <c r="BR836" s="8"/>
      <c r="BS836" s="7"/>
      <c r="BT836" s="7"/>
      <c r="BU836" s="2" t="s">
        <v>2551</v>
      </c>
      <c r="BV836" s="2" t="s">
        <v>97</v>
      </c>
      <c r="BW836" s="2" t="s">
        <v>100</v>
      </c>
      <c r="BX836" s="2" t="s">
        <v>100</v>
      </c>
      <c r="BY836" s="2" t="s">
        <v>112</v>
      </c>
      <c r="BZ836" s="2" t="s">
        <v>100</v>
      </c>
    </row>
    <row r="837">
      <c r="A837" s="2" t="s">
        <v>3217</v>
      </c>
      <c r="B837" s="2" t="s">
        <v>87</v>
      </c>
      <c r="C837" s="2" t="s">
        <v>3196</v>
      </c>
      <c r="D837" s="2" t="s">
        <v>89</v>
      </c>
      <c r="E837" s="2" t="s">
        <v>90</v>
      </c>
      <c r="F837" s="2" t="s">
        <v>3213</v>
      </c>
      <c r="G837" s="2" t="s">
        <v>100</v>
      </c>
      <c r="H837" s="2" t="s">
        <v>100</v>
      </c>
      <c r="I837" s="2" t="s">
        <v>2602</v>
      </c>
      <c r="J837" s="2" t="s">
        <v>114</v>
      </c>
      <c r="K837" s="2" t="s">
        <v>2548</v>
      </c>
      <c r="L837" s="3">
        <v>197.8</v>
      </c>
      <c r="M837" s="3">
        <v>207.69</v>
      </c>
      <c r="N837" s="3">
        <v>459.99</v>
      </c>
      <c r="O837" s="2" t="s">
        <v>97</v>
      </c>
      <c r="P837" s="2" t="s">
        <v>123</v>
      </c>
      <c r="Q837" s="2" t="s">
        <v>99</v>
      </c>
      <c r="R837" s="2" t="s">
        <v>100</v>
      </c>
      <c r="S837" s="2" t="s">
        <v>3214</v>
      </c>
      <c r="T837" s="2" t="s">
        <v>100</v>
      </c>
      <c r="U837" s="2" t="s">
        <v>618</v>
      </c>
      <c r="V837" s="2" t="s">
        <v>367</v>
      </c>
      <c r="W837" s="2" t="s">
        <v>270</v>
      </c>
      <c r="X837" s="2" t="s">
        <v>3215</v>
      </c>
      <c r="Y837" s="2" t="s">
        <v>144</v>
      </c>
      <c r="Z837" s="4">
        <v>207</v>
      </c>
      <c r="AA837" s="4">
        <f>=ROUNDDOWN(12.9375,0)</f>
      </c>
      <c r="AB837" s="5">
        <v>16</v>
      </c>
      <c r="AC837" s="2" t="s">
        <v>201</v>
      </c>
      <c r="AD837" s="4">
        <v>120</v>
      </c>
      <c r="AE837" s="4">
        <v>410</v>
      </c>
      <c r="AF837" s="6">
        <v>67</v>
      </c>
      <c r="AG837" s="6"/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/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/>
      <c r="BJ837" s="4">
        <v>66</v>
      </c>
      <c r="BK837" s="8">
        <v>13756.75</v>
      </c>
      <c r="BL837" s="2" t="s">
        <v>933</v>
      </c>
      <c r="BM837" s="7"/>
      <c r="BN837" s="7"/>
      <c r="BO837" s="4"/>
      <c r="BP837" s="8"/>
      <c r="BQ837" s="4"/>
      <c r="BR837" s="8"/>
      <c r="BS837" s="7"/>
      <c r="BT837" s="7"/>
      <c r="BU837" s="2" t="s">
        <v>2551</v>
      </c>
      <c r="BV837" s="2" t="s">
        <v>97</v>
      </c>
      <c r="BW837" s="2" t="s">
        <v>100</v>
      </c>
      <c r="BX837" s="2" t="s">
        <v>100</v>
      </c>
      <c r="BY837" s="2" t="s">
        <v>112</v>
      </c>
      <c r="BZ837" s="2" t="s">
        <v>100</v>
      </c>
    </row>
    <row r="838">
      <c r="A838" s="2" t="s">
        <v>3218</v>
      </c>
      <c r="B838" s="2" t="s">
        <v>87</v>
      </c>
      <c r="C838" s="2" t="s">
        <v>3196</v>
      </c>
      <c r="D838" s="2" t="s">
        <v>89</v>
      </c>
      <c r="E838" s="2" t="s">
        <v>90</v>
      </c>
      <c r="F838" s="2" t="s">
        <v>3219</v>
      </c>
      <c r="G838" s="2" t="s">
        <v>3219</v>
      </c>
      <c r="H838" s="2" t="s">
        <v>3219</v>
      </c>
      <c r="I838" s="2" t="s">
        <v>3220</v>
      </c>
      <c r="J838" s="2" t="s">
        <v>95</v>
      </c>
      <c r="K838" s="2" t="s">
        <v>545</v>
      </c>
      <c r="L838" s="3">
        <v>165</v>
      </c>
      <c r="M838" s="3">
        <v>173.24</v>
      </c>
      <c r="N838" s="3">
        <v>329.99</v>
      </c>
      <c r="O838" s="2" t="s">
        <v>97</v>
      </c>
      <c r="P838" s="2" t="s">
        <v>317</v>
      </c>
      <c r="Q838" s="2" t="s">
        <v>99</v>
      </c>
      <c r="R838" s="2" t="s">
        <v>100</v>
      </c>
      <c r="S838" s="2" t="s">
        <v>3221</v>
      </c>
      <c r="T838" s="2" t="s">
        <v>190</v>
      </c>
      <c r="U838" s="2" t="s">
        <v>191</v>
      </c>
      <c r="V838" s="2" t="s">
        <v>367</v>
      </c>
      <c r="W838" s="2" t="s">
        <v>2523</v>
      </c>
      <c r="X838" s="2" t="s">
        <v>609</v>
      </c>
      <c r="Y838" s="2" t="s">
        <v>3126</v>
      </c>
      <c r="Z838" s="4">
        <v>336</v>
      </c>
      <c r="AA838" s="4">
        <f>=ROUNDDOWN(9.6,0)</f>
      </c>
      <c r="AB838" s="5">
        <v>35</v>
      </c>
      <c r="AC838" s="2" t="s">
        <v>2363</v>
      </c>
      <c r="AD838" s="4">
        <v>60</v>
      </c>
      <c r="AE838" s="4">
        <v>1130</v>
      </c>
      <c r="AF838" s="6">
        <v>67</v>
      </c>
      <c r="AG838" s="6">
        <v>50</v>
      </c>
      <c r="AH838" s="7">
        <v>1</v>
      </c>
      <c r="AI838" s="4"/>
      <c r="AJ838" s="4">
        <f>=ROUNDDOWN({0},0)</f>
      </c>
      <c r="AK838" s="5"/>
      <c r="AL838" s="2" t="s">
        <v>897</v>
      </c>
      <c r="AM838" s="4">
        <v>150</v>
      </c>
      <c r="AN838" s="4">
        <v>150</v>
      </c>
      <c r="AO838" s="7">
        <v>0</v>
      </c>
      <c r="AP838" s="4"/>
      <c r="AQ838" s="8"/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/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/>
      <c r="BJ838" s="4">
        <v>148</v>
      </c>
      <c r="BK838" s="8">
        <v>26022.88</v>
      </c>
      <c r="BL838" s="2" t="s">
        <v>3222</v>
      </c>
      <c r="BM838" s="7"/>
      <c r="BN838" s="7"/>
      <c r="BO838" s="4"/>
      <c r="BP838" s="8"/>
      <c r="BQ838" s="4"/>
      <c r="BR838" s="8"/>
      <c r="BS838" s="7"/>
      <c r="BT838" s="7"/>
      <c r="BU838" s="2" t="s">
        <v>2526</v>
      </c>
      <c r="BV838" s="2" t="s">
        <v>97</v>
      </c>
      <c r="BW838" s="2" t="s">
        <v>100</v>
      </c>
      <c r="BX838" s="2" t="s">
        <v>100</v>
      </c>
      <c r="BY838" s="2" t="s">
        <v>112</v>
      </c>
      <c r="BZ838" s="2" t="s">
        <v>100</v>
      </c>
    </row>
    <row r="839">
      <c r="A839" s="2" t="s">
        <v>3223</v>
      </c>
      <c r="B839" s="2" t="s">
        <v>87</v>
      </c>
      <c r="C839" s="2" t="s">
        <v>3196</v>
      </c>
      <c r="D839" s="2" t="s">
        <v>89</v>
      </c>
      <c r="E839" s="2" t="s">
        <v>90</v>
      </c>
      <c r="F839" s="2" t="s">
        <v>3219</v>
      </c>
      <c r="G839" s="2" t="s">
        <v>3219</v>
      </c>
      <c r="H839" s="2" t="s">
        <v>3219</v>
      </c>
      <c r="I839" s="2" t="s">
        <v>3220</v>
      </c>
      <c r="J839" s="2" t="s">
        <v>114</v>
      </c>
      <c r="K839" s="2" t="s">
        <v>545</v>
      </c>
      <c r="L839" s="3">
        <v>190</v>
      </c>
      <c r="M839" s="3">
        <v>199.49</v>
      </c>
      <c r="N839" s="3">
        <v>379.99</v>
      </c>
      <c r="O839" s="2" t="s">
        <v>97</v>
      </c>
      <c r="P839" s="2" t="s">
        <v>317</v>
      </c>
      <c r="Q839" s="2" t="s">
        <v>99</v>
      </c>
      <c r="R839" s="2" t="s">
        <v>100</v>
      </c>
      <c r="S839" s="2" t="s">
        <v>3221</v>
      </c>
      <c r="T839" s="2" t="s">
        <v>190</v>
      </c>
      <c r="U839" s="2" t="s">
        <v>618</v>
      </c>
      <c r="V839" s="2" t="s">
        <v>367</v>
      </c>
      <c r="W839" s="2" t="s">
        <v>2523</v>
      </c>
      <c r="X839" s="2" t="s">
        <v>609</v>
      </c>
      <c r="Y839" s="2" t="s">
        <v>3126</v>
      </c>
      <c r="Z839" s="4">
        <v>845</v>
      </c>
      <c r="AA839" s="4">
        <f>=ROUNDDOWN(16.25,0)</f>
      </c>
      <c r="AB839" s="5">
        <v>52</v>
      </c>
      <c r="AC839" s="2" t="s">
        <v>2363</v>
      </c>
      <c r="AD839" s="4">
        <v>170</v>
      </c>
      <c r="AE839" s="4">
        <v>1120</v>
      </c>
      <c r="AF839" s="6">
        <v>67</v>
      </c>
      <c r="AG839" s="6">
        <v>50</v>
      </c>
      <c r="AH839" s="7">
        <v>1</v>
      </c>
      <c r="AI839" s="4"/>
      <c r="AJ839" s="4">
        <f>=ROUNDDOWN({0},0)</f>
      </c>
      <c r="AK839" s="5"/>
      <c r="AL839" s="2" t="s">
        <v>897</v>
      </c>
      <c r="AM839" s="4">
        <v>200</v>
      </c>
      <c r="AN839" s="4">
        <v>200</v>
      </c>
      <c r="AO839" s="7">
        <v>0</v>
      </c>
      <c r="AP839" s="4"/>
      <c r="AQ839" s="8"/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/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/>
      <c r="BJ839" s="4">
        <v>262</v>
      </c>
      <c r="BK839" s="8">
        <v>53611.77</v>
      </c>
      <c r="BL839" s="2" t="s">
        <v>3224</v>
      </c>
      <c r="BM839" s="7"/>
      <c r="BN839" s="7"/>
      <c r="BO839" s="4"/>
      <c r="BP839" s="8"/>
      <c r="BQ839" s="4"/>
      <c r="BR839" s="8"/>
      <c r="BS839" s="7"/>
      <c r="BT839" s="7"/>
      <c r="BU839" s="2" t="s">
        <v>2526</v>
      </c>
      <c r="BV839" s="2" t="s">
        <v>97</v>
      </c>
      <c r="BW839" s="2" t="s">
        <v>100</v>
      </c>
      <c r="BX839" s="2" t="s">
        <v>100</v>
      </c>
      <c r="BY839" s="2" t="s">
        <v>112</v>
      </c>
      <c r="BZ839" s="2" t="s">
        <v>100</v>
      </c>
    </row>
    <row r="840">
      <c r="A840" s="2" t="s">
        <v>3225</v>
      </c>
      <c r="B840" s="2" t="s">
        <v>87</v>
      </c>
      <c r="C840" s="2" t="s">
        <v>3196</v>
      </c>
      <c r="D840" s="2" t="s">
        <v>89</v>
      </c>
      <c r="E840" s="2" t="s">
        <v>90</v>
      </c>
      <c r="F840" s="2" t="s">
        <v>3219</v>
      </c>
      <c r="G840" s="2" t="s">
        <v>3219</v>
      </c>
      <c r="H840" s="2" t="s">
        <v>3219</v>
      </c>
      <c r="I840" s="2" t="s">
        <v>3220</v>
      </c>
      <c r="J840" s="2" t="s">
        <v>95</v>
      </c>
      <c r="K840" s="2" t="s">
        <v>1373</v>
      </c>
      <c r="L840" s="3">
        <v>165</v>
      </c>
      <c r="M840" s="3">
        <v>173.24</v>
      </c>
      <c r="N840" s="3">
        <v>329.99</v>
      </c>
      <c r="O840" s="2" t="s">
        <v>97</v>
      </c>
      <c r="P840" s="2" t="s">
        <v>317</v>
      </c>
      <c r="Q840" s="2" t="s">
        <v>99</v>
      </c>
      <c r="R840" s="2" t="s">
        <v>100</v>
      </c>
      <c r="S840" s="2" t="s">
        <v>3226</v>
      </c>
      <c r="T840" s="2" t="s">
        <v>190</v>
      </c>
      <c r="U840" s="2" t="s">
        <v>191</v>
      </c>
      <c r="V840" s="2" t="s">
        <v>367</v>
      </c>
      <c r="W840" s="2" t="s">
        <v>594</v>
      </c>
      <c r="X840" s="2" t="s">
        <v>609</v>
      </c>
      <c r="Y840" s="2" t="s">
        <v>3227</v>
      </c>
      <c r="Z840" s="4">
        <v>444</v>
      </c>
      <c r="AA840" s="4">
        <f>=ROUNDDOWN(9.65217391304348,0)</f>
      </c>
      <c r="AB840" s="5">
        <v>46</v>
      </c>
      <c r="AC840" s="2" t="s">
        <v>2363</v>
      </c>
      <c r="AD840" s="4">
        <v>160</v>
      </c>
      <c r="AE840" s="4">
        <v>1210</v>
      </c>
      <c r="AF840" s="6">
        <v>67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/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/>
      <c r="BJ840" s="4">
        <v>136</v>
      </c>
      <c r="BK840" s="8">
        <v>25025.42</v>
      </c>
      <c r="BL840" s="2" t="s">
        <v>3052</v>
      </c>
      <c r="BM840" s="7"/>
      <c r="BN840" s="7"/>
      <c r="BO840" s="4"/>
      <c r="BP840" s="8"/>
      <c r="BQ840" s="4"/>
      <c r="BR840" s="8"/>
      <c r="BS840" s="7"/>
      <c r="BT840" s="7"/>
      <c r="BU840" s="2" t="s">
        <v>2526</v>
      </c>
      <c r="BV840" s="2" t="s">
        <v>97</v>
      </c>
      <c r="BW840" s="2" t="s">
        <v>100</v>
      </c>
      <c r="BX840" s="2" t="s">
        <v>100</v>
      </c>
      <c r="BY840" s="2" t="s">
        <v>112</v>
      </c>
      <c r="BZ840" s="2" t="s">
        <v>100</v>
      </c>
    </row>
    <row r="841">
      <c r="A841" s="2" t="s">
        <v>3228</v>
      </c>
      <c r="B841" s="2" t="s">
        <v>87</v>
      </c>
      <c r="C841" s="2" t="s">
        <v>3196</v>
      </c>
      <c r="D841" s="2" t="s">
        <v>89</v>
      </c>
      <c r="E841" s="2" t="s">
        <v>90</v>
      </c>
      <c r="F841" s="2" t="s">
        <v>3219</v>
      </c>
      <c r="G841" s="2" t="s">
        <v>3219</v>
      </c>
      <c r="H841" s="2" t="s">
        <v>3219</v>
      </c>
      <c r="I841" s="2" t="s">
        <v>3220</v>
      </c>
      <c r="J841" s="2" t="s">
        <v>114</v>
      </c>
      <c r="K841" s="2" t="s">
        <v>1373</v>
      </c>
      <c r="L841" s="3">
        <v>190</v>
      </c>
      <c r="M841" s="3">
        <v>199.49</v>
      </c>
      <c r="N841" s="3">
        <v>379.99</v>
      </c>
      <c r="O841" s="2" t="s">
        <v>97</v>
      </c>
      <c r="P841" s="2" t="s">
        <v>317</v>
      </c>
      <c r="Q841" s="2" t="s">
        <v>99</v>
      </c>
      <c r="R841" s="2" t="s">
        <v>100</v>
      </c>
      <c r="S841" s="2" t="s">
        <v>3226</v>
      </c>
      <c r="T841" s="2" t="s">
        <v>190</v>
      </c>
      <c r="U841" s="2" t="s">
        <v>618</v>
      </c>
      <c r="V841" s="2" t="s">
        <v>367</v>
      </c>
      <c r="W841" s="2" t="s">
        <v>594</v>
      </c>
      <c r="X841" s="2" t="s">
        <v>609</v>
      </c>
      <c r="Y841" s="2" t="s">
        <v>3227</v>
      </c>
      <c r="Z841" s="4">
        <v>118</v>
      </c>
      <c r="AA841" s="4">
        <f>=ROUNDDOWN(1.61643835616438,0)</f>
      </c>
      <c r="AB841" s="5">
        <v>73</v>
      </c>
      <c r="AC841" s="2" t="s">
        <v>2363</v>
      </c>
      <c r="AD841" s="4">
        <v>200</v>
      </c>
      <c r="AE841" s="4">
        <v>2270</v>
      </c>
      <c r="AF841" s="6">
        <v>67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/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/>
      <c r="BJ841" s="4">
        <v>257</v>
      </c>
      <c r="BK841" s="8">
        <v>54491.04</v>
      </c>
      <c r="BL841" s="2" t="s">
        <v>3229</v>
      </c>
      <c r="BM841" s="7"/>
      <c r="BN841" s="7"/>
      <c r="BO841" s="4"/>
      <c r="BP841" s="8"/>
      <c r="BQ841" s="4"/>
      <c r="BR841" s="8"/>
      <c r="BS841" s="7"/>
      <c r="BT841" s="7"/>
      <c r="BU841" s="2" t="s">
        <v>2526</v>
      </c>
      <c r="BV841" s="2" t="s">
        <v>97</v>
      </c>
      <c r="BW841" s="2" t="s">
        <v>100</v>
      </c>
      <c r="BX841" s="2" t="s">
        <v>100</v>
      </c>
      <c r="BY841" s="2" t="s">
        <v>112</v>
      </c>
      <c r="BZ841" s="2" t="s">
        <v>100</v>
      </c>
    </row>
    <row r="842">
      <c r="A842" s="2" t="s">
        <v>3230</v>
      </c>
      <c r="B842" s="2" t="s">
        <v>87</v>
      </c>
      <c r="C842" s="2" t="s">
        <v>3196</v>
      </c>
      <c r="D842" s="2" t="s">
        <v>89</v>
      </c>
      <c r="E842" s="2" t="s">
        <v>90</v>
      </c>
      <c r="F842" s="2" t="s">
        <v>2523</v>
      </c>
      <c r="G842" s="2" t="s">
        <v>100</v>
      </c>
      <c r="H842" s="2" t="s">
        <v>100</v>
      </c>
      <c r="I842" s="2" t="s">
        <v>2602</v>
      </c>
      <c r="J842" s="2" t="s">
        <v>95</v>
      </c>
      <c r="K842" s="2" t="s">
        <v>179</v>
      </c>
      <c r="L842" s="3">
        <v>139.5</v>
      </c>
      <c r="M842" s="3">
        <v>146.48</v>
      </c>
      <c r="N842" s="3">
        <v>309.99</v>
      </c>
      <c r="O842" s="2" t="s">
        <v>97</v>
      </c>
      <c r="P842" s="2" t="s">
        <v>707</v>
      </c>
      <c r="Q842" s="2" t="s">
        <v>99</v>
      </c>
      <c r="R842" s="2" t="s">
        <v>100</v>
      </c>
      <c r="S842" s="2" t="s">
        <v>3231</v>
      </c>
      <c r="T842" s="2" t="s">
        <v>100</v>
      </c>
      <c r="U842" s="2" t="s">
        <v>191</v>
      </c>
      <c r="V842" s="2" t="s">
        <v>367</v>
      </c>
      <c r="W842" s="2" t="s">
        <v>594</v>
      </c>
      <c r="X842" s="2" t="s">
        <v>1732</v>
      </c>
      <c r="Y842" s="2" t="s">
        <v>1973</v>
      </c>
      <c r="Z842" s="4">
        <v>195</v>
      </c>
      <c r="AA842" s="4">
        <f>=ROUNDDOWN(24.375,0)</f>
      </c>
      <c r="AB842" s="5">
        <v>8</v>
      </c>
      <c r="AC842" s="2" t="s">
        <v>958</v>
      </c>
      <c r="AD842" s="4">
        <v>110</v>
      </c>
      <c r="AE842" s="4">
        <v>110</v>
      </c>
      <c r="AF842" s="6">
        <v>67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/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/>
      <c r="BJ842" s="4">
        <v>24</v>
      </c>
      <c r="BK842" s="8">
        <v>3385.67</v>
      </c>
      <c r="BL842" s="2" t="s">
        <v>2656</v>
      </c>
      <c r="BM842" s="7"/>
      <c r="BN842" s="7"/>
      <c r="BO842" s="4"/>
      <c r="BP842" s="8"/>
      <c r="BQ842" s="4"/>
      <c r="BR842" s="8"/>
      <c r="BS842" s="7"/>
      <c r="BT842" s="7"/>
      <c r="BU842" s="2" t="s">
        <v>171</v>
      </c>
      <c r="BV842" s="2" t="s">
        <v>97</v>
      </c>
      <c r="BW842" s="2" t="s">
        <v>100</v>
      </c>
      <c r="BX842" s="2" t="s">
        <v>100</v>
      </c>
      <c r="BY842" s="2" t="s">
        <v>112</v>
      </c>
      <c r="BZ842" s="2" t="s">
        <v>100</v>
      </c>
    </row>
    <row r="843">
      <c r="A843" s="2" t="s">
        <v>3232</v>
      </c>
      <c r="B843" s="2" t="s">
        <v>87</v>
      </c>
      <c r="C843" s="2" t="s">
        <v>3196</v>
      </c>
      <c r="D843" s="2" t="s">
        <v>89</v>
      </c>
      <c r="E843" s="2" t="s">
        <v>90</v>
      </c>
      <c r="F843" s="2" t="s">
        <v>2523</v>
      </c>
      <c r="G843" s="2" t="s">
        <v>100</v>
      </c>
      <c r="H843" s="2" t="s">
        <v>100</v>
      </c>
      <c r="I843" s="2" t="s">
        <v>2602</v>
      </c>
      <c r="J843" s="2" t="s">
        <v>114</v>
      </c>
      <c r="K843" s="2" t="s">
        <v>179</v>
      </c>
      <c r="L843" s="3">
        <v>180</v>
      </c>
      <c r="M843" s="3">
        <v>189</v>
      </c>
      <c r="N843" s="3">
        <v>359.99</v>
      </c>
      <c r="O843" s="2" t="s">
        <v>97</v>
      </c>
      <c r="P843" s="2" t="s">
        <v>707</v>
      </c>
      <c r="Q843" s="2" t="s">
        <v>99</v>
      </c>
      <c r="R843" s="2" t="s">
        <v>100</v>
      </c>
      <c r="S843" s="2" t="s">
        <v>3231</v>
      </c>
      <c r="T843" s="2" t="s">
        <v>100</v>
      </c>
      <c r="U843" s="2" t="s">
        <v>618</v>
      </c>
      <c r="V843" s="2" t="s">
        <v>367</v>
      </c>
      <c r="W843" s="2" t="s">
        <v>594</v>
      </c>
      <c r="X843" s="2" t="s">
        <v>1732</v>
      </c>
      <c r="Y843" s="2" t="s">
        <v>1973</v>
      </c>
      <c r="Z843" s="4"/>
      <c r="AA843" s="4">
        <f>=ROUNDDOWN({0},0)</f>
      </c>
      <c r="AB843" s="5">
        <v>9</v>
      </c>
      <c r="AC843" s="2" t="s">
        <v>725</v>
      </c>
      <c r="AD843" s="4">
        <v>30</v>
      </c>
      <c r="AE843" s="4">
        <v>240</v>
      </c>
      <c r="AF843" s="6">
        <v>67</v>
      </c>
      <c r="AG843" s="6"/>
      <c r="AH843" s="7">
        <v>0.4839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/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/>
      <c r="BJ843" s="4">
        <v>65</v>
      </c>
      <c r="BK843" s="8">
        <v>9148.15</v>
      </c>
      <c r="BL843" s="2" t="s">
        <v>3233</v>
      </c>
      <c r="BM843" s="7"/>
      <c r="BN843" s="7"/>
      <c r="BO843" s="4"/>
      <c r="BP843" s="8"/>
      <c r="BQ843" s="4"/>
      <c r="BR843" s="8"/>
      <c r="BS843" s="7"/>
      <c r="BT843" s="7"/>
      <c r="BU843" s="2" t="s">
        <v>171</v>
      </c>
      <c r="BV843" s="2" t="s">
        <v>97</v>
      </c>
      <c r="BW843" s="2" t="s">
        <v>100</v>
      </c>
      <c r="BX843" s="2" t="s">
        <v>100</v>
      </c>
      <c r="BY843" s="2" t="s">
        <v>112</v>
      </c>
      <c r="BZ843" s="2" t="s">
        <v>100</v>
      </c>
    </row>
    <row r="844">
      <c r="A844" s="2" t="s">
        <v>3234</v>
      </c>
      <c r="B844" s="2" t="s">
        <v>87</v>
      </c>
      <c r="C844" s="2" t="s">
        <v>3196</v>
      </c>
      <c r="D844" s="2" t="s">
        <v>89</v>
      </c>
      <c r="E844" s="2" t="s">
        <v>90</v>
      </c>
      <c r="F844" s="2" t="s">
        <v>854</v>
      </c>
      <c r="G844" s="2" t="s">
        <v>3235</v>
      </c>
      <c r="H844" s="2" t="s">
        <v>854</v>
      </c>
      <c r="I844" s="2" t="s">
        <v>3236</v>
      </c>
      <c r="J844" s="2" t="s">
        <v>95</v>
      </c>
      <c r="K844" s="2" t="s">
        <v>673</v>
      </c>
      <c r="L844" s="3">
        <v>148.5</v>
      </c>
      <c r="M844" s="3">
        <v>155.93</v>
      </c>
      <c r="N844" s="3">
        <v>329.99</v>
      </c>
      <c r="O844" s="2" t="s">
        <v>97</v>
      </c>
      <c r="P844" s="2" t="s">
        <v>139</v>
      </c>
      <c r="Q844" s="2" t="s">
        <v>99</v>
      </c>
      <c r="R844" s="2" t="s">
        <v>100</v>
      </c>
      <c r="S844" s="2" t="s">
        <v>3237</v>
      </c>
      <c r="T844" s="2" t="s">
        <v>100</v>
      </c>
      <c r="U844" s="2" t="s">
        <v>191</v>
      </c>
      <c r="V844" s="2" t="s">
        <v>473</v>
      </c>
      <c r="W844" s="2" t="s">
        <v>142</v>
      </c>
      <c r="X844" s="2" t="s">
        <v>3238</v>
      </c>
      <c r="Y844" s="2" t="s">
        <v>3239</v>
      </c>
      <c r="Z844" s="4">
        <v>151</v>
      </c>
      <c r="AA844" s="4">
        <f>=ROUNDDOWN(15.1,0)</f>
      </c>
      <c r="AB844" s="5">
        <v>10</v>
      </c>
      <c r="AC844" s="2" t="s">
        <v>1094</v>
      </c>
      <c r="AD844" s="4">
        <v>25</v>
      </c>
      <c r="AE844" s="4">
        <v>245</v>
      </c>
      <c r="AF844" s="6">
        <v>67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/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/>
      <c r="BJ844" s="4">
        <v>30</v>
      </c>
      <c r="BK844" s="8">
        <v>4851.02</v>
      </c>
      <c r="BL844" s="2" t="s">
        <v>3240</v>
      </c>
      <c r="BM844" s="7"/>
      <c r="BN844" s="7"/>
      <c r="BO844" s="4"/>
      <c r="BP844" s="8"/>
      <c r="BQ844" s="4"/>
      <c r="BR844" s="8"/>
      <c r="BS844" s="7"/>
      <c r="BT844" s="7"/>
      <c r="BU844" s="2" t="s">
        <v>2551</v>
      </c>
      <c r="BV844" s="2" t="s">
        <v>97</v>
      </c>
      <c r="BW844" s="2" t="s">
        <v>100</v>
      </c>
      <c r="BX844" s="2" t="s">
        <v>100</v>
      </c>
      <c r="BY844" s="2" t="s">
        <v>112</v>
      </c>
      <c r="BZ844" s="2" t="s">
        <v>100</v>
      </c>
    </row>
    <row r="845">
      <c r="A845" s="2" t="s">
        <v>3241</v>
      </c>
      <c r="B845" s="2" t="s">
        <v>87</v>
      </c>
      <c r="C845" s="2" t="s">
        <v>3196</v>
      </c>
      <c r="D845" s="2" t="s">
        <v>89</v>
      </c>
      <c r="E845" s="2" t="s">
        <v>90</v>
      </c>
      <c r="F845" s="2" t="s">
        <v>854</v>
      </c>
      <c r="G845" s="2" t="s">
        <v>3235</v>
      </c>
      <c r="H845" s="2" t="s">
        <v>854</v>
      </c>
      <c r="I845" s="2" t="s">
        <v>3242</v>
      </c>
      <c r="J845" s="2" t="s">
        <v>114</v>
      </c>
      <c r="K845" s="2" t="s">
        <v>673</v>
      </c>
      <c r="L845" s="3">
        <v>171</v>
      </c>
      <c r="M845" s="3">
        <v>179.55</v>
      </c>
      <c r="N845" s="3">
        <v>379.99</v>
      </c>
      <c r="O845" s="2" t="s">
        <v>97</v>
      </c>
      <c r="P845" s="2" t="s">
        <v>139</v>
      </c>
      <c r="Q845" s="2" t="s">
        <v>99</v>
      </c>
      <c r="R845" s="2" t="s">
        <v>100</v>
      </c>
      <c r="S845" s="2" t="s">
        <v>3237</v>
      </c>
      <c r="T845" s="2" t="s">
        <v>100</v>
      </c>
      <c r="U845" s="2" t="s">
        <v>618</v>
      </c>
      <c r="V845" s="2" t="s">
        <v>473</v>
      </c>
      <c r="W845" s="2" t="s">
        <v>142</v>
      </c>
      <c r="X845" s="2" t="s">
        <v>3238</v>
      </c>
      <c r="Y845" s="2" t="s">
        <v>3239</v>
      </c>
      <c r="Z845" s="4">
        <v>113</v>
      </c>
      <c r="AA845" s="4">
        <f>=ROUNDDOWN(7.53333333333333,0)</f>
      </c>
      <c r="AB845" s="5">
        <v>15</v>
      </c>
      <c r="AC845" s="2" t="s">
        <v>1094</v>
      </c>
      <c r="AD845" s="4">
        <v>65</v>
      </c>
      <c r="AE845" s="4">
        <v>365</v>
      </c>
      <c r="AF845" s="6">
        <v>67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/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/>
      <c r="BJ845" s="4">
        <v>45</v>
      </c>
      <c r="BK845" s="8">
        <v>8358</v>
      </c>
      <c r="BL845" s="2" t="s">
        <v>1687</v>
      </c>
      <c r="BM845" s="7"/>
      <c r="BN845" s="7"/>
      <c r="BO845" s="4"/>
      <c r="BP845" s="8"/>
      <c r="BQ845" s="4"/>
      <c r="BR845" s="8"/>
      <c r="BS845" s="7"/>
      <c r="BT845" s="7"/>
      <c r="BU845" s="2" t="s">
        <v>2551</v>
      </c>
      <c r="BV845" s="2" t="s">
        <v>97</v>
      </c>
      <c r="BW845" s="2" t="s">
        <v>100</v>
      </c>
      <c r="BX845" s="2" t="s">
        <v>100</v>
      </c>
      <c r="BY845" s="2" t="s">
        <v>112</v>
      </c>
      <c r="BZ845" s="2" t="s">
        <v>100</v>
      </c>
    </row>
    <row r="846">
      <c r="A846" s="2" t="s">
        <v>3243</v>
      </c>
      <c r="B846" s="2" t="s">
        <v>87</v>
      </c>
      <c r="C846" s="2" t="s">
        <v>3196</v>
      </c>
      <c r="D846" s="2" t="s">
        <v>89</v>
      </c>
      <c r="E846" s="2" t="s">
        <v>90</v>
      </c>
      <c r="F846" s="2" t="s">
        <v>3244</v>
      </c>
      <c r="G846" s="2" t="s">
        <v>100</v>
      </c>
      <c r="H846" s="2" t="s">
        <v>100</v>
      </c>
      <c r="I846" s="2" t="s">
        <v>2602</v>
      </c>
      <c r="J846" s="2" t="s">
        <v>95</v>
      </c>
      <c r="K846" s="2" t="s">
        <v>458</v>
      </c>
      <c r="L846" s="3">
        <v>172.2</v>
      </c>
      <c r="M846" s="3">
        <v>180.81</v>
      </c>
      <c r="N846" s="3">
        <v>409.99</v>
      </c>
      <c r="O846" s="2" t="s">
        <v>97</v>
      </c>
      <c r="P846" s="2" t="s">
        <v>123</v>
      </c>
      <c r="Q846" s="2" t="s">
        <v>99</v>
      </c>
      <c r="R846" s="2" t="s">
        <v>100</v>
      </c>
      <c r="S846" s="2" t="s">
        <v>3245</v>
      </c>
      <c r="T846" s="2" t="s">
        <v>100</v>
      </c>
      <c r="U846" s="2" t="s">
        <v>191</v>
      </c>
      <c r="V846" s="2" t="s">
        <v>547</v>
      </c>
      <c r="W846" s="2" t="s">
        <v>1136</v>
      </c>
      <c r="X846" s="2" t="s">
        <v>3246</v>
      </c>
      <c r="Y846" s="2" t="s">
        <v>272</v>
      </c>
      <c r="Z846" s="4">
        <v>245</v>
      </c>
      <c r="AA846" s="4">
        <f>=ROUNDDOWN(40.8333333333333,0)</f>
      </c>
      <c r="AB846" s="5">
        <v>6</v>
      </c>
      <c r="AC846" s="2" t="s">
        <v>100</v>
      </c>
      <c r="AD846" s="4"/>
      <c r="AE846" s="4"/>
      <c r="AF846" s="6">
        <v>67</v>
      </c>
      <c r="AG846" s="6"/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/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/>
      <c r="BJ846" s="4">
        <v>12</v>
      </c>
      <c r="BK846" s="8">
        <v>2276.87</v>
      </c>
      <c r="BL846" s="2" t="s">
        <v>3247</v>
      </c>
      <c r="BM846" s="7"/>
      <c r="BN846" s="7"/>
      <c r="BO846" s="4"/>
      <c r="BP846" s="8"/>
      <c r="BQ846" s="4"/>
      <c r="BR846" s="8"/>
      <c r="BS846" s="7"/>
      <c r="BT846" s="7"/>
      <c r="BU846" s="2" t="s">
        <v>2551</v>
      </c>
      <c r="BV846" s="2" t="s">
        <v>97</v>
      </c>
      <c r="BW846" s="2" t="s">
        <v>100</v>
      </c>
      <c r="BX846" s="2" t="s">
        <v>100</v>
      </c>
      <c r="BY846" s="2" t="s">
        <v>112</v>
      </c>
      <c r="BZ846" s="2" t="s">
        <v>100</v>
      </c>
    </row>
    <row r="847">
      <c r="A847" s="2" t="s">
        <v>3248</v>
      </c>
      <c r="B847" s="2" t="s">
        <v>87</v>
      </c>
      <c r="C847" s="2" t="s">
        <v>3196</v>
      </c>
      <c r="D847" s="2" t="s">
        <v>89</v>
      </c>
      <c r="E847" s="2" t="s">
        <v>90</v>
      </c>
      <c r="F847" s="2" t="s">
        <v>3244</v>
      </c>
      <c r="G847" s="2" t="s">
        <v>100</v>
      </c>
      <c r="H847" s="2" t="s">
        <v>100</v>
      </c>
      <c r="I847" s="2" t="s">
        <v>2602</v>
      </c>
      <c r="J847" s="2" t="s">
        <v>114</v>
      </c>
      <c r="K847" s="2" t="s">
        <v>458</v>
      </c>
      <c r="L847" s="3">
        <v>202.4</v>
      </c>
      <c r="M847" s="3">
        <v>212.52</v>
      </c>
      <c r="N847" s="3">
        <v>459.99</v>
      </c>
      <c r="O847" s="2" t="s">
        <v>97</v>
      </c>
      <c r="P847" s="2" t="s">
        <v>123</v>
      </c>
      <c r="Q847" s="2" t="s">
        <v>99</v>
      </c>
      <c r="R847" s="2" t="s">
        <v>100</v>
      </c>
      <c r="S847" s="2" t="s">
        <v>3245</v>
      </c>
      <c r="T847" s="2" t="s">
        <v>100</v>
      </c>
      <c r="U847" s="2" t="s">
        <v>618</v>
      </c>
      <c r="V847" s="2" t="s">
        <v>547</v>
      </c>
      <c r="W847" s="2" t="s">
        <v>1136</v>
      </c>
      <c r="X847" s="2" t="s">
        <v>3246</v>
      </c>
      <c r="Y847" s="2" t="s">
        <v>272</v>
      </c>
      <c r="Z847" s="4">
        <v>244</v>
      </c>
      <c r="AA847" s="4">
        <f>=ROUNDDOWN(31.2820512820513,0)</f>
      </c>
      <c r="AB847" s="5">
        <v>7.8</v>
      </c>
      <c r="AC847" s="2" t="s">
        <v>173</v>
      </c>
      <c r="AD847" s="4">
        <v>150</v>
      </c>
      <c r="AE847" s="4">
        <v>150</v>
      </c>
      <c r="AF847" s="6">
        <v>67</v>
      </c>
      <c r="AG847" s="6"/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/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/>
      <c r="BJ847" s="4">
        <v>33</v>
      </c>
      <c r="BK847" s="8">
        <v>7124.42</v>
      </c>
      <c r="BL847" s="2" t="s">
        <v>3249</v>
      </c>
      <c r="BM847" s="7"/>
      <c r="BN847" s="7"/>
      <c r="BO847" s="4"/>
      <c r="BP847" s="8"/>
      <c r="BQ847" s="4"/>
      <c r="BR847" s="8"/>
      <c r="BS847" s="7"/>
      <c r="BT847" s="7"/>
      <c r="BU847" s="2" t="s">
        <v>2551</v>
      </c>
      <c r="BV847" s="2" t="s">
        <v>97</v>
      </c>
      <c r="BW847" s="2" t="s">
        <v>100</v>
      </c>
      <c r="BX847" s="2" t="s">
        <v>100</v>
      </c>
      <c r="BY847" s="2" t="s">
        <v>112</v>
      </c>
      <c r="BZ847" s="2" t="s">
        <v>100</v>
      </c>
    </row>
    <row r="848">
      <c r="A848" s="2" t="s">
        <v>3250</v>
      </c>
      <c r="B848" s="2" t="s">
        <v>87</v>
      </c>
      <c r="C848" s="2" t="s">
        <v>3196</v>
      </c>
      <c r="D848" s="2" t="s">
        <v>89</v>
      </c>
      <c r="E848" s="2" t="s">
        <v>90</v>
      </c>
      <c r="F848" s="2" t="s">
        <v>3251</v>
      </c>
      <c r="G848" s="2" t="s">
        <v>3251</v>
      </c>
      <c r="H848" s="2" t="s">
        <v>3251</v>
      </c>
      <c r="I848" s="2" t="s">
        <v>3252</v>
      </c>
      <c r="J848" s="2" t="s">
        <v>95</v>
      </c>
      <c r="K848" s="2" t="s">
        <v>96</v>
      </c>
      <c r="L848" s="3">
        <v>171.59</v>
      </c>
      <c r="M848" s="3">
        <v>180.17</v>
      </c>
      <c r="N848" s="3">
        <v>329.99</v>
      </c>
      <c r="O848" s="2" t="s">
        <v>97</v>
      </c>
      <c r="P848" s="2" t="s">
        <v>98</v>
      </c>
      <c r="Q848" s="2" t="s">
        <v>99</v>
      </c>
      <c r="R848" s="2" t="s">
        <v>100</v>
      </c>
      <c r="S848" s="2" t="s">
        <v>3253</v>
      </c>
      <c r="T848" s="2" t="s">
        <v>100</v>
      </c>
      <c r="U848" s="2" t="s">
        <v>191</v>
      </c>
      <c r="V848" s="2" t="s">
        <v>304</v>
      </c>
      <c r="W848" s="2" t="s">
        <v>1136</v>
      </c>
      <c r="X848" s="2" t="s">
        <v>142</v>
      </c>
      <c r="Y848" s="2" t="s">
        <v>3254</v>
      </c>
      <c r="Z848" s="4">
        <v>45</v>
      </c>
      <c r="AA848" s="4">
        <f>=ROUNDDOWN(15,0)</f>
      </c>
      <c r="AB848" s="5">
        <v>3</v>
      </c>
      <c r="AC848" s="2" t="s">
        <v>100</v>
      </c>
      <c r="AD848" s="4"/>
      <c r="AE848" s="4"/>
      <c r="AF848" s="6">
        <v>67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/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/>
      <c r="BJ848" s="4">
        <v>4</v>
      </c>
      <c r="BK848" s="8">
        <v>698.5</v>
      </c>
      <c r="BL848" s="2" t="s">
        <v>3255</v>
      </c>
      <c r="BM848" s="7"/>
      <c r="BN848" s="7"/>
      <c r="BO848" s="4"/>
      <c r="BP848" s="8"/>
      <c r="BQ848" s="4"/>
      <c r="BR848" s="8"/>
      <c r="BS848" s="7"/>
      <c r="BT848" s="7"/>
      <c r="BU848" s="2" t="s">
        <v>2551</v>
      </c>
      <c r="BV848" s="2" t="s">
        <v>97</v>
      </c>
      <c r="BW848" s="2" t="s">
        <v>100</v>
      </c>
      <c r="BX848" s="2" t="s">
        <v>100</v>
      </c>
      <c r="BY848" s="2" t="s">
        <v>112</v>
      </c>
      <c r="BZ848" s="2" t="s">
        <v>100</v>
      </c>
    </row>
    <row r="849">
      <c r="A849" s="2" t="s">
        <v>3256</v>
      </c>
      <c r="B849" s="2" t="s">
        <v>87</v>
      </c>
      <c r="C849" s="2" t="s">
        <v>3196</v>
      </c>
      <c r="D849" s="2" t="s">
        <v>89</v>
      </c>
      <c r="E849" s="2" t="s">
        <v>90</v>
      </c>
      <c r="F849" s="2" t="s">
        <v>3251</v>
      </c>
      <c r="G849" s="2" t="s">
        <v>3251</v>
      </c>
      <c r="H849" s="2" t="s">
        <v>3251</v>
      </c>
      <c r="I849" s="2" t="s">
        <v>3257</v>
      </c>
      <c r="J849" s="2" t="s">
        <v>114</v>
      </c>
      <c r="K849" s="2" t="s">
        <v>96</v>
      </c>
      <c r="L849" s="3">
        <v>197.59</v>
      </c>
      <c r="M849" s="3">
        <v>207.47</v>
      </c>
      <c r="N849" s="3">
        <v>379.99</v>
      </c>
      <c r="O849" s="2" t="s">
        <v>97</v>
      </c>
      <c r="P849" s="2" t="s">
        <v>98</v>
      </c>
      <c r="Q849" s="2" t="s">
        <v>99</v>
      </c>
      <c r="R849" s="2" t="s">
        <v>100</v>
      </c>
      <c r="S849" s="2" t="s">
        <v>3253</v>
      </c>
      <c r="T849" s="2" t="s">
        <v>100</v>
      </c>
      <c r="U849" s="2" t="s">
        <v>618</v>
      </c>
      <c r="V849" s="2" t="s">
        <v>304</v>
      </c>
      <c r="W849" s="2" t="s">
        <v>1136</v>
      </c>
      <c r="X849" s="2" t="s">
        <v>142</v>
      </c>
      <c r="Y849" s="2" t="s">
        <v>3254</v>
      </c>
      <c r="Z849" s="4">
        <v>140</v>
      </c>
      <c r="AA849" s="4">
        <f>=ROUNDDOWN(23.3333333333333,0)</f>
      </c>
      <c r="AB849" s="5">
        <v>6</v>
      </c>
      <c r="AC849" s="2" t="s">
        <v>100</v>
      </c>
      <c r="AD849" s="4"/>
      <c r="AE849" s="4"/>
      <c r="AF849" s="6">
        <v>67</v>
      </c>
      <c r="AG849" s="6"/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/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/>
      <c r="BJ849" s="4">
        <v>26</v>
      </c>
      <c r="BK849" s="8">
        <v>5881.95</v>
      </c>
      <c r="BL849" s="2" t="s">
        <v>3258</v>
      </c>
      <c r="BM849" s="7"/>
      <c r="BN849" s="7"/>
      <c r="BO849" s="4"/>
      <c r="BP849" s="8"/>
      <c r="BQ849" s="4"/>
      <c r="BR849" s="8"/>
      <c r="BS849" s="7"/>
      <c r="BT849" s="7"/>
      <c r="BU849" s="2" t="s">
        <v>2551</v>
      </c>
      <c r="BV849" s="2" t="s">
        <v>97</v>
      </c>
      <c r="BW849" s="2" t="s">
        <v>100</v>
      </c>
      <c r="BX849" s="2" t="s">
        <v>100</v>
      </c>
      <c r="BY849" s="2" t="s">
        <v>112</v>
      </c>
      <c r="BZ849" s="2" t="s">
        <v>100</v>
      </c>
    </row>
    <row r="850">
      <c r="A850" s="2" t="s">
        <v>3259</v>
      </c>
      <c r="B850" s="2" t="s">
        <v>87</v>
      </c>
      <c r="C850" s="2" t="s">
        <v>3196</v>
      </c>
      <c r="D850" s="2" t="s">
        <v>89</v>
      </c>
      <c r="E850" s="2" t="s">
        <v>90</v>
      </c>
      <c r="F850" s="2" t="s">
        <v>3260</v>
      </c>
      <c r="G850" s="2" t="s">
        <v>3260</v>
      </c>
      <c r="H850" s="2" t="s">
        <v>3260</v>
      </c>
      <c r="I850" s="2" t="s">
        <v>3252</v>
      </c>
      <c r="J850" s="2" t="s">
        <v>95</v>
      </c>
      <c r="K850" s="2" t="s">
        <v>3261</v>
      </c>
      <c r="L850" s="3">
        <v>165</v>
      </c>
      <c r="M850" s="3">
        <v>173.24</v>
      </c>
      <c r="N850" s="3">
        <v>329.99</v>
      </c>
      <c r="O850" s="2" t="s">
        <v>97</v>
      </c>
      <c r="P850" s="2" t="s">
        <v>123</v>
      </c>
      <c r="Q850" s="2" t="s">
        <v>99</v>
      </c>
      <c r="R850" s="2" t="s">
        <v>100</v>
      </c>
      <c r="S850" s="2" t="s">
        <v>3262</v>
      </c>
      <c r="T850" s="2" t="s">
        <v>100</v>
      </c>
      <c r="U850" s="2" t="s">
        <v>191</v>
      </c>
      <c r="V850" s="2" t="s">
        <v>547</v>
      </c>
      <c r="W850" s="2" t="s">
        <v>1136</v>
      </c>
      <c r="X850" s="2" t="s">
        <v>100</v>
      </c>
      <c r="Y850" s="2" t="s">
        <v>204</v>
      </c>
      <c r="Z850" s="4">
        <v>178</v>
      </c>
      <c r="AA850" s="4">
        <f>=ROUNDDOWN(35.6,0)</f>
      </c>
      <c r="AB850" s="5">
        <v>5</v>
      </c>
      <c r="AC850" s="2" t="s">
        <v>100</v>
      </c>
      <c r="AD850" s="4"/>
      <c r="AE850" s="4"/>
      <c r="AF850" s="6">
        <v>67</v>
      </c>
      <c r="AG850" s="6"/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/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/>
      <c r="BJ850" s="4">
        <v>20</v>
      </c>
      <c r="BK850" s="8">
        <v>3614.57</v>
      </c>
      <c r="BL850" s="2" t="s">
        <v>3263</v>
      </c>
      <c r="BM850" s="7"/>
      <c r="BN850" s="7"/>
      <c r="BO850" s="4"/>
      <c r="BP850" s="8"/>
      <c r="BQ850" s="4"/>
      <c r="BR850" s="8"/>
      <c r="BS850" s="7"/>
      <c r="BT850" s="7"/>
      <c r="BU850" s="2" t="s">
        <v>2551</v>
      </c>
      <c r="BV850" s="2" t="s">
        <v>97</v>
      </c>
      <c r="BW850" s="2" t="s">
        <v>100</v>
      </c>
      <c r="BX850" s="2" t="s">
        <v>100</v>
      </c>
      <c r="BY850" s="2" t="s">
        <v>112</v>
      </c>
      <c r="BZ850" s="2" t="s">
        <v>100</v>
      </c>
    </row>
    <row r="851">
      <c r="A851" s="2" t="s">
        <v>3264</v>
      </c>
      <c r="B851" s="2" t="s">
        <v>87</v>
      </c>
      <c r="C851" s="2" t="s">
        <v>3196</v>
      </c>
      <c r="D851" s="2" t="s">
        <v>89</v>
      </c>
      <c r="E851" s="2" t="s">
        <v>90</v>
      </c>
      <c r="F851" s="2" t="s">
        <v>3260</v>
      </c>
      <c r="G851" s="2" t="s">
        <v>3260</v>
      </c>
      <c r="H851" s="2" t="s">
        <v>3260</v>
      </c>
      <c r="I851" s="2" t="s">
        <v>3257</v>
      </c>
      <c r="J851" s="2" t="s">
        <v>114</v>
      </c>
      <c r="K851" s="2" t="s">
        <v>3261</v>
      </c>
      <c r="L851" s="3">
        <v>190</v>
      </c>
      <c r="M851" s="3">
        <v>199.49</v>
      </c>
      <c r="N851" s="3">
        <v>379.99</v>
      </c>
      <c r="O851" s="2" t="s">
        <v>97</v>
      </c>
      <c r="P851" s="2" t="s">
        <v>123</v>
      </c>
      <c r="Q851" s="2" t="s">
        <v>99</v>
      </c>
      <c r="R851" s="2" t="s">
        <v>100</v>
      </c>
      <c r="S851" s="2" t="s">
        <v>3262</v>
      </c>
      <c r="T851" s="2" t="s">
        <v>100</v>
      </c>
      <c r="U851" s="2" t="s">
        <v>618</v>
      </c>
      <c r="V851" s="2" t="s">
        <v>547</v>
      </c>
      <c r="W851" s="2" t="s">
        <v>1136</v>
      </c>
      <c r="X851" s="2" t="s">
        <v>100</v>
      </c>
      <c r="Y851" s="2" t="s">
        <v>204</v>
      </c>
      <c r="Z851" s="4">
        <v>211</v>
      </c>
      <c r="AA851" s="4">
        <f>=ROUNDDOWN(34.5901639344262,0)</f>
      </c>
      <c r="AB851" s="5">
        <v>6.1</v>
      </c>
      <c r="AC851" s="2" t="s">
        <v>1860</v>
      </c>
      <c r="AD851" s="4">
        <v>120</v>
      </c>
      <c r="AE851" s="4">
        <v>120</v>
      </c>
      <c r="AF851" s="6">
        <v>67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/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/>
      <c r="BJ851" s="4">
        <v>39</v>
      </c>
      <c r="BK851" s="8">
        <v>8236.68</v>
      </c>
      <c r="BL851" s="2" t="s">
        <v>3265</v>
      </c>
      <c r="BM851" s="7"/>
      <c r="BN851" s="7"/>
      <c r="BO851" s="4"/>
      <c r="BP851" s="8"/>
      <c r="BQ851" s="4"/>
      <c r="BR851" s="8"/>
      <c r="BS851" s="7"/>
      <c r="BT851" s="7"/>
      <c r="BU851" s="2" t="s">
        <v>2551</v>
      </c>
      <c r="BV851" s="2" t="s">
        <v>97</v>
      </c>
      <c r="BW851" s="2" t="s">
        <v>100</v>
      </c>
      <c r="BX851" s="2" t="s">
        <v>100</v>
      </c>
      <c r="BY851" s="2" t="s">
        <v>112</v>
      </c>
      <c r="BZ851" s="2" t="s">
        <v>100</v>
      </c>
    </row>
    <row r="852">
      <c r="A852" s="2" t="s">
        <v>3266</v>
      </c>
      <c r="B852" s="2" t="s">
        <v>87</v>
      </c>
      <c r="C852" s="2" t="s">
        <v>3196</v>
      </c>
      <c r="D852" s="2" t="s">
        <v>89</v>
      </c>
      <c r="E852" s="2" t="s">
        <v>90</v>
      </c>
      <c r="F852" s="2" t="s">
        <v>3267</v>
      </c>
      <c r="G852" s="2" t="s">
        <v>100</v>
      </c>
      <c r="H852" s="2" t="s">
        <v>100</v>
      </c>
      <c r="I852" s="2" t="s">
        <v>2602</v>
      </c>
      <c r="J852" s="2" t="s">
        <v>95</v>
      </c>
      <c r="K852" s="2" t="s">
        <v>96</v>
      </c>
      <c r="L852" s="3">
        <v>139.5</v>
      </c>
      <c r="M852" s="3">
        <v>146.47</v>
      </c>
      <c r="N852" s="3">
        <v>309.99</v>
      </c>
      <c r="O852" s="2" t="s">
        <v>97</v>
      </c>
      <c r="P852" s="2" t="s">
        <v>317</v>
      </c>
      <c r="Q852" s="2" t="s">
        <v>99</v>
      </c>
      <c r="R852" s="2" t="s">
        <v>100</v>
      </c>
      <c r="S852" s="2" t="s">
        <v>3268</v>
      </c>
      <c r="T852" s="2" t="s">
        <v>100</v>
      </c>
      <c r="U852" s="2" t="s">
        <v>191</v>
      </c>
      <c r="V852" s="2" t="s">
        <v>473</v>
      </c>
      <c r="W852" s="2" t="s">
        <v>493</v>
      </c>
      <c r="X852" s="2" t="s">
        <v>3238</v>
      </c>
      <c r="Y852" s="2" t="s">
        <v>144</v>
      </c>
      <c r="Z852" s="4">
        <v>306</v>
      </c>
      <c r="AA852" s="4">
        <f>=ROUNDDOWN(15.3,0)</f>
      </c>
      <c r="AB852" s="5">
        <v>20</v>
      </c>
      <c r="AC852" s="2" t="s">
        <v>312</v>
      </c>
      <c r="AD852" s="4">
        <v>50</v>
      </c>
      <c r="AE852" s="4">
        <v>270</v>
      </c>
      <c r="AF852" s="6">
        <v>67</v>
      </c>
      <c r="AG852" s="6">
        <v>50</v>
      </c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/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/>
      <c r="BJ852" s="4">
        <v>68</v>
      </c>
      <c r="BK852" s="8">
        <v>9679.97</v>
      </c>
      <c r="BL852" s="2" t="s">
        <v>3269</v>
      </c>
      <c r="BM852" s="7"/>
      <c r="BN852" s="7"/>
      <c r="BO852" s="4"/>
      <c r="BP852" s="8"/>
      <c r="BQ852" s="4"/>
      <c r="BR852" s="8"/>
      <c r="BS852" s="7"/>
      <c r="BT852" s="7"/>
      <c r="BU852" s="2" t="s">
        <v>2526</v>
      </c>
      <c r="BV852" s="2" t="s">
        <v>97</v>
      </c>
      <c r="BW852" s="2" t="s">
        <v>100</v>
      </c>
      <c r="BX852" s="2" t="s">
        <v>100</v>
      </c>
      <c r="BY852" s="2" t="s">
        <v>112</v>
      </c>
      <c r="BZ852" s="2" t="s">
        <v>100</v>
      </c>
    </row>
    <row r="853">
      <c r="A853" s="2" t="s">
        <v>3270</v>
      </c>
      <c r="B853" s="2" t="s">
        <v>87</v>
      </c>
      <c r="C853" s="2" t="s">
        <v>3196</v>
      </c>
      <c r="D853" s="2" t="s">
        <v>89</v>
      </c>
      <c r="E853" s="2" t="s">
        <v>90</v>
      </c>
      <c r="F853" s="2" t="s">
        <v>3267</v>
      </c>
      <c r="G853" s="2" t="s">
        <v>100</v>
      </c>
      <c r="H853" s="2" t="s">
        <v>100</v>
      </c>
      <c r="I853" s="2" t="s">
        <v>2602</v>
      </c>
      <c r="J853" s="2" t="s">
        <v>114</v>
      </c>
      <c r="K853" s="2" t="s">
        <v>96</v>
      </c>
      <c r="L853" s="3">
        <v>165.6</v>
      </c>
      <c r="M853" s="3">
        <v>173.88</v>
      </c>
      <c r="N853" s="3">
        <v>359.99</v>
      </c>
      <c r="O853" s="2" t="s">
        <v>97</v>
      </c>
      <c r="P853" s="2" t="s">
        <v>317</v>
      </c>
      <c r="Q853" s="2" t="s">
        <v>99</v>
      </c>
      <c r="R853" s="2" t="s">
        <v>100</v>
      </c>
      <c r="S853" s="2" t="s">
        <v>3268</v>
      </c>
      <c r="T853" s="2" t="s">
        <v>100</v>
      </c>
      <c r="U853" s="2" t="s">
        <v>618</v>
      </c>
      <c r="V853" s="2" t="s">
        <v>473</v>
      </c>
      <c r="W853" s="2" t="s">
        <v>493</v>
      </c>
      <c r="X853" s="2" t="s">
        <v>3238</v>
      </c>
      <c r="Y853" s="2" t="s">
        <v>144</v>
      </c>
      <c r="Z853" s="4">
        <v>511</v>
      </c>
      <c r="AA853" s="4">
        <f>=ROUNDDOWN(15.0294117647059,0)</f>
      </c>
      <c r="AB853" s="5">
        <v>34</v>
      </c>
      <c r="AC853" s="2" t="s">
        <v>3271</v>
      </c>
      <c r="AD853" s="4">
        <v>50</v>
      </c>
      <c r="AE853" s="4">
        <v>640</v>
      </c>
      <c r="AF853" s="6">
        <v>67</v>
      </c>
      <c r="AG853" s="6">
        <v>50</v>
      </c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/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/>
      <c r="BJ853" s="4">
        <v>144</v>
      </c>
      <c r="BK853" s="8">
        <v>24893.08</v>
      </c>
      <c r="BL853" s="2" t="s">
        <v>3272</v>
      </c>
      <c r="BM853" s="7"/>
      <c r="BN853" s="7"/>
      <c r="BO853" s="4"/>
      <c r="BP853" s="8"/>
      <c r="BQ853" s="4"/>
      <c r="BR853" s="8"/>
      <c r="BS853" s="7"/>
      <c r="BT853" s="7"/>
      <c r="BU853" s="2" t="s">
        <v>2526</v>
      </c>
      <c r="BV853" s="2" t="s">
        <v>97</v>
      </c>
      <c r="BW853" s="2" t="s">
        <v>100</v>
      </c>
      <c r="BX853" s="2" t="s">
        <v>100</v>
      </c>
      <c r="BY853" s="2" t="s">
        <v>112</v>
      </c>
      <c r="BZ853" s="2" t="s">
        <v>149</v>
      </c>
    </row>
    <row r="854">
      <c r="A854" s="2" t="s">
        <v>3273</v>
      </c>
      <c r="B854" s="2" t="s">
        <v>87</v>
      </c>
      <c r="C854" s="2" t="s">
        <v>3196</v>
      </c>
      <c r="D854" s="2" t="s">
        <v>89</v>
      </c>
      <c r="E854" s="2" t="s">
        <v>90</v>
      </c>
      <c r="F854" s="2" t="s">
        <v>3274</v>
      </c>
      <c r="G854" s="2" t="s">
        <v>3274</v>
      </c>
      <c r="H854" s="2" t="s">
        <v>3274</v>
      </c>
      <c r="I854" s="2" t="s">
        <v>2897</v>
      </c>
      <c r="J854" s="2" t="s">
        <v>95</v>
      </c>
      <c r="K854" s="2" t="s">
        <v>138</v>
      </c>
      <c r="L854" s="3">
        <v>172.2</v>
      </c>
      <c r="M854" s="3">
        <v>180.81</v>
      </c>
      <c r="N854" s="3">
        <v>409.99</v>
      </c>
      <c r="O854" s="2" t="s">
        <v>97</v>
      </c>
      <c r="P854" s="2" t="s">
        <v>317</v>
      </c>
      <c r="Q854" s="2" t="s">
        <v>99</v>
      </c>
      <c r="R854" s="2" t="s">
        <v>100</v>
      </c>
      <c r="S854" s="2" t="s">
        <v>3275</v>
      </c>
      <c r="T854" s="2" t="s">
        <v>190</v>
      </c>
      <c r="U854" s="2" t="s">
        <v>191</v>
      </c>
      <c r="V854" s="2" t="s">
        <v>269</v>
      </c>
      <c r="W854" s="2" t="s">
        <v>594</v>
      </c>
      <c r="X854" s="2" t="s">
        <v>3238</v>
      </c>
      <c r="Y854" s="2" t="s">
        <v>3276</v>
      </c>
      <c r="Z854" s="4">
        <v>222</v>
      </c>
      <c r="AA854" s="4">
        <f>=ROUNDDOWN(10.5714285714286,0)</f>
      </c>
      <c r="AB854" s="5">
        <v>21</v>
      </c>
      <c r="AC854" s="2" t="s">
        <v>3277</v>
      </c>
      <c r="AD854" s="4">
        <v>120</v>
      </c>
      <c r="AE854" s="4">
        <v>640</v>
      </c>
      <c r="AF854" s="6">
        <v>67</v>
      </c>
      <c r="AG854" s="6">
        <v>50</v>
      </c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/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/>
      <c r="BJ854" s="4">
        <v>80</v>
      </c>
      <c r="BK854" s="8">
        <v>14383.01</v>
      </c>
      <c r="BL854" s="2" t="s">
        <v>3278</v>
      </c>
      <c r="BM854" s="7"/>
      <c r="BN854" s="7"/>
      <c r="BO854" s="4"/>
      <c r="BP854" s="8"/>
      <c r="BQ854" s="4"/>
      <c r="BR854" s="8"/>
      <c r="BS854" s="7"/>
      <c r="BT854" s="7"/>
      <c r="BU854" s="2" t="s">
        <v>2551</v>
      </c>
      <c r="BV854" s="2" t="s">
        <v>97</v>
      </c>
      <c r="BW854" s="2" t="s">
        <v>100</v>
      </c>
      <c r="BX854" s="2" t="s">
        <v>100</v>
      </c>
      <c r="BY854" s="2" t="s">
        <v>112</v>
      </c>
      <c r="BZ854" s="2" t="s">
        <v>100</v>
      </c>
    </row>
    <row r="855">
      <c r="A855" s="2" t="s">
        <v>3279</v>
      </c>
      <c r="B855" s="2" t="s">
        <v>87</v>
      </c>
      <c r="C855" s="2" t="s">
        <v>3196</v>
      </c>
      <c r="D855" s="2" t="s">
        <v>89</v>
      </c>
      <c r="E855" s="2" t="s">
        <v>90</v>
      </c>
      <c r="F855" s="2" t="s">
        <v>3274</v>
      </c>
      <c r="G855" s="2" t="s">
        <v>3274</v>
      </c>
      <c r="H855" s="2" t="s">
        <v>3274</v>
      </c>
      <c r="I855" s="2" t="s">
        <v>2897</v>
      </c>
      <c r="J855" s="2" t="s">
        <v>114</v>
      </c>
      <c r="K855" s="2" t="s">
        <v>138</v>
      </c>
      <c r="L855" s="3">
        <v>202.4</v>
      </c>
      <c r="M855" s="3">
        <v>212.52</v>
      </c>
      <c r="N855" s="3">
        <v>459.99</v>
      </c>
      <c r="O855" s="2" t="s">
        <v>97</v>
      </c>
      <c r="P855" s="2" t="s">
        <v>317</v>
      </c>
      <c r="Q855" s="2" t="s">
        <v>99</v>
      </c>
      <c r="R855" s="2" t="s">
        <v>100</v>
      </c>
      <c r="S855" s="2" t="s">
        <v>3275</v>
      </c>
      <c r="T855" s="2" t="s">
        <v>190</v>
      </c>
      <c r="U855" s="2" t="s">
        <v>618</v>
      </c>
      <c r="V855" s="2" t="s">
        <v>269</v>
      </c>
      <c r="W855" s="2" t="s">
        <v>594</v>
      </c>
      <c r="X855" s="2" t="s">
        <v>3238</v>
      </c>
      <c r="Y855" s="2" t="s">
        <v>3276</v>
      </c>
      <c r="Z855" s="4">
        <v>234</v>
      </c>
      <c r="AA855" s="4">
        <f>=ROUNDDOWN(9.75,0)</f>
      </c>
      <c r="AB855" s="5">
        <v>24</v>
      </c>
      <c r="AC855" s="2" t="s">
        <v>3277</v>
      </c>
      <c r="AD855" s="4">
        <v>50</v>
      </c>
      <c r="AE855" s="4">
        <v>850</v>
      </c>
      <c r="AF855" s="6">
        <v>67</v>
      </c>
      <c r="AG855" s="6">
        <v>50</v>
      </c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/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/>
      <c r="BJ855" s="4">
        <v>75</v>
      </c>
      <c r="BK855" s="8">
        <v>15969.18</v>
      </c>
      <c r="BL855" s="2" t="s">
        <v>859</v>
      </c>
      <c r="BM855" s="7"/>
      <c r="BN855" s="7"/>
      <c r="BO855" s="4"/>
      <c r="BP855" s="8"/>
      <c r="BQ855" s="4"/>
      <c r="BR855" s="8"/>
      <c r="BS855" s="7"/>
      <c r="BT855" s="7"/>
      <c r="BU855" s="2" t="s">
        <v>2551</v>
      </c>
      <c r="BV855" s="2" t="s">
        <v>97</v>
      </c>
      <c r="BW855" s="2" t="s">
        <v>100</v>
      </c>
      <c r="BX855" s="2" t="s">
        <v>100</v>
      </c>
      <c r="BY855" s="2" t="s">
        <v>112</v>
      </c>
      <c r="BZ855" s="2" t="s">
        <v>100</v>
      </c>
    </row>
    <row r="856">
      <c r="A856" s="2" t="s">
        <v>3280</v>
      </c>
      <c r="B856" s="2" t="s">
        <v>87</v>
      </c>
      <c r="C856" s="2" t="s">
        <v>3196</v>
      </c>
      <c r="D856" s="2" t="s">
        <v>963</v>
      </c>
      <c r="E856" s="2" t="s">
        <v>1486</v>
      </c>
      <c r="F856" s="2" t="s">
        <v>364</v>
      </c>
      <c r="G856" s="2" t="s">
        <v>364</v>
      </c>
      <c r="H856" s="2" t="s">
        <v>364</v>
      </c>
      <c r="I856" s="2" t="s">
        <v>3281</v>
      </c>
      <c r="J856" s="2" t="s">
        <v>522</v>
      </c>
      <c r="K856" s="2" t="s">
        <v>179</v>
      </c>
      <c r="L856" s="3">
        <v>67.2</v>
      </c>
      <c r="M856" s="3">
        <v>70.56</v>
      </c>
      <c r="N856" s="3">
        <v>159.99</v>
      </c>
      <c r="O856" s="2" t="s">
        <v>97</v>
      </c>
      <c r="P856" s="2" t="s">
        <v>98</v>
      </c>
      <c r="Q856" s="2" t="s">
        <v>99</v>
      </c>
      <c r="R856" s="2" t="s">
        <v>100</v>
      </c>
      <c r="S856" s="2" t="s">
        <v>3282</v>
      </c>
      <c r="T856" s="2" t="s">
        <v>100</v>
      </c>
      <c r="U856" s="2" t="s">
        <v>1228</v>
      </c>
      <c r="V856" s="2" t="s">
        <v>733</v>
      </c>
      <c r="W856" s="2" t="s">
        <v>142</v>
      </c>
      <c r="X856" s="2" t="s">
        <v>609</v>
      </c>
      <c r="Y856" s="2" t="s">
        <v>3283</v>
      </c>
      <c r="Z856" s="4">
        <v>107</v>
      </c>
      <c r="AA856" s="4">
        <f>=ROUNDDOWN(5.63157894736842,0)</f>
      </c>
      <c r="AB856" s="5">
        <v>19</v>
      </c>
      <c r="AC856" s="2" t="s">
        <v>2772</v>
      </c>
      <c r="AD856" s="4">
        <v>100</v>
      </c>
      <c r="AE856" s="4">
        <v>430</v>
      </c>
      <c r="AF856" s="6">
        <v>67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/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/>
      <c r="BJ856" s="4">
        <v>51</v>
      </c>
      <c r="BK856" s="8">
        <v>3785.55</v>
      </c>
      <c r="BL856" s="2" t="s">
        <v>935</v>
      </c>
      <c r="BM856" s="7"/>
      <c r="BN856" s="7"/>
      <c r="BO856" s="4"/>
      <c r="BP856" s="8"/>
      <c r="BQ856" s="4"/>
      <c r="BR856" s="8"/>
      <c r="BS856" s="7"/>
      <c r="BT856" s="7"/>
      <c r="BU856" s="2" t="s">
        <v>2551</v>
      </c>
      <c r="BV856" s="2" t="s">
        <v>97</v>
      </c>
      <c r="BW856" s="2" t="s">
        <v>100</v>
      </c>
      <c r="BX856" s="2" t="s">
        <v>100</v>
      </c>
      <c r="BY856" s="2" t="s">
        <v>112</v>
      </c>
      <c r="BZ856" s="2" t="s">
        <v>100</v>
      </c>
    </row>
    <row r="857">
      <c r="A857" s="2" t="s">
        <v>3284</v>
      </c>
      <c r="B857" s="2" t="s">
        <v>87</v>
      </c>
      <c r="C857" s="2" t="s">
        <v>3196</v>
      </c>
      <c r="D857" s="2" t="s">
        <v>963</v>
      </c>
      <c r="E857" s="2" t="s">
        <v>1486</v>
      </c>
      <c r="F857" s="2" t="s">
        <v>364</v>
      </c>
      <c r="G857" s="2" t="s">
        <v>364</v>
      </c>
      <c r="H857" s="2" t="s">
        <v>364</v>
      </c>
      <c r="I857" s="2" t="s">
        <v>3281</v>
      </c>
      <c r="J857" s="2" t="s">
        <v>529</v>
      </c>
      <c r="K857" s="2" t="s">
        <v>179</v>
      </c>
      <c r="L857" s="3">
        <v>79.8</v>
      </c>
      <c r="M857" s="3">
        <v>83.79</v>
      </c>
      <c r="N857" s="3">
        <v>189.99</v>
      </c>
      <c r="O857" s="2" t="s">
        <v>97</v>
      </c>
      <c r="P857" s="2" t="s">
        <v>98</v>
      </c>
      <c r="Q857" s="2" t="s">
        <v>99</v>
      </c>
      <c r="R857" s="2" t="s">
        <v>100</v>
      </c>
      <c r="S857" s="2" t="s">
        <v>3282</v>
      </c>
      <c r="T857" s="2" t="s">
        <v>100</v>
      </c>
      <c r="U857" s="2" t="s">
        <v>1228</v>
      </c>
      <c r="V857" s="2" t="s">
        <v>733</v>
      </c>
      <c r="W857" s="2" t="s">
        <v>142</v>
      </c>
      <c r="X857" s="2" t="s">
        <v>609</v>
      </c>
      <c r="Y857" s="2" t="s">
        <v>3283</v>
      </c>
      <c r="Z857" s="4">
        <v>147</v>
      </c>
      <c r="AA857" s="4">
        <f>=ROUNDDOWN(5.65384615384615,0)</f>
      </c>
      <c r="AB857" s="5">
        <v>26</v>
      </c>
      <c r="AC857" s="2" t="s">
        <v>2772</v>
      </c>
      <c r="AD857" s="4">
        <v>110</v>
      </c>
      <c r="AE857" s="4">
        <v>420</v>
      </c>
      <c r="AF857" s="6">
        <v>67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/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/>
      <c r="BJ857" s="4">
        <v>74</v>
      </c>
      <c r="BK857" s="8">
        <v>6800.36</v>
      </c>
      <c r="BL857" s="2" t="s">
        <v>3285</v>
      </c>
      <c r="BM857" s="7"/>
      <c r="BN857" s="7"/>
      <c r="BO857" s="4"/>
      <c r="BP857" s="8"/>
      <c r="BQ857" s="4"/>
      <c r="BR857" s="8"/>
      <c r="BS857" s="7"/>
      <c r="BT857" s="7"/>
      <c r="BU857" s="2" t="s">
        <v>2551</v>
      </c>
      <c r="BV857" s="2" t="s">
        <v>97</v>
      </c>
      <c r="BW857" s="2" t="s">
        <v>100</v>
      </c>
      <c r="BX857" s="2" t="s">
        <v>100</v>
      </c>
      <c r="BY857" s="2" t="s">
        <v>112</v>
      </c>
      <c r="BZ857" s="2" t="s">
        <v>100</v>
      </c>
    </row>
    <row r="858">
      <c r="A858" s="2" t="s">
        <v>3286</v>
      </c>
      <c r="B858" s="2" t="s">
        <v>87</v>
      </c>
      <c r="C858" s="2" t="s">
        <v>3196</v>
      </c>
      <c r="D858" s="2" t="s">
        <v>963</v>
      </c>
      <c r="E858" s="2" t="s">
        <v>1486</v>
      </c>
      <c r="F858" s="2" t="s">
        <v>252</v>
      </c>
      <c r="G858" s="2" t="s">
        <v>252</v>
      </c>
      <c r="H858" s="2" t="s">
        <v>252</v>
      </c>
      <c r="I858" s="2" t="s">
        <v>3287</v>
      </c>
      <c r="J858" s="2" t="s">
        <v>522</v>
      </c>
      <c r="K858" s="2" t="s">
        <v>179</v>
      </c>
      <c r="L858" s="3">
        <v>90.65</v>
      </c>
      <c r="M858" s="3">
        <v>95.18</v>
      </c>
      <c r="N858" s="3">
        <v>259</v>
      </c>
      <c r="O858" s="2" t="s">
        <v>97</v>
      </c>
      <c r="P858" s="2" t="s">
        <v>123</v>
      </c>
      <c r="Q858" s="2" t="s">
        <v>99</v>
      </c>
      <c r="R858" s="2" t="s">
        <v>100</v>
      </c>
      <c r="S858" s="2" t="s">
        <v>3288</v>
      </c>
      <c r="T858" s="2" t="s">
        <v>100</v>
      </c>
      <c r="U858" s="2" t="s">
        <v>901</v>
      </c>
      <c r="V858" s="2" t="s">
        <v>461</v>
      </c>
      <c r="W858" s="2" t="s">
        <v>142</v>
      </c>
      <c r="X858" s="2" t="s">
        <v>377</v>
      </c>
      <c r="Y858" s="2" t="s">
        <v>3289</v>
      </c>
      <c r="Z858" s="4">
        <v>166</v>
      </c>
      <c r="AA858" s="4">
        <f>=ROUNDDOWN(27.6666666666667,0)</f>
      </c>
      <c r="AB858" s="5">
        <v>6</v>
      </c>
      <c r="AC858" s="2" t="s">
        <v>903</v>
      </c>
      <c r="AD858" s="4">
        <v>149</v>
      </c>
      <c r="AE858" s="4">
        <v>149</v>
      </c>
      <c r="AF858" s="6">
        <v>70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/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/>
      <c r="BJ858" s="4">
        <v>14</v>
      </c>
      <c r="BK858" s="8">
        <v>1400.31</v>
      </c>
      <c r="BL858" s="2" t="s">
        <v>3290</v>
      </c>
      <c r="BM858" s="7"/>
      <c r="BN858" s="7"/>
      <c r="BO858" s="4"/>
      <c r="BP858" s="8"/>
      <c r="BQ858" s="4"/>
      <c r="BR858" s="8"/>
      <c r="BS858" s="7"/>
      <c r="BT858" s="7"/>
      <c r="BU858" s="2" t="s">
        <v>2551</v>
      </c>
      <c r="BV858" s="2" t="s">
        <v>97</v>
      </c>
      <c r="BW858" s="2" t="s">
        <v>100</v>
      </c>
      <c r="BX858" s="2" t="s">
        <v>100</v>
      </c>
      <c r="BY858" s="2" t="s">
        <v>112</v>
      </c>
      <c r="BZ858" s="2" t="s">
        <v>100</v>
      </c>
    </row>
    <row r="859">
      <c r="A859" s="2" t="s">
        <v>3291</v>
      </c>
      <c r="B859" s="2" t="s">
        <v>87</v>
      </c>
      <c r="C859" s="2" t="s">
        <v>3196</v>
      </c>
      <c r="D859" s="2" t="s">
        <v>963</v>
      </c>
      <c r="E859" s="2" t="s">
        <v>1486</v>
      </c>
      <c r="F859" s="2" t="s">
        <v>252</v>
      </c>
      <c r="G859" s="2" t="s">
        <v>252</v>
      </c>
      <c r="H859" s="2" t="s">
        <v>252</v>
      </c>
      <c r="I859" s="2" t="s">
        <v>3287</v>
      </c>
      <c r="J859" s="2" t="s">
        <v>114</v>
      </c>
      <c r="K859" s="2" t="s">
        <v>179</v>
      </c>
      <c r="L859" s="3">
        <v>108.15</v>
      </c>
      <c r="M859" s="3">
        <v>113.56</v>
      </c>
      <c r="N859" s="3">
        <v>309</v>
      </c>
      <c r="O859" s="2" t="s">
        <v>97</v>
      </c>
      <c r="P859" s="2" t="s">
        <v>123</v>
      </c>
      <c r="Q859" s="2" t="s">
        <v>99</v>
      </c>
      <c r="R859" s="2" t="s">
        <v>100</v>
      </c>
      <c r="S859" s="2" t="s">
        <v>3288</v>
      </c>
      <c r="T859" s="2" t="s">
        <v>100</v>
      </c>
      <c r="U859" s="2" t="s">
        <v>901</v>
      </c>
      <c r="V859" s="2" t="s">
        <v>461</v>
      </c>
      <c r="W859" s="2" t="s">
        <v>142</v>
      </c>
      <c r="X859" s="2" t="s">
        <v>377</v>
      </c>
      <c r="Y859" s="2" t="s">
        <v>3289</v>
      </c>
      <c r="Z859" s="4">
        <v>266</v>
      </c>
      <c r="AA859" s="4">
        <f>=ROUNDDOWN(33.25,0)</f>
      </c>
      <c r="AB859" s="5">
        <v>8</v>
      </c>
      <c r="AC859" s="2" t="s">
        <v>903</v>
      </c>
      <c r="AD859" s="4">
        <v>120</v>
      </c>
      <c r="AE859" s="4">
        <v>120</v>
      </c>
      <c r="AF859" s="6">
        <v>70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/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/>
      <c r="BJ859" s="4">
        <v>12</v>
      </c>
      <c r="BK859" s="8">
        <v>1304.98</v>
      </c>
      <c r="BL859" s="2" t="s">
        <v>1636</v>
      </c>
      <c r="BM859" s="7"/>
      <c r="BN859" s="7"/>
      <c r="BO859" s="4"/>
      <c r="BP859" s="8"/>
      <c r="BQ859" s="4"/>
      <c r="BR859" s="8"/>
      <c r="BS859" s="7"/>
      <c r="BT859" s="7"/>
      <c r="BU859" s="2" t="s">
        <v>2551</v>
      </c>
      <c r="BV859" s="2" t="s">
        <v>97</v>
      </c>
      <c r="BW859" s="2" t="s">
        <v>100</v>
      </c>
      <c r="BX859" s="2" t="s">
        <v>100</v>
      </c>
      <c r="BY859" s="2" t="s">
        <v>112</v>
      </c>
      <c r="BZ859" s="2" t="s">
        <v>100</v>
      </c>
    </row>
    <row r="860">
      <c r="A860" s="2" t="s">
        <v>3292</v>
      </c>
      <c r="B860" s="2" t="s">
        <v>87</v>
      </c>
      <c r="C860" s="2" t="s">
        <v>3196</v>
      </c>
      <c r="D860" s="2" t="s">
        <v>963</v>
      </c>
      <c r="E860" s="2" t="s">
        <v>1486</v>
      </c>
      <c r="F860" s="2" t="s">
        <v>252</v>
      </c>
      <c r="G860" s="2" t="s">
        <v>252</v>
      </c>
      <c r="H860" s="2" t="s">
        <v>252</v>
      </c>
      <c r="I860" s="2" t="s">
        <v>3287</v>
      </c>
      <c r="J860" s="2" t="s">
        <v>522</v>
      </c>
      <c r="K860" s="2" t="s">
        <v>96</v>
      </c>
      <c r="L860" s="3">
        <v>90.65</v>
      </c>
      <c r="M860" s="3">
        <v>95.18</v>
      </c>
      <c r="N860" s="3">
        <v>259</v>
      </c>
      <c r="O860" s="2" t="s">
        <v>97</v>
      </c>
      <c r="P860" s="2" t="s">
        <v>123</v>
      </c>
      <c r="Q860" s="2" t="s">
        <v>99</v>
      </c>
      <c r="R860" s="2" t="s">
        <v>100</v>
      </c>
      <c r="S860" s="2" t="s">
        <v>3293</v>
      </c>
      <c r="T860" s="2" t="s">
        <v>100</v>
      </c>
      <c r="U860" s="2" t="s">
        <v>901</v>
      </c>
      <c r="V860" s="2" t="s">
        <v>461</v>
      </c>
      <c r="W860" s="2" t="s">
        <v>142</v>
      </c>
      <c r="X860" s="2" t="s">
        <v>377</v>
      </c>
      <c r="Y860" s="2" t="s">
        <v>3289</v>
      </c>
      <c r="Z860" s="4">
        <v>175</v>
      </c>
      <c r="AA860" s="4">
        <f>=ROUNDDOWN(29.1666666666667,0)</f>
      </c>
      <c r="AB860" s="5">
        <v>6</v>
      </c>
      <c r="AC860" s="2" t="s">
        <v>100</v>
      </c>
      <c r="AD860" s="4"/>
      <c r="AE860" s="4"/>
      <c r="AF860" s="6">
        <v>70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/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/>
      <c r="BJ860" s="4">
        <v>15</v>
      </c>
      <c r="BK860" s="8">
        <v>1414.75</v>
      </c>
      <c r="BL860" s="2" t="s">
        <v>3294</v>
      </c>
      <c r="BM860" s="7"/>
      <c r="BN860" s="7"/>
      <c r="BO860" s="4"/>
      <c r="BP860" s="8"/>
      <c r="BQ860" s="4"/>
      <c r="BR860" s="8"/>
      <c r="BS860" s="7"/>
      <c r="BT860" s="7"/>
      <c r="BU860" s="2" t="s">
        <v>2551</v>
      </c>
      <c r="BV860" s="2" t="s">
        <v>97</v>
      </c>
      <c r="BW860" s="2" t="s">
        <v>100</v>
      </c>
      <c r="BX860" s="2" t="s">
        <v>100</v>
      </c>
      <c r="BY860" s="2" t="s">
        <v>112</v>
      </c>
      <c r="BZ860" s="2" t="s">
        <v>100</v>
      </c>
    </row>
    <row r="861">
      <c r="A861" s="2" t="s">
        <v>3295</v>
      </c>
      <c r="B861" s="2" t="s">
        <v>87</v>
      </c>
      <c r="C861" s="2" t="s">
        <v>3196</v>
      </c>
      <c r="D861" s="2" t="s">
        <v>963</v>
      </c>
      <c r="E861" s="2" t="s">
        <v>1486</v>
      </c>
      <c r="F861" s="2" t="s">
        <v>252</v>
      </c>
      <c r="G861" s="2" t="s">
        <v>252</v>
      </c>
      <c r="H861" s="2" t="s">
        <v>252</v>
      </c>
      <c r="I861" s="2" t="s">
        <v>3287</v>
      </c>
      <c r="J861" s="2" t="s">
        <v>114</v>
      </c>
      <c r="K861" s="2" t="s">
        <v>96</v>
      </c>
      <c r="L861" s="3">
        <v>108.15</v>
      </c>
      <c r="M861" s="3">
        <v>113.56</v>
      </c>
      <c r="N861" s="3">
        <v>309</v>
      </c>
      <c r="O861" s="2" t="s">
        <v>97</v>
      </c>
      <c r="P861" s="2" t="s">
        <v>123</v>
      </c>
      <c r="Q861" s="2" t="s">
        <v>99</v>
      </c>
      <c r="R861" s="2" t="s">
        <v>100</v>
      </c>
      <c r="S861" s="2" t="s">
        <v>3293</v>
      </c>
      <c r="T861" s="2" t="s">
        <v>100</v>
      </c>
      <c r="U861" s="2" t="s">
        <v>901</v>
      </c>
      <c r="V861" s="2" t="s">
        <v>461</v>
      </c>
      <c r="W861" s="2" t="s">
        <v>142</v>
      </c>
      <c r="X861" s="2" t="s">
        <v>377</v>
      </c>
      <c r="Y861" s="2" t="s">
        <v>3289</v>
      </c>
      <c r="Z861" s="4">
        <v>308</v>
      </c>
      <c r="AA861" s="4">
        <f>=ROUNDDOWN(38.5,0)</f>
      </c>
      <c r="AB861" s="5">
        <v>8</v>
      </c>
      <c r="AC861" s="2" t="s">
        <v>100</v>
      </c>
      <c r="AD861" s="4"/>
      <c r="AE861" s="4"/>
      <c r="AF861" s="6">
        <v>70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/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/>
      <c r="BJ861" s="4">
        <v>19</v>
      </c>
      <c r="BK861" s="8">
        <v>2143.89</v>
      </c>
      <c r="BL861" s="2" t="s">
        <v>3294</v>
      </c>
      <c r="BM861" s="7"/>
      <c r="BN861" s="7"/>
      <c r="BO861" s="4"/>
      <c r="BP861" s="8"/>
      <c r="BQ861" s="4"/>
      <c r="BR861" s="8"/>
      <c r="BS861" s="7"/>
      <c r="BT861" s="7"/>
      <c r="BU861" s="2" t="s">
        <v>2551</v>
      </c>
      <c r="BV861" s="2" t="s">
        <v>97</v>
      </c>
      <c r="BW861" s="2" t="s">
        <v>100</v>
      </c>
      <c r="BX861" s="2" t="s">
        <v>100</v>
      </c>
      <c r="BY861" s="2" t="s">
        <v>112</v>
      </c>
      <c r="BZ861" s="2" t="s">
        <v>100</v>
      </c>
    </row>
    <row r="862">
      <c r="A862" s="2" t="s">
        <v>3296</v>
      </c>
      <c r="B862" s="2" t="s">
        <v>87</v>
      </c>
      <c r="C862" s="2" t="s">
        <v>3196</v>
      </c>
      <c r="D862" s="2" t="s">
        <v>963</v>
      </c>
      <c r="E862" s="2" t="s">
        <v>1486</v>
      </c>
      <c r="F862" s="2" t="s">
        <v>252</v>
      </c>
      <c r="G862" s="2" t="s">
        <v>252</v>
      </c>
      <c r="H862" s="2" t="s">
        <v>252</v>
      </c>
      <c r="I862" s="2" t="s">
        <v>3287</v>
      </c>
      <c r="J862" s="2" t="s">
        <v>522</v>
      </c>
      <c r="K862" s="2" t="s">
        <v>2548</v>
      </c>
      <c r="L862" s="3">
        <v>90.65</v>
      </c>
      <c r="M862" s="3">
        <v>95.18</v>
      </c>
      <c r="N862" s="3">
        <v>259</v>
      </c>
      <c r="O862" s="2" t="s">
        <v>97</v>
      </c>
      <c r="P862" s="2" t="s">
        <v>123</v>
      </c>
      <c r="Q862" s="2" t="s">
        <v>99</v>
      </c>
      <c r="R862" s="2" t="s">
        <v>100</v>
      </c>
      <c r="S862" s="2" t="s">
        <v>3297</v>
      </c>
      <c r="T862" s="2" t="s">
        <v>100</v>
      </c>
      <c r="U862" s="2" t="s">
        <v>901</v>
      </c>
      <c r="V862" s="2" t="s">
        <v>461</v>
      </c>
      <c r="W862" s="2" t="s">
        <v>142</v>
      </c>
      <c r="X862" s="2" t="s">
        <v>377</v>
      </c>
      <c r="Y862" s="2" t="s">
        <v>3289</v>
      </c>
      <c r="Z862" s="4">
        <v>89</v>
      </c>
      <c r="AA862" s="4">
        <f>=ROUNDDOWN(11.125,0)</f>
      </c>
      <c r="AB862" s="5">
        <v>8</v>
      </c>
      <c r="AC862" s="2" t="s">
        <v>1452</v>
      </c>
      <c r="AD862" s="4">
        <v>96</v>
      </c>
      <c r="AE862" s="4">
        <v>196</v>
      </c>
      <c r="AF862" s="6">
        <v>70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/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/>
      <c r="BJ862" s="4">
        <v>32</v>
      </c>
      <c r="BK862" s="8">
        <v>3082.05</v>
      </c>
      <c r="BL862" s="2" t="s">
        <v>3298</v>
      </c>
      <c r="BM862" s="7"/>
      <c r="BN862" s="7"/>
      <c r="BO862" s="4"/>
      <c r="BP862" s="8"/>
      <c r="BQ862" s="4"/>
      <c r="BR862" s="8"/>
      <c r="BS862" s="7"/>
      <c r="BT862" s="7"/>
      <c r="BU862" s="2" t="s">
        <v>2551</v>
      </c>
      <c r="BV862" s="2" t="s">
        <v>97</v>
      </c>
      <c r="BW862" s="2" t="s">
        <v>100</v>
      </c>
      <c r="BX862" s="2" t="s">
        <v>100</v>
      </c>
      <c r="BY862" s="2" t="s">
        <v>112</v>
      </c>
      <c r="BZ862" s="2" t="s">
        <v>100</v>
      </c>
    </row>
    <row r="863">
      <c r="A863" s="2" t="s">
        <v>3299</v>
      </c>
      <c r="B863" s="2" t="s">
        <v>87</v>
      </c>
      <c r="C863" s="2" t="s">
        <v>3196</v>
      </c>
      <c r="D863" s="2" t="s">
        <v>963</v>
      </c>
      <c r="E863" s="2" t="s">
        <v>1486</v>
      </c>
      <c r="F863" s="2" t="s">
        <v>252</v>
      </c>
      <c r="G863" s="2" t="s">
        <v>252</v>
      </c>
      <c r="H863" s="2" t="s">
        <v>252</v>
      </c>
      <c r="I863" s="2" t="s">
        <v>3287</v>
      </c>
      <c r="J863" s="2" t="s">
        <v>114</v>
      </c>
      <c r="K863" s="2" t="s">
        <v>2548</v>
      </c>
      <c r="L863" s="3">
        <v>108.15</v>
      </c>
      <c r="M863" s="3">
        <v>113.56</v>
      </c>
      <c r="N863" s="3">
        <v>309</v>
      </c>
      <c r="O863" s="2" t="s">
        <v>97</v>
      </c>
      <c r="P863" s="2" t="s">
        <v>123</v>
      </c>
      <c r="Q863" s="2" t="s">
        <v>99</v>
      </c>
      <c r="R863" s="2" t="s">
        <v>100</v>
      </c>
      <c r="S863" s="2" t="s">
        <v>3297</v>
      </c>
      <c r="T863" s="2" t="s">
        <v>100</v>
      </c>
      <c r="U863" s="2" t="s">
        <v>901</v>
      </c>
      <c r="V863" s="2" t="s">
        <v>461</v>
      </c>
      <c r="W863" s="2" t="s">
        <v>142</v>
      </c>
      <c r="X863" s="2" t="s">
        <v>377</v>
      </c>
      <c r="Y863" s="2" t="s">
        <v>3289</v>
      </c>
      <c r="Z863" s="4">
        <v>259</v>
      </c>
      <c r="AA863" s="4">
        <f>=ROUNDDOWN(16.1875,0)</f>
      </c>
      <c r="AB863" s="5">
        <v>16</v>
      </c>
      <c r="AC863" s="2" t="s">
        <v>1452</v>
      </c>
      <c r="AD863" s="4">
        <v>143</v>
      </c>
      <c r="AE863" s="4">
        <v>293</v>
      </c>
      <c r="AF863" s="6">
        <v>70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/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/>
      <c r="BJ863" s="4">
        <v>55</v>
      </c>
      <c r="BK863" s="8">
        <v>6251.22</v>
      </c>
      <c r="BL863" s="2" t="s">
        <v>3300</v>
      </c>
      <c r="BM863" s="7"/>
      <c r="BN863" s="7"/>
      <c r="BO863" s="4"/>
      <c r="BP863" s="8"/>
      <c r="BQ863" s="4"/>
      <c r="BR863" s="8"/>
      <c r="BS863" s="7"/>
      <c r="BT863" s="7"/>
      <c r="BU863" s="2" t="s">
        <v>2551</v>
      </c>
      <c r="BV863" s="2" t="s">
        <v>97</v>
      </c>
      <c r="BW863" s="2" t="s">
        <v>100</v>
      </c>
      <c r="BX863" s="2" t="s">
        <v>100</v>
      </c>
      <c r="BY863" s="2" t="s">
        <v>112</v>
      </c>
      <c r="BZ863" s="2" t="s">
        <v>100</v>
      </c>
    </row>
    <row r="864">
      <c r="A864" s="2" t="s">
        <v>3301</v>
      </c>
      <c r="B864" s="2" t="s">
        <v>87</v>
      </c>
      <c r="C864" s="2" t="s">
        <v>3302</v>
      </c>
      <c r="D864" s="2" t="s">
        <v>1785</v>
      </c>
      <c r="E864" s="2" t="s">
        <v>3303</v>
      </c>
      <c r="F864" s="2" t="s">
        <v>3304</v>
      </c>
      <c r="G864" s="2" t="s">
        <v>3304</v>
      </c>
      <c r="H864" s="2" t="s">
        <v>3304</v>
      </c>
      <c r="I864" s="2" t="s">
        <v>3305</v>
      </c>
      <c r="J864" s="2" t="s">
        <v>2470</v>
      </c>
      <c r="K864" s="2" t="s">
        <v>458</v>
      </c>
      <c r="L864" s="3">
        <v>18</v>
      </c>
      <c r="M864" s="3">
        <v>18.9</v>
      </c>
      <c r="N864" s="3">
        <v>39.99</v>
      </c>
      <c r="O864" s="2" t="s">
        <v>97</v>
      </c>
      <c r="P864" s="2" t="s">
        <v>98</v>
      </c>
      <c r="Q864" s="2" t="s">
        <v>99</v>
      </c>
      <c r="R864" s="2" t="s">
        <v>100</v>
      </c>
      <c r="S864" s="2" t="s">
        <v>3306</v>
      </c>
      <c r="T864" s="2" t="s">
        <v>438</v>
      </c>
      <c r="U864" s="2" t="s">
        <v>1776</v>
      </c>
      <c r="V864" s="2" t="s">
        <v>461</v>
      </c>
      <c r="W864" s="2" t="s">
        <v>609</v>
      </c>
      <c r="X864" s="2" t="s">
        <v>493</v>
      </c>
      <c r="Y864" s="2" t="s">
        <v>3307</v>
      </c>
      <c r="Z864" s="4">
        <v>128</v>
      </c>
      <c r="AA864" s="4">
        <f>=ROUNDDOWN(32,0)</f>
      </c>
      <c r="AB864" s="5">
        <v>4</v>
      </c>
      <c r="AC864" s="2" t="s">
        <v>100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>
        <v>28</v>
      </c>
      <c r="BK864" s="8">
        <v>566.73</v>
      </c>
      <c r="BL864" s="2" t="s">
        <v>3308</v>
      </c>
      <c r="BM864" s="7"/>
      <c r="BN864" s="7"/>
      <c r="BO864" s="4"/>
      <c r="BP864" s="8"/>
      <c r="BQ864" s="4"/>
      <c r="BR864" s="8"/>
      <c r="BS864" s="7"/>
      <c r="BT864" s="7"/>
      <c r="BU864" s="2" t="s">
        <v>2551</v>
      </c>
      <c r="BV864" s="2" t="s">
        <v>97</v>
      </c>
      <c r="BW864" s="2" t="s">
        <v>100</v>
      </c>
      <c r="BX864" s="2" t="s">
        <v>100</v>
      </c>
      <c r="BY864" s="2" t="s">
        <v>112</v>
      </c>
      <c r="BZ864" s="2" t="s">
        <v>100</v>
      </c>
    </row>
    <row r="865">
      <c r="A865" s="2" t="s">
        <v>3309</v>
      </c>
      <c r="B865" s="2" t="s">
        <v>87</v>
      </c>
      <c r="C865" s="2" t="s">
        <v>3302</v>
      </c>
      <c r="D865" s="2" t="s">
        <v>1785</v>
      </c>
      <c r="E865" s="2" t="s">
        <v>2467</v>
      </c>
      <c r="F865" s="2" t="s">
        <v>3310</v>
      </c>
      <c r="G865" s="2" t="s">
        <v>100</v>
      </c>
      <c r="H865" s="2" t="s">
        <v>100</v>
      </c>
      <c r="I865" s="2" t="s">
        <v>2470</v>
      </c>
      <c r="J865" s="2" t="s">
        <v>2470</v>
      </c>
      <c r="K865" s="2" t="s">
        <v>96</v>
      </c>
      <c r="L865" s="3">
        <v>27</v>
      </c>
      <c r="M865" s="3">
        <v>28.35</v>
      </c>
      <c r="N865" s="3">
        <v>59.99</v>
      </c>
      <c r="O865" s="2" t="s">
        <v>97</v>
      </c>
      <c r="P865" s="2" t="s">
        <v>123</v>
      </c>
      <c r="Q865" s="2" t="s">
        <v>99</v>
      </c>
      <c r="R865" s="2" t="s">
        <v>100</v>
      </c>
      <c r="S865" s="2" t="s">
        <v>3311</v>
      </c>
      <c r="T865" s="2" t="s">
        <v>100</v>
      </c>
      <c r="U865" s="2" t="s">
        <v>100</v>
      </c>
      <c r="V865" s="2" t="s">
        <v>367</v>
      </c>
      <c r="W865" s="2" t="s">
        <v>686</v>
      </c>
      <c r="X865" s="2" t="s">
        <v>609</v>
      </c>
      <c r="Y865" s="2" t="s">
        <v>144</v>
      </c>
      <c r="Z865" s="4">
        <v>26</v>
      </c>
      <c r="AA865" s="4">
        <f>=ROUNDDOWN(8.66666666666667,0)</f>
      </c>
      <c r="AB865" s="5">
        <v>3</v>
      </c>
      <c r="AC865" s="2" t="s">
        <v>1238</v>
      </c>
      <c r="AD865" s="4">
        <v>200</v>
      </c>
      <c r="AE865" s="4">
        <v>200</v>
      </c>
      <c r="AF865" s="6">
        <v>68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>
        <v>15</v>
      </c>
      <c r="BK865" s="8">
        <v>400.6</v>
      </c>
      <c r="BL865" s="2" t="s">
        <v>2668</v>
      </c>
      <c r="BM865" s="7"/>
      <c r="BN865" s="7"/>
      <c r="BO865" s="4"/>
      <c r="BP865" s="8"/>
      <c r="BQ865" s="4"/>
      <c r="BR865" s="8"/>
      <c r="BS865" s="7"/>
      <c r="BT865" s="7"/>
      <c r="BU865" s="2" t="s">
        <v>2551</v>
      </c>
      <c r="BV865" s="2" t="s">
        <v>97</v>
      </c>
      <c r="BW865" s="2" t="s">
        <v>100</v>
      </c>
      <c r="BX865" s="2" t="s">
        <v>100</v>
      </c>
      <c r="BY865" s="2" t="s">
        <v>112</v>
      </c>
      <c r="BZ865" s="2" t="s">
        <v>100</v>
      </c>
    </row>
    <row r="866">
      <c r="A866" s="2" t="s">
        <v>3312</v>
      </c>
      <c r="B866" s="2" t="s">
        <v>87</v>
      </c>
      <c r="C866" s="2" t="s">
        <v>3302</v>
      </c>
      <c r="D866" s="2" t="s">
        <v>1785</v>
      </c>
      <c r="E866" s="2" t="s">
        <v>2467</v>
      </c>
      <c r="F866" s="2" t="s">
        <v>3313</v>
      </c>
      <c r="G866" s="2" t="s">
        <v>3313</v>
      </c>
      <c r="H866" s="2" t="s">
        <v>3313</v>
      </c>
      <c r="I866" s="2" t="s">
        <v>3314</v>
      </c>
      <c r="J866" s="2" t="s">
        <v>3315</v>
      </c>
      <c r="K866" s="2" t="s">
        <v>96</v>
      </c>
      <c r="L866" s="3">
        <v>17.2</v>
      </c>
      <c r="M866" s="3">
        <v>18.06</v>
      </c>
      <c r="N866" s="3">
        <v>42.99</v>
      </c>
      <c r="O866" s="2" t="s">
        <v>97</v>
      </c>
      <c r="P866" s="2" t="s">
        <v>123</v>
      </c>
      <c r="Q866" s="2" t="s">
        <v>99</v>
      </c>
      <c r="R866" s="2" t="s">
        <v>100</v>
      </c>
      <c r="S866" s="2" t="s">
        <v>3316</v>
      </c>
      <c r="T866" s="2" t="s">
        <v>190</v>
      </c>
      <c r="U866" s="2" t="s">
        <v>1776</v>
      </c>
      <c r="V866" s="2" t="s">
        <v>461</v>
      </c>
      <c r="W866" s="2" t="s">
        <v>142</v>
      </c>
      <c r="X866" s="2" t="s">
        <v>493</v>
      </c>
      <c r="Y866" s="2" t="s">
        <v>3317</v>
      </c>
      <c r="Z866" s="4">
        <v>215</v>
      </c>
      <c r="AA866" s="4">
        <f>=ROUNDDOWN(43,0)</f>
      </c>
      <c r="AB866" s="5">
        <v>5</v>
      </c>
      <c r="AC866" s="2" t="s">
        <v>1094</v>
      </c>
      <c r="AD866" s="4">
        <v>152</v>
      </c>
      <c r="AE866" s="4">
        <v>152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/>
      <c r="BJ866" s="4">
        <v>20</v>
      </c>
      <c r="BK866" s="8">
        <v>370.54</v>
      </c>
      <c r="BL866" s="2" t="s">
        <v>2656</v>
      </c>
      <c r="BM866" s="7"/>
      <c r="BN866" s="7"/>
      <c r="BO866" s="4"/>
      <c r="BP866" s="8"/>
      <c r="BQ866" s="4"/>
      <c r="BR866" s="8"/>
      <c r="BS866" s="7"/>
      <c r="BT866" s="7"/>
      <c r="BU866" s="2" t="s">
        <v>2551</v>
      </c>
      <c r="BV866" s="2" t="s">
        <v>97</v>
      </c>
      <c r="BW866" s="2" t="s">
        <v>100</v>
      </c>
      <c r="BX866" s="2" t="s">
        <v>100</v>
      </c>
      <c r="BY866" s="2" t="s">
        <v>112</v>
      </c>
      <c r="BZ866" s="2" t="s">
        <v>100</v>
      </c>
    </row>
    <row r="867">
      <c r="A867" s="2" t="s">
        <v>3318</v>
      </c>
      <c r="B867" s="2" t="s">
        <v>87</v>
      </c>
      <c r="C867" s="2" t="s">
        <v>3302</v>
      </c>
      <c r="D867" s="2" t="s">
        <v>1785</v>
      </c>
      <c r="E867" s="2" t="s">
        <v>2467</v>
      </c>
      <c r="F867" s="2" t="s">
        <v>3313</v>
      </c>
      <c r="G867" s="2" t="s">
        <v>3313</v>
      </c>
      <c r="H867" s="2" t="s">
        <v>3313</v>
      </c>
      <c r="I867" s="2" t="s">
        <v>3314</v>
      </c>
      <c r="J867" s="2" t="s">
        <v>3315</v>
      </c>
      <c r="K867" s="2" t="s">
        <v>458</v>
      </c>
      <c r="L867" s="3">
        <v>17.2</v>
      </c>
      <c r="M867" s="3">
        <v>18.06</v>
      </c>
      <c r="N867" s="3">
        <v>42.99</v>
      </c>
      <c r="O867" s="2" t="s">
        <v>97</v>
      </c>
      <c r="P867" s="2" t="s">
        <v>123</v>
      </c>
      <c r="Q867" s="2" t="s">
        <v>99</v>
      </c>
      <c r="R867" s="2" t="s">
        <v>100</v>
      </c>
      <c r="S867" s="2" t="s">
        <v>3319</v>
      </c>
      <c r="T867" s="2" t="s">
        <v>190</v>
      </c>
      <c r="U867" s="2" t="s">
        <v>1776</v>
      </c>
      <c r="V867" s="2" t="s">
        <v>461</v>
      </c>
      <c r="W867" s="2" t="s">
        <v>142</v>
      </c>
      <c r="X867" s="2" t="s">
        <v>493</v>
      </c>
      <c r="Y867" s="2" t="s">
        <v>3317</v>
      </c>
      <c r="Z867" s="4">
        <v>133</v>
      </c>
      <c r="AA867" s="4">
        <f>=ROUNDDOWN(16.625,0)</f>
      </c>
      <c r="AB867" s="5">
        <v>8</v>
      </c>
      <c r="AC867" s="2" t="s">
        <v>1767</v>
      </c>
      <c r="AD867" s="4">
        <v>80</v>
      </c>
      <c r="AE867" s="4">
        <v>176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/>
      <c r="BJ867" s="4">
        <v>28</v>
      </c>
      <c r="BK867" s="8">
        <v>522.14</v>
      </c>
      <c r="BL867" s="2" t="s">
        <v>2656</v>
      </c>
      <c r="BM867" s="7"/>
      <c r="BN867" s="7"/>
      <c r="BO867" s="4"/>
      <c r="BP867" s="8"/>
      <c r="BQ867" s="4"/>
      <c r="BR867" s="8"/>
      <c r="BS867" s="7"/>
      <c r="BT867" s="7"/>
      <c r="BU867" s="2" t="s">
        <v>2551</v>
      </c>
      <c r="BV867" s="2" t="s">
        <v>97</v>
      </c>
      <c r="BW867" s="2" t="s">
        <v>100</v>
      </c>
      <c r="BX867" s="2" t="s">
        <v>100</v>
      </c>
      <c r="BY867" s="2" t="s">
        <v>112</v>
      </c>
      <c r="BZ867" s="2" t="s">
        <v>100</v>
      </c>
    </row>
    <row r="868">
      <c r="A868" s="2" t="s">
        <v>3320</v>
      </c>
      <c r="B868" s="2" t="s">
        <v>87</v>
      </c>
      <c r="C868" s="2" t="s">
        <v>3302</v>
      </c>
      <c r="D868" s="2" t="s">
        <v>89</v>
      </c>
      <c r="E868" s="2" t="s">
        <v>90</v>
      </c>
      <c r="F868" s="2" t="s">
        <v>3321</v>
      </c>
      <c r="G868" s="2" t="s">
        <v>3321</v>
      </c>
      <c r="H868" s="2" t="s">
        <v>3321</v>
      </c>
      <c r="I868" s="2" t="s">
        <v>3322</v>
      </c>
      <c r="J868" s="2" t="s">
        <v>522</v>
      </c>
      <c r="K868" s="2" t="s">
        <v>179</v>
      </c>
      <c r="L868" s="3">
        <v>67.5</v>
      </c>
      <c r="M868" s="3">
        <v>70.88</v>
      </c>
      <c r="N868" s="3">
        <v>149.99</v>
      </c>
      <c r="O868" s="2" t="s">
        <v>97</v>
      </c>
      <c r="P868" s="2" t="s">
        <v>98</v>
      </c>
      <c r="Q868" s="2" t="s">
        <v>99</v>
      </c>
      <c r="R868" s="2" t="s">
        <v>100</v>
      </c>
      <c r="S868" s="2" t="s">
        <v>3323</v>
      </c>
      <c r="T868" s="2" t="s">
        <v>438</v>
      </c>
      <c r="U868" s="2" t="s">
        <v>1228</v>
      </c>
      <c r="V868" s="2" t="s">
        <v>547</v>
      </c>
      <c r="W868" s="2" t="s">
        <v>609</v>
      </c>
      <c r="X868" s="2" t="s">
        <v>142</v>
      </c>
      <c r="Y868" s="2" t="s">
        <v>3324</v>
      </c>
      <c r="Z868" s="4">
        <v>74</v>
      </c>
      <c r="AA868" s="4">
        <f>=ROUNDDOWN(18.5,0)</f>
      </c>
      <c r="AB868" s="5">
        <v>4</v>
      </c>
      <c r="AC868" s="2" t="s">
        <v>312</v>
      </c>
      <c r="AD868" s="4">
        <v>60</v>
      </c>
      <c r="AE868" s="4">
        <v>130</v>
      </c>
      <c r="AF868" s="6">
        <v>64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/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/>
      <c r="BJ868" s="4">
        <v>10</v>
      </c>
      <c r="BK868" s="8">
        <v>718.67</v>
      </c>
      <c r="BL868" s="2" t="s">
        <v>1638</v>
      </c>
      <c r="BM868" s="7"/>
      <c r="BN868" s="7"/>
      <c r="BO868" s="4"/>
      <c r="BP868" s="8"/>
      <c r="BQ868" s="4"/>
      <c r="BR868" s="8"/>
      <c r="BS868" s="7"/>
      <c r="BT868" s="7"/>
      <c r="BU868" s="2" t="s">
        <v>2551</v>
      </c>
      <c r="BV868" s="2" t="s">
        <v>97</v>
      </c>
      <c r="BW868" s="2" t="s">
        <v>100</v>
      </c>
      <c r="BX868" s="2" t="s">
        <v>100</v>
      </c>
      <c r="BY868" s="2" t="s">
        <v>112</v>
      </c>
      <c r="BZ868" s="2" t="s">
        <v>100</v>
      </c>
    </row>
    <row r="869">
      <c r="A869" s="2" t="s">
        <v>3325</v>
      </c>
      <c r="B869" s="2" t="s">
        <v>87</v>
      </c>
      <c r="C869" s="2" t="s">
        <v>3302</v>
      </c>
      <c r="D869" s="2" t="s">
        <v>89</v>
      </c>
      <c r="E869" s="2" t="s">
        <v>90</v>
      </c>
      <c r="F869" s="2" t="s">
        <v>3321</v>
      </c>
      <c r="G869" s="2" t="s">
        <v>3321</v>
      </c>
      <c r="H869" s="2" t="s">
        <v>3321</v>
      </c>
      <c r="I869" s="2" t="s">
        <v>3322</v>
      </c>
      <c r="J869" s="2" t="s">
        <v>114</v>
      </c>
      <c r="K869" s="2" t="s">
        <v>179</v>
      </c>
      <c r="L869" s="3">
        <v>76.5</v>
      </c>
      <c r="M869" s="3">
        <v>80.33</v>
      </c>
      <c r="N869" s="3">
        <v>169.99</v>
      </c>
      <c r="O869" s="2" t="s">
        <v>97</v>
      </c>
      <c r="P869" s="2" t="s">
        <v>98</v>
      </c>
      <c r="Q869" s="2" t="s">
        <v>99</v>
      </c>
      <c r="R869" s="2" t="s">
        <v>100</v>
      </c>
      <c r="S869" s="2" t="s">
        <v>3323</v>
      </c>
      <c r="T869" s="2" t="s">
        <v>438</v>
      </c>
      <c r="U869" s="2" t="s">
        <v>1228</v>
      </c>
      <c r="V869" s="2" t="s">
        <v>547</v>
      </c>
      <c r="W869" s="2" t="s">
        <v>609</v>
      </c>
      <c r="X869" s="2" t="s">
        <v>142</v>
      </c>
      <c r="Y869" s="2" t="s">
        <v>3324</v>
      </c>
      <c r="Z869" s="4">
        <v>58</v>
      </c>
      <c r="AA869" s="4">
        <f>=ROUNDDOWN(11.6,0)</f>
      </c>
      <c r="AB869" s="5">
        <v>5</v>
      </c>
      <c r="AC869" s="2" t="s">
        <v>312</v>
      </c>
      <c r="AD869" s="4">
        <v>40</v>
      </c>
      <c r="AE869" s="4">
        <v>160</v>
      </c>
      <c r="AF869" s="6">
        <v>64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/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/>
      <c r="BJ869" s="4">
        <v>15</v>
      </c>
      <c r="BK869" s="8">
        <v>1283.19</v>
      </c>
      <c r="BL869" s="2" t="s">
        <v>394</v>
      </c>
      <c r="BM869" s="7"/>
      <c r="BN869" s="7"/>
      <c r="BO869" s="4"/>
      <c r="BP869" s="8"/>
      <c r="BQ869" s="4"/>
      <c r="BR869" s="8"/>
      <c r="BS869" s="7"/>
      <c r="BT869" s="7"/>
      <c r="BU869" s="2" t="s">
        <v>2551</v>
      </c>
      <c r="BV869" s="2" t="s">
        <v>97</v>
      </c>
      <c r="BW869" s="2" t="s">
        <v>100</v>
      </c>
      <c r="BX869" s="2" t="s">
        <v>100</v>
      </c>
      <c r="BY869" s="2" t="s">
        <v>112</v>
      </c>
      <c r="BZ869" s="2" t="s">
        <v>100</v>
      </c>
    </row>
    <row r="870">
      <c r="A870" s="2" t="s">
        <v>3326</v>
      </c>
      <c r="B870" s="2" t="s">
        <v>87</v>
      </c>
      <c r="C870" s="2" t="s">
        <v>3302</v>
      </c>
      <c r="D870" s="2" t="s">
        <v>89</v>
      </c>
      <c r="E870" s="2" t="s">
        <v>90</v>
      </c>
      <c r="F870" s="2" t="s">
        <v>3310</v>
      </c>
      <c r="G870" s="2" t="s">
        <v>100</v>
      </c>
      <c r="H870" s="2" t="s">
        <v>100</v>
      </c>
      <c r="I870" s="2" t="s">
        <v>887</v>
      </c>
      <c r="J870" s="2" t="s">
        <v>95</v>
      </c>
      <c r="K870" s="2" t="s">
        <v>706</v>
      </c>
      <c r="L870" s="3">
        <v>89.3</v>
      </c>
      <c r="M870" s="3">
        <v>93.76</v>
      </c>
      <c r="N870" s="3">
        <v>189.99</v>
      </c>
      <c r="O870" s="2" t="s">
        <v>97</v>
      </c>
      <c r="P870" s="2" t="s">
        <v>123</v>
      </c>
      <c r="Q870" s="2" t="s">
        <v>99</v>
      </c>
      <c r="R870" s="2" t="s">
        <v>100</v>
      </c>
      <c r="S870" s="2" t="s">
        <v>3327</v>
      </c>
      <c r="T870" s="2" t="s">
        <v>100</v>
      </c>
      <c r="U870" s="2" t="s">
        <v>901</v>
      </c>
      <c r="V870" s="2" t="s">
        <v>192</v>
      </c>
      <c r="W870" s="2" t="s">
        <v>686</v>
      </c>
      <c r="X870" s="2" t="s">
        <v>609</v>
      </c>
      <c r="Y870" s="2" t="s">
        <v>144</v>
      </c>
      <c r="Z870" s="4">
        <v>2</v>
      </c>
      <c r="AA870" s="4">
        <f>=ROUNDDOWN(1,0)</f>
      </c>
      <c r="AB870" s="5">
        <v>2</v>
      </c>
      <c r="AC870" s="2" t="s">
        <v>262</v>
      </c>
      <c r="AD870" s="4">
        <v>45</v>
      </c>
      <c r="AE870" s="4">
        <v>100</v>
      </c>
      <c r="AF870" s="6">
        <v>63</v>
      </c>
      <c r="AG870" s="6"/>
      <c r="AH870" s="7">
        <v>0.0645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/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/>
      <c r="BJ870" s="4">
        <v>7</v>
      </c>
      <c r="BK870" s="8">
        <v>641.66</v>
      </c>
      <c r="BL870" s="2" t="s">
        <v>2807</v>
      </c>
      <c r="BM870" s="7"/>
      <c r="BN870" s="7"/>
      <c r="BO870" s="4"/>
      <c r="BP870" s="8"/>
      <c r="BQ870" s="4"/>
      <c r="BR870" s="8"/>
      <c r="BS870" s="7"/>
      <c r="BT870" s="7"/>
      <c r="BU870" s="2" t="s">
        <v>2551</v>
      </c>
      <c r="BV870" s="2" t="s">
        <v>97</v>
      </c>
      <c r="BW870" s="2" t="s">
        <v>100</v>
      </c>
      <c r="BX870" s="2" t="s">
        <v>100</v>
      </c>
      <c r="BY870" s="2" t="s">
        <v>112</v>
      </c>
      <c r="BZ870" s="2" t="s">
        <v>100</v>
      </c>
    </row>
    <row r="871">
      <c r="A871" s="2" t="s">
        <v>3328</v>
      </c>
      <c r="B871" s="2" t="s">
        <v>87</v>
      </c>
      <c r="C871" s="2" t="s">
        <v>3302</v>
      </c>
      <c r="D871" s="2" t="s">
        <v>89</v>
      </c>
      <c r="E871" s="2" t="s">
        <v>90</v>
      </c>
      <c r="F871" s="2" t="s">
        <v>3310</v>
      </c>
      <c r="G871" s="2" t="s">
        <v>100</v>
      </c>
      <c r="H871" s="2" t="s">
        <v>100</v>
      </c>
      <c r="I871" s="2" t="s">
        <v>887</v>
      </c>
      <c r="J871" s="2" t="s">
        <v>114</v>
      </c>
      <c r="K871" s="2" t="s">
        <v>706</v>
      </c>
      <c r="L871" s="3">
        <v>98.7</v>
      </c>
      <c r="M871" s="3">
        <v>103.63</v>
      </c>
      <c r="N871" s="3">
        <v>209.99</v>
      </c>
      <c r="O871" s="2" t="s">
        <v>97</v>
      </c>
      <c r="P871" s="2" t="s">
        <v>123</v>
      </c>
      <c r="Q871" s="2" t="s">
        <v>99</v>
      </c>
      <c r="R871" s="2" t="s">
        <v>100</v>
      </c>
      <c r="S871" s="2" t="s">
        <v>3327</v>
      </c>
      <c r="T871" s="2" t="s">
        <v>100</v>
      </c>
      <c r="U871" s="2" t="s">
        <v>901</v>
      </c>
      <c r="V871" s="2" t="s">
        <v>192</v>
      </c>
      <c r="W871" s="2" t="s">
        <v>686</v>
      </c>
      <c r="X871" s="2" t="s">
        <v>609</v>
      </c>
      <c r="Y871" s="2" t="s">
        <v>144</v>
      </c>
      <c r="Z871" s="4">
        <v>34</v>
      </c>
      <c r="AA871" s="4">
        <f>=ROUNDDOWN(17,0)</f>
      </c>
      <c r="AB871" s="5">
        <v>2</v>
      </c>
      <c r="AC871" s="2" t="s">
        <v>262</v>
      </c>
      <c r="AD871" s="4">
        <v>5</v>
      </c>
      <c r="AE871" s="4">
        <v>70</v>
      </c>
      <c r="AF871" s="6">
        <v>63</v>
      </c>
      <c r="AG871" s="6"/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/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/>
      <c r="BJ871" s="4">
        <v>13</v>
      </c>
      <c r="BK871" s="8">
        <v>1336.04</v>
      </c>
      <c r="BL871" s="2" t="s">
        <v>2757</v>
      </c>
      <c r="BM871" s="7"/>
      <c r="BN871" s="7"/>
      <c r="BO871" s="4"/>
      <c r="BP871" s="8"/>
      <c r="BQ871" s="4"/>
      <c r="BR871" s="8"/>
      <c r="BS871" s="7"/>
      <c r="BT871" s="7"/>
      <c r="BU871" s="2" t="s">
        <v>2551</v>
      </c>
      <c r="BV871" s="2" t="s">
        <v>97</v>
      </c>
      <c r="BW871" s="2" t="s">
        <v>100</v>
      </c>
      <c r="BX871" s="2" t="s">
        <v>100</v>
      </c>
      <c r="BY871" s="2" t="s">
        <v>112</v>
      </c>
      <c r="BZ871" s="2" t="s">
        <v>100</v>
      </c>
    </row>
    <row r="872">
      <c r="A872" s="2" t="s">
        <v>3329</v>
      </c>
      <c r="B872" s="2" t="s">
        <v>87</v>
      </c>
      <c r="C872" s="2" t="s">
        <v>3302</v>
      </c>
      <c r="D872" s="2" t="s">
        <v>89</v>
      </c>
      <c r="E872" s="2" t="s">
        <v>90</v>
      </c>
      <c r="F872" s="2" t="s">
        <v>3313</v>
      </c>
      <c r="G872" s="2" t="s">
        <v>3313</v>
      </c>
      <c r="H872" s="2" t="s">
        <v>3313</v>
      </c>
      <c r="I872" s="2" t="s">
        <v>3330</v>
      </c>
      <c r="J872" s="2" t="s">
        <v>522</v>
      </c>
      <c r="K872" s="2" t="s">
        <v>96</v>
      </c>
      <c r="L872" s="3">
        <v>89.3</v>
      </c>
      <c r="M872" s="3">
        <v>93.76</v>
      </c>
      <c r="N872" s="3">
        <v>189.99</v>
      </c>
      <c r="O872" s="2" t="s">
        <v>97</v>
      </c>
      <c r="P872" s="2" t="s">
        <v>123</v>
      </c>
      <c r="Q872" s="2" t="s">
        <v>99</v>
      </c>
      <c r="R872" s="2" t="s">
        <v>100</v>
      </c>
      <c r="S872" s="2" t="s">
        <v>3316</v>
      </c>
      <c r="T872" s="2" t="s">
        <v>190</v>
      </c>
      <c r="U872" s="2" t="s">
        <v>901</v>
      </c>
      <c r="V872" s="2" t="s">
        <v>461</v>
      </c>
      <c r="W872" s="2" t="s">
        <v>142</v>
      </c>
      <c r="X872" s="2" t="s">
        <v>493</v>
      </c>
      <c r="Y872" s="2" t="s">
        <v>3317</v>
      </c>
      <c r="Z872" s="4">
        <v>55</v>
      </c>
      <c r="AA872" s="4">
        <f>=ROUNDDOWN(7.85714285714286,0)</f>
      </c>
      <c r="AB872" s="5">
        <v>7</v>
      </c>
      <c r="AC872" s="2" t="s">
        <v>1767</v>
      </c>
      <c r="AD872" s="4">
        <v>35</v>
      </c>
      <c r="AE872" s="4">
        <v>175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/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/>
      <c r="BJ872" s="4">
        <v>16</v>
      </c>
      <c r="BK872" s="8">
        <v>1427.65</v>
      </c>
      <c r="BL872" s="2" t="s">
        <v>935</v>
      </c>
      <c r="BM872" s="7"/>
      <c r="BN872" s="7"/>
      <c r="BO872" s="4"/>
      <c r="BP872" s="8"/>
      <c r="BQ872" s="4"/>
      <c r="BR872" s="8"/>
      <c r="BS872" s="7"/>
      <c r="BT872" s="7"/>
      <c r="BU872" s="2" t="s">
        <v>2551</v>
      </c>
      <c r="BV872" s="2" t="s">
        <v>97</v>
      </c>
      <c r="BW872" s="2" t="s">
        <v>100</v>
      </c>
      <c r="BX872" s="2" t="s">
        <v>100</v>
      </c>
      <c r="BY872" s="2" t="s">
        <v>112</v>
      </c>
      <c r="BZ872" s="2" t="s">
        <v>100</v>
      </c>
    </row>
    <row r="873">
      <c r="A873" s="2" t="s">
        <v>3331</v>
      </c>
      <c r="B873" s="2" t="s">
        <v>87</v>
      </c>
      <c r="C873" s="2" t="s">
        <v>3302</v>
      </c>
      <c r="D873" s="2" t="s">
        <v>89</v>
      </c>
      <c r="E873" s="2" t="s">
        <v>90</v>
      </c>
      <c r="F873" s="2" t="s">
        <v>3313</v>
      </c>
      <c r="G873" s="2" t="s">
        <v>3313</v>
      </c>
      <c r="H873" s="2" t="s">
        <v>3313</v>
      </c>
      <c r="I873" s="2" t="s">
        <v>3330</v>
      </c>
      <c r="J873" s="2" t="s">
        <v>529</v>
      </c>
      <c r="K873" s="2" t="s">
        <v>96</v>
      </c>
      <c r="L873" s="3">
        <v>98.7</v>
      </c>
      <c r="M873" s="3">
        <v>103.63</v>
      </c>
      <c r="N873" s="3">
        <v>209.99</v>
      </c>
      <c r="O873" s="2" t="s">
        <v>97</v>
      </c>
      <c r="P873" s="2" t="s">
        <v>123</v>
      </c>
      <c r="Q873" s="2" t="s">
        <v>99</v>
      </c>
      <c r="R873" s="2" t="s">
        <v>100</v>
      </c>
      <c r="S873" s="2" t="s">
        <v>3316</v>
      </c>
      <c r="T873" s="2" t="s">
        <v>190</v>
      </c>
      <c r="U873" s="2" t="s">
        <v>901</v>
      </c>
      <c r="V873" s="2" t="s">
        <v>461</v>
      </c>
      <c r="W873" s="2" t="s">
        <v>142</v>
      </c>
      <c r="X873" s="2" t="s">
        <v>493</v>
      </c>
      <c r="Y873" s="2" t="s">
        <v>3317</v>
      </c>
      <c r="Z873" s="4">
        <v>149</v>
      </c>
      <c r="AA873" s="4">
        <f>=ROUNDDOWN(18.625,0)</f>
      </c>
      <c r="AB873" s="5">
        <v>8</v>
      </c>
      <c r="AC873" s="2" t="s">
        <v>1767</v>
      </c>
      <c r="AD873" s="4">
        <v>80</v>
      </c>
      <c r="AE873" s="4">
        <v>245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/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/>
      <c r="BJ873" s="4">
        <v>29</v>
      </c>
      <c r="BK873" s="8">
        <v>2874.77</v>
      </c>
      <c r="BL873" s="2" t="s">
        <v>3332</v>
      </c>
      <c r="BM873" s="7"/>
      <c r="BN873" s="7"/>
      <c r="BO873" s="4"/>
      <c r="BP873" s="8"/>
      <c r="BQ873" s="4"/>
      <c r="BR873" s="8"/>
      <c r="BS873" s="7"/>
      <c r="BT873" s="7"/>
      <c r="BU873" s="2" t="s">
        <v>2551</v>
      </c>
      <c r="BV873" s="2" t="s">
        <v>97</v>
      </c>
      <c r="BW873" s="2" t="s">
        <v>100</v>
      </c>
      <c r="BX873" s="2" t="s">
        <v>100</v>
      </c>
      <c r="BY873" s="2" t="s">
        <v>112</v>
      </c>
      <c r="BZ873" s="2" t="s">
        <v>100</v>
      </c>
    </row>
    <row r="874">
      <c r="A874" s="2" t="s">
        <v>3333</v>
      </c>
      <c r="B874" s="2" t="s">
        <v>87</v>
      </c>
      <c r="C874" s="2" t="s">
        <v>3302</v>
      </c>
      <c r="D874" s="2" t="s">
        <v>89</v>
      </c>
      <c r="E874" s="2" t="s">
        <v>90</v>
      </c>
      <c r="F874" s="2" t="s">
        <v>3313</v>
      </c>
      <c r="G874" s="2" t="s">
        <v>3313</v>
      </c>
      <c r="H874" s="2" t="s">
        <v>3313</v>
      </c>
      <c r="I874" s="2" t="s">
        <v>3330</v>
      </c>
      <c r="J874" s="2" t="s">
        <v>522</v>
      </c>
      <c r="K874" s="2" t="s">
        <v>458</v>
      </c>
      <c r="L874" s="3">
        <v>89.3</v>
      </c>
      <c r="M874" s="3">
        <v>93.76</v>
      </c>
      <c r="N874" s="3">
        <v>189.99</v>
      </c>
      <c r="O874" s="2" t="s">
        <v>97</v>
      </c>
      <c r="P874" s="2" t="s">
        <v>123</v>
      </c>
      <c r="Q874" s="2" t="s">
        <v>99</v>
      </c>
      <c r="R874" s="2" t="s">
        <v>100</v>
      </c>
      <c r="S874" s="2" t="s">
        <v>3334</v>
      </c>
      <c r="T874" s="2" t="s">
        <v>190</v>
      </c>
      <c r="U874" s="2" t="s">
        <v>901</v>
      </c>
      <c r="V874" s="2" t="s">
        <v>461</v>
      </c>
      <c r="W874" s="2" t="s">
        <v>142</v>
      </c>
      <c r="X874" s="2" t="s">
        <v>493</v>
      </c>
      <c r="Y874" s="2" t="s">
        <v>3317</v>
      </c>
      <c r="Z874" s="4">
        <v>64</v>
      </c>
      <c r="AA874" s="4">
        <f>=ROUNDDOWN(12.8,0)</f>
      </c>
      <c r="AB874" s="5">
        <v>5</v>
      </c>
      <c r="AC874" s="2" t="s">
        <v>1767</v>
      </c>
      <c r="AD874" s="4">
        <v>35</v>
      </c>
      <c r="AE874" s="4">
        <v>118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/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/>
      <c r="BJ874" s="4">
        <v>21</v>
      </c>
      <c r="BK874" s="8">
        <v>1923.8</v>
      </c>
      <c r="BL874" s="2" t="s">
        <v>2757</v>
      </c>
      <c r="BM874" s="7"/>
      <c r="BN874" s="7"/>
      <c r="BO874" s="4"/>
      <c r="BP874" s="8"/>
      <c r="BQ874" s="4"/>
      <c r="BR874" s="8"/>
      <c r="BS874" s="7"/>
      <c r="BT874" s="7"/>
      <c r="BU874" s="2" t="s">
        <v>2551</v>
      </c>
      <c r="BV874" s="2" t="s">
        <v>97</v>
      </c>
      <c r="BW874" s="2" t="s">
        <v>100</v>
      </c>
      <c r="BX874" s="2" t="s">
        <v>100</v>
      </c>
      <c r="BY874" s="2" t="s">
        <v>112</v>
      </c>
      <c r="BZ874" s="2" t="s">
        <v>100</v>
      </c>
    </row>
    <row r="875">
      <c r="A875" s="2" t="s">
        <v>3335</v>
      </c>
      <c r="B875" s="2" t="s">
        <v>87</v>
      </c>
      <c r="C875" s="2" t="s">
        <v>3302</v>
      </c>
      <c r="D875" s="2" t="s">
        <v>89</v>
      </c>
      <c r="E875" s="2" t="s">
        <v>90</v>
      </c>
      <c r="F875" s="2" t="s">
        <v>3313</v>
      </c>
      <c r="G875" s="2" t="s">
        <v>3313</v>
      </c>
      <c r="H875" s="2" t="s">
        <v>3313</v>
      </c>
      <c r="I875" s="2" t="s">
        <v>3330</v>
      </c>
      <c r="J875" s="2" t="s">
        <v>529</v>
      </c>
      <c r="K875" s="2" t="s">
        <v>458</v>
      </c>
      <c r="L875" s="3">
        <v>98.7</v>
      </c>
      <c r="M875" s="3">
        <v>103.63</v>
      </c>
      <c r="N875" s="3">
        <v>209.99</v>
      </c>
      <c r="O875" s="2" t="s">
        <v>97</v>
      </c>
      <c r="P875" s="2" t="s">
        <v>123</v>
      </c>
      <c r="Q875" s="2" t="s">
        <v>99</v>
      </c>
      <c r="R875" s="2" t="s">
        <v>100</v>
      </c>
      <c r="S875" s="2" t="s">
        <v>3334</v>
      </c>
      <c r="T875" s="2" t="s">
        <v>190</v>
      </c>
      <c r="U875" s="2" t="s">
        <v>901</v>
      </c>
      <c r="V875" s="2" t="s">
        <v>461</v>
      </c>
      <c r="W875" s="2" t="s">
        <v>142</v>
      </c>
      <c r="X875" s="2" t="s">
        <v>493</v>
      </c>
      <c r="Y875" s="2" t="s">
        <v>3317</v>
      </c>
      <c r="Z875" s="4">
        <v>110</v>
      </c>
      <c r="AA875" s="4">
        <f>=ROUNDDOWN(11,0)</f>
      </c>
      <c r="AB875" s="5">
        <v>10</v>
      </c>
      <c r="AC875" s="2" t="s">
        <v>1767</v>
      </c>
      <c r="AD875" s="4">
        <v>65</v>
      </c>
      <c r="AE875" s="4">
        <v>204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/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/>
      <c r="BJ875" s="4">
        <v>34</v>
      </c>
      <c r="BK875" s="8">
        <v>3521.17</v>
      </c>
      <c r="BL875" s="2" t="s">
        <v>3336</v>
      </c>
      <c r="BM875" s="7"/>
      <c r="BN875" s="7"/>
      <c r="BO875" s="4"/>
      <c r="BP875" s="8"/>
      <c r="BQ875" s="4"/>
      <c r="BR875" s="8"/>
      <c r="BS875" s="7"/>
      <c r="BT875" s="7"/>
      <c r="BU875" s="2" t="s">
        <v>2551</v>
      </c>
      <c r="BV875" s="2" t="s">
        <v>97</v>
      </c>
      <c r="BW875" s="2" t="s">
        <v>100</v>
      </c>
      <c r="BX875" s="2" t="s">
        <v>100</v>
      </c>
      <c r="BY875" s="2" t="s">
        <v>112</v>
      </c>
      <c r="BZ875" s="2" t="s">
        <v>100</v>
      </c>
    </row>
    <row r="876">
      <c r="A876" s="2" t="s">
        <v>3337</v>
      </c>
      <c r="B876" s="2" t="s">
        <v>87</v>
      </c>
      <c r="C876" s="2" t="s">
        <v>3302</v>
      </c>
      <c r="D876" s="2" t="s">
        <v>89</v>
      </c>
      <c r="E876" s="2" t="s">
        <v>90</v>
      </c>
      <c r="F876" s="2" t="s">
        <v>3338</v>
      </c>
      <c r="G876" s="2" t="s">
        <v>3338</v>
      </c>
      <c r="H876" s="2" t="s">
        <v>3338</v>
      </c>
      <c r="I876" s="2" t="s">
        <v>3339</v>
      </c>
      <c r="J876" s="2" t="s">
        <v>522</v>
      </c>
      <c r="K876" s="2" t="s">
        <v>3340</v>
      </c>
      <c r="L876" s="3">
        <v>89.3</v>
      </c>
      <c r="M876" s="3">
        <v>93.76</v>
      </c>
      <c r="N876" s="3">
        <v>189.99</v>
      </c>
      <c r="O876" s="2" t="s">
        <v>97</v>
      </c>
      <c r="P876" s="2" t="s">
        <v>123</v>
      </c>
      <c r="Q876" s="2" t="s">
        <v>99</v>
      </c>
      <c r="R876" s="2" t="s">
        <v>100</v>
      </c>
      <c r="S876" s="2" t="s">
        <v>3341</v>
      </c>
      <c r="T876" s="2" t="s">
        <v>190</v>
      </c>
      <c r="U876" s="2" t="s">
        <v>901</v>
      </c>
      <c r="V876" s="2" t="s">
        <v>192</v>
      </c>
      <c r="W876" s="2" t="s">
        <v>686</v>
      </c>
      <c r="X876" s="2" t="s">
        <v>525</v>
      </c>
      <c r="Y876" s="2" t="s">
        <v>3342</v>
      </c>
      <c r="Z876" s="4">
        <v>134</v>
      </c>
      <c r="AA876" s="4">
        <f>=ROUNDDOWN(22.3333333333333,0)</f>
      </c>
      <c r="AB876" s="5">
        <v>6</v>
      </c>
      <c r="AC876" s="2" t="s">
        <v>3343</v>
      </c>
      <c r="AD876" s="4">
        <v>80</v>
      </c>
      <c r="AE876" s="4">
        <v>140</v>
      </c>
      <c r="AF876" s="6">
        <v>63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/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/>
      <c r="BJ876" s="4">
        <v>22</v>
      </c>
      <c r="BK876" s="8">
        <v>1995.37</v>
      </c>
      <c r="BL876" s="2" t="s">
        <v>3344</v>
      </c>
      <c r="BM876" s="7"/>
      <c r="BN876" s="7"/>
      <c r="BO876" s="4"/>
      <c r="BP876" s="8"/>
      <c r="BQ876" s="4"/>
      <c r="BR876" s="8"/>
      <c r="BS876" s="7"/>
      <c r="BT876" s="7"/>
      <c r="BU876" s="2" t="s">
        <v>2551</v>
      </c>
      <c r="BV876" s="2" t="s">
        <v>97</v>
      </c>
      <c r="BW876" s="2" t="s">
        <v>100</v>
      </c>
      <c r="BX876" s="2" t="s">
        <v>100</v>
      </c>
      <c r="BY876" s="2" t="s">
        <v>112</v>
      </c>
      <c r="BZ876" s="2" t="s">
        <v>100</v>
      </c>
    </row>
    <row r="877">
      <c r="A877" s="2" t="s">
        <v>3345</v>
      </c>
      <c r="B877" s="2" t="s">
        <v>87</v>
      </c>
      <c r="C877" s="2" t="s">
        <v>3302</v>
      </c>
      <c r="D877" s="2" t="s">
        <v>89</v>
      </c>
      <c r="E877" s="2" t="s">
        <v>90</v>
      </c>
      <c r="F877" s="2" t="s">
        <v>3338</v>
      </c>
      <c r="G877" s="2" t="s">
        <v>3338</v>
      </c>
      <c r="H877" s="2" t="s">
        <v>3338</v>
      </c>
      <c r="I877" s="2" t="s">
        <v>3339</v>
      </c>
      <c r="J877" s="2" t="s">
        <v>114</v>
      </c>
      <c r="K877" s="2" t="s">
        <v>3340</v>
      </c>
      <c r="L877" s="3">
        <v>98.7</v>
      </c>
      <c r="M877" s="3">
        <v>103.63</v>
      </c>
      <c r="N877" s="3">
        <v>209.99</v>
      </c>
      <c r="O877" s="2" t="s">
        <v>97</v>
      </c>
      <c r="P877" s="2" t="s">
        <v>123</v>
      </c>
      <c r="Q877" s="2" t="s">
        <v>99</v>
      </c>
      <c r="R877" s="2" t="s">
        <v>100</v>
      </c>
      <c r="S877" s="2" t="s">
        <v>3341</v>
      </c>
      <c r="T877" s="2" t="s">
        <v>190</v>
      </c>
      <c r="U877" s="2" t="s">
        <v>901</v>
      </c>
      <c r="V877" s="2" t="s">
        <v>192</v>
      </c>
      <c r="W877" s="2" t="s">
        <v>686</v>
      </c>
      <c r="X877" s="2" t="s">
        <v>525</v>
      </c>
      <c r="Y877" s="2" t="s">
        <v>3342</v>
      </c>
      <c r="Z877" s="4">
        <v>71</v>
      </c>
      <c r="AA877" s="4">
        <f>=ROUNDDOWN(14.2,0)</f>
      </c>
      <c r="AB877" s="5">
        <v>5</v>
      </c>
      <c r="AC877" s="2" t="s">
        <v>629</v>
      </c>
      <c r="AD877" s="4">
        <v>105</v>
      </c>
      <c r="AE877" s="4">
        <v>200</v>
      </c>
      <c r="AF877" s="6">
        <v>63</v>
      </c>
      <c r="AG877" s="6"/>
      <c r="AH877" s="7">
        <v>0.871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/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/>
      <c r="BJ877" s="4">
        <v>22</v>
      </c>
      <c r="BK877" s="8">
        <v>2238.95</v>
      </c>
      <c r="BL877" s="2" t="s">
        <v>1939</v>
      </c>
      <c r="BM877" s="7"/>
      <c r="BN877" s="7"/>
      <c r="BO877" s="4"/>
      <c r="BP877" s="8"/>
      <c r="BQ877" s="4"/>
      <c r="BR877" s="8"/>
      <c r="BS877" s="7"/>
      <c r="BT877" s="7"/>
      <c r="BU877" s="2" t="s">
        <v>2551</v>
      </c>
      <c r="BV877" s="2" t="s">
        <v>97</v>
      </c>
      <c r="BW877" s="2" t="s">
        <v>100</v>
      </c>
      <c r="BX877" s="2" t="s">
        <v>100</v>
      </c>
      <c r="BY877" s="2" t="s">
        <v>112</v>
      </c>
      <c r="BZ877" s="2" t="s">
        <v>100</v>
      </c>
    </row>
    <row r="878">
      <c r="A878" s="2" t="s">
        <v>3346</v>
      </c>
      <c r="B878" s="2" t="s">
        <v>87</v>
      </c>
      <c r="C878" s="2" t="s">
        <v>3302</v>
      </c>
      <c r="D878" s="2" t="s">
        <v>89</v>
      </c>
      <c r="E878" s="2" t="s">
        <v>887</v>
      </c>
      <c r="F878" s="2" t="s">
        <v>3304</v>
      </c>
      <c r="G878" s="2" t="s">
        <v>3304</v>
      </c>
      <c r="H878" s="2" t="s">
        <v>3304</v>
      </c>
      <c r="I878" s="2" t="s">
        <v>3347</v>
      </c>
      <c r="J878" s="2" t="s">
        <v>522</v>
      </c>
      <c r="K878" s="2" t="s">
        <v>458</v>
      </c>
      <c r="L878" s="3">
        <v>72</v>
      </c>
      <c r="M878" s="3">
        <v>75.6</v>
      </c>
      <c r="N878" s="3">
        <v>159.99</v>
      </c>
      <c r="O878" s="2" t="s">
        <v>97</v>
      </c>
      <c r="P878" s="2" t="s">
        <v>98</v>
      </c>
      <c r="Q878" s="2" t="s">
        <v>99</v>
      </c>
      <c r="R878" s="2" t="s">
        <v>100</v>
      </c>
      <c r="S878" s="2" t="s">
        <v>3306</v>
      </c>
      <c r="T878" s="2" t="s">
        <v>438</v>
      </c>
      <c r="U878" s="2" t="s">
        <v>901</v>
      </c>
      <c r="V878" s="2" t="s">
        <v>461</v>
      </c>
      <c r="W878" s="2" t="s">
        <v>609</v>
      </c>
      <c r="X878" s="2" t="s">
        <v>493</v>
      </c>
      <c r="Y878" s="2" t="s">
        <v>3307</v>
      </c>
      <c r="Z878" s="4">
        <v>49</v>
      </c>
      <c r="AA878" s="4">
        <f>=ROUNDDOWN(24.5,0)</f>
      </c>
      <c r="AB878" s="5">
        <v>2</v>
      </c>
      <c r="AC878" s="2" t="s">
        <v>1860</v>
      </c>
      <c r="AD878" s="4">
        <v>38</v>
      </c>
      <c r="AE878" s="4">
        <v>38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/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/>
      <c r="BJ878" s="4">
        <v>7</v>
      </c>
      <c r="BK878" s="8">
        <v>542.45</v>
      </c>
      <c r="BL878" s="2" t="s">
        <v>3348</v>
      </c>
      <c r="BM878" s="7"/>
      <c r="BN878" s="7"/>
      <c r="BO878" s="4"/>
      <c r="BP878" s="8"/>
      <c r="BQ878" s="4"/>
      <c r="BR878" s="8"/>
      <c r="BS878" s="7"/>
      <c r="BT878" s="7"/>
      <c r="BU878" s="2" t="s">
        <v>2551</v>
      </c>
      <c r="BV878" s="2" t="s">
        <v>97</v>
      </c>
      <c r="BW878" s="2" t="s">
        <v>100</v>
      </c>
      <c r="BX878" s="2" t="s">
        <v>100</v>
      </c>
      <c r="BY878" s="2" t="s">
        <v>112</v>
      </c>
      <c r="BZ878" s="2" t="s">
        <v>100</v>
      </c>
    </row>
    <row r="879">
      <c r="A879" s="2" t="s">
        <v>3349</v>
      </c>
      <c r="B879" s="2" t="s">
        <v>87</v>
      </c>
      <c r="C879" s="2" t="s">
        <v>3302</v>
      </c>
      <c r="D879" s="2" t="s">
        <v>89</v>
      </c>
      <c r="E879" s="2" t="s">
        <v>887</v>
      </c>
      <c r="F879" s="2" t="s">
        <v>3304</v>
      </c>
      <c r="G879" s="2" t="s">
        <v>3304</v>
      </c>
      <c r="H879" s="2" t="s">
        <v>3304</v>
      </c>
      <c r="I879" s="2" t="s">
        <v>3347</v>
      </c>
      <c r="J879" s="2" t="s">
        <v>529</v>
      </c>
      <c r="K879" s="2" t="s">
        <v>458</v>
      </c>
      <c r="L879" s="3">
        <v>85.5</v>
      </c>
      <c r="M879" s="3">
        <v>89.78</v>
      </c>
      <c r="N879" s="3">
        <v>189.99</v>
      </c>
      <c r="O879" s="2" t="s">
        <v>97</v>
      </c>
      <c r="P879" s="2" t="s">
        <v>98</v>
      </c>
      <c r="Q879" s="2" t="s">
        <v>99</v>
      </c>
      <c r="R879" s="2" t="s">
        <v>100</v>
      </c>
      <c r="S879" s="2" t="s">
        <v>3306</v>
      </c>
      <c r="T879" s="2" t="s">
        <v>438</v>
      </c>
      <c r="U879" s="2" t="s">
        <v>901</v>
      </c>
      <c r="V879" s="2" t="s">
        <v>461</v>
      </c>
      <c r="W879" s="2" t="s">
        <v>609</v>
      </c>
      <c r="X879" s="2" t="s">
        <v>493</v>
      </c>
      <c r="Y879" s="2" t="s">
        <v>3307</v>
      </c>
      <c r="Z879" s="4">
        <v>68</v>
      </c>
      <c r="AA879" s="4">
        <f>=ROUNDDOWN(13.6,0)</f>
      </c>
      <c r="AB879" s="5">
        <v>5</v>
      </c>
      <c r="AC879" s="2" t="s">
        <v>312</v>
      </c>
      <c r="AD879" s="4">
        <v>90</v>
      </c>
      <c r="AE879" s="4">
        <v>175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/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/>
      <c r="BJ879" s="4">
        <v>18</v>
      </c>
      <c r="BK879" s="8">
        <v>1706.86</v>
      </c>
      <c r="BL879" s="2" t="s">
        <v>2392</v>
      </c>
      <c r="BM879" s="7"/>
      <c r="BN879" s="7"/>
      <c r="BO879" s="4"/>
      <c r="BP879" s="8"/>
      <c r="BQ879" s="4"/>
      <c r="BR879" s="8"/>
      <c r="BS879" s="7"/>
      <c r="BT879" s="7"/>
      <c r="BU879" s="2" t="s">
        <v>2551</v>
      </c>
      <c r="BV879" s="2" t="s">
        <v>97</v>
      </c>
      <c r="BW879" s="2" t="s">
        <v>100</v>
      </c>
      <c r="BX879" s="2" t="s">
        <v>100</v>
      </c>
      <c r="BY879" s="2" t="s">
        <v>112</v>
      </c>
      <c r="BZ879" s="2" t="s">
        <v>100</v>
      </c>
    </row>
    <row r="880">
      <c r="A880" s="2" t="s">
        <v>3350</v>
      </c>
      <c r="B880" s="2" t="s">
        <v>87</v>
      </c>
      <c r="C880" s="2" t="s">
        <v>3302</v>
      </c>
      <c r="D880" s="2" t="s">
        <v>1496</v>
      </c>
      <c r="E880" s="2" t="s">
        <v>1497</v>
      </c>
      <c r="F880" s="2" t="s">
        <v>3321</v>
      </c>
      <c r="G880" s="2" t="s">
        <v>3321</v>
      </c>
      <c r="H880" s="2" t="s">
        <v>3321</v>
      </c>
      <c r="I880" s="2" t="s">
        <v>3351</v>
      </c>
      <c r="J880" s="2" t="s">
        <v>522</v>
      </c>
      <c r="K880" s="2" t="s">
        <v>179</v>
      </c>
      <c r="L880" s="3">
        <v>36</v>
      </c>
      <c r="M880" s="3">
        <v>37.8</v>
      </c>
      <c r="N880" s="3">
        <v>79.99</v>
      </c>
      <c r="O880" s="2" t="s">
        <v>97</v>
      </c>
      <c r="P880" s="2" t="s">
        <v>98</v>
      </c>
      <c r="Q880" s="2" t="s">
        <v>99</v>
      </c>
      <c r="R880" s="2" t="s">
        <v>100</v>
      </c>
      <c r="S880" s="2" t="s">
        <v>3323</v>
      </c>
      <c r="T880" s="2" t="s">
        <v>438</v>
      </c>
      <c r="U880" s="2" t="s">
        <v>901</v>
      </c>
      <c r="V880" s="2" t="s">
        <v>547</v>
      </c>
      <c r="W880" s="2" t="s">
        <v>609</v>
      </c>
      <c r="X880" s="2" t="s">
        <v>142</v>
      </c>
      <c r="Y880" s="2" t="s">
        <v>3324</v>
      </c>
      <c r="Z880" s="4">
        <v>56</v>
      </c>
      <c r="AA880" s="4">
        <f>=ROUNDDOWN(14,0)</f>
      </c>
      <c r="AB880" s="5">
        <v>4</v>
      </c>
      <c r="AC880" s="2" t="s">
        <v>312</v>
      </c>
      <c r="AD880" s="4">
        <v>43</v>
      </c>
      <c r="AE880" s="4">
        <v>83</v>
      </c>
      <c r="AF880" s="6">
        <v>64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/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/>
      <c r="BJ880" s="4">
        <v>16</v>
      </c>
      <c r="BK880" s="8">
        <v>627.14</v>
      </c>
      <c r="BL880" s="2" t="s">
        <v>3352</v>
      </c>
      <c r="BM880" s="7"/>
      <c r="BN880" s="7"/>
      <c r="BO880" s="4"/>
      <c r="BP880" s="8"/>
      <c r="BQ880" s="4"/>
      <c r="BR880" s="8"/>
      <c r="BS880" s="7"/>
      <c r="BT880" s="7"/>
      <c r="BU880" s="2" t="s">
        <v>2551</v>
      </c>
      <c r="BV880" s="2" t="s">
        <v>97</v>
      </c>
      <c r="BW880" s="2" t="s">
        <v>100</v>
      </c>
      <c r="BX880" s="2" t="s">
        <v>100</v>
      </c>
      <c r="BY880" s="2" t="s">
        <v>112</v>
      </c>
      <c r="BZ880" s="2" t="s">
        <v>100</v>
      </c>
    </row>
    <row r="881">
      <c r="A881" s="2" t="s">
        <v>3353</v>
      </c>
      <c r="B881" s="2" t="s">
        <v>87</v>
      </c>
      <c r="C881" s="2" t="s">
        <v>3302</v>
      </c>
      <c r="D881" s="2" t="s">
        <v>1496</v>
      </c>
      <c r="E881" s="2" t="s">
        <v>1497</v>
      </c>
      <c r="F881" s="2" t="s">
        <v>3321</v>
      </c>
      <c r="G881" s="2" t="s">
        <v>3321</v>
      </c>
      <c r="H881" s="2" t="s">
        <v>3321</v>
      </c>
      <c r="I881" s="2" t="s">
        <v>3351</v>
      </c>
      <c r="J881" s="2" t="s">
        <v>114</v>
      </c>
      <c r="K881" s="2" t="s">
        <v>179</v>
      </c>
      <c r="L881" s="3">
        <v>45</v>
      </c>
      <c r="M881" s="3">
        <v>47.25</v>
      </c>
      <c r="N881" s="3">
        <v>99.99</v>
      </c>
      <c r="O881" s="2" t="s">
        <v>97</v>
      </c>
      <c r="P881" s="2" t="s">
        <v>98</v>
      </c>
      <c r="Q881" s="2" t="s">
        <v>99</v>
      </c>
      <c r="R881" s="2" t="s">
        <v>100</v>
      </c>
      <c r="S881" s="2" t="s">
        <v>3323</v>
      </c>
      <c r="T881" s="2" t="s">
        <v>438</v>
      </c>
      <c r="U881" s="2" t="s">
        <v>901</v>
      </c>
      <c r="V881" s="2" t="s">
        <v>547</v>
      </c>
      <c r="W881" s="2" t="s">
        <v>609</v>
      </c>
      <c r="X881" s="2" t="s">
        <v>142</v>
      </c>
      <c r="Y881" s="2" t="s">
        <v>3324</v>
      </c>
      <c r="Z881" s="4">
        <v>27</v>
      </c>
      <c r="AA881" s="4">
        <f>=ROUNDDOWN(9,0)</f>
      </c>
      <c r="AB881" s="5">
        <v>3</v>
      </c>
      <c r="AC881" s="2" t="s">
        <v>312</v>
      </c>
      <c r="AD881" s="4">
        <v>42</v>
      </c>
      <c r="AE881" s="4">
        <v>112</v>
      </c>
      <c r="AF881" s="6">
        <v>64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/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/>
      <c r="BJ881" s="4">
        <v>13</v>
      </c>
      <c r="BK881" s="8">
        <v>654.66</v>
      </c>
      <c r="BL881" s="2" t="s">
        <v>333</v>
      </c>
      <c r="BM881" s="7"/>
      <c r="BN881" s="7"/>
      <c r="BO881" s="4"/>
      <c r="BP881" s="8"/>
      <c r="BQ881" s="4"/>
      <c r="BR881" s="8"/>
      <c r="BS881" s="7"/>
      <c r="BT881" s="7"/>
      <c r="BU881" s="2" t="s">
        <v>2551</v>
      </c>
      <c r="BV881" s="2" t="s">
        <v>97</v>
      </c>
      <c r="BW881" s="2" t="s">
        <v>100</v>
      </c>
      <c r="BX881" s="2" t="s">
        <v>100</v>
      </c>
      <c r="BY881" s="2" t="s">
        <v>112</v>
      </c>
      <c r="BZ881" s="2" t="s">
        <v>100</v>
      </c>
    </row>
    <row r="882">
      <c r="A882" s="2" t="s">
        <v>3354</v>
      </c>
      <c r="B882" s="2" t="s">
        <v>87</v>
      </c>
      <c r="C882" s="2" t="s">
        <v>3302</v>
      </c>
      <c r="D882" s="2" t="s">
        <v>1496</v>
      </c>
      <c r="E882" s="2" t="s">
        <v>1497</v>
      </c>
      <c r="F882" s="2" t="s">
        <v>3304</v>
      </c>
      <c r="G882" s="2" t="s">
        <v>3304</v>
      </c>
      <c r="H882" s="2" t="s">
        <v>3304</v>
      </c>
      <c r="I882" s="2" t="s">
        <v>3355</v>
      </c>
      <c r="J882" s="2" t="s">
        <v>522</v>
      </c>
      <c r="K882" s="2" t="s">
        <v>458</v>
      </c>
      <c r="L882" s="3">
        <v>67.5</v>
      </c>
      <c r="M882" s="3">
        <v>70.88</v>
      </c>
      <c r="N882" s="3">
        <v>149.99</v>
      </c>
      <c r="O882" s="2" t="s">
        <v>97</v>
      </c>
      <c r="P882" s="2" t="s">
        <v>98</v>
      </c>
      <c r="Q882" s="2" t="s">
        <v>99</v>
      </c>
      <c r="R882" s="2" t="s">
        <v>100</v>
      </c>
      <c r="S882" s="2" t="s">
        <v>3306</v>
      </c>
      <c r="T882" s="2" t="s">
        <v>438</v>
      </c>
      <c r="U882" s="2" t="s">
        <v>901</v>
      </c>
      <c r="V882" s="2" t="s">
        <v>461</v>
      </c>
      <c r="W882" s="2" t="s">
        <v>609</v>
      </c>
      <c r="X882" s="2" t="s">
        <v>493</v>
      </c>
      <c r="Y882" s="2" t="s">
        <v>3307</v>
      </c>
      <c r="Z882" s="4">
        <v>32</v>
      </c>
      <c r="AA882" s="4">
        <f>=ROUNDDOWN(16,0)</f>
      </c>
      <c r="AB882" s="5">
        <v>2</v>
      </c>
      <c r="AC882" s="2" t="s">
        <v>312</v>
      </c>
      <c r="AD882" s="4">
        <v>15</v>
      </c>
      <c r="AE882" s="4">
        <v>52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/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/>
      <c r="BJ882" s="4">
        <v>7</v>
      </c>
      <c r="BK882" s="8">
        <v>532.26</v>
      </c>
      <c r="BL882" s="2" t="s">
        <v>3263</v>
      </c>
      <c r="BM882" s="7"/>
      <c r="BN882" s="7"/>
      <c r="BO882" s="4"/>
      <c r="BP882" s="8"/>
      <c r="BQ882" s="4"/>
      <c r="BR882" s="8"/>
      <c r="BS882" s="7"/>
      <c r="BT882" s="7"/>
      <c r="BU882" s="2" t="s">
        <v>2551</v>
      </c>
      <c r="BV882" s="2" t="s">
        <v>97</v>
      </c>
      <c r="BW882" s="2" t="s">
        <v>100</v>
      </c>
      <c r="BX882" s="2" t="s">
        <v>100</v>
      </c>
      <c r="BY882" s="2" t="s">
        <v>112</v>
      </c>
      <c r="BZ882" s="2" t="s">
        <v>100</v>
      </c>
    </row>
    <row r="883">
      <c r="A883" s="2" t="s">
        <v>3356</v>
      </c>
      <c r="B883" s="2" t="s">
        <v>87</v>
      </c>
      <c r="C883" s="2" t="s">
        <v>3302</v>
      </c>
      <c r="D883" s="2" t="s">
        <v>1496</v>
      </c>
      <c r="E883" s="2" t="s">
        <v>1497</v>
      </c>
      <c r="F883" s="2" t="s">
        <v>3304</v>
      </c>
      <c r="G883" s="2" t="s">
        <v>3304</v>
      </c>
      <c r="H883" s="2" t="s">
        <v>3304</v>
      </c>
      <c r="I883" s="2" t="s">
        <v>3355</v>
      </c>
      <c r="J883" s="2" t="s">
        <v>529</v>
      </c>
      <c r="K883" s="2" t="s">
        <v>458</v>
      </c>
      <c r="L883" s="3">
        <v>76.5</v>
      </c>
      <c r="M883" s="3">
        <v>80.33</v>
      </c>
      <c r="N883" s="3">
        <v>169.99</v>
      </c>
      <c r="O883" s="2" t="s">
        <v>97</v>
      </c>
      <c r="P883" s="2" t="s">
        <v>98</v>
      </c>
      <c r="Q883" s="2" t="s">
        <v>99</v>
      </c>
      <c r="R883" s="2" t="s">
        <v>100</v>
      </c>
      <c r="S883" s="2" t="s">
        <v>3306</v>
      </c>
      <c r="T883" s="2" t="s">
        <v>438</v>
      </c>
      <c r="U883" s="2" t="s">
        <v>901</v>
      </c>
      <c r="V883" s="2" t="s">
        <v>461</v>
      </c>
      <c r="W883" s="2" t="s">
        <v>609</v>
      </c>
      <c r="X883" s="2" t="s">
        <v>493</v>
      </c>
      <c r="Y883" s="2" t="s">
        <v>3307</v>
      </c>
      <c r="Z883" s="4">
        <v>112</v>
      </c>
      <c r="AA883" s="4">
        <f>=ROUNDDOWN(56,0)</f>
      </c>
      <c r="AB883" s="5">
        <v>2</v>
      </c>
      <c r="AC883" s="2" t="s">
        <v>1860</v>
      </c>
      <c r="AD883" s="4">
        <v>55</v>
      </c>
      <c r="AE883" s="4">
        <v>55</v>
      </c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/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/>
      <c r="BJ883" s="4">
        <v>7</v>
      </c>
      <c r="BK883" s="8">
        <v>597.63</v>
      </c>
      <c r="BL883" s="2" t="s">
        <v>935</v>
      </c>
      <c r="BM883" s="7"/>
      <c r="BN883" s="7"/>
      <c r="BO883" s="4"/>
      <c r="BP883" s="8"/>
      <c r="BQ883" s="4"/>
      <c r="BR883" s="8"/>
      <c r="BS883" s="7"/>
      <c r="BT883" s="7"/>
      <c r="BU883" s="2" t="s">
        <v>2551</v>
      </c>
      <c r="BV883" s="2" t="s">
        <v>97</v>
      </c>
      <c r="BW883" s="2" t="s">
        <v>100</v>
      </c>
      <c r="BX883" s="2" t="s">
        <v>100</v>
      </c>
      <c r="BY883" s="2" t="s">
        <v>112</v>
      </c>
      <c r="BZ883" s="2" t="s">
        <v>100</v>
      </c>
    </row>
    <row r="884">
      <c r="A884" s="2" t="s">
        <v>3357</v>
      </c>
      <c r="B884" s="2" t="s">
        <v>87</v>
      </c>
      <c r="C884" s="2" t="s">
        <v>3302</v>
      </c>
      <c r="D884" s="2" t="s">
        <v>1496</v>
      </c>
      <c r="E884" s="2" t="s">
        <v>1648</v>
      </c>
      <c r="F884" s="2" t="s">
        <v>3310</v>
      </c>
      <c r="G884" s="2" t="s">
        <v>100</v>
      </c>
      <c r="H884" s="2" t="s">
        <v>100</v>
      </c>
      <c r="I884" s="2" t="s">
        <v>2746</v>
      </c>
      <c r="J884" s="2" t="s">
        <v>95</v>
      </c>
      <c r="K884" s="2" t="s">
        <v>706</v>
      </c>
      <c r="L884" s="3">
        <v>75.2</v>
      </c>
      <c r="M884" s="3">
        <v>78.96</v>
      </c>
      <c r="N884" s="3">
        <v>159.99</v>
      </c>
      <c r="O884" s="2" t="s">
        <v>97</v>
      </c>
      <c r="P884" s="2" t="s">
        <v>123</v>
      </c>
      <c r="Q884" s="2" t="s">
        <v>99</v>
      </c>
      <c r="R884" s="2" t="s">
        <v>100</v>
      </c>
      <c r="S884" s="2" t="s">
        <v>3327</v>
      </c>
      <c r="T884" s="2" t="s">
        <v>100</v>
      </c>
      <c r="U884" s="2" t="s">
        <v>901</v>
      </c>
      <c r="V884" s="2" t="s">
        <v>192</v>
      </c>
      <c r="W884" s="2" t="s">
        <v>686</v>
      </c>
      <c r="X884" s="2" t="s">
        <v>609</v>
      </c>
      <c r="Y884" s="2" t="s">
        <v>144</v>
      </c>
      <c r="Z884" s="4">
        <v>21</v>
      </c>
      <c r="AA884" s="4">
        <f>=ROUNDDOWN(7,0)</f>
      </c>
      <c r="AB884" s="5">
        <v>3</v>
      </c>
      <c r="AC884" s="2" t="s">
        <v>262</v>
      </c>
      <c r="AD884" s="4">
        <v>75</v>
      </c>
      <c r="AE884" s="4">
        <v>185</v>
      </c>
      <c r="AF884" s="6">
        <v>63</v>
      </c>
      <c r="AG884" s="6"/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/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/>
      <c r="BJ884" s="4">
        <v>10</v>
      </c>
      <c r="BK884" s="8">
        <v>817.07</v>
      </c>
      <c r="BL884" s="2" t="s">
        <v>2744</v>
      </c>
      <c r="BM884" s="7"/>
      <c r="BN884" s="7"/>
      <c r="BO884" s="4"/>
      <c r="BP884" s="8"/>
      <c r="BQ884" s="4"/>
      <c r="BR884" s="8"/>
      <c r="BS884" s="7"/>
      <c r="BT884" s="7"/>
      <c r="BU884" s="2" t="s">
        <v>2551</v>
      </c>
      <c r="BV884" s="2" t="s">
        <v>97</v>
      </c>
      <c r="BW884" s="2" t="s">
        <v>100</v>
      </c>
      <c r="BX884" s="2" t="s">
        <v>100</v>
      </c>
      <c r="BY884" s="2" t="s">
        <v>112</v>
      </c>
      <c r="BZ884" s="2" t="s">
        <v>100</v>
      </c>
    </row>
    <row r="885">
      <c r="A885" s="2" t="s">
        <v>3358</v>
      </c>
      <c r="B885" s="2" t="s">
        <v>87</v>
      </c>
      <c r="C885" s="2" t="s">
        <v>3302</v>
      </c>
      <c r="D885" s="2" t="s">
        <v>1496</v>
      </c>
      <c r="E885" s="2" t="s">
        <v>1648</v>
      </c>
      <c r="F885" s="2" t="s">
        <v>3310</v>
      </c>
      <c r="G885" s="2" t="s">
        <v>100</v>
      </c>
      <c r="H885" s="2" t="s">
        <v>100</v>
      </c>
      <c r="I885" s="2" t="s">
        <v>2746</v>
      </c>
      <c r="J885" s="2" t="s">
        <v>114</v>
      </c>
      <c r="K885" s="2" t="s">
        <v>706</v>
      </c>
      <c r="L885" s="3">
        <v>84.6</v>
      </c>
      <c r="M885" s="3">
        <v>88.83</v>
      </c>
      <c r="N885" s="3">
        <v>179.99</v>
      </c>
      <c r="O885" s="2" t="s">
        <v>97</v>
      </c>
      <c r="P885" s="2" t="s">
        <v>123</v>
      </c>
      <c r="Q885" s="2" t="s">
        <v>99</v>
      </c>
      <c r="R885" s="2" t="s">
        <v>100</v>
      </c>
      <c r="S885" s="2" t="s">
        <v>3327</v>
      </c>
      <c r="T885" s="2" t="s">
        <v>100</v>
      </c>
      <c r="U885" s="2" t="s">
        <v>901</v>
      </c>
      <c r="V885" s="2" t="s">
        <v>192</v>
      </c>
      <c r="W885" s="2" t="s">
        <v>686</v>
      </c>
      <c r="X885" s="2" t="s">
        <v>609</v>
      </c>
      <c r="Y885" s="2" t="s">
        <v>1113</v>
      </c>
      <c r="Z885" s="4">
        <v>66</v>
      </c>
      <c r="AA885" s="4">
        <f>=ROUNDDOWN(16.5,0)</f>
      </c>
      <c r="AB885" s="5">
        <v>4</v>
      </c>
      <c r="AC885" s="2" t="s">
        <v>262</v>
      </c>
      <c r="AD885" s="4">
        <v>70</v>
      </c>
      <c r="AE885" s="4">
        <v>145</v>
      </c>
      <c r="AF885" s="6">
        <v>63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/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/>
      <c r="BJ885" s="4">
        <v>13</v>
      </c>
      <c r="BK885" s="8">
        <v>1326.26</v>
      </c>
      <c r="BL885" s="2" t="s">
        <v>3359</v>
      </c>
      <c r="BM885" s="7"/>
      <c r="BN885" s="7"/>
      <c r="BO885" s="4"/>
      <c r="BP885" s="8"/>
      <c r="BQ885" s="4"/>
      <c r="BR885" s="8"/>
      <c r="BS885" s="7"/>
      <c r="BT885" s="7"/>
      <c r="BU885" s="2" t="s">
        <v>2551</v>
      </c>
      <c r="BV885" s="2" t="s">
        <v>97</v>
      </c>
      <c r="BW885" s="2" t="s">
        <v>100</v>
      </c>
      <c r="BX885" s="2" t="s">
        <v>100</v>
      </c>
      <c r="BY885" s="2" t="s">
        <v>112</v>
      </c>
      <c r="BZ885" s="2" t="s">
        <v>100</v>
      </c>
    </row>
    <row r="886">
      <c r="A886" s="2" t="s">
        <v>3360</v>
      </c>
      <c r="B886" s="2" t="s">
        <v>87</v>
      </c>
      <c r="C886" s="2" t="s">
        <v>3302</v>
      </c>
      <c r="D886" s="2" t="s">
        <v>1496</v>
      </c>
      <c r="E886" s="2" t="s">
        <v>1648</v>
      </c>
      <c r="F886" s="2" t="s">
        <v>3313</v>
      </c>
      <c r="G886" s="2" t="s">
        <v>3313</v>
      </c>
      <c r="H886" s="2" t="s">
        <v>3313</v>
      </c>
      <c r="I886" s="2" t="s">
        <v>3361</v>
      </c>
      <c r="J886" s="2" t="s">
        <v>522</v>
      </c>
      <c r="K886" s="2" t="s">
        <v>96</v>
      </c>
      <c r="L886" s="3">
        <v>75.2</v>
      </c>
      <c r="M886" s="3">
        <v>78.96</v>
      </c>
      <c r="N886" s="3">
        <v>159.99</v>
      </c>
      <c r="O886" s="2" t="s">
        <v>97</v>
      </c>
      <c r="P886" s="2" t="s">
        <v>123</v>
      </c>
      <c r="Q886" s="2" t="s">
        <v>99</v>
      </c>
      <c r="R886" s="2" t="s">
        <v>100</v>
      </c>
      <c r="S886" s="2" t="s">
        <v>3316</v>
      </c>
      <c r="T886" s="2" t="s">
        <v>190</v>
      </c>
      <c r="U886" s="2" t="s">
        <v>901</v>
      </c>
      <c r="V886" s="2" t="s">
        <v>461</v>
      </c>
      <c r="W886" s="2" t="s">
        <v>142</v>
      </c>
      <c r="X886" s="2" t="s">
        <v>493</v>
      </c>
      <c r="Y886" s="2" t="s">
        <v>3317</v>
      </c>
      <c r="Z886" s="4">
        <v>49</v>
      </c>
      <c r="AA886" s="4">
        <f>=ROUNDDOWN(24.5,0)</f>
      </c>
      <c r="AB886" s="5">
        <v>2</v>
      </c>
      <c r="AC886" s="2" t="s">
        <v>2843</v>
      </c>
      <c r="AD886" s="4">
        <v>50</v>
      </c>
      <c r="AE886" s="4">
        <v>50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100</v>
      </c>
      <c r="AW886" s="8" t="s">
        <v>100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/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/>
      <c r="BJ886" s="4">
        <v>5</v>
      </c>
      <c r="BK886" s="8">
        <v>370.6</v>
      </c>
      <c r="BL886" s="2" t="s">
        <v>2605</v>
      </c>
      <c r="BM886" s="7"/>
      <c r="BN886" s="7"/>
      <c r="BO886" s="4"/>
      <c r="BP886" s="8"/>
      <c r="BQ886" s="4"/>
      <c r="BR886" s="8"/>
      <c r="BS886" s="7"/>
      <c r="BT886" s="7"/>
      <c r="BU886" s="2" t="s">
        <v>2551</v>
      </c>
      <c r="BV886" s="2" t="s">
        <v>97</v>
      </c>
      <c r="BW886" s="2" t="s">
        <v>100</v>
      </c>
      <c r="BX886" s="2" t="s">
        <v>100</v>
      </c>
      <c r="BY886" s="2" t="s">
        <v>112</v>
      </c>
      <c r="BZ886" s="2" t="s">
        <v>100</v>
      </c>
    </row>
    <row r="887">
      <c r="A887" s="2" t="s">
        <v>3362</v>
      </c>
      <c r="B887" s="2" t="s">
        <v>87</v>
      </c>
      <c r="C887" s="2" t="s">
        <v>3302</v>
      </c>
      <c r="D887" s="2" t="s">
        <v>1496</v>
      </c>
      <c r="E887" s="2" t="s">
        <v>1648</v>
      </c>
      <c r="F887" s="2" t="s">
        <v>3313</v>
      </c>
      <c r="G887" s="2" t="s">
        <v>3313</v>
      </c>
      <c r="H887" s="2" t="s">
        <v>3313</v>
      </c>
      <c r="I887" s="2" t="s">
        <v>3361</v>
      </c>
      <c r="J887" s="2" t="s">
        <v>114</v>
      </c>
      <c r="K887" s="2" t="s">
        <v>96</v>
      </c>
      <c r="L887" s="3">
        <v>84.6</v>
      </c>
      <c r="M887" s="3">
        <v>88.83</v>
      </c>
      <c r="N887" s="3">
        <v>179.99</v>
      </c>
      <c r="O887" s="2" t="s">
        <v>97</v>
      </c>
      <c r="P887" s="2" t="s">
        <v>123</v>
      </c>
      <c r="Q887" s="2" t="s">
        <v>99</v>
      </c>
      <c r="R887" s="2" t="s">
        <v>100</v>
      </c>
      <c r="S887" s="2" t="s">
        <v>3316</v>
      </c>
      <c r="T887" s="2" t="s">
        <v>190</v>
      </c>
      <c r="U887" s="2" t="s">
        <v>901</v>
      </c>
      <c r="V887" s="2" t="s">
        <v>461</v>
      </c>
      <c r="W887" s="2" t="s">
        <v>142</v>
      </c>
      <c r="X887" s="2" t="s">
        <v>493</v>
      </c>
      <c r="Y887" s="2" t="s">
        <v>3317</v>
      </c>
      <c r="Z887" s="4">
        <v>3</v>
      </c>
      <c r="AA887" s="4">
        <f>=ROUNDDOWN(0.6,0)</f>
      </c>
      <c r="AB887" s="5">
        <v>5</v>
      </c>
      <c r="AC887" s="2" t="s">
        <v>2363</v>
      </c>
      <c r="AD887" s="4">
        <v>35</v>
      </c>
      <c r="AE887" s="4">
        <v>140</v>
      </c>
      <c r="AF887" s="6">
        <v>65</v>
      </c>
      <c r="AG887" s="6"/>
      <c r="AH887" s="7">
        <v>0.2903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/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/>
      <c r="BJ887" s="4">
        <v>7</v>
      </c>
      <c r="BK887" s="8">
        <v>597.5</v>
      </c>
      <c r="BL887" s="2" t="s">
        <v>3363</v>
      </c>
      <c r="BM887" s="7"/>
      <c r="BN887" s="7"/>
      <c r="BO887" s="4"/>
      <c r="BP887" s="8"/>
      <c r="BQ887" s="4"/>
      <c r="BR887" s="8"/>
      <c r="BS887" s="7"/>
      <c r="BT887" s="7"/>
      <c r="BU887" s="2" t="s">
        <v>2551</v>
      </c>
      <c r="BV887" s="2" t="s">
        <v>97</v>
      </c>
      <c r="BW887" s="2" t="s">
        <v>100</v>
      </c>
      <c r="BX887" s="2" t="s">
        <v>100</v>
      </c>
      <c r="BY887" s="2" t="s">
        <v>112</v>
      </c>
      <c r="BZ887" s="2" t="s">
        <v>100</v>
      </c>
    </row>
    <row r="888">
      <c r="A888" s="2" t="s">
        <v>3364</v>
      </c>
      <c r="B888" s="2" t="s">
        <v>87</v>
      </c>
      <c r="C888" s="2" t="s">
        <v>3302</v>
      </c>
      <c r="D888" s="2" t="s">
        <v>1496</v>
      </c>
      <c r="E888" s="2" t="s">
        <v>1648</v>
      </c>
      <c r="F888" s="2" t="s">
        <v>3313</v>
      </c>
      <c r="G888" s="2" t="s">
        <v>3313</v>
      </c>
      <c r="H888" s="2" t="s">
        <v>3313</v>
      </c>
      <c r="I888" s="2" t="s">
        <v>3361</v>
      </c>
      <c r="J888" s="2" t="s">
        <v>522</v>
      </c>
      <c r="K888" s="2" t="s">
        <v>458</v>
      </c>
      <c r="L888" s="3">
        <v>75.2</v>
      </c>
      <c r="M888" s="3">
        <v>78.96</v>
      </c>
      <c r="N888" s="3">
        <v>159.99</v>
      </c>
      <c r="O888" s="2" t="s">
        <v>97</v>
      </c>
      <c r="P888" s="2" t="s">
        <v>123</v>
      </c>
      <c r="Q888" s="2" t="s">
        <v>99</v>
      </c>
      <c r="R888" s="2" t="s">
        <v>100</v>
      </c>
      <c r="S888" s="2" t="s">
        <v>3334</v>
      </c>
      <c r="T888" s="2" t="s">
        <v>190</v>
      </c>
      <c r="U888" s="2" t="s">
        <v>901</v>
      </c>
      <c r="V888" s="2" t="s">
        <v>461</v>
      </c>
      <c r="W888" s="2" t="s">
        <v>142</v>
      </c>
      <c r="X888" s="2" t="s">
        <v>493</v>
      </c>
      <c r="Y888" s="2" t="s">
        <v>3317</v>
      </c>
      <c r="Z888" s="4">
        <v>32</v>
      </c>
      <c r="AA888" s="4">
        <f>=ROUNDDOWN(16,0)</f>
      </c>
      <c r="AB888" s="5">
        <v>2</v>
      </c>
      <c r="AC888" s="2" t="s">
        <v>2363</v>
      </c>
      <c r="AD888" s="4">
        <v>12</v>
      </c>
      <c r="AE888" s="4">
        <v>34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/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/>
      <c r="BJ888" s="4">
        <v>6</v>
      </c>
      <c r="BK888" s="8">
        <v>452.15</v>
      </c>
      <c r="BL888" s="2" t="s">
        <v>3294</v>
      </c>
      <c r="BM888" s="7"/>
      <c r="BN888" s="7"/>
      <c r="BO888" s="4"/>
      <c r="BP888" s="8"/>
      <c r="BQ888" s="4"/>
      <c r="BR888" s="8"/>
      <c r="BS888" s="7"/>
      <c r="BT888" s="7"/>
      <c r="BU888" s="2" t="s">
        <v>2551</v>
      </c>
      <c r="BV888" s="2" t="s">
        <v>97</v>
      </c>
      <c r="BW888" s="2" t="s">
        <v>100</v>
      </c>
      <c r="BX888" s="2" t="s">
        <v>100</v>
      </c>
      <c r="BY888" s="2" t="s">
        <v>112</v>
      </c>
      <c r="BZ888" s="2" t="s">
        <v>100</v>
      </c>
    </row>
    <row r="889">
      <c r="A889" s="2" t="s">
        <v>3365</v>
      </c>
      <c r="B889" s="2" t="s">
        <v>87</v>
      </c>
      <c r="C889" s="2" t="s">
        <v>3302</v>
      </c>
      <c r="D889" s="2" t="s">
        <v>1496</v>
      </c>
      <c r="E889" s="2" t="s">
        <v>1648</v>
      </c>
      <c r="F889" s="2" t="s">
        <v>3313</v>
      </c>
      <c r="G889" s="2" t="s">
        <v>3313</v>
      </c>
      <c r="H889" s="2" t="s">
        <v>3313</v>
      </c>
      <c r="I889" s="2" t="s">
        <v>3361</v>
      </c>
      <c r="J889" s="2" t="s">
        <v>114</v>
      </c>
      <c r="K889" s="2" t="s">
        <v>458</v>
      </c>
      <c r="L889" s="3">
        <v>84.6</v>
      </c>
      <c r="M889" s="3">
        <v>88.83</v>
      </c>
      <c r="N889" s="3">
        <v>179.99</v>
      </c>
      <c r="O889" s="2" t="s">
        <v>97</v>
      </c>
      <c r="P889" s="2" t="s">
        <v>123</v>
      </c>
      <c r="Q889" s="2" t="s">
        <v>99</v>
      </c>
      <c r="R889" s="2" t="s">
        <v>100</v>
      </c>
      <c r="S889" s="2" t="s">
        <v>3334</v>
      </c>
      <c r="T889" s="2" t="s">
        <v>190</v>
      </c>
      <c r="U889" s="2" t="s">
        <v>901</v>
      </c>
      <c r="V889" s="2" t="s">
        <v>461</v>
      </c>
      <c r="W889" s="2" t="s">
        <v>142</v>
      </c>
      <c r="X889" s="2" t="s">
        <v>493</v>
      </c>
      <c r="Y889" s="2" t="s">
        <v>3317</v>
      </c>
      <c r="Z889" s="4">
        <v>32</v>
      </c>
      <c r="AA889" s="4">
        <f>=ROUNDDOWN(6.4,0)</f>
      </c>
      <c r="AB889" s="5">
        <v>5</v>
      </c>
      <c r="AC889" s="2" t="s">
        <v>1767</v>
      </c>
      <c r="AD889" s="4">
        <v>25</v>
      </c>
      <c r="AE889" s="4">
        <v>179</v>
      </c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/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/>
      <c r="BJ889" s="4">
        <v>22</v>
      </c>
      <c r="BK889" s="8">
        <v>1913.8</v>
      </c>
      <c r="BL889" s="2" t="s">
        <v>2693</v>
      </c>
      <c r="BM889" s="7"/>
      <c r="BN889" s="7"/>
      <c r="BO889" s="4"/>
      <c r="BP889" s="8"/>
      <c r="BQ889" s="4"/>
      <c r="BR889" s="8"/>
      <c r="BS889" s="7"/>
      <c r="BT889" s="7"/>
      <c r="BU889" s="2" t="s">
        <v>2551</v>
      </c>
      <c r="BV889" s="2" t="s">
        <v>97</v>
      </c>
      <c r="BW889" s="2" t="s">
        <v>100</v>
      </c>
      <c r="BX889" s="2" t="s">
        <v>100</v>
      </c>
      <c r="BY889" s="2" t="s">
        <v>112</v>
      </c>
      <c r="BZ889" s="2" t="s">
        <v>100</v>
      </c>
    </row>
    <row r="890">
      <c r="A890" s="2" t="s">
        <v>3366</v>
      </c>
      <c r="B890" s="2" t="s">
        <v>87</v>
      </c>
      <c r="C890" s="2" t="s">
        <v>3302</v>
      </c>
      <c r="D890" s="2" t="s">
        <v>1496</v>
      </c>
      <c r="E890" s="2" t="s">
        <v>1648</v>
      </c>
      <c r="F890" s="2" t="s">
        <v>3338</v>
      </c>
      <c r="G890" s="2" t="s">
        <v>3338</v>
      </c>
      <c r="H890" s="2" t="s">
        <v>3338</v>
      </c>
      <c r="I890" s="2" t="s">
        <v>3367</v>
      </c>
      <c r="J890" s="2" t="s">
        <v>522</v>
      </c>
      <c r="K890" s="2" t="s">
        <v>3340</v>
      </c>
      <c r="L890" s="3">
        <v>75.2</v>
      </c>
      <c r="M890" s="3">
        <v>78.96</v>
      </c>
      <c r="N890" s="3">
        <v>159.99</v>
      </c>
      <c r="O890" s="2" t="s">
        <v>97</v>
      </c>
      <c r="P890" s="2" t="s">
        <v>123</v>
      </c>
      <c r="Q890" s="2" t="s">
        <v>99</v>
      </c>
      <c r="R890" s="2" t="s">
        <v>100</v>
      </c>
      <c r="S890" s="2" t="s">
        <v>3341</v>
      </c>
      <c r="T890" s="2" t="s">
        <v>190</v>
      </c>
      <c r="U890" s="2" t="s">
        <v>901</v>
      </c>
      <c r="V890" s="2" t="s">
        <v>192</v>
      </c>
      <c r="W890" s="2" t="s">
        <v>686</v>
      </c>
      <c r="X890" s="2" t="s">
        <v>525</v>
      </c>
      <c r="Y890" s="2" t="s">
        <v>3342</v>
      </c>
      <c r="Z890" s="4">
        <v>83</v>
      </c>
      <c r="AA890" s="4">
        <f>=ROUNDDOWN(16.6,0)</f>
      </c>
      <c r="AB890" s="5">
        <v>5</v>
      </c>
      <c r="AC890" s="2" t="s">
        <v>3343</v>
      </c>
      <c r="AD890" s="4">
        <v>85</v>
      </c>
      <c r="AE890" s="4">
        <v>145</v>
      </c>
      <c r="AF890" s="6">
        <v>63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/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/>
      <c r="BJ890" s="4">
        <v>20</v>
      </c>
      <c r="BK890" s="8">
        <v>1532.55</v>
      </c>
      <c r="BL890" s="2" t="s">
        <v>3368</v>
      </c>
      <c r="BM890" s="7"/>
      <c r="BN890" s="7"/>
      <c r="BO890" s="4"/>
      <c r="BP890" s="8"/>
      <c r="BQ890" s="4"/>
      <c r="BR890" s="8"/>
      <c r="BS890" s="7"/>
      <c r="BT890" s="7"/>
      <c r="BU890" s="2" t="s">
        <v>2551</v>
      </c>
      <c r="BV890" s="2" t="s">
        <v>97</v>
      </c>
      <c r="BW890" s="2" t="s">
        <v>100</v>
      </c>
      <c r="BX890" s="2" t="s">
        <v>100</v>
      </c>
      <c r="BY890" s="2" t="s">
        <v>112</v>
      </c>
      <c r="BZ890" s="2" t="s">
        <v>100</v>
      </c>
    </row>
    <row r="891">
      <c r="A891" s="2" t="s">
        <v>3369</v>
      </c>
      <c r="B891" s="2" t="s">
        <v>87</v>
      </c>
      <c r="C891" s="2" t="s">
        <v>3302</v>
      </c>
      <c r="D891" s="2" t="s">
        <v>1496</v>
      </c>
      <c r="E891" s="2" t="s">
        <v>1648</v>
      </c>
      <c r="F891" s="2" t="s">
        <v>3338</v>
      </c>
      <c r="G891" s="2" t="s">
        <v>3338</v>
      </c>
      <c r="H891" s="2" t="s">
        <v>3338</v>
      </c>
      <c r="I891" s="2" t="s">
        <v>3367</v>
      </c>
      <c r="J891" s="2" t="s">
        <v>114</v>
      </c>
      <c r="K891" s="2" t="s">
        <v>3340</v>
      </c>
      <c r="L891" s="3">
        <v>84.6</v>
      </c>
      <c r="M891" s="3">
        <v>88.83</v>
      </c>
      <c r="N891" s="3">
        <v>179.99</v>
      </c>
      <c r="O891" s="2" t="s">
        <v>97</v>
      </c>
      <c r="P891" s="2" t="s">
        <v>123</v>
      </c>
      <c r="Q891" s="2" t="s">
        <v>99</v>
      </c>
      <c r="R891" s="2" t="s">
        <v>100</v>
      </c>
      <c r="S891" s="2" t="s">
        <v>3341</v>
      </c>
      <c r="T891" s="2" t="s">
        <v>190</v>
      </c>
      <c r="U891" s="2" t="s">
        <v>901</v>
      </c>
      <c r="V891" s="2" t="s">
        <v>192</v>
      </c>
      <c r="W891" s="2" t="s">
        <v>686</v>
      </c>
      <c r="X891" s="2" t="s">
        <v>525</v>
      </c>
      <c r="Y891" s="2" t="s">
        <v>3342</v>
      </c>
      <c r="Z891" s="4">
        <v>93</v>
      </c>
      <c r="AA891" s="4">
        <f>=ROUNDDOWN(18.6,0)</f>
      </c>
      <c r="AB891" s="5">
        <v>5</v>
      </c>
      <c r="AC891" s="2" t="s">
        <v>3343</v>
      </c>
      <c r="AD891" s="4">
        <v>85</v>
      </c>
      <c r="AE891" s="4">
        <v>145</v>
      </c>
      <c r="AF891" s="6">
        <v>63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/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/>
      <c r="BJ891" s="4">
        <v>16</v>
      </c>
      <c r="BK891" s="8">
        <v>1405.13</v>
      </c>
      <c r="BL891" s="2" t="s">
        <v>3370</v>
      </c>
      <c r="BM891" s="7"/>
      <c r="BN891" s="7"/>
      <c r="BO891" s="4"/>
      <c r="BP891" s="8"/>
      <c r="BQ891" s="4"/>
      <c r="BR891" s="8"/>
      <c r="BS891" s="7"/>
      <c r="BT891" s="7"/>
      <c r="BU891" s="2" t="s">
        <v>2551</v>
      </c>
      <c r="BV891" s="2" t="s">
        <v>97</v>
      </c>
      <c r="BW891" s="2" t="s">
        <v>100</v>
      </c>
      <c r="BX891" s="2" t="s">
        <v>100</v>
      </c>
      <c r="BY891" s="2" t="s">
        <v>112</v>
      </c>
      <c r="BZ891" s="2" t="s">
        <v>100</v>
      </c>
    </row>
    <row r="892">
      <c r="A892" s="2" t="s">
        <v>3371</v>
      </c>
      <c r="B892" s="2" t="s">
        <v>87</v>
      </c>
      <c r="C892" s="2" t="s">
        <v>3302</v>
      </c>
      <c r="D892" s="2" t="s">
        <v>2505</v>
      </c>
      <c r="E892" s="2" t="s">
        <v>2506</v>
      </c>
      <c r="F892" s="2" t="s">
        <v>3310</v>
      </c>
      <c r="G892" s="2" t="s">
        <v>100</v>
      </c>
      <c r="H892" s="2" t="s">
        <v>100</v>
      </c>
      <c r="I892" s="2" t="s">
        <v>2811</v>
      </c>
      <c r="J892" s="2" t="s">
        <v>2509</v>
      </c>
      <c r="K892" s="2" t="s">
        <v>236</v>
      </c>
      <c r="L892" s="3">
        <v>27.5</v>
      </c>
      <c r="M892" s="3">
        <v>28.87</v>
      </c>
      <c r="N892" s="3">
        <v>54.99</v>
      </c>
      <c r="O892" s="2" t="s">
        <v>97</v>
      </c>
      <c r="P892" s="2" t="s">
        <v>123</v>
      </c>
      <c r="Q892" s="2" t="s">
        <v>99</v>
      </c>
      <c r="R892" s="2" t="s">
        <v>100</v>
      </c>
      <c r="S892" s="2" t="s">
        <v>3372</v>
      </c>
      <c r="T892" s="2" t="s">
        <v>100</v>
      </c>
      <c r="U892" s="2" t="s">
        <v>100</v>
      </c>
      <c r="V892" s="2" t="s">
        <v>192</v>
      </c>
      <c r="W892" s="2" t="s">
        <v>686</v>
      </c>
      <c r="X892" s="2" t="s">
        <v>609</v>
      </c>
      <c r="Y892" s="2" t="s">
        <v>144</v>
      </c>
      <c r="Z892" s="4">
        <v>96</v>
      </c>
      <c r="AA892" s="4">
        <f>=ROUNDDOWN(32,0)</f>
      </c>
      <c r="AB892" s="5">
        <v>3</v>
      </c>
      <c r="AC892" s="2" t="s">
        <v>100</v>
      </c>
      <c r="AD892" s="4"/>
      <c r="AE892" s="4"/>
      <c r="AF892" s="6">
        <v>68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/>
      <c r="BD892" s="8"/>
      <c r="BE892" s="4"/>
      <c r="BF892" s="8"/>
      <c r="BG892" s="7"/>
      <c r="BH892" s="7"/>
      <c r="BI892" s="7"/>
      <c r="BJ892" s="4">
        <v>11</v>
      </c>
      <c r="BK892" s="8">
        <v>275.4</v>
      </c>
      <c r="BL892" s="2" t="s">
        <v>2668</v>
      </c>
      <c r="BM892" s="7"/>
      <c r="BN892" s="7"/>
      <c r="BO892" s="4"/>
      <c r="BP892" s="8"/>
      <c r="BQ892" s="4"/>
      <c r="BR892" s="8"/>
      <c r="BS892" s="7"/>
      <c r="BT892" s="7"/>
      <c r="BU892" s="2" t="s">
        <v>2551</v>
      </c>
      <c r="BV892" s="2" t="s">
        <v>97</v>
      </c>
      <c r="BW892" s="2" t="s">
        <v>100</v>
      </c>
      <c r="BX892" s="2" t="s">
        <v>100</v>
      </c>
      <c r="BY892" s="2" t="s">
        <v>112</v>
      </c>
      <c r="BZ892" s="2" t="s">
        <v>100</v>
      </c>
    </row>
    <row r="893">
      <c r="A893" s="2" t="s">
        <v>3373</v>
      </c>
      <c r="B893" s="2" t="s">
        <v>87</v>
      </c>
      <c r="C893" s="2" t="s">
        <v>3302</v>
      </c>
      <c r="D893" s="2" t="s">
        <v>2505</v>
      </c>
      <c r="E893" s="2" t="s">
        <v>2506</v>
      </c>
      <c r="F893" s="2" t="s">
        <v>3313</v>
      </c>
      <c r="G893" s="2" t="s">
        <v>3313</v>
      </c>
      <c r="H893" s="2" t="s">
        <v>3313</v>
      </c>
      <c r="I893" s="2" t="s">
        <v>2790</v>
      </c>
      <c r="J893" s="2" t="s">
        <v>2514</v>
      </c>
      <c r="K893" s="2" t="s">
        <v>96</v>
      </c>
      <c r="L893" s="3">
        <v>18</v>
      </c>
      <c r="M893" s="3">
        <v>18.9</v>
      </c>
      <c r="N893" s="3">
        <v>44.99</v>
      </c>
      <c r="O893" s="2" t="s">
        <v>97</v>
      </c>
      <c r="P893" s="2" t="s">
        <v>123</v>
      </c>
      <c r="Q893" s="2" t="s">
        <v>99</v>
      </c>
      <c r="R893" s="2" t="s">
        <v>100</v>
      </c>
      <c r="S893" s="2" t="s">
        <v>3374</v>
      </c>
      <c r="T893" s="2" t="s">
        <v>190</v>
      </c>
      <c r="U893" s="2" t="s">
        <v>1776</v>
      </c>
      <c r="V893" s="2" t="s">
        <v>461</v>
      </c>
      <c r="W893" s="2" t="s">
        <v>142</v>
      </c>
      <c r="X893" s="2" t="s">
        <v>493</v>
      </c>
      <c r="Y893" s="2" t="s">
        <v>3317</v>
      </c>
      <c r="Z893" s="4">
        <v>81</v>
      </c>
      <c r="AA893" s="4">
        <f>=ROUNDDOWN(27,0)</f>
      </c>
      <c r="AB893" s="5">
        <v>3</v>
      </c>
      <c r="AC893" s="2" t="s">
        <v>2363</v>
      </c>
      <c r="AD893" s="4">
        <v>60</v>
      </c>
      <c r="AE893" s="4">
        <v>150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/>
      <c r="BJ893" s="4">
        <v>9</v>
      </c>
      <c r="BK893" s="8">
        <v>170.33</v>
      </c>
      <c r="BL893" s="2" t="s">
        <v>1638</v>
      </c>
      <c r="BM893" s="7"/>
      <c r="BN893" s="7"/>
      <c r="BO893" s="4"/>
      <c r="BP893" s="8"/>
      <c r="BQ893" s="4"/>
      <c r="BR893" s="8"/>
      <c r="BS893" s="7"/>
      <c r="BT893" s="7"/>
      <c r="BU893" s="2" t="s">
        <v>2551</v>
      </c>
      <c r="BV893" s="2" t="s">
        <v>97</v>
      </c>
      <c r="BW893" s="2" t="s">
        <v>100</v>
      </c>
      <c r="BX893" s="2" t="s">
        <v>100</v>
      </c>
      <c r="BY893" s="2" t="s">
        <v>112</v>
      </c>
      <c r="BZ893" s="2" t="s">
        <v>100</v>
      </c>
    </row>
    <row r="894">
      <c r="A894" s="2" t="s">
        <v>3375</v>
      </c>
      <c r="B894" s="2" t="s">
        <v>87</v>
      </c>
      <c r="C894" s="2" t="s">
        <v>3302</v>
      </c>
      <c r="D894" s="2" t="s">
        <v>2505</v>
      </c>
      <c r="E894" s="2" t="s">
        <v>2506</v>
      </c>
      <c r="F894" s="2" t="s">
        <v>3313</v>
      </c>
      <c r="G894" s="2" t="s">
        <v>3313</v>
      </c>
      <c r="H894" s="2" t="s">
        <v>3313</v>
      </c>
      <c r="I894" s="2" t="s">
        <v>2790</v>
      </c>
      <c r="J894" s="2" t="s">
        <v>2514</v>
      </c>
      <c r="K894" s="2" t="s">
        <v>458</v>
      </c>
      <c r="L894" s="3">
        <v>18</v>
      </c>
      <c r="M894" s="3">
        <v>18.9</v>
      </c>
      <c r="N894" s="3">
        <v>44.99</v>
      </c>
      <c r="O894" s="2" t="s">
        <v>97</v>
      </c>
      <c r="P894" s="2" t="s">
        <v>123</v>
      </c>
      <c r="Q894" s="2" t="s">
        <v>99</v>
      </c>
      <c r="R894" s="2" t="s">
        <v>100</v>
      </c>
      <c r="S894" s="2" t="s">
        <v>3374</v>
      </c>
      <c r="T894" s="2" t="s">
        <v>190</v>
      </c>
      <c r="U894" s="2" t="s">
        <v>1776</v>
      </c>
      <c r="V894" s="2" t="s">
        <v>461</v>
      </c>
      <c r="W894" s="2" t="s">
        <v>142</v>
      </c>
      <c r="X894" s="2" t="s">
        <v>1136</v>
      </c>
      <c r="Y894" s="2" t="s">
        <v>3317</v>
      </c>
      <c r="Z894" s="4">
        <v>86</v>
      </c>
      <c r="AA894" s="4">
        <f>=ROUNDDOWN(28.6666666666667,0)</f>
      </c>
      <c r="AB894" s="5">
        <v>3</v>
      </c>
      <c r="AC894" s="2" t="s">
        <v>1142</v>
      </c>
      <c r="AD894" s="4">
        <v>50</v>
      </c>
      <c r="AE894" s="4">
        <v>50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/>
      <c r="BJ894" s="4">
        <v>7</v>
      </c>
      <c r="BK894" s="8">
        <v>136.39</v>
      </c>
      <c r="BL894" s="2" t="s">
        <v>3376</v>
      </c>
      <c r="BM894" s="7"/>
      <c r="BN894" s="7"/>
      <c r="BO894" s="4"/>
      <c r="BP894" s="8"/>
      <c r="BQ894" s="4"/>
      <c r="BR894" s="8"/>
      <c r="BS894" s="7"/>
      <c r="BT894" s="7"/>
      <c r="BU894" s="2" t="s">
        <v>2551</v>
      </c>
      <c r="BV894" s="2" t="s">
        <v>97</v>
      </c>
      <c r="BW894" s="2" t="s">
        <v>100</v>
      </c>
      <c r="BX894" s="2" t="s">
        <v>100</v>
      </c>
      <c r="BY894" s="2" t="s">
        <v>112</v>
      </c>
      <c r="BZ894" s="2" t="s">
        <v>100</v>
      </c>
    </row>
    <row r="895">
      <c r="A895" s="2" t="s">
        <v>3377</v>
      </c>
      <c r="B895" s="2" t="s">
        <v>87</v>
      </c>
      <c r="C895" s="2" t="s">
        <v>3302</v>
      </c>
      <c r="D895" s="2" t="s">
        <v>2505</v>
      </c>
      <c r="E895" s="2" t="s">
        <v>2506</v>
      </c>
      <c r="F895" s="2" t="s">
        <v>3338</v>
      </c>
      <c r="G895" s="2" t="s">
        <v>3338</v>
      </c>
      <c r="H895" s="2" t="s">
        <v>3338</v>
      </c>
      <c r="I895" s="2" t="s">
        <v>2790</v>
      </c>
      <c r="J895" s="2" t="s">
        <v>2514</v>
      </c>
      <c r="K895" s="2" t="s">
        <v>3340</v>
      </c>
      <c r="L895" s="3">
        <v>18</v>
      </c>
      <c r="M895" s="3">
        <v>18.9</v>
      </c>
      <c r="N895" s="3">
        <v>44.99</v>
      </c>
      <c r="O895" s="2" t="s">
        <v>97</v>
      </c>
      <c r="P895" s="2" t="s">
        <v>123</v>
      </c>
      <c r="Q895" s="2" t="s">
        <v>99</v>
      </c>
      <c r="R895" s="2" t="s">
        <v>100</v>
      </c>
      <c r="S895" s="2" t="s">
        <v>3378</v>
      </c>
      <c r="T895" s="2" t="s">
        <v>190</v>
      </c>
      <c r="U895" s="2" t="s">
        <v>1776</v>
      </c>
      <c r="V895" s="2" t="s">
        <v>192</v>
      </c>
      <c r="W895" s="2" t="s">
        <v>686</v>
      </c>
      <c r="X895" s="2" t="s">
        <v>525</v>
      </c>
      <c r="Y895" s="2" t="s">
        <v>3342</v>
      </c>
      <c r="Z895" s="4">
        <v>80</v>
      </c>
      <c r="AA895" s="4">
        <f>=ROUNDDOWN(16,0)</f>
      </c>
      <c r="AB895" s="5">
        <v>5</v>
      </c>
      <c r="AC895" s="2" t="s">
        <v>3343</v>
      </c>
      <c r="AD895" s="4">
        <v>40</v>
      </c>
      <c r="AE895" s="4">
        <v>165</v>
      </c>
      <c r="AF895" s="6">
        <v>63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/>
      <c r="BD895" s="8"/>
      <c r="BE895" s="4"/>
      <c r="BF895" s="8"/>
      <c r="BG895" s="7"/>
      <c r="BH895" s="7"/>
      <c r="BI895" s="7"/>
      <c r="BJ895" s="4">
        <v>16</v>
      </c>
      <c r="BK895" s="8">
        <v>322.2</v>
      </c>
      <c r="BL895" s="2" t="s">
        <v>3359</v>
      </c>
      <c r="BM895" s="7"/>
      <c r="BN895" s="7"/>
      <c r="BO895" s="4"/>
      <c r="BP895" s="8"/>
      <c r="BQ895" s="4"/>
      <c r="BR895" s="8"/>
      <c r="BS895" s="7"/>
      <c r="BT895" s="7"/>
      <c r="BU895" s="2" t="s">
        <v>2551</v>
      </c>
      <c r="BV895" s="2" t="s">
        <v>97</v>
      </c>
      <c r="BW895" s="2" t="s">
        <v>100</v>
      </c>
      <c r="BX895" s="2" t="s">
        <v>100</v>
      </c>
      <c r="BY895" s="2" t="s">
        <v>112</v>
      </c>
      <c r="BZ895" s="2" t="s">
        <v>100</v>
      </c>
    </row>
    <row r="896">
      <c r="A896" s="2" t="s">
        <v>3379</v>
      </c>
      <c r="B896" s="2" t="s">
        <v>3380</v>
      </c>
      <c r="C896" s="2" t="s">
        <v>2831</v>
      </c>
      <c r="D896" s="2" t="s">
        <v>3381</v>
      </c>
      <c r="E896" s="2" t="s">
        <v>3382</v>
      </c>
      <c r="F896" s="2" t="s">
        <v>3383</v>
      </c>
      <c r="G896" s="2" t="s">
        <v>3383</v>
      </c>
      <c r="H896" s="2" t="s">
        <v>3383</v>
      </c>
      <c r="I896" s="2" t="s">
        <v>3384</v>
      </c>
      <c r="J896" s="2" t="s">
        <v>3385</v>
      </c>
      <c r="K896" s="2" t="s">
        <v>892</v>
      </c>
      <c r="L896" s="3">
        <v>52.62</v>
      </c>
      <c r="M896" s="3">
        <v>55.25</v>
      </c>
      <c r="N896" s="3">
        <v>110.49</v>
      </c>
      <c r="O896" s="2" t="s">
        <v>97</v>
      </c>
      <c r="P896" s="2" t="s">
        <v>98</v>
      </c>
      <c r="Q896" s="2" t="s">
        <v>99</v>
      </c>
      <c r="R896" s="2" t="s">
        <v>100</v>
      </c>
      <c r="S896" s="2" t="s">
        <v>3386</v>
      </c>
      <c r="T896" s="2" t="s">
        <v>100</v>
      </c>
      <c r="U896" s="2" t="s">
        <v>1776</v>
      </c>
      <c r="V896" s="2" t="s">
        <v>103</v>
      </c>
      <c r="W896" s="2" t="s">
        <v>2999</v>
      </c>
      <c r="X896" s="2" t="s">
        <v>100</v>
      </c>
      <c r="Y896" s="2" t="s">
        <v>3387</v>
      </c>
      <c r="Z896" s="4">
        <v>114</v>
      </c>
      <c r="AA896" s="4">
        <f>=ROUNDDOWN(19,0)</f>
      </c>
      <c r="AB896" s="5">
        <v>6</v>
      </c>
      <c r="AC896" s="2" t="s">
        <v>3388</v>
      </c>
      <c r="AD896" s="4">
        <v>100</v>
      </c>
      <c r="AE896" s="4">
        <v>100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>
        <v>24</v>
      </c>
      <c r="BK896" s="8">
        <v>1441.95</v>
      </c>
      <c r="BL896" s="2" t="s">
        <v>3065</v>
      </c>
      <c r="BM896" s="7"/>
      <c r="BN896" s="7"/>
      <c r="BO896" s="4"/>
      <c r="BP896" s="8"/>
      <c r="BQ896" s="4"/>
      <c r="BR896" s="8"/>
      <c r="BS896" s="7"/>
      <c r="BT896" s="7"/>
      <c r="BU896" s="2" t="s">
        <v>2551</v>
      </c>
      <c r="BV896" s="2" t="s">
        <v>97</v>
      </c>
      <c r="BW896" s="2" t="s">
        <v>100</v>
      </c>
      <c r="BX896" s="2" t="s">
        <v>100</v>
      </c>
      <c r="BY896" s="2" t="s">
        <v>112</v>
      </c>
      <c r="BZ896" s="2" t="s">
        <v>149</v>
      </c>
    </row>
    <row r="897">
      <c r="A897" s="2" t="s">
        <v>3389</v>
      </c>
      <c r="B897" s="2" t="s">
        <v>3380</v>
      </c>
      <c r="C897" s="2" t="s">
        <v>2831</v>
      </c>
      <c r="D897" s="2" t="s">
        <v>3381</v>
      </c>
      <c r="E897" s="2" t="s">
        <v>3390</v>
      </c>
      <c r="F897" s="2" t="s">
        <v>3391</v>
      </c>
      <c r="G897" s="2" t="s">
        <v>3391</v>
      </c>
      <c r="H897" s="2" t="s">
        <v>3391</v>
      </c>
      <c r="I897" s="2" t="s">
        <v>3392</v>
      </c>
      <c r="J897" s="2" t="s">
        <v>3385</v>
      </c>
      <c r="K897" s="2" t="s">
        <v>446</v>
      </c>
      <c r="L897" s="3">
        <v>37.19</v>
      </c>
      <c r="M897" s="3">
        <v>39.05</v>
      </c>
      <c r="N897" s="3">
        <v>78.19</v>
      </c>
      <c r="O897" s="2" t="s">
        <v>97</v>
      </c>
      <c r="P897" s="2" t="s">
        <v>707</v>
      </c>
      <c r="Q897" s="2" t="s">
        <v>99</v>
      </c>
      <c r="R897" s="2" t="s">
        <v>100</v>
      </c>
      <c r="S897" s="2" t="s">
        <v>3393</v>
      </c>
      <c r="T897" s="2" t="s">
        <v>100</v>
      </c>
      <c r="U897" s="2" t="s">
        <v>1776</v>
      </c>
      <c r="V897" s="2" t="s">
        <v>461</v>
      </c>
      <c r="W897" s="2" t="s">
        <v>3394</v>
      </c>
      <c r="X897" s="2" t="s">
        <v>100</v>
      </c>
      <c r="Y897" s="2" t="s">
        <v>3395</v>
      </c>
      <c r="Z897" s="4">
        <v>153</v>
      </c>
      <c r="AA897" s="4">
        <f>=ROUNDDOWN(51,0)</f>
      </c>
      <c r="AB897" s="5">
        <v>3</v>
      </c>
      <c r="AC897" s="2" t="s">
        <v>100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>
        <v>5</v>
      </c>
      <c r="BK897" s="8">
        <v>198.37</v>
      </c>
      <c r="BL897" s="2" t="s">
        <v>3396</v>
      </c>
      <c r="BM897" s="7"/>
      <c r="BN897" s="7"/>
      <c r="BO897" s="4"/>
      <c r="BP897" s="8"/>
      <c r="BQ897" s="4"/>
      <c r="BR897" s="8"/>
      <c r="BS897" s="7"/>
      <c r="BT897" s="7"/>
      <c r="BU897" s="2" t="s">
        <v>2526</v>
      </c>
      <c r="BV897" s="2" t="s">
        <v>97</v>
      </c>
      <c r="BW897" s="2" t="s">
        <v>100</v>
      </c>
      <c r="BX897" s="2" t="s">
        <v>100</v>
      </c>
      <c r="BY897" s="2" t="s">
        <v>112</v>
      </c>
      <c r="BZ897" s="2" t="s">
        <v>149</v>
      </c>
    </row>
    <row r="898">
      <c r="A898" s="2" t="s">
        <v>3397</v>
      </c>
      <c r="B898" s="2" t="s">
        <v>3380</v>
      </c>
      <c r="C898" s="2" t="s">
        <v>2831</v>
      </c>
      <c r="D898" s="2" t="s">
        <v>3381</v>
      </c>
      <c r="E898" s="2" t="s">
        <v>3390</v>
      </c>
      <c r="F898" s="2" t="s">
        <v>3398</v>
      </c>
      <c r="G898" s="2" t="s">
        <v>3398</v>
      </c>
      <c r="H898" s="2" t="s">
        <v>3398</v>
      </c>
      <c r="I898" s="2" t="s">
        <v>3399</v>
      </c>
      <c r="J898" s="2" t="s">
        <v>3385</v>
      </c>
      <c r="K898" s="2" t="s">
        <v>165</v>
      </c>
      <c r="L898" s="3">
        <v>22.24</v>
      </c>
      <c r="M898" s="3">
        <v>23.35</v>
      </c>
      <c r="N898" s="3">
        <v>50.99</v>
      </c>
      <c r="O898" s="2" t="s">
        <v>97</v>
      </c>
      <c r="P898" s="2" t="s">
        <v>123</v>
      </c>
      <c r="Q898" s="2" t="s">
        <v>99</v>
      </c>
      <c r="R898" s="2" t="s">
        <v>100</v>
      </c>
      <c r="S898" s="2" t="s">
        <v>3400</v>
      </c>
      <c r="T898" s="2" t="s">
        <v>100</v>
      </c>
      <c r="U898" s="2" t="s">
        <v>1776</v>
      </c>
      <c r="V898" s="2" t="s">
        <v>461</v>
      </c>
      <c r="W898" s="2" t="s">
        <v>3394</v>
      </c>
      <c r="X898" s="2" t="s">
        <v>100</v>
      </c>
      <c r="Y898" s="2" t="s">
        <v>1935</v>
      </c>
      <c r="Z898" s="4">
        <v>121</v>
      </c>
      <c r="AA898" s="4">
        <f>=ROUNDDOWN(7.11764705882353,0)</f>
      </c>
      <c r="AB898" s="5">
        <v>17</v>
      </c>
      <c r="AC898" s="2" t="s">
        <v>783</v>
      </c>
      <c r="AD898" s="4">
        <v>200</v>
      </c>
      <c r="AE898" s="4">
        <v>500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>
        <v>60</v>
      </c>
      <c r="BK898" s="8">
        <v>1538.23</v>
      </c>
      <c r="BL898" s="2" t="s">
        <v>3401</v>
      </c>
      <c r="BM898" s="7"/>
      <c r="BN898" s="7"/>
      <c r="BO898" s="4"/>
      <c r="BP898" s="8"/>
      <c r="BQ898" s="4"/>
      <c r="BR898" s="8"/>
      <c r="BS898" s="7"/>
      <c r="BT898" s="7"/>
      <c r="BU898" s="2" t="s">
        <v>2551</v>
      </c>
      <c r="BV898" s="2" t="s">
        <v>97</v>
      </c>
      <c r="BW898" s="2" t="s">
        <v>100</v>
      </c>
      <c r="BX898" s="2" t="s">
        <v>100</v>
      </c>
      <c r="BY898" s="2" t="s">
        <v>112</v>
      </c>
      <c r="BZ898" s="2" t="s">
        <v>149</v>
      </c>
    </row>
    <row r="899">
      <c r="A899" s="2" t="s">
        <v>3402</v>
      </c>
      <c r="B899" s="2" t="s">
        <v>3380</v>
      </c>
      <c r="C899" s="2" t="s">
        <v>2831</v>
      </c>
      <c r="D899" s="2" t="s">
        <v>3381</v>
      </c>
      <c r="E899" s="2" t="s">
        <v>3390</v>
      </c>
      <c r="F899" s="2" t="s">
        <v>3403</v>
      </c>
      <c r="G899" s="2" t="s">
        <v>3403</v>
      </c>
      <c r="H899" s="2" t="s">
        <v>3403</v>
      </c>
      <c r="I899" s="2" t="s">
        <v>3404</v>
      </c>
      <c r="J899" s="2" t="s">
        <v>3385</v>
      </c>
      <c r="K899" s="2" t="s">
        <v>446</v>
      </c>
      <c r="L899" s="3">
        <v>66.56</v>
      </c>
      <c r="M899" s="3">
        <v>69.89</v>
      </c>
      <c r="N899" s="3">
        <v>144.49</v>
      </c>
      <c r="O899" s="2" t="s">
        <v>97</v>
      </c>
      <c r="P899" s="2" t="s">
        <v>123</v>
      </c>
      <c r="Q899" s="2" t="s">
        <v>99</v>
      </c>
      <c r="R899" s="2" t="s">
        <v>100</v>
      </c>
      <c r="S899" s="2" t="s">
        <v>3405</v>
      </c>
      <c r="T899" s="2" t="s">
        <v>100</v>
      </c>
      <c r="U899" s="2" t="s">
        <v>1776</v>
      </c>
      <c r="V899" s="2" t="s">
        <v>461</v>
      </c>
      <c r="W899" s="2" t="s">
        <v>493</v>
      </c>
      <c r="X899" s="2" t="s">
        <v>100</v>
      </c>
      <c r="Y899" s="2" t="s">
        <v>1688</v>
      </c>
      <c r="Z899" s="4">
        <v>78</v>
      </c>
      <c r="AA899" s="4">
        <f>=ROUNDDOWN(13,0)</f>
      </c>
      <c r="AB899" s="5">
        <v>6</v>
      </c>
      <c r="AC899" s="2" t="s">
        <v>2286</v>
      </c>
      <c r="AD899" s="4">
        <v>75</v>
      </c>
      <c r="AE899" s="4">
        <v>150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>
        <v>40</v>
      </c>
      <c r="BK899" s="8">
        <v>2721.48</v>
      </c>
      <c r="BL899" s="2" t="s">
        <v>3406</v>
      </c>
      <c r="BM899" s="7"/>
      <c r="BN899" s="7"/>
      <c r="BO899" s="4"/>
      <c r="BP899" s="8"/>
      <c r="BQ899" s="4"/>
      <c r="BR899" s="8"/>
      <c r="BS899" s="7"/>
      <c r="BT899" s="7"/>
      <c r="BU899" s="2" t="s">
        <v>2551</v>
      </c>
      <c r="BV899" s="2" t="s">
        <v>97</v>
      </c>
      <c r="BW899" s="2" t="s">
        <v>100</v>
      </c>
      <c r="BX899" s="2" t="s">
        <v>100</v>
      </c>
      <c r="BY899" s="2" t="s">
        <v>112</v>
      </c>
      <c r="BZ899" s="2" t="s">
        <v>100</v>
      </c>
    </row>
    <row r="900">
      <c r="A900" s="2" t="s">
        <v>3407</v>
      </c>
      <c r="B900" s="2" t="s">
        <v>3380</v>
      </c>
      <c r="C900" s="2" t="s">
        <v>2831</v>
      </c>
      <c r="D900" s="2" t="s">
        <v>3408</v>
      </c>
      <c r="E900" s="2" t="s">
        <v>3409</v>
      </c>
      <c r="F900" s="2" t="s">
        <v>3410</v>
      </c>
      <c r="G900" s="2" t="s">
        <v>3410</v>
      </c>
      <c r="H900" s="2" t="s">
        <v>3410</v>
      </c>
      <c r="I900" s="2" t="s">
        <v>3411</v>
      </c>
      <c r="J900" s="2" t="s">
        <v>3385</v>
      </c>
      <c r="K900" s="2" t="s">
        <v>256</v>
      </c>
      <c r="L900" s="3">
        <v>32.38</v>
      </c>
      <c r="M900" s="3">
        <v>34</v>
      </c>
      <c r="N900" s="3">
        <v>67.99</v>
      </c>
      <c r="O900" s="2" t="s">
        <v>97</v>
      </c>
      <c r="P900" s="2" t="s">
        <v>123</v>
      </c>
      <c r="Q900" s="2" t="s">
        <v>99</v>
      </c>
      <c r="R900" s="2" t="s">
        <v>100</v>
      </c>
      <c r="S900" s="2" t="s">
        <v>100</v>
      </c>
      <c r="T900" s="2" t="s">
        <v>100</v>
      </c>
      <c r="U900" s="2" t="s">
        <v>894</v>
      </c>
      <c r="V900" s="2" t="s">
        <v>3412</v>
      </c>
      <c r="W900" s="2" t="s">
        <v>609</v>
      </c>
      <c r="X900" s="2" t="s">
        <v>142</v>
      </c>
      <c r="Y900" s="2" t="s">
        <v>3413</v>
      </c>
      <c r="Z900" s="4">
        <v>166</v>
      </c>
      <c r="AA900" s="4">
        <f>=ROUNDDOWN(11.8571428571429,0)</f>
      </c>
      <c r="AB900" s="5">
        <v>14</v>
      </c>
      <c r="AC900" s="2" t="s">
        <v>990</v>
      </c>
      <c r="AD900" s="4">
        <v>170</v>
      </c>
      <c r="AE900" s="4">
        <v>170</v>
      </c>
      <c r="AF900" s="6">
        <v>63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>
        <v>55</v>
      </c>
      <c r="BK900" s="8">
        <v>2292.34</v>
      </c>
      <c r="BL900" s="2" t="s">
        <v>3414</v>
      </c>
      <c r="BM900" s="7"/>
      <c r="BN900" s="7"/>
      <c r="BO900" s="4"/>
      <c r="BP900" s="8"/>
      <c r="BQ900" s="4"/>
      <c r="BR900" s="8"/>
      <c r="BS900" s="7"/>
      <c r="BT900" s="7"/>
      <c r="BU900" s="2" t="s">
        <v>2551</v>
      </c>
      <c r="BV900" s="2" t="s">
        <v>97</v>
      </c>
      <c r="BW900" s="2" t="s">
        <v>100</v>
      </c>
      <c r="BX900" s="2" t="s">
        <v>100</v>
      </c>
      <c r="BY900" s="2" t="s">
        <v>112</v>
      </c>
      <c r="BZ900" s="2" t="s">
        <v>100</v>
      </c>
    </row>
    <row r="901">
      <c r="A901" s="2" t="s">
        <v>3415</v>
      </c>
      <c r="B901" s="2" t="s">
        <v>3380</v>
      </c>
      <c r="C901" s="2" t="s">
        <v>2831</v>
      </c>
      <c r="D901" s="2" t="s">
        <v>3408</v>
      </c>
      <c r="E901" s="2" t="s">
        <v>3409</v>
      </c>
      <c r="F901" s="2" t="s">
        <v>3416</v>
      </c>
      <c r="G901" s="2" t="s">
        <v>3416</v>
      </c>
      <c r="H901" s="2" t="s">
        <v>3416</v>
      </c>
      <c r="I901" s="2" t="s">
        <v>3417</v>
      </c>
      <c r="J901" s="2" t="s">
        <v>3385</v>
      </c>
      <c r="K901" s="2" t="s">
        <v>223</v>
      </c>
      <c r="L901" s="3">
        <v>40.03</v>
      </c>
      <c r="M901" s="3">
        <v>42.03</v>
      </c>
      <c r="N901" s="3">
        <v>87.54</v>
      </c>
      <c r="O901" s="2" t="s">
        <v>97</v>
      </c>
      <c r="P901" s="2" t="s">
        <v>98</v>
      </c>
      <c r="Q901" s="2" t="s">
        <v>99</v>
      </c>
      <c r="R901" s="2" t="s">
        <v>100</v>
      </c>
      <c r="S901" s="2" t="s">
        <v>3418</v>
      </c>
      <c r="T901" s="2" t="s">
        <v>100</v>
      </c>
      <c r="U901" s="2" t="s">
        <v>1776</v>
      </c>
      <c r="V901" s="2" t="s">
        <v>547</v>
      </c>
      <c r="W901" s="2" t="s">
        <v>493</v>
      </c>
      <c r="X901" s="2" t="s">
        <v>100</v>
      </c>
      <c r="Y901" s="2" t="s">
        <v>1935</v>
      </c>
      <c r="Z901" s="4">
        <v>114</v>
      </c>
      <c r="AA901" s="4">
        <f>=ROUNDDOWN(19,0)</f>
      </c>
      <c r="AB901" s="5">
        <v>6</v>
      </c>
      <c r="AC901" s="2" t="s">
        <v>100</v>
      </c>
      <c r="AD901" s="4"/>
      <c r="AE901" s="4"/>
      <c r="AF901" s="6">
        <v>63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/>
      <c r="BD901" s="8"/>
      <c r="BE901" s="4"/>
      <c r="BF901" s="8"/>
      <c r="BG901" s="7"/>
      <c r="BH901" s="7"/>
      <c r="BI901" s="7"/>
      <c r="BJ901" s="4">
        <v>26</v>
      </c>
      <c r="BK901" s="8">
        <v>1210.53</v>
      </c>
      <c r="BL901" s="2" t="s">
        <v>3419</v>
      </c>
      <c r="BM901" s="7"/>
      <c r="BN901" s="7"/>
      <c r="BO901" s="4"/>
      <c r="BP901" s="8"/>
      <c r="BQ901" s="4"/>
      <c r="BR901" s="8"/>
      <c r="BS901" s="7"/>
      <c r="BT901" s="7"/>
      <c r="BU901" s="2" t="s">
        <v>2551</v>
      </c>
      <c r="BV901" s="2" t="s">
        <v>97</v>
      </c>
      <c r="BW901" s="2" t="s">
        <v>100</v>
      </c>
      <c r="BX901" s="2" t="s">
        <v>100</v>
      </c>
      <c r="BY901" s="2" t="s">
        <v>112</v>
      </c>
      <c r="BZ901" s="2" t="s">
        <v>149</v>
      </c>
    </row>
    <row r="902">
      <c r="A902" s="2" t="s">
        <v>3420</v>
      </c>
      <c r="B902" s="2" t="s">
        <v>3380</v>
      </c>
      <c r="C902" s="2" t="s">
        <v>2831</v>
      </c>
      <c r="D902" s="2" t="s">
        <v>3408</v>
      </c>
      <c r="E902" s="2" t="s">
        <v>3409</v>
      </c>
      <c r="F902" s="2" t="s">
        <v>3421</v>
      </c>
      <c r="G902" s="2" t="s">
        <v>3421</v>
      </c>
      <c r="H902" s="2" t="s">
        <v>3421</v>
      </c>
      <c r="I902" s="2" t="s">
        <v>3422</v>
      </c>
      <c r="J902" s="2" t="s">
        <v>3385</v>
      </c>
      <c r="K902" s="2" t="s">
        <v>1373</v>
      </c>
      <c r="L902" s="3">
        <v>72.85</v>
      </c>
      <c r="M902" s="3">
        <v>76.49</v>
      </c>
      <c r="N902" s="3">
        <v>152.99</v>
      </c>
      <c r="O902" s="2" t="s">
        <v>97</v>
      </c>
      <c r="P902" s="2" t="s">
        <v>98</v>
      </c>
      <c r="Q902" s="2" t="s">
        <v>99</v>
      </c>
      <c r="R902" s="2" t="s">
        <v>100</v>
      </c>
      <c r="S902" s="2" t="s">
        <v>3423</v>
      </c>
      <c r="T902" s="2" t="s">
        <v>100</v>
      </c>
      <c r="U902" s="2" t="s">
        <v>894</v>
      </c>
      <c r="V902" s="2" t="s">
        <v>547</v>
      </c>
      <c r="W902" s="2" t="s">
        <v>493</v>
      </c>
      <c r="X902" s="2" t="s">
        <v>2999</v>
      </c>
      <c r="Y902" s="2" t="s">
        <v>3424</v>
      </c>
      <c r="Z902" s="4">
        <v>23</v>
      </c>
      <c r="AA902" s="4">
        <f>=ROUNDDOWN(10.952380952381,0)</f>
      </c>
      <c r="AB902" s="5">
        <v>2.1</v>
      </c>
      <c r="AC902" s="2" t="s">
        <v>824</v>
      </c>
      <c r="AD902" s="4">
        <v>100</v>
      </c>
      <c r="AE902" s="4">
        <v>100</v>
      </c>
      <c r="AF902" s="6">
        <v>63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/>
      <c r="BD902" s="8"/>
      <c r="BE902" s="4"/>
      <c r="BF902" s="8"/>
      <c r="BG902" s="7"/>
      <c r="BH902" s="7"/>
      <c r="BI902" s="7"/>
      <c r="BJ902" s="4">
        <v>10</v>
      </c>
      <c r="BK902" s="8">
        <v>877.46</v>
      </c>
      <c r="BL902" s="2" t="s">
        <v>3425</v>
      </c>
      <c r="BM902" s="7"/>
      <c r="BN902" s="7"/>
      <c r="BO902" s="4"/>
      <c r="BP902" s="8"/>
      <c r="BQ902" s="4"/>
      <c r="BR902" s="8"/>
      <c r="BS902" s="7"/>
      <c r="BT902" s="7"/>
      <c r="BU902" s="2" t="s">
        <v>2551</v>
      </c>
      <c r="BV902" s="2" t="s">
        <v>97</v>
      </c>
      <c r="BW902" s="2" t="s">
        <v>100</v>
      </c>
      <c r="BX902" s="2" t="s">
        <v>100</v>
      </c>
      <c r="BY902" s="2" t="s">
        <v>112</v>
      </c>
      <c r="BZ902" s="2" t="s">
        <v>149</v>
      </c>
    </row>
    <row r="903">
      <c r="A903" s="2" t="s">
        <v>3426</v>
      </c>
      <c r="B903" s="2" t="s">
        <v>3380</v>
      </c>
      <c r="C903" s="2" t="s">
        <v>2831</v>
      </c>
      <c r="D903" s="2" t="s">
        <v>3408</v>
      </c>
      <c r="E903" s="2" t="s">
        <v>3409</v>
      </c>
      <c r="F903" s="2" t="s">
        <v>3427</v>
      </c>
      <c r="G903" s="2" t="s">
        <v>3427</v>
      </c>
      <c r="H903" s="2" t="s">
        <v>3427</v>
      </c>
      <c r="I903" s="2" t="s">
        <v>3428</v>
      </c>
      <c r="J903" s="2" t="s">
        <v>3385</v>
      </c>
      <c r="K903" s="2" t="s">
        <v>179</v>
      </c>
      <c r="L903" s="3">
        <v>41.27</v>
      </c>
      <c r="M903" s="3">
        <v>43.33</v>
      </c>
      <c r="N903" s="3">
        <v>84.99</v>
      </c>
      <c r="O903" s="2" t="s">
        <v>97</v>
      </c>
      <c r="P903" s="2" t="s">
        <v>98</v>
      </c>
      <c r="Q903" s="2" t="s">
        <v>99</v>
      </c>
      <c r="R903" s="2" t="s">
        <v>100</v>
      </c>
      <c r="S903" s="2" t="s">
        <v>3429</v>
      </c>
      <c r="T903" s="2" t="s">
        <v>100</v>
      </c>
      <c r="U903" s="2" t="s">
        <v>901</v>
      </c>
      <c r="V903" s="2" t="s">
        <v>547</v>
      </c>
      <c r="W903" s="2" t="s">
        <v>493</v>
      </c>
      <c r="X903" s="2" t="s">
        <v>100</v>
      </c>
      <c r="Y903" s="2" t="s">
        <v>144</v>
      </c>
      <c r="Z903" s="4">
        <v>128</v>
      </c>
      <c r="AA903" s="4">
        <f>=ROUNDDOWN(42.6666666666667,0)</f>
      </c>
      <c r="AB903" s="5">
        <v>3</v>
      </c>
      <c r="AC903" s="2" t="s">
        <v>100</v>
      </c>
      <c r="AD903" s="4"/>
      <c r="AE903" s="4"/>
      <c r="AF903" s="6">
        <v>63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/>
      <c r="BD903" s="8"/>
      <c r="BE903" s="4"/>
      <c r="BF903" s="8"/>
      <c r="BG903" s="7"/>
      <c r="BH903" s="7"/>
      <c r="BI903" s="7"/>
      <c r="BJ903" s="4">
        <v>12</v>
      </c>
      <c r="BK903" s="8">
        <v>651.26</v>
      </c>
      <c r="BL903" s="2" t="s">
        <v>3430</v>
      </c>
      <c r="BM903" s="7"/>
      <c r="BN903" s="7"/>
      <c r="BO903" s="4"/>
      <c r="BP903" s="8"/>
      <c r="BQ903" s="4"/>
      <c r="BR903" s="8"/>
      <c r="BS903" s="7"/>
      <c r="BT903" s="7"/>
      <c r="BU903" s="2" t="s">
        <v>2551</v>
      </c>
      <c r="BV903" s="2" t="s">
        <v>97</v>
      </c>
      <c r="BW903" s="2" t="s">
        <v>100</v>
      </c>
      <c r="BX903" s="2" t="s">
        <v>100</v>
      </c>
      <c r="BY903" s="2" t="s">
        <v>112</v>
      </c>
      <c r="BZ903" s="2" t="s">
        <v>149</v>
      </c>
    </row>
    <row r="904">
      <c r="A904" s="2" t="s">
        <v>3431</v>
      </c>
      <c r="B904" s="2" t="s">
        <v>3380</v>
      </c>
      <c r="C904" s="2" t="s">
        <v>2831</v>
      </c>
      <c r="D904" s="2" t="s">
        <v>3408</v>
      </c>
      <c r="E904" s="2" t="s">
        <v>3409</v>
      </c>
      <c r="F904" s="2" t="s">
        <v>3432</v>
      </c>
      <c r="G904" s="2" t="s">
        <v>3432</v>
      </c>
      <c r="H904" s="2" t="s">
        <v>3432</v>
      </c>
      <c r="I904" s="2" t="s">
        <v>3433</v>
      </c>
      <c r="J904" s="2" t="s">
        <v>3385</v>
      </c>
      <c r="K904" s="2" t="s">
        <v>165</v>
      </c>
      <c r="L904" s="3">
        <v>34.6</v>
      </c>
      <c r="M904" s="3">
        <v>36.33</v>
      </c>
      <c r="N904" s="3">
        <v>80.74</v>
      </c>
      <c r="O904" s="2" t="s">
        <v>97</v>
      </c>
      <c r="P904" s="2" t="s">
        <v>98</v>
      </c>
      <c r="Q904" s="2" t="s">
        <v>99</v>
      </c>
      <c r="R904" s="2" t="s">
        <v>100</v>
      </c>
      <c r="S904" s="2" t="s">
        <v>3434</v>
      </c>
      <c r="T904" s="2" t="s">
        <v>100</v>
      </c>
      <c r="U904" s="2" t="s">
        <v>894</v>
      </c>
      <c r="V904" s="2" t="s">
        <v>3435</v>
      </c>
      <c r="W904" s="2" t="s">
        <v>3394</v>
      </c>
      <c r="X904" s="2" t="s">
        <v>100</v>
      </c>
      <c r="Y904" s="2" t="s">
        <v>144</v>
      </c>
      <c r="Z904" s="4">
        <v>137</v>
      </c>
      <c r="AA904" s="4">
        <f>=ROUNDDOWN(19.5714285714286,0)</f>
      </c>
      <c r="AB904" s="5">
        <v>7</v>
      </c>
      <c r="AC904" s="2" t="s">
        <v>100</v>
      </c>
      <c r="AD904" s="4"/>
      <c r="AE904" s="4"/>
      <c r="AF904" s="6">
        <v>63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>
        <v>48</v>
      </c>
      <c r="BK904" s="8">
        <v>1947.69</v>
      </c>
      <c r="BL904" s="2" t="s">
        <v>3436</v>
      </c>
      <c r="BM904" s="7"/>
      <c r="BN904" s="7"/>
      <c r="BO904" s="4"/>
      <c r="BP904" s="8"/>
      <c r="BQ904" s="4"/>
      <c r="BR904" s="8"/>
      <c r="BS904" s="7"/>
      <c r="BT904" s="7"/>
      <c r="BU904" s="2" t="s">
        <v>2551</v>
      </c>
      <c r="BV904" s="2" t="s">
        <v>97</v>
      </c>
      <c r="BW904" s="2" t="s">
        <v>100</v>
      </c>
      <c r="BX904" s="2" t="s">
        <v>100</v>
      </c>
      <c r="BY904" s="2" t="s">
        <v>112</v>
      </c>
      <c r="BZ904" s="2" t="s">
        <v>149</v>
      </c>
    </row>
    <row r="905">
      <c r="A905" s="2" t="s">
        <v>3437</v>
      </c>
      <c r="B905" s="2" t="s">
        <v>3380</v>
      </c>
      <c r="C905" s="2" t="s">
        <v>2831</v>
      </c>
      <c r="D905" s="2" t="s">
        <v>3438</v>
      </c>
      <c r="E905" s="2" t="s">
        <v>3439</v>
      </c>
      <c r="F905" s="2" t="s">
        <v>2222</v>
      </c>
      <c r="G905" s="2" t="s">
        <v>2222</v>
      </c>
      <c r="H905" s="2" t="s">
        <v>2222</v>
      </c>
      <c r="I905" s="2" t="s">
        <v>3440</v>
      </c>
      <c r="J905" s="2" t="s">
        <v>3385</v>
      </c>
      <c r="K905" s="2" t="s">
        <v>446</v>
      </c>
      <c r="L905" s="3">
        <v>59.52</v>
      </c>
      <c r="M905" s="3">
        <v>62.5</v>
      </c>
      <c r="N905" s="3">
        <v>124.99</v>
      </c>
      <c r="O905" s="2" t="s">
        <v>97</v>
      </c>
      <c r="P905" s="2" t="s">
        <v>123</v>
      </c>
      <c r="Q905" s="2" t="s">
        <v>99</v>
      </c>
      <c r="R905" s="2" t="s">
        <v>100</v>
      </c>
      <c r="S905" s="2" t="s">
        <v>100</v>
      </c>
      <c r="T905" s="2" t="s">
        <v>100</v>
      </c>
      <c r="U905" s="2" t="s">
        <v>1776</v>
      </c>
      <c r="V905" s="2" t="s">
        <v>3412</v>
      </c>
      <c r="W905" s="2" t="s">
        <v>609</v>
      </c>
      <c r="X905" s="2" t="s">
        <v>717</v>
      </c>
      <c r="Y905" s="2" t="s">
        <v>3441</v>
      </c>
      <c r="Z905" s="4">
        <v>244</v>
      </c>
      <c r="AA905" s="4">
        <f>=ROUNDDOWN(15.25,0)</f>
      </c>
      <c r="AB905" s="5">
        <v>16</v>
      </c>
      <c r="AC905" s="2" t="s">
        <v>100</v>
      </c>
      <c r="AD905" s="4"/>
      <c r="AE905" s="4"/>
      <c r="AF905" s="6">
        <v>63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/>
      <c r="BD905" s="8"/>
      <c r="BE905" s="4"/>
      <c r="BF905" s="8"/>
      <c r="BG905" s="7"/>
      <c r="BH905" s="7"/>
      <c r="BI905" s="7"/>
      <c r="BJ905" s="4">
        <v>57</v>
      </c>
      <c r="BK905" s="8">
        <v>4009.25</v>
      </c>
      <c r="BL905" s="2" t="s">
        <v>3442</v>
      </c>
      <c r="BM905" s="7"/>
      <c r="BN905" s="7"/>
      <c r="BO905" s="4"/>
      <c r="BP905" s="8"/>
      <c r="BQ905" s="4"/>
      <c r="BR905" s="8"/>
      <c r="BS905" s="7"/>
      <c r="BT905" s="7"/>
      <c r="BU905" s="2" t="s">
        <v>2551</v>
      </c>
      <c r="BV905" s="2" t="s">
        <v>97</v>
      </c>
      <c r="BW905" s="2" t="s">
        <v>100</v>
      </c>
      <c r="BX905" s="2" t="s">
        <v>100</v>
      </c>
      <c r="BY905" s="2" t="s">
        <v>112</v>
      </c>
      <c r="BZ905" s="2" t="s">
        <v>149</v>
      </c>
    </row>
    <row r="906">
      <c r="A906" s="2" t="s">
        <v>3443</v>
      </c>
      <c r="B906" s="2" t="s">
        <v>3380</v>
      </c>
      <c r="C906" s="2" t="s">
        <v>2831</v>
      </c>
      <c r="D906" s="2" t="s">
        <v>3438</v>
      </c>
      <c r="E906" s="2" t="s">
        <v>3439</v>
      </c>
      <c r="F906" s="2" t="s">
        <v>3444</v>
      </c>
      <c r="G906" s="2" t="s">
        <v>3444</v>
      </c>
      <c r="H906" s="2" t="s">
        <v>3444</v>
      </c>
      <c r="I906" s="2" t="s">
        <v>3445</v>
      </c>
      <c r="J906" s="2" t="s">
        <v>3385</v>
      </c>
      <c r="K906" s="2" t="s">
        <v>446</v>
      </c>
      <c r="L906" s="3">
        <v>76.9</v>
      </c>
      <c r="M906" s="3">
        <v>80.74</v>
      </c>
      <c r="N906" s="3">
        <v>161.49</v>
      </c>
      <c r="O906" s="2" t="s">
        <v>97</v>
      </c>
      <c r="P906" s="2" t="s">
        <v>707</v>
      </c>
      <c r="Q906" s="2" t="s">
        <v>99</v>
      </c>
      <c r="R906" s="2" t="s">
        <v>100</v>
      </c>
      <c r="S906" s="2" t="s">
        <v>100</v>
      </c>
      <c r="T906" s="2" t="s">
        <v>100</v>
      </c>
      <c r="U906" s="2" t="s">
        <v>1776</v>
      </c>
      <c r="V906" s="2" t="s">
        <v>3412</v>
      </c>
      <c r="W906" s="2" t="s">
        <v>609</v>
      </c>
      <c r="X906" s="2" t="s">
        <v>493</v>
      </c>
      <c r="Y906" s="2" t="s">
        <v>3446</v>
      </c>
      <c r="Z906" s="4">
        <v>25</v>
      </c>
      <c r="AA906" s="4">
        <f>=ROUNDDOWN(25,0)</f>
      </c>
      <c r="AB906" s="5">
        <v>1</v>
      </c>
      <c r="AC906" s="2" t="s">
        <v>100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/>
      <c r="AW906" s="8"/>
      <c r="AX906" s="4"/>
      <c r="AY906" s="8"/>
      <c r="AZ906" s="7"/>
      <c r="BA906" s="7"/>
      <c r="BB906" s="7"/>
      <c r="BC906" s="4"/>
      <c r="BD906" s="8"/>
      <c r="BE906" s="4"/>
      <c r="BF906" s="8"/>
      <c r="BG906" s="7"/>
      <c r="BH906" s="7"/>
      <c r="BI906" s="7"/>
      <c r="BJ906" s="4">
        <v>12</v>
      </c>
      <c r="BK906" s="8">
        <v>1052.27</v>
      </c>
      <c r="BL906" s="2" t="s">
        <v>3447</v>
      </c>
      <c r="BM906" s="7"/>
      <c r="BN906" s="7"/>
      <c r="BO906" s="4"/>
      <c r="BP906" s="8"/>
      <c r="BQ906" s="4"/>
      <c r="BR906" s="8"/>
      <c r="BS906" s="7"/>
      <c r="BT906" s="7"/>
      <c r="BU906" s="2" t="s">
        <v>2526</v>
      </c>
      <c r="BV906" s="2" t="s">
        <v>97</v>
      </c>
      <c r="BW906" s="2" t="s">
        <v>100</v>
      </c>
      <c r="BX906" s="2" t="s">
        <v>100</v>
      </c>
      <c r="BY906" s="2" t="s">
        <v>112</v>
      </c>
      <c r="BZ906" s="2" t="s">
        <v>149</v>
      </c>
    </row>
    <row r="907">
      <c r="A907" s="2" t="s">
        <v>3448</v>
      </c>
      <c r="B907" s="2" t="s">
        <v>3380</v>
      </c>
      <c r="C907" s="2" t="s">
        <v>3449</v>
      </c>
      <c r="D907" s="2" t="s">
        <v>3408</v>
      </c>
      <c r="E907" s="2" t="s">
        <v>3409</v>
      </c>
      <c r="F907" s="2" t="s">
        <v>3450</v>
      </c>
      <c r="G907" s="2" t="s">
        <v>3450</v>
      </c>
      <c r="H907" s="2" t="s">
        <v>3450</v>
      </c>
      <c r="I907" s="2" t="s">
        <v>3428</v>
      </c>
      <c r="J907" s="2" t="s">
        <v>3385</v>
      </c>
      <c r="K907" s="2" t="s">
        <v>96</v>
      </c>
      <c r="L907" s="3">
        <v>39.27</v>
      </c>
      <c r="M907" s="3">
        <v>41.23</v>
      </c>
      <c r="N907" s="3">
        <v>84.99</v>
      </c>
      <c r="O907" s="2" t="s">
        <v>97</v>
      </c>
      <c r="P907" s="2" t="s">
        <v>98</v>
      </c>
      <c r="Q907" s="2" t="s">
        <v>99</v>
      </c>
      <c r="R907" s="2" t="s">
        <v>100</v>
      </c>
      <c r="S907" s="2" t="s">
        <v>100</v>
      </c>
      <c r="T907" s="2" t="s">
        <v>100</v>
      </c>
      <c r="U907" s="2" t="s">
        <v>901</v>
      </c>
      <c r="V907" s="2" t="s">
        <v>3451</v>
      </c>
      <c r="W907" s="2" t="s">
        <v>609</v>
      </c>
      <c r="X907" s="2" t="s">
        <v>100</v>
      </c>
      <c r="Y907" s="2" t="s">
        <v>3452</v>
      </c>
      <c r="Z907" s="4">
        <v>138</v>
      </c>
      <c r="AA907" s="4">
        <f>=ROUNDDOWN(38.3333333333333,0)</f>
      </c>
      <c r="AB907" s="5">
        <v>3.6</v>
      </c>
      <c r="AC907" s="2" t="s">
        <v>1468</v>
      </c>
      <c r="AD907" s="4">
        <v>100</v>
      </c>
      <c r="AE907" s="4">
        <v>100</v>
      </c>
      <c r="AF907" s="6">
        <v>63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/>
      <c r="BD907" s="8"/>
      <c r="BE907" s="4"/>
      <c r="BF907" s="8"/>
      <c r="BG907" s="7"/>
      <c r="BH907" s="7"/>
      <c r="BI907" s="7"/>
      <c r="BJ907" s="4">
        <v>13</v>
      </c>
      <c r="BK907" s="8">
        <v>564.16</v>
      </c>
      <c r="BL907" s="2" t="s">
        <v>3453</v>
      </c>
      <c r="BM907" s="7"/>
      <c r="BN907" s="7"/>
      <c r="BO907" s="4"/>
      <c r="BP907" s="8"/>
      <c r="BQ907" s="4"/>
      <c r="BR907" s="8"/>
      <c r="BS907" s="7"/>
      <c r="BT907" s="7"/>
      <c r="BU907" s="2" t="s">
        <v>2526</v>
      </c>
      <c r="BV907" s="2" t="s">
        <v>97</v>
      </c>
      <c r="BW907" s="2" t="s">
        <v>100</v>
      </c>
      <c r="BX907" s="2" t="s">
        <v>100</v>
      </c>
      <c r="BY907" s="2" t="s">
        <v>112</v>
      </c>
      <c r="BZ907" s="2" t="s">
        <v>149</v>
      </c>
    </row>
    <row r="908">
      <c r="A908" s="2" t="s">
        <v>3454</v>
      </c>
      <c r="B908" s="2" t="s">
        <v>3380</v>
      </c>
      <c r="C908" s="2" t="s">
        <v>88</v>
      </c>
      <c r="D908" s="2" t="s">
        <v>3455</v>
      </c>
      <c r="E908" s="2" t="s">
        <v>3456</v>
      </c>
      <c r="F908" s="2" t="s">
        <v>3457</v>
      </c>
      <c r="G908" s="2" t="s">
        <v>3457</v>
      </c>
      <c r="H908" s="2" t="s">
        <v>3457</v>
      </c>
      <c r="I908" s="2" t="s">
        <v>3458</v>
      </c>
      <c r="J908" s="2" t="s">
        <v>3385</v>
      </c>
      <c r="K908" s="2" t="s">
        <v>3459</v>
      </c>
      <c r="L908" s="3">
        <v>56.03</v>
      </c>
      <c r="M908" s="3">
        <v>58.83</v>
      </c>
      <c r="N908" s="3">
        <v>116.99</v>
      </c>
      <c r="O908" s="2" t="s">
        <v>97</v>
      </c>
      <c r="P908" s="2" t="s">
        <v>98</v>
      </c>
      <c r="Q908" s="2" t="s">
        <v>99</v>
      </c>
      <c r="R908" s="2" t="s">
        <v>100</v>
      </c>
      <c r="S908" s="2" t="s">
        <v>3460</v>
      </c>
      <c r="T908" s="2" t="s">
        <v>100</v>
      </c>
      <c r="U908" s="2" t="s">
        <v>901</v>
      </c>
      <c r="V908" s="2" t="s">
        <v>103</v>
      </c>
      <c r="W908" s="2" t="s">
        <v>686</v>
      </c>
      <c r="X908" s="2" t="s">
        <v>609</v>
      </c>
      <c r="Y908" s="2" t="s">
        <v>3461</v>
      </c>
      <c r="Z908" s="4">
        <v>117</v>
      </c>
      <c r="AA908" s="4">
        <f>=ROUNDDOWN(30,0)</f>
      </c>
      <c r="AB908" s="5">
        <v>3.9</v>
      </c>
      <c r="AC908" s="2" t="s">
        <v>100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/>
      <c r="BD908" s="8"/>
      <c r="BE908" s="4"/>
      <c r="BF908" s="8"/>
      <c r="BG908" s="7"/>
      <c r="BH908" s="7"/>
      <c r="BI908" s="7"/>
      <c r="BJ908" s="4">
        <v>16</v>
      </c>
      <c r="BK908" s="8">
        <v>972.5</v>
      </c>
      <c r="BL908" s="2" t="s">
        <v>3462</v>
      </c>
      <c r="BM908" s="7"/>
      <c r="BN908" s="7"/>
      <c r="BO908" s="4"/>
      <c r="BP908" s="8"/>
      <c r="BQ908" s="4"/>
      <c r="BR908" s="8"/>
      <c r="BS908" s="7"/>
      <c r="BT908" s="7"/>
      <c r="BU908" s="2" t="s">
        <v>1040</v>
      </c>
      <c r="BV908" s="2" t="s">
        <v>97</v>
      </c>
      <c r="BW908" s="2" t="s">
        <v>100</v>
      </c>
      <c r="BX908" s="2" t="s">
        <v>100</v>
      </c>
      <c r="BY908" s="2" t="s">
        <v>112</v>
      </c>
      <c r="BZ908" s="2" t="s">
        <v>149</v>
      </c>
    </row>
    <row r="909">
      <c r="A909" s="2" t="s">
        <v>3463</v>
      </c>
      <c r="B909" s="2" t="s">
        <v>3380</v>
      </c>
      <c r="C909" s="2" t="s">
        <v>88</v>
      </c>
      <c r="D909" s="2" t="s">
        <v>3455</v>
      </c>
      <c r="E909" s="2" t="s">
        <v>3456</v>
      </c>
      <c r="F909" s="2" t="s">
        <v>3464</v>
      </c>
      <c r="G909" s="2" t="s">
        <v>100</v>
      </c>
      <c r="H909" s="2" t="s">
        <v>100</v>
      </c>
      <c r="I909" s="2" t="s">
        <v>3465</v>
      </c>
      <c r="J909" s="2" t="s">
        <v>3385</v>
      </c>
      <c r="K909" s="2" t="s">
        <v>236</v>
      </c>
      <c r="L909" s="3">
        <v>39.47</v>
      </c>
      <c r="M909" s="3">
        <v>41.44</v>
      </c>
      <c r="N909" s="3">
        <v>81.99</v>
      </c>
      <c r="O909" s="2" t="s">
        <v>97</v>
      </c>
      <c r="P909" s="2" t="s">
        <v>98</v>
      </c>
      <c r="Q909" s="2" t="s">
        <v>99</v>
      </c>
      <c r="R909" s="2" t="s">
        <v>100</v>
      </c>
      <c r="S909" s="2" t="s">
        <v>3466</v>
      </c>
      <c r="T909" s="2" t="s">
        <v>100</v>
      </c>
      <c r="U909" s="2" t="s">
        <v>1228</v>
      </c>
      <c r="V909" s="2" t="s">
        <v>2913</v>
      </c>
      <c r="W909" s="2" t="s">
        <v>686</v>
      </c>
      <c r="X909" s="2" t="s">
        <v>100</v>
      </c>
      <c r="Y909" s="2" t="s">
        <v>144</v>
      </c>
      <c r="Z909" s="4">
        <v>136</v>
      </c>
      <c r="AA909" s="4">
        <f>=ROUNDDOWN(19.4285714285714,0)</f>
      </c>
      <c r="AB909" s="5">
        <v>7</v>
      </c>
      <c r="AC909" s="2" t="s">
        <v>3010</v>
      </c>
      <c r="AD909" s="4">
        <v>100</v>
      </c>
      <c r="AE909" s="4">
        <v>100</v>
      </c>
      <c r="AF909" s="6">
        <v>63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/>
      <c r="BD909" s="8"/>
      <c r="BE909" s="4"/>
      <c r="BF909" s="8"/>
      <c r="BG909" s="7"/>
      <c r="BH909" s="7"/>
      <c r="BI909" s="7"/>
      <c r="BJ909" s="4">
        <v>25</v>
      </c>
      <c r="BK909" s="8">
        <v>974.49</v>
      </c>
      <c r="BL909" s="2" t="s">
        <v>3467</v>
      </c>
      <c r="BM909" s="7"/>
      <c r="BN909" s="7"/>
      <c r="BO909" s="4"/>
      <c r="BP909" s="8"/>
      <c r="BQ909" s="4"/>
      <c r="BR909" s="8"/>
      <c r="BS909" s="7"/>
      <c r="BT909" s="7"/>
      <c r="BU909" s="2" t="s">
        <v>2526</v>
      </c>
      <c r="BV909" s="2" t="s">
        <v>97</v>
      </c>
      <c r="BW909" s="2" t="s">
        <v>100</v>
      </c>
      <c r="BX909" s="2" t="s">
        <v>100</v>
      </c>
      <c r="BY909" s="2" t="s">
        <v>112</v>
      </c>
      <c r="BZ909" s="2" t="s">
        <v>149</v>
      </c>
    </row>
    <row r="910">
      <c r="A910" s="2" t="s">
        <v>3468</v>
      </c>
      <c r="B910" s="2" t="s">
        <v>3380</v>
      </c>
      <c r="C910" s="2" t="s">
        <v>88</v>
      </c>
      <c r="D910" s="2" t="s">
        <v>3381</v>
      </c>
      <c r="E910" s="2" t="s">
        <v>3382</v>
      </c>
      <c r="F910" s="2" t="s">
        <v>3469</v>
      </c>
      <c r="G910" s="2" t="s">
        <v>3469</v>
      </c>
      <c r="H910" s="2" t="s">
        <v>3469</v>
      </c>
      <c r="I910" s="2" t="s">
        <v>3470</v>
      </c>
      <c r="J910" s="2" t="s">
        <v>3385</v>
      </c>
      <c r="K910" s="2" t="s">
        <v>2686</v>
      </c>
      <c r="L910" s="3">
        <v>16.99</v>
      </c>
      <c r="M910" s="3">
        <v>17.84</v>
      </c>
      <c r="N910" s="3">
        <v>42.49</v>
      </c>
      <c r="O910" s="2" t="s">
        <v>97</v>
      </c>
      <c r="P910" s="2" t="s">
        <v>123</v>
      </c>
      <c r="Q910" s="2" t="s">
        <v>99</v>
      </c>
      <c r="R910" s="2" t="s">
        <v>100</v>
      </c>
      <c r="S910" s="2" t="s">
        <v>100</v>
      </c>
      <c r="T910" s="2" t="s">
        <v>100</v>
      </c>
      <c r="U910" s="2" t="s">
        <v>1776</v>
      </c>
      <c r="V910" s="2" t="s">
        <v>2510</v>
      </c>
      <c r="W910" s="2" t="s">
        <v>104</v>
      </c>
      <c r="X910" s="2" t="s">
        <v>100</v>
      </c>
      <c r="Y910" s="2" t="s">
        <v>2205</v>
      </c>
      <c r="Z910" s="4">
        <v>1</v>
      </c>
      <c r="AA910" s="4">
        <f>=ROUNDDOWN(0.04,0)</f>
      </c>
      <c r="AB910" s="5">
        <v>25</v>
      </c>
      <c r="AC910" s="2" t="s">
        <v>990</v>
      </c>
      <c r="AD910" s="4">
        <v>160</v>
      </c>
      <c r="AE910" s="4">
        <v>560</v>
      </c>
      <c r="AF910" s="6">
        <v>63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/>
      <c r="BD910" s="8"/>
      <c r="BE910" s="4"/>
      <c r="BF910" s="8"/>
      <c r="BG910" s="7"/>
      <c r="BH910" s="7"/>
      <c r="BI910" s="7"/>
      <c r="BJ910" s="4">
        <v>147</v>
      </c>
      <c r="BK910" s="8">
        <v>3294.68</v>
      </c>
      <c r="BL910" s="2" t="s">
        <v>3471</v>
      </c>
      <c r="BM910" s="7"/>
      <c r="BN910" s="7"/>
      <c r="BO910" s="4"/>
      <c r="BP910" s="8"/>
      <c r="BQ910" s="4"/>
      <c r="BR910" s="8"/>
      <c r="BS910" s="7"/>
      <c r="BT910" s="7"/>
      <c r="BU910" s="2" t="s">
        <v>2526</v>
      </c>
      <c r="BV910" s="2" t="s">
        <v>97</v>
      </c>
      <c r="BW910" s="2" t="s">
        <v>100</v>
      </c>
      <c r="BX910" s="2" t="s">
        <v>100</v>
      </c>
      <c r="BY910" s="2" t="s">
        <v>112</v>
      </c>
      <c r="BZ910" s="2" t="s">
        <v>149</v>
      </c>
    </row>
    <row r="911">
      <c r="A911" s="2" t="s">
        <v>3472</v>
      </c>
      <c r="B911" s="2" t="s">
        <v>3380</v>
      </c>
      <c r="C911" s="2" t="s">
        <v>88</v>
      </c>
      <c r="D911" s="2" t="s">
        <v>3381</v>
      </c>
      <c r="E911" s="2" t="s">
        <v>3382</v>
      </c>
      <c r="F911" s="2" t="s">
        <v>3473</v>
      </c>
      <c r="G911" s="2" t="s">
        <v>3473</v>
      </c>
      <c r="H911" s="2" t="s">
        <v>3473</v>
      </c>
      <c r="I911" s="2" t="s">
        <v>3474</v>
      </c>
      <c r="J911" s="2" t="s">
        <v>3385</v>
      </c>
      <c r="K911" s="2" t="s">
        <v>3475</v>
      </c>
      <c r="L911" s="3">
        <v>32.38</v>
      </c>
      <c r="M911" s="3">
        <v>34</v>
      </c>
      <c r="N911" s="3">
        <v>67.99</v>
      </c>
      <c r="O911" s="2" t="s">
        <v>97</v>
      </c>
      <c r="P911" s="2" t="s">
        <v>98</v>
      </c>
      <c r="Q911" s="2" t="s">
        <v>99</v>
      </c>
      <c r="R911" s="2" t="s">
        <v>100</v>
      </c>
      <c r="S911" s="2" t="s">
        <v>100</v>
      </c>
      <c r="T911" s="2" t="s">
        <v>100</v>
      </c>
      <c r="U911" s="2" t="s">
        <v>894</v>
      </c>
      <c r="V911" s="2" t="s">
        <v>3412</v>
      </c>
      <c r="W911" s="2" t="s">
        <v>1136</v>
      </c>
      <c r="X911" s="2" t="s">
        <v>493</v>
      </c>
      <c r="Y911" s="2" t="s">
        <v>3476</v>
      </c>
      <c r="Z911" s="4"/>
      <c r="AA911" s="4">
        <f>=ROUNDDOWN({0},0)</f>
      </c>
      <c r="AB911" s="5">
        <v>12</v>
      </c>
      <c r="AC911" s="2" t="s">
        <v>3388</v>
      </c>
      <c r="AD911" s="4">
        <v>240</v>
      </c>
      <c r="AE911" s="4">
        <v>240</v>
      </c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/>
      <c r="BD911" s="8"/>
      <c r="BE911" s="4"/>
      <c r="BF911" s="8"/>
      <c r="BG911" s="7"/>
      <c r="BH911" s="7"/>
      <c r="BI911" s="7"/>
      <c r="BJ911" s="4">
        <v>1</v>
      </c>
      <c r="BK911" s="8">
        <v>50.43</v>
      </c>
      <c r="BL911" s="2" t="s">
        <v>3477</v>
      </c>
      <c r="BM911" s="7"/>
      <c r="BN911" s="7"/>
      <c r="BO911" s="4"/>
      <c r="BP911" s="8"/>
      <c r="BQ911" s="4"/>
      <c r="BR911" s="8"/>
      <c r="BS911" s="7"/>
      <c r="BT911" s="7"/>
      <c r="BU911" s="2" t="s">
        <v>2526</v>
      </c>
      <c r="BV911" s="2" t="s">
        <v>97</v>
      </c>
      <c r="BW911" s="2" t="s">
        <v>100</v>
      </c>
      <c r="BX911" s="2" t="s">
        <v>100</v>
      </c>
      <c r="BY911" s="2" t="s">
        <v>112</v>
      </c>
      <c r="BZ911" s="2" t="s">
        <v>149</v>
      </c>
    </row>
    <row r="912">
      <c r="A912" s="2" t="s">
        <v>3478</v>
      </c>
      <c r="B912" s="2" t="s">
        <v>3380</v>
      </c>
      <c r="C912" s="2" t="s">
        <v>88</v>
      </c>
      <c r="D912" s="2" t="s">
        <v>3381</v>
      </c>
      <c r="E912" s="2" t="s">
        <v>3479</v>
      </c>
      <c r="F912" s="2" t="s">
        <v>3480</v>
      </c>
      <c r="G912" s="2" t="s">
        <v>3480</v>
      </c>
      <c r="H912" s="2" t="s">
        <v>3480</v>
      </c>
      <c r="I912" s="2" t="s">
        <v>3481</v>
      </c>
      <c r="J912" s="2" t="s">
        <v>3385</v>
      </c>
      <c r="K912" s="2" t="s">
        <v>3482</v>
      </c>
      <c r="L912" s="3">
        <v>54.4</v>
      </c>
      <c r="M912" s="3">
        <v>57.12</v>
      </c>
      <c r="N912" s="3">
        <v>114.74</v>
      </c>
      <c r="O912" s="2" t="s">
        <v>97</v>
      </c>
      <c r="P912" s="2" t="s">
        <v>707</v>
      </c>
      <c r="Q912" s="2" t="s">
        <v>99</v>
      </c>
      <c r="R912" s="2" t="s">
        <v>100</v>
      </c>
      <c r="S912" s="2" t="s">
        <v>3483</v>
      </c>
      <c r="T912" s="2" t="s">
        <v>100</v>
      </c>
      <c r="U912" s="2" t="s">
        <v>894</v>
      </c>
      <c r="V912" s="2" t="s">
        <v>547</v>
      </c>
      <c r="W912" s="2" t="s">
        <v>493</v>
      </c>
      <c r="X912" s="2" t="s">
        <v>717</v>
      </c>
      <c r="Y912" s="2" t="s">
        <v>3484</v>
      </c>
      <c r="Z912" s="4">
        <v>117</v>
      </c>
      <c r="AA912" s="4">
        <f>=ROUNDDOWN(39,0)</f>
      </c>
      <c r="AB912" s="5">
        <v>3</v>
      </c>
      <c r="AC912" s="2" t="s">
        <v>100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/>
      <c r="BD912" s="8"/>
      <c r="BE912" s="4"/>
      <c r="BF912" s="8"/>
      <c r="BG912" s="7"/>
      <c r="BH912" s="7"/>
      <c r="BI912" s="7"/>
      <c r="BJ912" s="4">
        <v>11</v>
      </c>
      <c r="BK912" s="8">
        <v>717.78</v>
      </c>
      <c r="BL912" s="2" t="s">
        <v>3485</v>
      </c>
      <c r="BM912" s="7"/>
      <c r="BN912" s="7"/>
      <c r="BO912" s="4"/>
      <c r="BP912" s="8"/>
      <c r="BQ912" s="4"/>
      <c r="BR912" s="8"/>
      <c r="BS912" s="7"/>
      <c r="BT912" s="7"/>
      <c r="BU912" s="2" t="s">
        <v>2526</v>
      </c>
      <c r="BV912" s="2" t="s">
        <v>97</v>
      </c>
      <c r="BW912" s="2" t="s">
        <v>100</v>
      </c>
      <c r="BX912" s="2" t="s">
        <v>100</v>
      </c>
      <c r="BY912" s="2" t="s">
        <v>112</v>
      </c>
      <c r="BZ912" s="2" t="s">
        <v>149</v>
      </c>
    </row>
    <row r="913">
      <c r="A913" s="2" t="s">
        <v>3486</v>
      </c>
      <c r="B913" s="2" t="s">
        <v>3380</v>
      </c>
      <c r="C913" s="2" t="s">
        <v>88</v>
      </c>
      <c r="D913" s="2" t="s">
        <v>3381</v>
      </c>
      <c r="E913" s="2" t="s">
        <v>3479</v>
      </c>
      <c r="F913" s="2" t="s">
        <v>3487</v>
      </c>
      <c r="G913" s="2" t="s">
        <v>3487</v>
      </c>
      <c r="H913" s="2" t="s">
        <v>3487</v>
      </c>
      <c r="I913" s="2" t="s">
        <v>3488</v>
      </c>
      <c r="J913" s="2" t="s">
        <v>3385</v>
      </c>
      <c r="K913" s="2" t="s">
        <v>706</v>
      </c>
      <c r="L913" s="3">
        <v>27.82</v>
      </c>
      <c r="M913" s="3">
        <v>29.21</v>
      </c>
      <c r="N913" s="3">
        <v>61.74</v>
      </c>
      <c r="O913" s="2" t="s">
        <v>97</v>
      </c>
      <c r="P913" s="2" t="s">
        <v>98</v>
      </c>
      <c r="Q913" s="2" t="s">
        <v>99</v>
      </c>
      <c r="R913" s="2" t="s">
        <v>100</v>
      </c>
      <c r="S913" s="2" t="s">
        <v>3489</v>
      </c>
      <c r="T913" s="2" t="s">
        <v>100</v>
      </c>
      <c r="U913" s="2" t="s">
        <v>894</v>
      </c>
      <c r="V913" s="2" t="s">
        <v>192</v>
      </c>
      <c r="W913" s="2" t="s">
        <v>594</v>
      </c>
      <c r="X913" s="2" t="s">
        <v>525</v>
      </c>
      <c r="Y913" s="2" t="s">
        <v>3490</v>
      </c>
      <c r="Z913" s="4">
        <v>127</v>
      </c>
      <c r="AA913" s="4">
        <f>=ROUNDDOWN(10.5833333333333,0)</f>
      </c>
      <c r="AB913" s="5">
        <v>12</v>
      </c>
      <c r="AC913" s="2" t="s">
        <v>3491</v>
      </c>
      <c r="AD913" s="4">
        <v>100</v>
      </c>
      <c r="AE913" s="4">
        <v>200</v>
      </c>
      <c r="AF913" s="6">
        <v>63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>
        <v>36</v>
      </c>
      <c r="BK913" s="8">
        <v>1198.1</v>
      </c>
      <c r="BL913" s="2" t="s">
        <v>3492</v>
      </c>
      <c r="BM913" s="7"/>
      <c r="BN913" s="7"/>
      <c r="BO913" s="4"/>
      <c r="BP913" s="8"/>
      <c r="BQ913" s="4"/>
      <c r="BR913" s="8"/>
      <c r="BS913" s="7"/>
      <c r="BT913" s="7"/>
      <c r="BU913" s="2" t="s">
        <v>2526</v>
      </c>
      <c r="BV913" s="2" t="s">
        <v>97</v>
      </c>
      <c r="BW913" s="2" t="s">
        <v>100</v>
      </c>
      <c r="BX913" s="2" t="s">
        <v>100</v>
      </c>
      <c r="BY913" s="2" t="s">
        <v>112</v>
      </c>
      <c r="BZ913" s="2" t="s">
        <v>149</v>
      </c>
    </row>
    <row r="914">
      <c r="A914" s="2" t="s">
        <v>3493</v>
      </c>
      <c r="B914" s="2" t="s">
        <v>3380</v>
      </c>
      <c r="C914" s="2" t="s">
        <v>88</v>
      </c>
      <c r="D914" s="2" t="s">
        <v>3381</v>
      </c>
      <c r="E914" s="2" t="s">
        <v>3479</v>
      </c>
      <c r="F914" s="2" t="s">
        <v>3494</v>
      </c>
      <c r="G914" s="2" t="s">
        <v>3494</v>
      </c>
      <c r="H914" s="2" t="s">
        <v>3494</v>
      </c>
      <c r="I914" s="2" t="s">
        <v>3495</v>
      </c>
      <c r="J914" s="2" t="s">
        <v>3385</v>
      </c>
      <c r="K914" s="2" t="s">
        <v>2990</v>
      </c>
      <c r="L914" s="3">
        <v>18.83</v>
      </c>
      <c r="M914" s="3">
        <v>19.77</v>
      </c>
      <c r="N914" s="3">
        <v>38.24</v>
      </c>
      <c r="O914" s="2" t="s">
        <v>97</v>
      </c>
      <c r="P914" s="2" t="s">
        <v>707</v>
      </c>
      <c r="Q914" s="2" t="s">
        <v>99</v>
      </c>
      <c r="R914" s="2" t="s">
        <v>100</v>
      </c>
      <c r="S914" s="2" t="s">
        <v>3496</v>
      </c>
      <c r="T914" s="2" t="s">
        <v>100</v>
      </c>
      <c r="U914" s="2" t="s">
        <v>901</v>
      </c>
      <c r="V914" s="2" t="s">
        <v>103</v>
      </c>
      <c r="W914" s="2" t="s">
        <v>686</v>
      </c>
      <c r="X914" s="2" t="s">
        <v>609</v>
      </c>
      <c r="Y914" s="2" t="s">
        <v>3497</v>
      </c>
      <c r="Z914" s="4">
        <v>57</v>
      </c>
      <c r="AA914" s="4">
        <f>=ROUNDDOWN(11.4,0)</f>
      </c>
      <c r="AB914" s="5">
        <v>5</v>
      </c>
      <c r="AC914" s="2" t="s">
        <v>1468</v>
      </c>
      <c r="AD914" s="4">
        <v>100</v>
      </c>
      <c r="AE914" s="4">
        <v>100</v>
      </c>
      <c r="AF914" s="6">
        <v>63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>
        <v>14</v>
      </c>
      <c r="BK914" s="8">
        <v>338.11</v>
      </c>
      <c r="BL914" s="2" t="s">
        <v>3498</v>
      </c>
      <c r="BM914" s="7"/>
      <c r="BN914" s="7"/>
      <c r="BO914" s="4"/>
      <c r="BP914" s="8"/>
      <c r="BQ914" s="4"/>
      <c r="BR914" s="8"/>
      <c r="BS914" s="7"/>
      <c r="BT914" s="7"/>
      <c r="BU914" s="2" t="s">
        <v>2526</v>
      </c>
      <c r="BV914" s="2" t="s">
        <v>97</v>
      </c>
      <c r="BW914" s="2" t="s">
        <v>100</v>
      </c>
      <c r="BX914" s="2" t="s">
        <v>100</v>
      </c>
      <c r="BY914" s="2" t="s">
        <v>112</v>
      </c>
      <c r="BZ914" s="2" t="s">
        <v>149</v>
      </c>
    </row>
    <row r="915">
      <c r="A915" s="2" t="s">
        <v>3499</v>
      </c>
      <c r="B915" s="2" t="s">
        <v>3380</v>
      </c>
      <c r="C915" s="2" t="s">
        <v>88</v>
      </c>
      <c r="D915" s="2" t="s">
        <v>3381</v>
      </c>
      <c r="E915" s="2" t="s">
        <v>3479</v>
      </c>
      <c r="F915" s="2" t="s">
        <v>3500</v>
      </c>
      <c r="G915" s="2" t="s">
        <v>3500</v>
      </c>
      <c r="H915" s="2" t="s">
        <v>3500</v>
      </c>
      <c r="I915" s="2" t="s">
        <v>3501</v>
      </c>
      <c r="J915" s="2" t="s">
        <v>3385</v>
      </c>
      <c r="K915" s="2" t="s">
        <v>223</v>
      </c>
      <c r="L915" s="3">
        <v>18.83</v>
      </c>
      <c r="M915" s="3">
        <v>19.77</v>
      </c>
      <c r="N915" s="3">
        <v>38.24</v>
      </c>
      <c r="O915" s="2" t="s">
        <v>97</v>
      </c>
      <c r="P915" s="2" t="s">
        <v>707</v>
      </c>
      <c r="Q915" s="2" t="s">
        <v>99</v>
      </c>
      <c r="R915" s="2" t="s">
        <v>100</v>
      </c>
      <c r="S915" s="2" t="s">
        <v>3502</v>
      </c>
      <c r="T915" s="2" t="s">
        <v>100</v>
      </c>
      <c r="U915" s="2" t="s">
        <v>901</v>
      </c>
      <c r="V915" s="2" t="s">
        <v>103</v>
      </c>
      <c r="W915" s="2" t="s">
        <v>686</v>
      </c>
      <c r="X915" s="2" t="s">
        <v>609</v>
      </c>
      <c r="Y915" s="2" t="s">
        <v>3503</v>
      </c>
      <c r="Z915" s="4">
        <v>83</v>
      </c>
      <c r="AA915" s="4">
        <f>=ROUNDDOWN(13.8333333333333,0)</f>
      </c>
      <c r="AB915" s="5">
        <v>6</v>
      </c>
      <c r="AC915" s="2" t="s">
        <v>2121</v>
      </c>
      <c r="AD915" s="4">
        <v>100</v>
      </c>
      <c r="AE915" s="4">
        <v>100</v>
      </c>
      <c r="AF915" s="6">
        <v>63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>
        <v>24</v>
      </c>
      <c r="BK915" s="8">
        <v>602.21</v>
      </c>
      <c r="BL915" s="2" t="s">
        <v>3504</v>
      </c>
      <c r="BM915" s="7"/>
      <c r="BN915" s="7"/>
      <c r="BO915" s="4"/>
      <c r="BP915" s="8"/>
      <c r="BQ915" s="4"/>
      <c r="BR915" s="8"/>
      <c r="BS915" s="7"/>
      <c r="BT915" s="7"/>
      <c r="BU915" s="2" t="s">
        <v>2526</v>
      </c>
      <c r="BV915" s="2" t="s">
        <v>97</v>
      </c>
      <c r="BW915" s="2" t="s">
        <v>100</v>
      </c>
      <c r="BX915" s="2" t="s">
        <v>100</v>
      </c>
      <c r="BY915" s="2" t="s">
        <v>112</v>
      </c>
      <c r="BZ915" s="2" t="s">
        <v>149</v>
      </c>
    </row>
    <row r="916">
      <c r="A916" s="2" t="s">
        <v>3505</v>
      </c>
      <c r="B916" s="2" t="s">
        <v>3380</v>
      </c>
      <c r="C916" s="2" t="s">
        <v>88</v>
      </c>
      <c r="D916" s="2" t="s">
        <v>3381</v>
      </c>
      <c r="E916" s="2" t="s">
        <v>3479</v>
      </c>
      <c r="F916" s="2" t="s">
        <v>3506</v>
      </c>
      <c r="G916" s="2" t="s">
        <v>3506</v>
      </c>
      <c r="H916" s="2" t="s">
        <v>3506</v>
      </c>
      <c r="I916" s="2" t="s">
        <v>3507</v>
      </c>
      <c r="J916" s="2" t="s">
        <v>3385</v>
      </c>
      <c r="K916" s="2" t="s">
        <v>892</v>
      </c>
      <c r="L916" s="3">
        <v>85.48</v>
      </c>
      <c r="M916" s="3">
        <v>89.75</v>
      </c>
      <c r="N916" s="3">
        <v>178.49</v>
      </c>
      <c r="O916" s="2" t="s">
        <v>97</v>
      </c>
      <c r="P916" s="2" t="s">
        <v>139</v>
      </c>
      <c r="Q916" s="2" t="s">
        <v>99</v>
      </c>
      <c r="R916" s="2" t="s">
        <v>100</v>
      </c>
      <c r="S916" s="2" t="s">
        <v>3508</v>
      </c>
      <c r="T916" s="2" t="s">
        <v>100</v>
      </c>
      <c r="U916" s="2" t="s">
        <v>901</v>
      </c>
      <c r="V916" s="2" t="s">
        <v>733</v>
      </c>
      <c r="W916" s="2" t="s">
        <v>717</v>
      </c>
      <c r="X916" s="2" t="s">
        <v>609</v>
      </c>
      <c r="Y916" s="2" t="s">
        <v>3509</v>
      </c>
      <c r="Z916" s="4">
        <v>257</v>
      </c>
      <c r="AA916" s="4">
        <f>=ROUNDDOWN(15.1176470588235,0)</f>
      </c>
      <c r="AB916" s="5">
        <v>17</v>
      </c>
      <c r="AC916" s="2" t="s">
        <v>1142</v>
      </c>
      <c r="AD916" s="4">
        <v>200</v>
      </c>
      <c r="AE916" s="4">
        <v>200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>
        <v>58</v>
      </c>
      <c r="BK916" s="8">
        <v>5764.37</v>
      </c>
      <c r="BL916" s="2" t="s">
        <v>3510</v>
      </c>
      <c r="BM916" s="7"/>
      <c r="BN916" s="7"/>
      <c r="BO916" s="4"/>
      <c r="BP916" s="8"/>
      <c r="BQ916" s="4"/>
      <c r="BR916" s="8"/>
      <c r="BS916" s="7"/>
      <c r="BT916" s="7"/>
      <c r="BU916" s="2" t="s">
        <v>2526</v>
      </c>
      <c r="BV916" s="2" t="s">
        <v>97</v>
      </c>
      <c r="BW916" s="2" t="s">
        <v>100</v>
      </c>
      <c r="BX916" s="2" t="s">
        <v>100</v>
      </c>
      <c r="BY916" s="2" t="s">
        <v>112</v>
      </c>
      <c r="BZ916" s="2" t="s">
        <v>149</v>
      </c>
    </row>
    <row r="917">
      <c r="A917" s="2" t="s">
        <v>3511</v>
      </c>
      <c r="B917" s="2" t="s">
        <v>3380</v>
      </c>
      <c r="C917" s="2" t="s">
        <v>88</v>
      </c>
      <c r="D917" s="2" t="s">
        <v>3381</v>
      </c>
      <c r="E917" s="2" t="s">
        <v>3479</v>
      </c>
      <c r="F917" s="2" t="s">
        <v>3512</v>
      </c>
      <c r="G917" s="2" t="s">
        <v>3512</v>
      </c>
      <c r="H917" s="2" t="s">
        <v>3512</v>
      </c>
      <c r="I917" s="2" t="s">
        <v>3513</v>
      </c>
      <c r="J917" s="2" t="s">
        <v>3385</v>
      </c>
      <c r="K917" s="2" t="s">
        <v>892</v>
      </c>
      <c r="L917" s="3">
        <v>77.71</v>
      </c>
      <c r="M917" s="3">
        <v>81.6</v>
      </c>
      <c r="N917" s="3">
        <v>169.99</v>
      </c>
      <c r="O917" s="2" t="s">
        <v>97</v>
      </c>
      <c r="P917" s="2" t="s">
        <v>123</v>
      </c>
      <c r="Q917" s="2" t="s">
        <v>99</v>
      </c>
      <c r="R917" s="2" t="s">
        <v>100</v>
      </c>
      <c r="S917" s="2" t="s">
        <v>3514</v>
      </c>
      <c r="T917" s="2" t="s">
        <v>100</v>
      </c>
      <c r="U917" s="2" t="s">
        <v>901</v>
      </c>
      <c r="V917" s="2" t="s">
        <v>717</v>
      </c>
      <c r="W917" s="2" t="s">
        <v>717</v>
      </c>
      <c r="X917" s="2" t="s">
        <v>609</v>
      </c>
      <c r="Y917" s="2" t="s">
        <v>3509</v>
      </c>
      <c r="Z917" s="4">
        <v>130</v>
      </c>
      <c r="AA917" s="4">
        <f>=ROUNDDOWN(21.3114754098361,0)</f>
      </c>
      <c r="AB917" s="5">
        <v>6.1</v>
      </c>
      <c r="AC917" s="2" t="s">
        <v>3515</v>
      </c>
      <c r="AD917" s="4">
        <v>100</v>
      </c>
      <c r="AE917" s="4">
        <v>100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>
        <v>30</v>
      </c>
      <c r="BK917" s="8">
        <v>2608.69</v>
      </c>
      <c r="BL917" s="2" t="s">
        <v>3516</v>
      </c>
      <c r="BM917" s="7"/>
      <c r="BN917" s="7"/>
      <c r="BO917" s="4"/>
      <c r="BP917" s="8"/>
      <c r="BQ917" s="4"/>
      <c r="BR917" s="8"/>
      <c r="BS917" s="7"/>
      <c r="BT917" s="7"/>
      <c r="BU917" s="2" t="s">
        <v>2526</v>
      </c>
      <c r="BV917" s="2" t="s">
        <v>97</v>
      </c>
      <c r="BW917" s="2" t="s">
        <v>100</v>
      </c>
      <c r="BX917" s="2" t="s">
        <v>100</v>
      </c>
      <c r="BY917" s="2" t="s">
        <v>112</v>
      </c>
      <c r="BZ917" s="2" t="s">
        <v>149</v>
      </c>
    </row>
    <row r="918">
      <c r="A918" s="2" t="s">
        <v>3517</v>
      </c>
      <c r="B918" s="2" t="s">
        <v>3380</v>
      </c>
      <c r="C918" s="2" t="s">
        <v>88</v>
      </c>
      <c r="D918" s="2" t="s">
        <v>3381</v>
      </c>
      <c r="E918" s="2" t="s">
        <v>3479</v>
      </c>
      <c r="F918" s="2" t="s">
        <v>3518</v>
      </c>
      <c r="G918" s="2" t="s">
        <v>3518</v>
      </c>
      <c r="H918" s="2" t="s">
        <v>3518</v>
      </c>
      <c r="I918" s="2" t="s">
        <v>3519</v>
      </c>
      <c r="J918" s="2" t="s">
        <v>3385</v>
      </c>
      <c r="K918" s="2" t="s">
        <v>892</v>
      </c>
      <c r="L918" s="3">
        <v>57.35</v>
      </c>
      <c r="M918" s="3">
        <v>60.22</v>
      </c>
      <c r="N918" s="3">
        <v>118.99</v>
      </c>
      <c r="O918" s="2" t="s">
        <v>97</v>
      </c>
      <c r="P918" s="2" t="s">
        <v>98</v>
      </c>
      <c r="Q918" s="2" t="s">
        <v>99</v>
      </c>
      <c r="R918" s="2" t="s">
        <v>100</v>
      </c>
      <c r="S918" s="2" t="s">
        <v>3520</v>
      </c>
      <c r="T918" s="2" t="s">
        <v>100</v>
      </c>
      <c r="U918" s="2" t="s">
        <v>894</v>
      </c>
      <c r="V918" s="2" t="s">
        <v>2913</v>
      </c>
      <c r="W918" s="2" t="s">
        <v>686</v>
      </c>
      <c r="X918" s="2" t="s">
        <v>609</v>
      </c>
      <c r="Y918" s="2" t="s">
        <v>3521</v>
      </c>
      <c r="Z918" s="4">
        <v>63</v>
      </c>
      <c r="AA918" s="4">
        <f>=ROUNDDOWN(9,0)</f>
      </c>
      <c r="AB918" s="5">
        <v>7</v>
      </c>
      <c r="AC918" s="2" t="s">
        <v>3388</v>
      </c>
      <c r="AD918" s="4">
        <v>100</v>
      </c>
      <c r="AE918" s="4">
        <v>100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/>
      <c r="BD918" s="8"/>
      <c r="BE918" s="4"/>
      <c r="BF918" s="8"/>
      <c r="BG918" s="7"/>
      <c r="BH918" s="7"/>
      <c r="BI918" s="7"/>
      <c r="BJ918" s="4">
        <v>32</v>
      </c>
      <c r="BK918" s="8">
        <v>2112.35</v>
      </c>
      <c r="BL918" s="2" t="s">
        <v>3522</v>
      </c>
      <c r="BM918" s="7"/>
      <c r="BN918" s="7"/>
      <c r="BO918" s="4"/>
      <c r="BP918" s="8"/>
      <c r="BQ918" s="4"/>
      <c r="BR918" s="8"/>
      <c r="BS918" s="7"/>
      <c r="BT918" s="7"/>
      <c r="BU918" s="2" t="s">
        <v>2526</v>
      </c>
      <c r="BV918" s="2" t="s">
        <v>97</v>
      </c>
      <c r="BW918" s="2" t="s">
        <v>100</v>
      </c>
      <c r="BX918" s="2" t="s">
        <v>100</v>
      </c>
      <c r="BY918" s="2" t="s">
        <v>112</v>
      </c>
      <c r="BZ918" s="2" t="s">
        <v>149</v>
      </c>
    </row>
    <row r="919">
      <c r="A919" s="2" t="s">
        <v>3523</v>
      </c>
      <c r="B919" s="2" t="s">
        <v>3380</v>
      </c>
      <c r="C919" s="2" t="s">
        <v>88</v>
      </c>
      <c r="D919" s="2" t="s">
        <v>3381</v>
      </c>
      <c r="E919" s="2" t="s">
        <v>3390</v>
      </c>
      <c r="F919" s="2" t="s">
        <v>3524</v>
      </c>
      <c r="G919" s="2" t="s">
        <v>3524</v>
      </c>
      <c r="H919" s="2" t="s">
        <v>3524</v>
      </c>
      <c r="I919" s="2" t="s">
        <v>3525</v>
      </c>
      <c r="J919" s="2" t="s">
        <v>3385</v>
      </c>
      <c r="K919" s="2" t="s">
        <v>3526</v>
      </c>
      <c r="L919" s="3">
        <v>40.07</v>
      </c>
      <c r="M919" s="3">
        <v>42.07</v>
      </c>
      <c r="N919" s="3">
        <v>76.49</v>
      </c>
      <c r="O919" s="2" t="s">
        <v>97</v>
      </c>
      <c r="P919" s="2" t="s">
        <v>139</v>
      </c>
      <c r="Q919" s="2" t="s">
        <v>99</v>
      </c>
      <c r="R919" s="2" t="s">
        <v>100</v>
      </c>
      <c r="S919" s="2" t="s">
        <v>3527</v>
      </c>
      <c r="T919" s="2" t="s">
        <v>100</v>
      </c>
      <c r="U919" s="2" t="s">
        <v>894</v>
      </c>
      <c r="V919" s="2" t="s">
        <v>733</v>
      </c>
      <c r="W919" s="2" t="s">
        <v>493</v>
      </c>
      <c r="X919" s="2" t="s">
        <v>717</v>
      </c>
      <c r="Y919" s="2" t="s">
        <v>3528</v>
      </c>
      <c r="Z919" s="4">
        <v>518</v>
      </c>
      <c r="AA919" s="4">
        <f>=ROUNDDOWN(10.9052631578947,0)</f>
      </c>
      <c r="AB919" s="5">
        <v>47.5</v>
      </c>
      <c r="AC919" s="2" t="s">
        <v>3388</v>
      </c>
      <c r="AD919" s="4">
        <v>500</v>
      </c>
      <c r="AE919" s="4">
        <v>900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/>
      <c r="BD919" s="8"/>
      <c r="BE919" s="4"/>
      <c r="BF919" s="8"/>
      <c r="BG919" s="7"/>
      <c r="BH919" s="7"/>
      <c r="BI919" s="7"/>
      <c r="BJ919" s="4">
        <v>194</v>
      </c>
      <c r="BK919" s="8">
        <v>8900.13</v>
      </c>
      <c r="BL919" s="2" t="s">
        <v>3529</v>
      </c>
      <c r="BM919" s="7"/>
      <c r="BN919" s="7"/>
      <c r="BO919" s="4"/>
      <c r="BP919" s="8"/>
      <c r="BQ919" s="4"/>
      <c r="BR919" s="8"/>
      <c r="BS919" s="7"/>
      <c r="BT919" s="7"/>
      <c r="BU919" s="2" t="s">
        <v>2526</v>
      </c>
      <c r="BV919" s="2" t="s">
        <v>97</v>
      </c>
      <c r="BW919" s="2" t="s">
        <v>100</v>
      </c>
      <c r="BX919" s="2" t="s">
        <v>100</v>
      </c>
      <c r="BY919" s="2" t="s">
        <v>112</v>
      </c>
      <c r="BZ919" s="2" t="s">
        <v>149</v>
      </c>
    </row>
    <row r="920">
      <c r="A920" s="2" t="s">
        <v>3530</v>
      </c>
      <c r="B920" s="2" t="s">
        <v>3380</v>
      </c>
      <c r="C920" s="2" t="s">
        <v>88</v>
      </c>
      <c r="D920" s="2" t="s">
        <v>3381</v>
      </c>
      <c r="E920" s="2" t="s">
        <v>3390</v>
      </c>
      <c r="F920" s="2" t="s">
        <v>3531</v>
      </c>
      <c r="G920" s="2" t="s">
        <v>3531</v>
      </c>
      <c r="H920" s="2" t="s">
        <v>3531</v>
      </c>
      <c r="I920" s="2" t="s">
        <v>3532</v>
      </c>
      <c r="J920" s="2" t="s">
        <v>3385</v>
      </c>
      <c r="K920" s="2" t="s">
        <v>458</v>
      </c>
      <c r="L920" s="3">
        <v>20.4</v>
      </c>
      <c r="M920" s="3">
        <v>21.42</v>
      </c>
      <c r="N920" s="3">
        <v>42.49</v>
      </c>
      <c r="O920" s="2" t="s">
        <v>97</v>
      </c>
      <c r="P920" s="2" t="s">
        <v>707</v>
      </c>
      <c r="Q920" s="2" t="s">
        <v>99</v>
      </c>
      <c r="R920" s="2" t="s">
        <v>100</v>
      </c>
      <c r="S920" s="2" t="s">
        <v>3533</v>
      </c>
      <c r="T920" s="2" t="s">
        <v>100</v>
      </c>
      <c r="U920" s="2" t="s">
        <v>1776</v>
      </c>
      <c r="V920" s="2" t="s">
        <v>103</v>
      </c>
      <c r="W920" s="2" t="s">
        <v>686</v>
      </c>
      <c r="X920" s="2" t="s">
        <v>100</v>
      </c>
      <c r="Y920" s="2" t="s">
        <v>1413</v>
      </c>
      <c r="Z920" s="4">
        <v>92</v>
      </c>
      <c r="AA920" s="4">
        <f>=ROUNDDOWN(23,0)</f>
      </c>
      <c r="AB920" s="5">
        <v>4</v>
      </c>
      <c r="AC920" s="2" t="s">
        <v>990</v>
      </c>
      <c r="AD920" s="4">
        <v>100</v>
      </c>
      <c r="AE920" s="4">
        <v>100</v>
      </c>
      <c r="AF920" s="6">
        <v>63</v>
      </c>
      <c r="AG920" s="6"/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/>
      <c r="BD920" s="8"/>
      <c r="BE920" s="4"/>
      <c r="BF920" s="8"/>
      <c r="BG920" s="7"/>
      <c r="BH920" s="7"/>
      <c r="BI920" s="7"/>
      <c r="BJ920" s="4">
        <v>17</v>
      </c>
      <c r="BK920" s="8">
        <v>403.09</v>
      </c>
      <c r="BL920" s="2" t="s">
        <v>3534</v>
      </c>
      <c r="BM920" s="7"/>
      <c r="BN920" s="7"/>
      <c r="BO920" s="4"/>
      <c r="BP920" s="8"/>
      <c r="BQ920" s="4"/>
      <c r="BR920" s="8"/>
      <c r="BS920" s="7"/>
      <c r="BT920" s="7"/>
      <c r="BU920" s="2" t="s">
        <v>2526</v>
      </c>
      <c r="BV920" s="2" t="s">
        <v>97</v>
      </c>
      <c r="BW920" s="2" t="s">
        <v>100</v>
      </c>
      <c r="BX920" s="2" t="s">
        <v>100</v>
      </c>
      <c r="BY920" s="2" t="s">
        <v>112</v>
      </c>
      <c r="BZ920" s="2" t="s">
        <v>149</v>
      </c>
    </row>
    <row r="921">
      <c r="A921" s="2" t="s">
        <v>3535</v>
      </c>
      <c r="B921" s="2" t="s">
        <v>3380</v>
      </c>
      <c r="C921" s="2" t="s">
        <v>88</v>
      </c>
      <c r="D921" s="2" t="s">
        <v>3381</v>
      </c>
      <c r="E921" s="2" t="s">
        <v>3390</v>
      </c>
      <c r="F921" s="2" t="s">
        <v>3536</v>
      </c>
      <c r="G921" s="2" t="s">
        <v>3536</v>
      </c>
      <c r="H921" s="2" t="s">
        <v>3536</v>
      </c>
      <c r="I921" s="2" t="s">
        <v>3537</v>
      </c>
      <c r="J921" s="2" t="s">
        <v>3385</v>
      </c>
      <c r="K921" s="2" t="s">
        <v>3538</v>
      </c>
      <c r="L921" s="3">
        <v>47.23</v>
      </c>
      <c r="M921" s="3">
        <v>49.59</v>
      </c>
      <c r="N921" s="3">
        <v>92.14</v>
      </c>
      <c r="O921" s="2" t="s">
        <v>97</v>
      </c>
      <c r="P921" s="2" t="s">
        <v>123</v>
      </c>
      <c r="Q921" s="2" t="s">
        <v>99</v>
      </c>
      <c r="R921" s="2" t="s">
        <v>100</v>
      </c>
      <c r="S921" s="2" t="s">
        <v>3539</v>
      </c>
      <c r="T921" s="2" t="s">
        <v>100</v>
      </c>
      <c r="U921" s="2" t="s">
        <v>894</v>
      </c>
      <c r="V921" s="2" t="s">
        <v>733</v>
      </c>
      <c r="W921" s="2" t="s">
        <v>142</v>
      </c>
      <c r="X921" s="2" t="s">
        <v>686</v>
      </c>
      <c r="Y921" s="2" t="s">
        <v>3540</v>
      </c>
      <c r="Z921" s="4">
        <v>99</v>
      </c>
      <c r="AA921" s="4">
        <f>=ROUNDDOWN(11.9277108433735,0)</f>
      </c>
      <c r="AB921" s="5">
        <v>8.3</v>
      </c>
      <c r="AC921" s="2" t="s">
        <v>3515</v>
      </c>
      <c r="AD921" s="4">
        <v>120</v>
      </c>
      <c r="AE921" s="4">
        <v>240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/>
      <c r="BJ921" s="4">
        <v>37</v>
      </c>
      <c r="BK921" s="8">
        <v>1991.6</v>
      </c>
      <c r="BL921" s="2" t="s">
        <v>3541</v>
      </c>
      <c r="BM921" s="7"/>
      <c r="BN921" s="7"/>
      <c r="BO921" s="4"/>
      <c r="BP921" s="8"/>
      <c r="BQ921" s="4"/>
      <c r="BR921" s="8"/>
      <c r="BS921" s="7"/>
      <c r="BT921" s="7"/>
      <c r="BU921" s="2" t="s">
        <v>2526</v>
      </c>
      <c r="BV921" s="2" t="s">
        <v>97</v>
      </c>
      <c r="BW921" s="2" t="s">
        <v>100</v>
      </c>
      <c r="BX921" s="2" t="s">
        <v>100</v>
      </c>
      <c r="BY921" s="2" t="s">
        <v>112</v>
      </c>
      <c r="BZ921" s="2" t="s">
        <v>149</v>
      </c>
    </row>
    <row r="922">
      <c r="A922" s="2" t="s">
        <v>3542</v>
      </c>
      <c r="B922" s="2" t="s">
        <v>3380</v>
      </c>
      <c r="C922" s="2" t="s">
        <v>88</v>
      </c>
      <c r="D922" s="2" t="s">
        <v>3381</v>
      </c>
      <c r="E922" s="2" t="s">
        <v>3390</v>
      </c>
      <c r="F922" s="2" t="s">
        <v>3536</v>
      </c>
      <c r="G922" s="2" t="s">
        <v>3536</v>
      </c>
      <c r="H922" s="2" t="s">
        <v>3536</v>
      </c>
      <c r="I922" s="2" t="s">
        <v>3537</v>
      </c>
      <c r="J922" s="2" t="s">
        <v>3385</v>
      </c>
      <c r="K922" s="2" t="s">
        <v>3543</v>
      </c>
      <c r="L922" s="3">
        <v>47.23</v>
      </c>
      <c r="M922" s="3">
        <v>49.59</v>
      </c>
      <c r="N922" s="3">
        <v>92.14</v>
      </c>
      <c r="O922" s="2" t="s">
        <v>97</v>
      </c>
      <c r="P922" s="2" t="s">
        <v>139</v>
      </c>
      <c r="Q922" s="2" t="s">
        <v>99</v>
      </c>
      <c r="R922" s="2" t="s">
        <v>100</v>
      </c>
      <c r="S922" s="2" t="s">
        <v>3539</v>
      </c>
      <c r="T922" s="2" t="s">
        <v>100</v>
      </c>
      <c r="U922" s="2" t="s">
        <v>894</v>
      </c>
      <c r="V922" s="2" t="s">
        <v>733</v>
      </c>
      <c r="W922" s="2" t="s">
        <v>142</v>
      </c>
      <c r="X922" s="2" t="s">
        <v>686</v>
      </c>
      <c r="Y922" s="2" t="s">
        <v>3540</v>
      </c>
      <c r="Z922" s="4">
        <v>177</v>
      </c>
      <c r="AA922" s="4">
        <f>=ROUNDDOWN(14.75,0)</f>
      </c>
      <c r="AB922" s="5">
        <v>12</v>
      </c>
      <c r="AC922" s="2" t="s">
        <v>783</v>
      </c>
      <c r="AD922" s="4">
        <v>100</v>
      </c>
      <c r="AE922" s="4">
        <v>220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/>
      <c r="BJ922" s="4">
        <v>52</v>
      </c>
      <c r="BK922" s="8">
        <v>2753.74</v>
      </c>
      <c r="BL922" s="2" t="s">
        <v>3544</v>
      </c>
      <c r="BM922" s="7"/>
      <c r="BN922" s="7"/>
      <c r="BO922" s="4"/>
      <c r="BP922" s="8"/>
      <c r="BQ922" s="4"/>
      <c r="BR922" s="8"/>
      <c r="BS922" s="7"/>
      <c r="BT922" s="7"/>
      <c r="BU922" s="2" t="s">
        <v>2526</v>
      </c>
      <c r="BV922" s="2" t="s">
        <v>97</v>
      </c>
      <c r="BW922" s="2" t="s">
        <v>100</v>
      </c>
      <c r="BX922" s="2" t="s">
        <v>100</v>
      </c>
      <c r="BY922" s="2" t="s">
        <v>112</v>
      </c>
      <c r="BZ922" s="2" t="s">
        <v>149</v>
      </c>
    </row>
    <row r="923">
      <c r="A923" s="2" t="s">
        <v>3545</v>
      </c>
      <c r="B923" s="2" t="s">
        <v>3380</v>
      </c>
      <c r="C923" s="2" t="s">
        <v>88</v>
      </c>
      <c r="D923" s="2" t="s">
        <v>3381</v>
      </c>
      <c r="E923" s="2" t="s">
        <v>3390</v>
      </c>
      <c r="F923" s="2" t="s">
        <v>3536</v>
      </c>
      <c r="G923" s="2" t="s">
        <v>3536</v>
      </c>
      <c r="H923" s="2" t="s">
        <v>3536</v>
      </c>
      <c r="I923" s="2" t="s">
        <v>3537</v>
      </c>
      <c r="J923" s="2" t="s">
        <v>3385</v>
      </c>
      <c r="K923" s="2" t="s">
        <v>458</v>
      </c>
      <c r="L923" s="3">
        <v>47.23</v>
      </c>
      <c r="M923" s="3">
        <v>49.59</v>
      </c>
      <c r="N923" s="3">
        <v>92.14</v>
      </c>
      <c r="O923" s="2" t="s">
        <v>97</v>
      </c>
      <c r="P923" s="2" t="s">
        <v>139</v>
      </c>
      <c r="Q923" s="2" t="s">
        <v>99</v>
      </c>
      <c r="R923" s="2" t="s">
        <v>100</v>
      </c>
      <c r="S923" s="2" t="s">
        <v>3546</v>
      </c>
      <c r="T923" s="2" t="s">
        <v>100</v>
      </c>
      <c r="U923" s="2" t="s">
        <v>894</v>
      </c>
      <c r="V923" s="2" t="s">
        <v>733</v>
      </c>
      <c r="W923" s="2" t="s">
        <v>142</v>
      </c>
      <c r="X923" s="2" t="s">
        <v>100</v>
      </c>
      <c r="Y923" s="2" t="s">
        <v>3547</v>
      </c>
      <c r="Z923" s="4">
        <v>91</v>
      </c>
      <c r="AA923" s="4">
        <f>=ROUNDDOWN(5.35294117647059,0)</f>
      </c>
      <c r="AB923" s="5">
        <v>17</v>
      </c>
      <c r="AC923" s="2" t="s">
        <v>783</v>
      </c>
      <c r="AD923" s="4">
        <v>110</v>
      </c>
      <c r="AE923" s="4">
        <v>360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/>
      <c r="BJ923" s="4">
        <v>53</v>
      </c>
      <c r="BK923" s="8">
        <v>2807.26</v>
      </c>
      <c r="BL923" s="2" t="s">
        <v>3548</v>
      </c>
      <c r="BM923" s="7"/>
      <c r="BN923" s="7"/>
      <c r="BO923" s="4"/>
      <c r="BP923" s="8"/>
      <c r="BQ923" s="4"/>
      <c r="BR923" s="8"/>
      <c r="BS923" s="7"/>
      <c r="BT923" s="7"/>
      <c r="BU923" s="2" t="s">
        <v>2526</v>
      </c>
      <c r="BV923" s="2" t="s">
        <v>97</v>
      </c>
      <c r="BW923" s="2" t="s">
        <v>100</v>
      </c>
      <c r="BX923" s="2" t="s">
        <v>100</v>
      </c>
      <c r="BY923" s="2" t="s">
        <v>112</v>
      </c>
      <c r="BZ923" s="2" t="s">
        <v>149</v>
      </c>
    </row>
    <row r="924">
      <c r="A924" s="2" t="s">
        <v>3549</v>
      </c>
      <c r="B924" s="2" t="s">
        <v>3380</v>
      </c>
      <c r="C924" s="2" t="s">
        <v>88</v>
      </c>
      <c r="D924" s="2" t="s">
        <v>3381</v>
      </c>
      <c r="E924" s="2" t="s">
        <v>3390</v>
      </c>
      <c r="F924" s="2" t="s">
        <v>3550</v>
      </c>
      <c r="G924" s="2" t="s">
        <v>3550</v>
      </c>
      <c r="H924" s="2" t="s">
        <v>3550</v>
      </c>
      <c r="I924" s="2" t="s">
        <v>3551</v>
      </c>
      <c r="J924" s="2" t="s">
        <v>3385</v>
      </c>
      <c r="K924" s="2" t="s">
        <v>3552</v>
      </c>
      <c r="L924" s="3">
        <v>28.22</v>
      </c>
      <c r="M924" s="3">
        <v>29.63</v>
      </c>
      <c r="N924" s="3">
        <v>59.49</v>
      </c>
      <c r="O924" s="2" t="s">
        <v>97</v>
      </c>
      <c r="P924" s="2" t="s">
        <v>98</v>
      </c>
      <c r="Q924" s="2" t="s">
        <v>99</v>
      </c>
      <c r="R924" s="2" t="s">
        <v>100</v>
      </c>
      <c r="S924" s="2" t="s">
        <v>3553</v>
      </c>
      <c r="T924" s="2" t="s">
        <v>100</v>
      </c>
      <c r="U924" s="2" t="s">
        <v>1776</v>
      </c>
      <c r="V924" s="2" t="s">
        <v>2913</v>
      </c>
      <c r="W924" s="2" t="s">
        <v>594</v>
      </c>
      <c r="X924" s="2" t="s">
        <v>100</v>
      </c>
      <c r="Y924" s="2" t="s">
        <v>3547</v>
      </c>
      <c r="Z924" s="4">
        <v>173</v>
      </c>
      <c r="AA924" s="4">
        <f>=ROUNDDOWN(21.625,0)</f>
      </c>
      <c r="AB924" s="5">
        <v>8</v>
      </c>
      <c r="AC924" s="2" t="s">
        <v>100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/>
      <c r="BD924" s="8"/>
      <c r="BE924" s="4"/>
      <c r="BF924" s="8"/>
      <c r="BG924" s="7"/>
      <c r="BH924" s="7"/>
      <c r="BI924" s="7"/>
      <c r="BJ924" s="4">
        <v>40</v>
      </c>
      <c r="BK924" s="8">
        <v>1358.64</v>
      </c>
      <c r="BL924" s="2" t="s">
        <v>3554</v>
      </c>
      <c r="BM924" s="7"/>
      <c r="BN924" s="7"/>
      <c r="BO924" s="4"/>
      <c r="BP924" s="8"/>
      <c r="BQ924" s="4"/>
      <c r="BR924" s="8"/>
      <c r="BS924" s="7"/>
      <c r="BT924" s="7"/>
      <c r="BU924" s="2" t="s">
        <v>2526</v>
      </c>
      <c r="BV924" s="2" t="s">
        <v>97</v>
      </c>
      <c r="BW924" s="2" t="s">
        <v>100</v>
      </c>
      <c r="BX924" s="2" t="s">
        <v>100</v>
      </c>
      <c r="BY924" s="2" t="s">
        <v>112</v>
      </c>
      <c r="BZ924" s="2" t="s">
        <v>149</v>
      </c>
    </row>
    <row r="925">
      <c r="A925" s="2" t="s">
        <v>3555</v>
      </c>
      <c r="B925" s="2" t="s">
        <v>3380</v>
      </c>
      <c r="C925" s="2" t="s">
        <v>88</v>
      </c>
      <c r="D925" s="2" t="s">
        <v>3381</v>
      </c>
      <c r="E925" s="2" t="s">
        <v>3390</v>
      </c>
      <c r="F925" s="2" t="s">
        <v>3556</v>
      </c>
      <c r="G925" s="2" t="s">
        <v>3556</v>
      </c>
      <c r="H925" s="2" t="s">
        <v>3556</v>
      </c>
      <c r="I925" s="2" t="s">
        <v>3557</v>
      </c>
      <c r="J925" s="2" t="s">
        <v>3385</v>
      </c>
      <c r="K925" s="2" t="s">
        <v>289</v>
      </c>
      <c r="L925" s="3">
        <v>58.83</v>
      </c>
      <c r="M925" s="3">
        <v>61.77</v>
      </c>
      <c r="N925" s="3">
        <v>118.74</v>
      </c>
      <c r="O925" s="2" t="s">
        <v>97</v>
      </c>
      <c r="P925" s="2" t="s">
        <v>139</v>
      </c>
      <c r="Q925" s="2" t="s">
        <v>99</v>
      </c>
      <c r="R925" s="2" t="s">
        <v>100</v>
      </c>
      <c r="S925" s="2" t="s">
        <v>3558</v>
      </c>
      <c r="T925" s="2" t="s">
        <v>100</v>
      </c>
      <c r="U925" s="2" t="s">
        <v>901</v>
      </c>
      <c r="V925" s="2" t="s">
        <v>473</v>
      </c>
      <c r="W925" s="2" t="s">
        <v>142</v>
      </c>
      <c r="X925" s="2" t="s">
        <v>594</v>
      </c>
      <c r="Y925" s="2" t="s">
        <v>3559</v>
      </c>
      <c r="Z925" s="4">
        <v>5</v>
      </c>
      <c r="AA925" s="4">
        <f>=ROUNDDOWN(0.21551724137931,0)</f>
      </c>
      <c r="AB925" s="5">
        <v>23.2</v>
      </c>
      <c r="AC925" s="2" t="s">
        <v>3515</v>
      </c>
      <c r="AD925" s="4">
        <v>200</v>
      </c>
      <c r="AE925" s="4">
        <v>400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>
        <v>95</v>
      </c>
      <c r="BK925" s="8">
        <v>5091.5</v>
      </c>
      <c r="BL925" s="2" t="s">
        <v>3560</v>
      </c>
      <c r="BM925" s="7"/>
      <c r="BN925" s="7"/>
      <c r="BO925" s="4"/>
      <c r="BP925" s="8"/>
      <c r="BQ925" s="4"/>
      <c r="BR925" s="8"/>
      <c r="BS925" s="7"/>
      <c r="BT925" s="7"/>
      <c r="BU925" s="2" t="s">
        <v>2526</v>
      </c>
      <c r="BV925" s="2" t="s">
        <v>97</v>
      </c>
      <c r="BW925" s="2" t="s">
        <v>100</v>
      </c>
      <c r="BX925" s="2" t="s">
        <v>100</v>
      </c>
      <c r="BY925" s="2" t="s">
        <v>112</v>
      </c>
      <c r="BZ925" s="2" t="s">
        <v>149</v>
      </c>
    </row>
    <row r="926">
      <c r="A926" s="2" t="s">
        <v>3561</v>
      </c>
      <c r="B926" s="2" t="s">
        <v>3380</v>
      </c>
      <c r="C926" s="2" t="s">
        <v>88</v>
      </c>
      <c r="D926" s="2" t="s">
        <v>3381</v>
      </c>
      <c r="E926" s="2" t="s">
        <v>3390</v>
      </c>
      <c r="F926" s="2" t="s">
        <v>3562</v>
      </c>
      <c r="G926" s="2" t="s">
        <v>3562</v>
      </c>
      <c r="H926" s="2" t="s">
        <v>3562</v>
      </c>
      <c r="I926" s="2" t="s">
        <v>3563</v>
      </c>
      <c r="J926" s="2" t="s">
        <v>3385</v>
      </c>
      <c r="K926" s="2" t="s">
        <v>3564</v>
      </c>
      <c r="L926" s="3">
        <v>36.42</v>
      </c>
      <c r="M926" s="3">
        <v>38.24</v>
      </c>
      <c r="N926" s="3">
        <v>76.49</v>
      </c>
      <c r="O926" s="2" t="s">
        <v>97</v>
      </c>
      <c r="P926" s="2" t="s">
        <v>123</v>
      </c>
      <c r="Q926" s="2" t="s">
        <v>99</v>
      </c>
      <c r="R926" s="2" t="s">
        <v>100</v>
      </c>
      <c r="S926" s="2" t="s">
        <v>3565</v>
      </c>
      <c r="T926" s="2" t="s">
        <v>100</v>
      </c>
      <c r="U926" s="2" t="s">
        <v>894</v>
      </c>
      <c r="V926" s="2" t="s">
        <v>733</v>
      </c>
      <c r="W926" s="2" t="s">
        <v>493</v>
      </c>
      <c r="X926" s="2" t="s">
        <v>142</v>
      </c>
      <c r="Y926" s="2" t="s">
        <v>1548</v>
      </c>
      <c r="Z926" s="4">
        <v>258</v>
      </c>
      <c r="AA926" s="4">
        <f>=ROUNDDOWN(17.2,0)</f>
      </c>
      <c r="AB926" s="5">
        <v>15</v>
      </c>
      <c r="AC926" s="2" t="s">
        <v>3388</v>
      </c>
      <c r="AD926" s="4">
        <v>200</v>
      </c>
      <c r="AE926" s="4">
        <v>200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/>
      <c r="BD926" s="8"/>
      <c r="BE926" s="4"/>
      <c r="BF926" s="8"/>
      <c r="BG926" s="7"/>
      <c r="BH926" s="7"/>
      <c r="BI926" s="7"/>
      <c r="BJ926" s="4">
        <v>46</v>
      </c>
      <c r="BK926" s="8">
        <v>1921.38</v>
      </c>
      <c r="BL926" s="2" t="s">
        <v>3566</v>
      </c>
      <c r="BM926" s="7"/>
      <c r="BN926" s="7"/>
      <c r="BO926" s="4"/>
      <c r="BP926" s="8"/>
      <c r="BQ926" s="4"/>
      <c r="BR926" s="8"/>
      <c r="BS926" s="7"/>
      <c r="BT926" s="7"/>
      <c r="BU926" s="2" t="s">
        <v>2526</v>
      </c>
      <c r="BV926" s="2" t="s">
        <v>97</v>
      </c>
      <c r="BW926" s="2" t="s">
        <v>100</v>
      </c>
      <c r="BX926" s="2" t="s">
        <v>100</v>
      </c>
      <c r="BY926" s="2" t="s">
        <v>112</v>
      </c>
      <c r="BZ926" s="2" t="s">
        <v>149</v>
      </c>
    </row>
    <row r="927">
      <c r="A927" s="2" t="s">
        <v>3567</v>
      </c>
      <c r="B927" s="2" t="s">
        <v>3380</v>
      </c>
      <c r="C927" s="2" t="s">
        <v>88</v>
      </c>
      <c r="D927" s="2" t="s">
        <v>3381</v>
      </c>
      <c r="E927" s="2" t="s">
        <v>3390</v>
      </c>
      <c r="F927" s="2" t="s">
        <v>3568</v>
      </c>
      <c r="G927" s="2" t="s">
        <v>3568</v>
      </c>
      <c r="H927" s="2" t="s">
        <v>3568</v>
      </c>
      <c r="I927" s="2" t="s">
        <v>3569</v>
      </c>
      <c r="J927" s="2" t="s">
        <v>3385</v>
      </c>
      <c r="K927" s="2" t="s">
        <v>3570</v>
      </c>
      <c r="L927" s="3">
        <v>46.1</v>
      </c>
      <c r="M927" s="3">
        <v>48.4</v>
      </c>
      <c r="N927" s="3">
        <v>96.04</v>
      </c>
      <c r="O927" s="2" t="s">
        <v>97</v>
      </c>
      <c r="P927" s="2" t="s">
        <v>123</v>
      </c>
      <c r="Q927" s="2" t="s">
        <v>99</v>
      </c>
      <c r="R927" s="2" t="s">
        <v>100</v>
      </c>
      <c r="S927" s="2" t="s">
        <v>3571</v>
      </c>
      <c r="T927" s="2" t="s">
        <v>100</v>
      </c>
      <c r="U927" s="2" t="s">
        <v>901</v>
      </c>
      <c r="V927" s="2" t="s">
        <v>733</v>
      </c>
      <c r="W927" s="2" t="s">
        <v>142</v>
      </c>
      <c r="X927" s="2" t="s">
        <v>100</v>
      </c>
      <c r="Y927" s="2" t="s">
        <v>3572</v>
      </c>
      <c r="Z927" s="4">
        <v>126</v>
      </c>
      <c r="AA927" s="4">
        <f>=ROUNDDOWN(18,0)</f>
      </c>
      <c r="AB927" s="5">
        <v>7</v>
      </c>
      <c r="AC927" s="2" t="s">
        <v>3515</v>
      </c>
      <c r="AD927" s="4">
        <v>96</v>
      </c>
      <c r="AE927" s="4">
        <v>96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/>
      <c r="BD927" s="8"/>
      <c r="BE927" s="4"/>
      <c r="BF927" s="8"/>
      <c r="BG927" s="7"/>
      <c r="BH927" s="7"/>
      <c r="BI927" s="7"/>
      <c r="BJ927" s="4">
        <v>25</v>
      </c>
      <c r="BK927" s="8">
        <v>1245.02</v>
      </c>
      <c r="BL927" s="2" t="s">
        <v>3573</v>
      </c>
      <c r="BM927" s="7"/>
      <c r="BN927" s="7"/>
      <c r="BO927" s="4"/>
      <c r="BP927" s="8"/>
      <c r="BQ927" s="4"/>
      <c r="BR927" s="8"/>
      <c r="BS927" s="7"/>
      <c r="BT927" s="7"/>
      <c r="BU927" s="2" t="s">
        <v>2526</v>
      </c>
      <c r="BV927" s="2" t="s">
        <v>97</v>
      </c>
      <c r="BW927" s="2" t="s">
        <v>100</v>
      </c>
      <c r="BX927" s="2" t="s">
        <v>100</v>
      </c>
      <c r="BY927" s="2" t="s">
        <v>112</v>
      </c>
      <c r="BZ927" s="2" t="s">
        <v>149</v>
      </c>
    </row>
    <row r="928">
      <c r="A928" s="2" t="s">
        <v>3574</v>
      </c>
      <c r="B928" s="2" t="s">
        <v>3380</v>
      </c>
      <c r="C928" s="2" t="s">
        <v>88</v>
      </c>
      <c r="D928" s="2" t="s">
        <v>3381</v>
      </c>
      <c r="E928" s="2" t="s">
        <v>3390</v>
      </c>
      <c r="F928" s="2" t="s">
        <v>3575</v>
      </c>
      <c r="G928" s="2" t="s">
        <v>3575</v>
      </c>
      <c r="H928" s="2" t="s">
        <v>3575</v>
      </c>
      <c r="I928" s="2" t="s">
        <v>3576</v>
      </c>
      <c r="J928" s="2" t="s">
        <v>3385</v>
      </c>
      <c r="K928" s="2" t="s">
        <v>96</v>
      </c>
      <c r="L928" s="3">
        <v>23.99</v>
      </c>
      <c r="M928" s="3">
        <v>25.19</v>
      </c>
      <c r="N928" s="3">
        <v>52.69</v>
      </c>
      <c r="O928" s="2" t="s">
        <v>97</v>
      </c>
      <c r="P928" s="2" t="s">
        <v>123</v>
      </c>
      <c r="Q928" s="2" t="s">
        <v>99</v>
      </c>
      <c r="R928" s="2" t="s">
        <v>100</v>
      </c>
      <c r="S928" s="2" t="s">
        <v>3577</v>
      </c>
      <c r="T928" s="2" t="s">
        <v>100</v>
      </c>
      <c r="U928" s="2" t="s">
        <v>1776</v>
      </c>
      <c r="V928" s="2" t="s">
        <v>733</v>
      </c>
      <c r="W928" s="2" t="s">
        <v>142</v>
      </c>
      <c r="X928" s="2" t="s">
        <v>493</v>
      </c>
      <c r="Y928" s="2" t="s">
        <v>3578</v>
      </c>
      <c r="Z928" s="4">
        <v>241</v>
      </c>
      <c r="AA928" s="4">
        <f>=ROUNDDOWN(18.5384615384615,0)</f>
      </c>
      <c r="AB928" s="5">
        <v>13</v>
      </c>
      <c r="AC928" s="2" t="s">
        <v>389</v>
      </c>
      <c r="AD928" s="4">
        <v>150</v>
      </c>
      <c r="AE928" s="4">
        <v>150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/>
      <c r="BJ928" s="4">
        <v>66</v>
      </c>
      <c r="BK928" s="8">
        <v>2152</v>
      </c>
      <c r="BL928" s="2" t="s">
        <v>3579</v>
      </c>
      <c r="BM928" s="7"/>
      <c r="BN928" s="7"/>
      <c r="BO928" s="4"/>
      <c r="BP928" s="8"/>
      <c r="BQ928" s="4"/>
      <c r="BR928" s="8"/>
      <c r="BS928" s="7"/>
      <c r="BT928" s="7"/>
      <c r="BU928" s="2" t="s">
        <v>2526</v>
      </c>
      <c r="BV928" s="2" t="s">
        <v>97</v>
      </c>
      <c r="BW928" s="2" t="s">
        <v>100</v>
      </c>
      <c r="BX928" s="2" t="s">
        <v>100</v>
      </c>
      <c r="BY928" s="2" t="s">
        <v>112</v>
      </c>
      <c r="BZ928" s="2" t="s">
        <v>149</v>
      </c>
    </row>
    <row r="929">
      <c r="A929" s="2" t="s">
        <v>3580</v>
      </c>
      <c r="B929" s="2" t="s">
        <v>3380</v>
      </c>
      <c r="C929" s="2" t="s">
        <v>88</v>
      </c>
      <c r="D929" s="2" t="s">
        <v>3381</v>
      </c>
      <c r="E929" s="2" t="s">
        <v>3390</v>
      </c>
      <c r="F929" s="2" t="s">
        <v>3575</v>
      </c>
      <c r="G929" s="2" t="s">
        <v>3575</v>
      </c>
      <c r="H929" s="2" t="s">
        <v>3575</v>
      </c>
      <c r="I929" s="2" t="s">
        <v>3576</v>
      </c>
      <c r="J929" s="2" t="s">
        <v>3385</v>
      </c>
      <c r="K929" s="2" t="s">
        <v>446</v>
      </c>
      <c r="L929" s="3">
        <v>23.99</v>
      </c>
      <c r="M929" s="3">
        <v>25.19</v>
      </c>
      <c r="N929" s="3">
        <v>52.69</v>
      </c>
      <c r="O929" s="2" t="s">
        <v>97</v>
      </c>
      <c r="P929" s="2" t="s">
        <v>123</v>
      </c>
      <c r="Q929" s="2" t="s">
        <v>99</v>
      </c>
      <c r="R929" s="2" t="s">
        <v>100</v>
      </c>
      <c r="S929" s="2" t="s">
        <v>3581</v>
      </c>
      <c r="T929" s="2" t="s">
        <v>100</v>
      </c>
      <c r="U929" s="2" t="s">
        <v>1776</v>
      </c>
      <c r="V929" s="2" t="s">
        <v>733</v>
      </c>
      <c r="W929" s="2" t="s">
        <v>142</v>
      </c>
      <c r="X929" s="2" t="s">
        <v>493</v>
      </c>
      <c r="Y929" s="2" t="s">
        <v>3578</v>
      </c>
      <c r="Z929" s="4">
        <v>267</v>
      </c>
      <c r="AA929" s="4">
        <f>=ROUNDDOWN(14.8333333333333,0)</f>
      </c>
      <c r="AB929" s="5">
        <v>18</v>
      </c>
      <c r="AC929" s="2" t="s">
        <v>783</v>
      </c>
      <c r="AD929" s="4">
        <v>126</v>
      </c>
      <c r="AE929" s="4">
        <v>276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/>
      <c r="BJ929" s="4">
        <v>94</v>
      </c>
      <c r="BK929" s="8">
        <v>2926.28</v>
      </c>
      <c r="BL929" s="2" t="s">
        <v>3582</v>
      </c>
      <c r="BM929" s="7"/>
      <c r="BN929" s="7"/>
      <c r="BO929" s="4"/>
      <c r="BP929" s="8"/>
      <c r="BQ929" s="4"/>
      <c r="BR929" s="8"/>
      <c r="BS929" s="7"/>
      <c r="BT929" s="7"/>
      <c r="BU929" s="2" t="s">
        <v>2526</v>
      </c>
      <c r="BV929" s="2" t="s">
        <v>97</v>
      </c>
      <c r="BW929" s="2" t="s">
        <v>100</v>
      </c>
      <c r="BX929" s="2" t="s">
        <v>100</v>
      </c>
      <c r="BY929" s="2" t="s">
        <v>112</v>
      </c>
      <c r="BZ929" s="2" t="s">
        <v>149</v>
      </c>
    </row>
    <row r="930">
      <c r="A930" s="2" t="s">
        <v>3583</v>
      </c>
      <c r="B930" s="2" t="s">
        <v>3380</v>
      </c>
      <c r="C930" s="2" t="s">
        <v>88</v>
      </c>
      <c r="D930" s="2" t="s">
        <v>3381</v>
      </c>
      <c r="E930" s="2" t="s">
        <v>3390</v>
      </c>
      <c r="F930" s="2" t="s">
        <v>3584</v>
      </c>
      <c r="G930" s="2" t="s">
        <v>3585</v>
      </c>
      <c r="H930" s="2" t="s">
        <v>3584</v>
      </c>
      <c r="I930" s="2" t="s">
        <v>3586</v>
      </c>
      <c r="J930" s="2" t="s">
        <v>3385</v>
      </c>
      <c r="K930" s="2" t="s">
        <v>3587</v>
      </c>
      <c r="L930" s="3">
        <v>34.2</v>
      </c>
      <c r="M930" s="3">
        <v>35.91</v>
      </c>
      <c r="N930" s="3">
        <v>67.99</v>
      </c>
      <c r="O930" s="2" t="s">
        <v>97</v>
      </c>
      <c r="P930" s="2" t="s">
        <v>98</v>
      </c>
      <c r="Q930" s="2" t="s">
        <v>99</v>
      </c>
      <c r="R930" s="2" t="s">
        <v>100</v>
      </c>
      <c r="S930" s="2" t="s">
        <v>3588</v>
      </c>
      <c r="T930" s="2" t="s">
        <v>100</v>
      </c>
      <c r="U930" s="2" t="s">
        <v>1776</v>
      </c>
      <c r="V930" s="2" t="s">
        <v>103</v>
      </c>
      <c r="W930" s="2" t="s">
        <v>686</v>
      </c>
      <c r="X930" s="2" t="s">
        <v>609</v>
      </c>
      <c r="Y930" s="2" t="s">
        <v>3578</v>
      </c>
      <c r="Z930" s="4">
        <v>29</v>
      </c>
      <c r="AA930" s="4">
        <f>=ROUNDDOWN(5.57692307692308,0)</f>
      </c>
      <c r="AB930" s="5">
        <v>5.2</v>
      </c>
      <c r="AC930" s="2" t="s">
        <v>2286</v>
      </c>
      <c r="AD930" s="4">
        <v>100</v>
      </c>
      <c r="AE930" s="4">
        <v>100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/>
      <c r="BD930" s="8"/>
      <c r="BE930" s="4"/>
      <c r="BF930" s="8"/>
      <c r="BG930" s="7"/>
      <c r="BH930" s="7"/>
      <c r="BI930" s="7"/>
      <c r="BJ930" s="4">
        <v>25</v>
      </c>
      <c r="BK930" s="8">
        <v>1091.68</v>
      </c>
      <c r="BL930" s="2" t="s">
        <v>3589</v>
      </c>
      <c r="BM930" s="7"/>
      <c r="BN930" s="7"/>
      <c r="BO930" s="4"/>
      <c r="BP930" s="8"/>
      <c r="BQ930" s="4"/>
      <c r="BR930" s="8"/>
      <c r="BS930" s="7"/>
      <c r="BT930" s="7"/>
      <c r="BU930" s="2" t="s">
        <v>2526</v>
      </c>
      <c r="BV930" s="2" t="s">
        <v>97</v>
      </c>
      <c r="BW930" s="2" t="s">
        <v>100</v>
      </c>
      <c r="BX930" s="2" t="s">
        <v>100</v>
      </c>
      <c r="BY930" s="2" t="s">
        <v>112</v>
      </c>
      <c r="BZ930" s="2" t="s">
        <v>149</v>
      </c>
    </row>
    <row r="931">
      <c r="A931" s="2" t="s">
        <v>3590</v>
      </c>
      <c r="B931" s="2" t="s">
        <v>3380</v>
      </c>
      <c r="C931" s="2" t="s">
        <v>88</v>
      </c>
      <c r="D931" s="2" t="s">
        <v>3381</v>
      </c>
      <c r="E931" s="2" t="s">
        <v>3390</v>
      </c>
      <c r="F931" s="2" t="s">
        <v>3591</v>
      </c>
      <c r="G931" s="2" t="s">
        <v>3591</v>
      </c>
      <c r="H931" s="2" t="s">
        <v>3591</v>
      </c>
      <c r="I931" s="2" t="s">
        <v>3592</v>
      </c>
      <c r="J931" s="2" t="s">
        <v>3385</v>
      </c>
      <c r="K931" s="2" t="s">
        <v>706</v>
      </c>
      <c r="L931" s="3">
        <v>45.85</v>
      </c>
      <c r="M931" s="3">
        <v>48.14</v>
      </c>
      <c r="N931" s="3">
        <v>99.44</v>
      </c>
      <c r="O931" s="2" t="s">
        <v>97</v>
      </c>
      <c r="P931" s="2" t="s">
        <v>98</v>
      </c>
      <c r="Q931" s="2" t="s">
        <v>99</v>
      </c>
      <c r="R931" s="2" t="s">
        <v>100</v>
      </c>
      <c r="S931" s="2" t="s">
        <v>3593</v>
      </c>
      <c r="T931" s="2" t="s">
        <v>100</v>
      </c>
      <c r="U931" s="2" t="s">
        <v>1776</v>
      </c>
      <c r="V931" s="2" t="s">
        <v>473</v>
      </c>
      <c r="W931" s="2" t="s">
        <v>142</v>
      </c>
      <c r="X931" s="2" t="s">
        <v>100</v>
      </c>
      <c r="Y931" s="2" t="s">
        <v>3559</v>
      </c>
      <c r="Z931" s="4">
        <v>207</v>
      </c>
      <c r="AA931" s="4">
        <f>=ROUNDDOWN(20.7,0)</f>
      </c>
      <c r="AB931" s="5">
        <v>10</v>
      </c>
      <c r="AC931" s="2" t="s">
        <v>3515</v>
      </c>
      <c r="AD931" s="4">
        <v>100</v>
      </c>
      <c r="AE931" s="4">
        <v>100</v>
      </c>
      <c r="AF931" s="6">
        <v>65</v>
      </c>
      <c r="AG931" s="6"/>
      <c r="AH931" s="7">
        <v>0.1613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/>
      <c r="BD931" s="8"/>
      <c r="BE931" s="4"/>
      <c r="BF931" s="8"/>
      <c r="BG931" s="7"/>
      <c r="BH931" s="7"/>
      <c r="BI931" s="7"/>
      <c r="BJ931" s="4">
        <v>17</v>
      </c>
      <c r="BK931" s="8">
        <v>893.2</v>
      </c>
      <c r="BL931" s="2" t="s">
        <v>2623</v>
      </c>
      <c r="BM931" s="7"/>
      <c r="BN931" s="7"/>
      <c r="BO931" s="4"/>
      <c r="BP931" s="8"/>
      <c r="BQ931" s="4"/>
      <c r="BR931" s="8"/>
      <c r="BS931" s="7"/>
      <c r="BT931" s="7"/>
      <c r="BU931" s="2" t="s">
        <v>2526</v>
      </c>
      <c r="BV931" s="2" t="s">
        <v>97</v>
      </c>
      <c r="BW931" s="2" t="s">
        <v>100</v>
      </c>
      <c r="BX931" s="2" t="s">
        <v>100</v>
      </c>
      <c r="BY931" s="2" t="s">
        <v>112</v>
      </c>
      <c r="BZ931" s="2" t="s">
        <v>149</v>
      </c>
    </row>
    <row r="932">
      <c r="A932" s="2" t="s">
        <v>3594</v>
      </c>
      <c r="B932" s="2" t="s">
        <v>3380</v>
      </c>
      <c r="C932" s="2" t="s">
        <v>88</v>
      </c>
      <c r="D932" s="2" t="s">
        <v>3381</v>
      </c>
      <c r="E932" s="2" t="s">
        <v>3390</v>
      </c>
      <c r="F932" s="2" t="s">
        <v>3595</v>
      </c>
      <c r="G932" s="2" t="s">
        <v>3595</v>
      </c>
      <c r="H932" s="2" t="s">
        <v>3595</v>
      </c>
      <c r="I932" s="2" t="s">
        <v>3596</v>
      </c>
      <c r="J932" s="2" t="s">
        <v>3385</v>
      </c>
      <c r="K932" s="2" t="s">
        <v>706</v>
      </c>
      <c r="L932" s="3">
        <v>41.69</v>
      </c>
      <c r="M932" s="3">
        <v>43.77</v>
      </c>
      <c r="N932" s="3">
        <v>89.24</v>
      </c>
      <c r="O932" s="2" t="s">
        <v>97</v>
      </c>
      <c r="P932" s="2" t="s">
        <v>139</v>
      </c>
      <c r="Q932" s="2" t="s">
        <v>99</v>
      </c>
      <c r="R932" s="2" t="s">
        <v>100</v>
      </c>
      <c r="S932" s="2" t="s">
        <v>100</v>
      </c>
      <c r="T932" s="2" t="s">
        <v>100</v>
      </c>
      <c r="U932" s="2" t="s">
        <v>894</v>
      </c>
      <c r="V932" s="2" t="s">
        <v>733</v>
      </c>
      <c r="W932" s="2" t="s">
        <v>142</v>
      </c>
      <c r="X932" s="2" t="s">
        <v>717</v>
      </c>
      <c r="Y932" s="2" t="s">
        <v>3572</v>
      </c>
      <c r="Z932" s="4">
        <v>560</v>
      </c>
      <c r="AA932" s="4">
        <f>=ROUNDDOWN(22.4,0)</f>
      </c>
      <c r="AB932" s="5">
        <v>25</v>
      </c>
      <c r="AC932" s="2" t="s">
        <v>389</v>
      </c>
      <c r="AD932" s="4">
        <v>200</v>
      </c>
      <c r="AE932" s="4">
        <v>200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>
        <v>114</v>
      </c>
      <c r="BK932" s="8">
        <v>6026.78</v>
      </c>
      <c r="BL932" s="2" t="s">
        <v>3597</v>
      </c>
      <c r="BM932" s="7"/>
      <c r="BN932" s="7"/>
      <c r="BO932" s="4"/>
      <c r="BP932" s="8"/>
      <c r="BQ932" s="4"/>
      <c r="BR932" s="8"/>
      <c r="BS932" s="7"/>
      <c r="BT932" s="7"/>
      <c r="BU932" s="2" t="s">
        <v>2526</v>
      </c>
      <c r="BV932" s="2" t="s">
        <v>97</v>
      </c>
      <c r="BW932" s="2" t="s">
        <v>100</v>
      </c>
      <c r="BX932" s="2" t="s">
        <v>100</v>
      </c>
      <c r="BY932" s="2" t="s">
        <v>112</v>
      </c>
      <c r="BZ932" s="2" t="s">
        <v>149</v>
      </c>
    </row>
    <row r="933">
      <c r="A933" s="2" t="s">
        <v>3598</v>
      </c>
      <c r="B933" s="2" t="s">
        <v>3380</v>
      </c>
      <c r="C933" s="2" t="s">
        <v>88</v>
      </c>
      <c r="D933" s="2" t="s">
        <v>3381</v>
      </c>
      <c r="E933" s="2" t="s">
        <v>3390</v>
      </c>
      <c r="F933" s="2" t="s">
        <v>3599</v>
      </c>
      <c r="G933" s="2" t="s">
        <v>3599</v>
      </c>
      <c r="H933" s="2" t="s">
        <v>3599</v>
      </c>
      <c r="I933" s="2" t="s">
        <v>3600</v>
      </c>
      <c r="J933" s="2" t="s">
        <v>3385</v>
      </c>
      <c r="K933" s="2" t="s">
        <v>446</v>
      </c>
      <c r="L933" s="3">
        <v>71.15</v>
      </c>
      <c r="M933" s="3">
        <v>74.71</v>
      </c>
      <c r="N933" s="3">
        <v>146.19</v>
      </c>
      <c r="O933" s="2" t="s">
        <v>97</v>
      </c>
      <c r="P933" s="2" t="s">
        <v>123</v>
      </c>
      <c r="Q933" s="2" t="s">
        <v>99</v>
      </c>
      <c r="R933" s="2" t="s">
        <v>100</v>
      </c>
      <c r="S933" s="2" t="s">
        <v>3601</v>
      </c>
      <c r="T933" s="2" t="s">
        <v>100</v>
      </c>
      <c r="U933" s="2" t="s">
        <v>901</v>
      </c>
      <c r="V933" s="2" t="s">
        <v>473</v>
      </c>
      <c r="W933" s="2" t="s">
        <v>142</v>
      </c>
      <c r="X933" s="2" t="s">
        <v>100</v>
      </c>
      <c r="Y933" s="2" t="s">
        <v>3395</v>
      </c>
      <c r="Z933" s="4">
        <v>258</v>
      </c>
      <c r="AA933" s="4">
        <f>=ROUNDDOWN(43,0)</f>
      </c>
      <c r="AB933" s="5">
        <v>6</v>
      </c>
      <c r="AC933" s="2" t="s">
        <v>100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>
        <v>21</v>
      </c>
      <c r="BK933" s="8">
        <v>1870.29</v>
      </c>
      <c r="BL933" s="2" t="s">
        <v>3602</v>
      </c>
      <c r="BM933" s="7"/>
      <c r="BN933" s="7"/>
      <c r="BO933" s="4"/>
      <c r="BP933" s="8"/>
      <c r="BQ933" s="4"/>
      <c r="BR933" s="8"/>
      <c r="BS933" s="7"/>
      <c r="BT933" s="7"/>
      <c r="BU933" s="2" t="s">
        <v>2526</v>
      </c>
      <c r="BV933" s="2" t="s">
        <v>97</v>
      </c>
      <c r="BW933" s="2" t="s">
        <v>100</v>
      </c>
      <c r="BX933" s="2" t="s">
        <v>100</v>
      </c>
      <c r="BY933" s="2" t="s">
        <v>112</v>
      </c>
      <c r="BZ933" s="2" t="s">
        <v>149</v>
      </c>
    </row>
    <row r="934">
      <c r="A934" s="2" t="s">
        <v>3603</v>
      </c>
      <c r="B934" s="2" t="s">
        <v>3380</v>
      </c>
      <c r="C934" s="2" t="s">
        <v>88</v>
      </c>
      <c r="D934" s="2" t="s">
        <v>3381</v>
      </c>
      <c r="E934" s="2" t="s">
        <v>3390</v>
      </c>
      <c r="F934" s="2" t="s">
        <v>3604</v>
      </c>
      <c r="G934" s="2" t="s">
        <v>3604</v>
      </c>
      <c r="H934" s="2" t="s">
        <v>3604</v>
      </c>
      <c r="I934" s="2" t="s">
        <v>3605</v>
      </c>
      <c r="J934" s="2" t="s">
        <v>3385</v>
      </c>
      <c r="K934" s="2" t="s">
        <v>3587</v>
      </c>
      <c r="L934" s="3">
        <v>33.88</v>
      </c>
      <c r="M934" s="3">
        <v>35.57</v>
      </c>
      <c r="N934" s="3">
        <v>73.94</v>
      </c>
      <c r="O934" s="2" t="s">
        <v>97</v>
      </c>
      <c r="P934" s="2" t="s">
        <v>139</v>
      </c>
      <c r="Q934" s="2" t="s">
        <v>99</v>
      </c>
      <c r="R934" s="2" t="s">
        <v>100</v>
      </c>
      <c r="S934" s="2" t="s">
        <v>3606</v>
      </c>
      <c r="T934" s="2" t="s">
        <v>100</v>
      </c>
      <c r="U934" s="2" t="s">
        <v>901</v>
      </c>
      <c r="V934" s="2" t="s">
        <v>103</v>
      </c>
      <c r="W934" s="2" t="s">
        <v>686</v>
      </c>
      <c r="X934" s="2" t="s">
        <v>609</v>
      </c>
      <c r="Y934" s="2" t="s">
        <v>3607</v>
      </c>
      <c r="Z934" s="4">
        <v>336</v>
      </c>
      <c r="AA934" s="4">
        <f>=ROUNDDOWN(15.2727272727273,0)</f>
      </c>
      <c r="AB934" s="5">
        <v>22</v>
      </c>
      <c r="AC934" s="2" t="s">
        <v>3388</v>
      </c>
      <c r="AD934" s="4">
        <v>220</v>
      </c>
      <c r="AE934" s="4">
        <v>220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/>
      <c r="AW934" s="8"/>
      <c r="AX934" s="4"/>
      <c r="AY934" s="8"/>
      <c r="AZ934" s="7"/>
      <c r="BA934" s="7"/>
      <c r="BB934" s="7"/>
      <c r="BC934" s="4"/>
      <c r="BD934" s="8"/>
      <c r="BE934" s="4"/>
      <c r="BF934" s="8"/>
      <c r="BG934" s="7"/>
      <c r="BH934" s="7"/>
      <c r="BI934" s="7"/>
      <c r="BJ934" s="4">
        <v>106</v>
      </c>
      <c r="BK934" s="8">
        <v>4273.79</v>
      </c>
      <c r="BL934" s="2" t="s">
        <v>3608</v>
      </c>
      <c r="BM934" s="7"/>
      <c r="BN934" s="7"/>
      <c r="BO934" s="4"/>
      <c r="BP934" s="8"/>
      <c r="BQ934" s="4"/>
      <c r="BR934" s="8"/>
      <c r="BS934" s="7"/>
      <c r="BT934" s="7"/>
      <c r="BU934" s="2" t="s">
        <v>2526</v>
      </c>
      <c r="BV934" s="2" t="s">
        <v>97</v>
      </c>
      <c r="BW934" s="2" t="s">
        <v>100</v>
      </c>
      <c r="BX934" s="2" t="s">
        <v>100</v>
      </c>
      <c r="BY934" s="2" t="s">
        <v>112</v>
      </c>
      <c r="BZ934" s="2" t="s">
        <v>149</v>
      </c>
    </row>
    <row r="935">
      <c r="A935" s="2" t="s">
        <v>3609</v>
      </c>
      <c r="B935" s="2" t="s">
        <v>3380</v>
      </c>
      <c r="C935" s="2" t="s">
        <v>88</v>
      </c>
      <c r="D935" s="2" t="s">
        <v>3381</v>
      </c>
      <c r="E935" s="2" t="s">
        <v>3390</v>
      </c>
      <c r="F935" s="2" t="s">
        <v>3610</v>
      </c>
      <c r="G935" s="2" t="s">
        <v>3610</v>
      </c>
      <c r="H935" s="2" t="s">
        <v>3610</v>
      </c>
      <c r="I935" s="2" t="s">
        <v>3611</v>
      </c>
      <c r="J935" s="2" t="s">
        <v>3385</v>
      </c>
      <c r="K935" s="2" t="s">
        <v>446</v>
      </c>
      <c r="L935" s="3">
        <v>30.6</v>
      </c>
      <c r="M935" s="3">
        <v>32.13</v>
      </c>
      <c r="N935" s="3">
        <v>65.44</v>
      </c>
      <c r="O935" s="2" t="s">
        <v>97</v>
      </c>
      <c r="P935" s="2" t="s">
        <v>98</v>
      </c>
      <c r="Q935" s="2" t="s">
        <v>99</v>
      </c>
      <c r="R935" s="2" t="s">
        <v>100</v>
      </c>
      <c r="S935" s="2" t="s">
        <v>100</v>
      </c>
      <c r="T935" s="2" t="s">
        <v>100</v>
      </c>
      <c r="U935" s="2" t="s">
        <v>1776</v>
      </c>
      <c r="V935" s="2" t="s">
        <v>733</v>
      </c>
      <c r="W935" s="2" t="s">
        <v>142</v>
      </c>
      <c r="X935" s="2" t="s">
        <v>100</v>
      </c>
      <c r="Y935" s="2" t="s">
        <v>1072</v>
      </c>
      <c r="Z935" s="4">
        <v>32</v>
      </c>
      <c r="AA935" s="4">
        <f>=ROUNDDOWN(4,0)</f>
      </c>
      <c r="AB935" s="5">
        <v>8</v>
      </c>
      <c r="AC935" s="2" t="s">
        <v>3612</v>
      </c>
      <c r="AD935" s="4">
        <v>180</v>
      </c>
      <c r="AE935" s="4">
        <v>180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/>
      <c r="BD935" s="8"/>
      <c r="BE935" s="4"/>
      <c r="BF935" s="8"/>
      <c r="BG935" s="7"/>
      <c r="BH935" s="7"/>
      <c r="BI935" s="7"/>
      <c r="BJ935" s="4">
        <v>24</v>
      </c>
      <c r="BK935" s="8">
        <v>914.92</v>
      </c>
      <c r="BL935" s="2" t="s">
        <v>3541</v>
      </c>
      <c r="BM935" s="7"/>
      <c r="BN935" s="7"/>
      <c r="BO935" s="4"/>
      <c r="BP935" s="8"/>
      <c r="BQ935" s="4"/>
      <c r="BR935" s="8"/>
      <c r="BS935" s="7"/>
      <c r="BT935" s="7"/>
      <c r="BU935" s="2" t="s">
        <v>2526</v>
      </c>
      <c r="BV935" s="2" t="s">
        <v>97</v>
      </c>
      <c r="BW935" s="2" t="s">
        <v>100</v>
      </c>
      <c r="BX935" s="2" t="s">
        <v>100</v>
      </c>
      <c r="BY935" s="2" t="s">
        <v>112</v>
      </c>
      <c r="BZ935" s="2" t="s">
        <v>149</v>
      </c>
    </row>
    <row r="936">
      <c r="A936" s="2" t="s">
        <v>3613</v>
      </c>
      <c r="B936" s="2" t="s">
        <v>3380</v>
      </c>
      <c r="C936" s="2" t="s">
        <v>88</v>
      </c>
      <c r="D936" s="2" t="s">
        <v>3381</v>
      </c>
      <c r="E936" s="2" t="s">
        <v>3390</v>
      </c>
      <c r="F936" s="2" t="s">
        <v>3614</v>
      </c>
      <c r="G936" s="2" t="s">
        <v>3615</v>
      </c>
      <c r="H936" s="2" t="s">
        <v>3616</v>
      </c>
      <c r="I936" s="2" t="s">
        <v>3617</v>
      </c>
      <c r="J936" s="2" t="s">
        <v>3385</v>
      </c>
      <c r="K936" s="2" t="s">
        <v>179</v>
      </c>
      <c r="L936" s="3">
        <v>43.01</v>
      </c>
      <c r="M936" s="3">
        <v>45.16</v>
      </c>
      <c r="N936" s="3">
        <v>79.04</v>
      </c>
      <c r="O936" s="2" t="s">
        <v>97</v>
      </c>
      <c r="P936" s="2" t="s">
        <v>123</v>
      </c>
      <c r="Q936" s="2" t="s">
        <v>99</v>
      </c>
      <c r="R936" s="2" t="s">
        <v>100</v>
      </c>
      <c r="S936" s="2" t="s">
        <v>3618</v>
      </c>
      <c r="T936" s="2" t="s">
        <v>100</v>
      </c>
      <c r="U936" s="2" t="s">
        <v>901</v>
      </c>
      <c r="V936" s="2" t="s">
        <v>733</v>
      </c>
      <c r="W936" s="2" t="s">
        <v>142</v>
      </c>
      <c r="X936" s="2" t="s">
        <v>100</v>
      </c>
      <c r="Y936" s="2" t="s">
        <v>3395</v>
      </c>
      <c r="Z936" s="4">
        <v>172</v>
      </c>
      <c r="AA936" s="4">
        <f>=ROUNDDOWN(14.3333333333333,0)</f>
      </c>
      <c r="AB936" s="5">
        <v>12</v>
      </c>
      <c r="AC936" s="2" t="s">
        <v>389</v>
      </c>
      <c r="AD936" s="4">
        <v>200</v>
      </c>
      <c r="AE936" s="4">
        <v>200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/>
      <c r="BJ936" s="4">
        <v>99</v>
      </c>
      <c r="BK936" s="8">
        <v>4609.9</v>
      </c>
      <c r="BL936" s="2" t="s">
        <v>3619</v>
      </c>
      <c r="BM936" s="7"/>
      <c r="BN936" s="7"/>
      <c r="BO936" s="4"/>
      <c r="BP936" s="8"/>
      <c r="BQ936" s="4"/>
      <c r="BR936" s="8"/>
      <c r="BS936" s="7"/>
      <c r="BT936" s="7"/>
      <c r="BU936" s="2" t="s">
        <v>2526</v>
      </c>
      <c r="BV936" s="2" t="s">
        <v>97</v>
      </c>
      <c r="BW936" s="2" t="s">
        <v>100</v>
      </c>
      <c r="BX936" s="2" t="s">
        <v>100</v>
      </c>
      <c r="BY936" s="2" t="s">
        <v>112</v>
      </c>
      <c r="BZ936" s="2" t="s">
        <v>149</v>
      </c>
    </row>
    <row r="937">
      <c r="A937" s="2" t="s">
        <v>3620</v>
      </c>
      <c r="B937" s="2" t="s">
        <v>3380</v>
      </c>
      <c r="C937" s="2" t="s">
        <v>88</v>
      </c>
      <c r="D937" s="2" t="s">
        <v>3381</v>
      </c>
      <c r="E937" s="2" t="s">
        <v>3390</v>
      </c>
      <c r="F937" s="2" t="s">
        <v>3614</v>
      </c>
      <c r="G937" s="2" t="s">
        <v>3615</v>
      </c>
      <c r="H937" s="2" t="s">
        <v>3616</v>
      </c>
      <c r="I937" s="2" t="s">
        <v>3617</v>
      </c>
      <c r="J937" s="2" t="s">
        <v>3385</v>
      </c>
      <c r="K937" s="2" t="s">
        <v>96</v>
      </c>
      <c r="L937" s="3">
        <v>43.01</v>
      </c>
      <c r="M937" s="3">
        <v>45.16</v>
      </c>
      <c r="N937" s="3">
        <v>79.04</v>
      </c>
      <c r="O937" s="2" t="s">
        <v>97</v>
      </c>
      <c r="P937" s="2" t="s">
        <v>98</v>
      </c>
      <c r="Q937" s="2" t="s">
        <v>99</v>
      </c>
      <c r="R937" s="2" t="s">
        <v>100</v>
      </c>
      <c r="S937" s="2" t="s">
        <v>3618</v>
      </c>
      <c r="T937" s="2" t="s">
        <v>100</v>
      </c>
      <c r="U937" s="2" t="s">
        <v>901</v>
      </c>
      <c r="V937" s="2" t="s">
        <v>733</v>
      </c>
      <c r="W937" s="2" t="s">
        <v>142</v>
      </c>
      <c r="X937" s="2" t="s">
        <v>493</v>
      </c>
      <c r="Y937" s="2" t="s">
        <v>3578</v>
      </c>
      <c r="Z937" s="4">
        <v>95</v>
      </c>
      <c r="AA937" s="4">
        <f>=ROUNDDOWN(15.8333333333333,0)</f>
      </c>
      <c r="AB937" s="5">
        <v>6</v>
      </c>
      <c r="AC937" s="2" t="s">
        <v>389</v>
      </c>
      <c r="AD937" s="4">
        <v>100</v>
      </c>
      <c r="AE937" s="4">
        <v>100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/>
      <c r="BJ937" s="4">
        <v>30</v>
      </c>
      <c r="BK937" s="8">
        <v>1234.55</v>
      </c>
      <c r="BL937" s="2" t="s">
        <v>3621</v>
      </c>
      <c r="BM937" s="7"/>
      <c r="BN937" s="7"/>
      <c r="BO937" s="4"/>
      <c r="BP937" s="8"/>
      <c r="BQ937" s="4"/>
      <c r="BR937" s="8"/>
      <c r="BS937" s="7"/>
      <c r="BT937" s="7"/>
      <c r="BU937" s="2" t="s">
        <v>2526</v>
      </c>
      <c r="BV937" s="2" t="s">
        <v>97</v>
      </c>
      <c r="BW937" s="2" t="s">
        <v>100</v>
      </c>
      <c r="BX937" s="2" t="s">
        <v>100</v>
      </c>
      <c r="BY937" s="2" t="s">
        <v>112</v>
      </c>
      <c r="BZ937" s="2" t="s">
        <v>149</v>
      </c>
    </row>
    <row r="938">
      <c r="A938" s="2" t="s">
        <v>3622</v>
      </c>
      <c r="B938" s="2" t="s">
        <v>3380</v>
      </c>
      <c r="C938" s="2" t="s">
        <v>88</v>
      </c>
      <c r="D938" s="2" t="s">
        <v>3381</v>
      </c>
      <c r="E938" s="2" t="s">
        <v>3390</v>
      </c>
      <c r="F938" s="2" t="s">
        <v>3614</v>
      </c>
      <c r="G938" s="2" t="s">
        <v>3615</v>
      </c>
      <c r="H938" s="2" t="s">
        <v>3616</v>
      </c>
      <c r="I938" s="2" t="s">
        <v>3617</v>
      </c>
      <c r="J938" s="2" t="s">
        <v>3385</v>
      </c>
      <c r="K938" s="2" t="s">
        <v>3623</v>
      </c>
      <c r="L938" s="3">
        <v>43.01</v>
      </c>
      <c r="M938" s="3">
        <v>45.16</v>
      </c>
      <c r="N938" s="3">
        <v>79.04</v>
      </c>
      <c r="O938" s="2" t="s">
        <v>97</v>
      </c>
      <c r="P938" s="2" t="s">
        <v>98</v>
      </c>
      <c r="Q938" s="2" t="s">
        <v>99</v>
      </c>
      <c r="R938" s="2" t="s">
        <v>100</v>
      </c>
      <c r="S938" s="2" t="s">
        <v>3618</v>
      </c>
      <c r="T938" s="2" t="s">
        <v>100</v>
      </c>
      <c r="U938" s="2" t="s">
        <v>901</v>
      </c>
      <c r="V938" s="2" t="s">
        <v>733</v>
      </c>
      <c r="W938" s="2" t="s">
        <v>142</v>
      </c>
      <c r="X938" s="2" t="s">
        <v>493</v>
      </c>
      <c r="Y938" s="2" t="s">
        <v>3624</v>
      </c>
      <c r="Z938" s="4">
        <v>115</v>
      </c>
      <c r="AA938" s="4">
        <f>=ROUNDDOWN(11.2745098039216,0)</f>
      </c>
      <c r="AB938" s="5">
        <v>10.2</v>
      </c>
      <c r="AC938" s="2" t="s">
        <v>100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/>
      <c r="BJ938" s="4">
        <v>26</v>
      </c>
      <c r="BK938" s="8">
        <v>1316.43</v>
      </c>
      <c r="BL938" s="2" t="s">
        <v>3625</v>
      </c>
      <c r="BM938" s="7"/>
      <c r="BN938" s="7"/>
      <c r="BO938" s="4"/>
      <c r="BP938" s="8"/>
      <c r="BQ938" s="4"/>
      <c r="BR938" s="8"/>
      <c r="BS938" s="7"/>
      <c r="BT938" s="7"/>
      <c r="BU938" s="2" t="s">
        <v>2526</v>
      </c>
      <c r="BV938" s="2" t="s">
        <v>97</v>
      </c>
      <c r="BW938" s="2" t="s">
        <v>100</v>
      </c>
      <c r="BX938" s="2" t="s">
        <v>100</v>
      </c>
      <c r="BY938" s="2" t="s">
        <v>112</v>
      </c>
      <c r="BZ938" s="2" t="s">
        <v>149</v>
      </c>
    </row>
    <row r="939">
      <c r="A939" s="2" t="s">
        <v>3626</v>
      </c>
      <c r="B939" s="2" t="s">
        <v>3380</v>
      </c>
      <c r="C939" s="2" t="s">
        <v>88</v>
      </c>
      <c r="D939" s="2" t="s">
        <v>3408</v>
      </c>
      <c r="E939" s="2" t="s">
        <v>3409</v>
      </c>
      <c r="F939" s="2" t="s">
        <v>3627</v>
      </c>
      <c r="G939" s="2" t="s">
        <v>3627</v>
      </c>
      <c r="H939" s="2" t="s">
        <v>3627</v>
      </c>
      <c r="I939" s="2" t="s">
        <v>3628</v>
      </c>
      <c r="J939" s="2" t="s">
        <v>3385</v>
      </c>
      <c r="K939" s="2" t="s">
        <v>165</v>
      </c>
      <c r="L939" s="3">
        <v>40.07</v>
      </c>
      <c r="M939" s="3">
        <v>42.07</v>
      </c>
      <c r="N939" s="3">
        <v>84.99</v>
      </c>
      <c r="O939" s="2" t="s">
        <v>97</v>
      </c>
      <c r="P939" s="2" t="s">
        <v>98</v>
      </c>
      <c r="Q939" s="2" t="s">
        <v>99</v>
      </c>
      <c r="R939" s="2" t="s">
        <v>100</v>
      </c>
      <c r="S939" s="2" t="s">
        <v>3629</v>
      </c>
      <c r="T939" s="2" t="s">
        <v>100</v>
      </c>
      <c r="U939" s="2" t="s">
        <v>1776</v>
      </c>
      <c r="V939" s="2" t="s">
        <v>547</v>
      </c>
      <c r="W939" s="2" t="s">
        <v>493</v>
      </c>
      <c r="X939" s="2" t="s">
        <v>1136</v>
      </c>
      <c r="Y939" s="2" t="s">
        <v>2080</v>
      </c>
      <c r="Z939" s="4">
        <v>164</v>
      </c>
      <c r="AA939" s="4">
        <f>=ROUNDDOWN(27.3333333333333,0)</f>
      </c>
      <c r="AB939" s="5">
        <v>6</v>
      </c>
      <c r="AC939" s="2" t="s">
        <v>100</v>
      </c>
      <c r="AD939" s="4"/>
      <c r="AE939" s="4"/>
      <c r="AF939" s="6">
        <v>63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/>
      <c r="BD939" s="8"/>
      <c r="BE939" s="4"/>
      <c r="BF939" s="8"/>
      <c r="BG939" s="7"/>
      <c r="BH939" s="7"/>
      <c r="BI939" s="7"/>
      <c r="BJ939" s="4">
        <v>23</v>
      </c>
      <c r="BK939" s="8">
        <v>1082.15</v>
      </c>
      <c r="BL939" s="2" t="s">
        <v>3630</v>
      </c>
      <c r="BM939" s="7"/>
      <c r="BN939" s="7"/>
      <c r="BO939" s="4"/>
      <c r="BP939" s="8"/>
      <c r="BQ939" s="4"/>
      <c r="BR939" s="8"/>
      <c r="BS939" s="7"/>
      <c r="BT939" s="7"/>
      <c r="BU939" s="2" t="s">
        <v>2526</v>
      </c>
      <c r="BV939" s="2" t="s">
        <v>97</v>
      </c>
      <c r="BW939" s="2" t="s">
        <v>100</v>
      </c>
      <c r="BX939" s="2" t="s">
        <v>100</v>
      </c>
      <c r="BY939" s="2" t="s">
        <v>112</v>
      </c>
      <c r="BZ939" s="2" t="s">
        <v>149</v>
      </c>
    </row>
    <row r="940">
      <c r="A940" s="2" t="s">
        <v>3631</v>
      </c>
      <c r="B940" s="2" t="s">
        <v>3380</v>
      </c>
      <c r="C940" s="2" t="s">
        <v>88</v>
      </c>
      <c r="D940" s="2" t="s">
        <v>3408</v>
      </c>
      <c r="E940" s="2" t="s">
        <v>3409</v>
      </c>
      <c r="F940" s="2" t="s">
        <v>3632</v>
      </c>
      <c r="G940" s="2" t="s">
        <v>3632</v>
      </c>
      <c r="H940" s="2" t="s">
        <v>3632</v>
      </c>
      <c r="I940" s="2" t="s">
        <v>3633</v>
      </c>
      <c r="J940" s="2" t="s">
        <v>3385</v>
      </c>
      <c r="K940" s="2" t="s">
        <v>236</v>
      </c>
      <c r="L940" s="3">
        <v>41.69</v>
      </c>
      <c r="M940" s="3">
        <v>43.77</v>
      </c>
      <c r="N940" s="3">
        <v>89.24</v>
      </c>
      <c r="O940" s="2" t="s">
        <v>97</v>
      </c>
      <c r="P940" s="2" t="s">
        <v>707</v>
      </c>
      <c r="Q940" s="2" t="s">
        <v>99</v>
      </c>
      <c r="R940" s="2" t="s">
        <v>100</v>
      </c>
      <c r="S940" s="2" t="s">
        <v>100</v>
      </c>
      <c r="T940" s="2" t="s">
        <v>100</v>
      </c>
      <c r="U940" s="2" t="s">
        <v>901</v>
      </c>
      <c r="V940" s="2" t="s">
        <v>3634</v>
      </c>
      <c r="W940" s="2" t="s">
        <v>142</v>
      </c>
      <c r="X940" s="2" t="s">
        <v>100</v>
      </c>
      <c r="Y940" s="2" t="s">
        <v>3635</v>
      </c>
      <c r="Z940" s="4">
        <v>183</v>
      </c>
      <c r="AA940" s="4">
        <f>=ROUNDDOWN(57.1875,0)</f>
      </c>
      <c r="AB940" s="5">
        <v>3.2</v>
      </c>
      <c r="AC940" s="2" t="s">
        <v>100</v>
      </c>
      <c r="AD940" s="4"/>
      <c r="AE940" s="4"/>
      <c r="AF940" s="6">
        <v>63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>
        <v>10</v>
      </c>
      <c r="BK940" s="8">
        <v>533.95</v>
      </c>
      <c r="BL940" s="2" t="s">
        <v>3636</v>
      </c>
      <c r="BM940" s="7"/>
      <c r="BN940" s="7"/>
      <c r="BO940" s="4"/>
      <c r="BP940" s="8"/>
      <c r="BQ940" s="4"/>
      <c r="BR940" s="8"/>
      <c r="BS940" s="7"/>
      <c r="BT940" s="7"/>
      <c r="BU940" s="2" t="s">
        <v>2526</v>
      </c>
      <c r="BV940" s="2" t="s">
        <v>97</v>
      </c>
      <c r="BW940" s="2" t="s">
        <v>100</v>
      </c>
      <c r="BX940" s="2" t="s">
        <v>100</v>
      </c>
      <c r="BY940" s="2" t="s">
        <v>112</v>
      </c>
      <c r="BZ940" s="2" t="s">
        <v>149</v>
      </c>
    </row>
    <row r="941">
      <c r="A941" s="2" t="s">
        <v>3637</v>
      </c>
      <c r="B941" s="2" t="s">
        <v>3380</v>
      </c>
      <c r="C941" s="2" t="s">
        <v>88</v>
      </c>
      <c r="D941" s="2" t="s">
        <v>3408</v>
      </c>
      <c r="E941" s="2" t="s">
        <v>3409</v>
      </c>
      <c r="F941" s="2" t="s">
        <v>3638</v>
      </c>
      <c r="G941" s="2" t="s">
        <v>3638</v>
      </c>
      <c r="H941" s="2" t="s">
        <v>3638</v>
      </c>
      <c r="I941" s="2" t="s">
        <v>3639</v>
      </c>
      <c r="J941" s="2" t="s">
        <v>3385</v>
      </c>
      <c r="K941" s="2" t="s">
        <v>3640</v>
      </c>
      <c r="L941" s="3">
        <v>6.66</v>
      </c>
      <c r="M941" s="3">
        <v>6.99</v>
      </c>
      <c r="N941" s="3">
        <v>19.99</v>
      </c>
      <c r="O941" s="2" t="s">
        <v>97</v>
      </c>
      <c r="P941" s="2" t="s">
        <v>98</v>
      </c>
      <c r="Q941" s="2" t="s">
        <v>99</v>
      </c>
      <c r="R941" s="2" t="s">
        <v>100</v>
      </c>
      <c r="S941" s="2" t="s">
        <v>100</v>
      </c>
      <c r="T941" s="2" t="s">
        <v>100</v>
      </c>
      <c r="U941" s="2" t="s">
        <v>1776</v>
      </c>
      <c r="V941" s="2" t="s">
        <v>2510</v>
      </c>
      <c r="W941" s="2" t="s">
        <v>580</v>
      </c>
      <c r="X941" s="2" t="s">
        <v>525</v>
      </c>
      <c r="Y941" s="2" t="s">
        <v>3641</v>
      </c>
      <c r="Z941" s="4">
        <v>169</v>
      </c>
      <c r="AA941" s="4">
        <f>=ROUNDDOWN(169,0)</f>
      </c>
      <c r="AB941" s="5">
        <v>1</v>
      </c>
      <c r="AC941" s="2" t="s">
        <v>100</v>
      </c>
      <c r="AD941" s="4"/>
      <c r="AE941" s="4"/>
      <c r="AF941" s="6">
        <v>63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/>
      <c r="BJ941" s="4">
        <v>1</v>
      </c>
      <c r="BK941" s="8">
        <v>10.37</v>
      </c>
      <c r="BL941" s="2" t="s">
        <v>3477</v>
      </c>
      <c r="BM941" s="7"/>
      <c r="BN941" s="7"/>
      <c r="BO941" s="4"/>
      <c r="BP941" s="8"/>
      <c r="BQ941" s="4"/>
      <c r="BR941" s="8"/>
      <c r="BS941" s="7"/>
      <c r="BT941" s="7"/>
      <c r="BU941" s="2" t="s">
        <v>2526</v>
      </c>
      <c r="BV941" s="2" t="s">
        <v>97</v>
      </c>
      <c r="BW941" s="2" t="s">
        <v>100</v>
      </c>
      <c r="BX941" s="2" t="s">
        <v>100</v>
      </c>
      <c r="BY941" s="2" t="s">
        <v>112</v>
      </c>
      <c r="BZ941" s="2" t="s">
        <v>149</v>
      </c>
    </row>
    <row r="942">
      <c r="A942" s="2" t="s">
        <v>3642</v>
      </c>
      <c r="B942" s="2" t="s">
        <v>3380</v>
      </c>
      <c r="C942" s="2" t="s">
        <v>88</v>
      </c>
      <c r="D942" s="2" t="s">
        <v>3408</v>
      </c>
      <c r="E942" s="2" t="s">
        <v>3409</v>
      </c>
      <c r="F942" s="2" t="s">
        <v>3638</v>
      </c>
      <c r="G942" s="2" t="s">
        <v>3638</v>
      </c>
      <c r="H942" s="2" t="s">
        <v>3638</v>
      </c>
      <c r="I942" s="2" t="s">
        <v>3643</v>
      </c>
      <c r="J942" s="2" t="s">
        <v>3385</v>
      </c>
      <c r="K942" s="2" t="s">
        <v>3644</v>
      </c>
      <c r="L942" s="3">
        <v>6.66</v>
      </c>
      <c r="M942" s="3">
        <v>6.99</v>
      </c>
      <c r="N942" s="3">
        <v>19.99</v>
      </c>
      <c r="O942" s="2" t="s">
        <v>97</v>
      </c>
      <c r="P942" s="2" t="s">
        <v>98</v>
      </c>
      <c r="Q942" s="2" t="s">
        <v>99</v>
      </c>
      <c r="R942" s="2" t="s">
        <v>100</v>
      </c>
      <c r="S942" s="2" t="s">
        <v>100</v>
      </c>
      <c r="T942" s="2" t="s">
        <v>100</v>
      </c>
      <c r="U942" s="2" t="s">
        <v>1776</v>
      </c>
      <c r="V942" s="2" t="s">
        <v>2510</v>
      </c>
      <c r="W942" s="2" t="s">
        <v>580</v>
      </c>
      <c r="X942" s="2" t="s">
        <v>525</v>
      </c>
      <c r="Y942" s="2" t="s">
        <v>3645</v>
      </c>
      <c r="Z942" s="4">
        <v>122</v>
      </c>
      <c r="AA942" s="4">
        <f>=ROUNDDOWN(17.4285714285714,0)</f>
      </c>
      <c r="AB942" s="5">
        <v>7</v>
      </c>
      <c r="AC942" s="2" t="s">
        <v>990</v>
      </c>
      <c r="AD942" s="4">
        <v>100</v>
      </c>
      <c r="AE942" s="4">
        <v>100</v>
      </c>
      <c r="AF942" s="6">
        <v>63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/>
      <c r="BJ942" s="4">
        <v>8</v>
      </c>
      <c r="BK942" s="8">
        <v>68.39</v>
      </c>
      <c r="BL942" s="2" t="s">
        <v>3646</v>
      </c>
      <c r="BM942" s="7"/>
      <c r="BN942" s="7"/>
      <c r="BO942" s="4"/>
      <c r="BP942" s="8"/>
      <c r="BQ942" s="4"/>
      <c r="BR942" s="8"/>
      <c r="BS942" s="7"/>
      <c r="BT942" s="7"/>
      <c r="BU942" s="2" t="s">
        <v>2526</v>
      </c>
      <c r="BV942" s="2" t="s">
        <v>97</v>
      </c>
      <c r="BW942" s="2" t="s">
        <v>100</v>
      </c>
      <c r="BX942" s="2" t="s">
        <v>100</v>
      </c>
      <c r="BY942" s="2" t="s">
        <v>112</v>
      </c>
      <c r="BZ942" s="2" t="s">
        <v>149</v>
      </c>
    </row>
    <row r="943">
      <c r="A943" s="2" t="s">
        <v>3647</v>
      </c>
      <c r="B943" s="2" t="s">
        <v>3380</v>
      </c>
      <c r="C943" s="2" t="s">
        <v>88</v>
      </c>
      <c r="D943" s="2" t="s">
        <v>3408</v>
      </c>
      <c r="E943" s="2" t="s">
        <v>3409</v>
      </c>
      <c r="F943" s="2" t="s">
        <v>3638</v>
      </c>
      <c r="G943" s="2" t="s">
        <v>3638</v>
      </c>
      <c r="H943" s="2" t="s">
        <v>3638</v>
      </c>
      <c r="I943" s="2" t="s">
        <v>3648</v>
      </c>
      <c r="J943" s="2" t="s">
        <v>3385</v>
      </c>
      <c r="K943" s="2" t="s">
        <v>3649</v>
      </c>
      <c r="L943" s="3">
        <v>6.66</v>
      </c>
      <c r="M943" s="3">
        <v>6.99</v>
      </c>
      <c r="N943" s="3">
        <v>19.99</v>
      </c>
      <c r="O943" s="2" t="s">
        <v>97</v>
      </c>
      <c r="P943" s="2" t="s">
        <v>98</v>
      </c>
      <c r="Q943" s="2" t="s">
        <v>99</v>
      </c>
      <c r="R943" s="2" t="s">
        <v>100</v>
      </c>
      <c r="S943" s="2" t="s">
        <v>100</v>
      </c>
      <c r="T943" s="2" t="s">
        <v>100</v>
      </c>
      <c r="U943" s="2" t="s">
        <v>1776</v>
      </c>
      <c r="V943" s="2" t="s">
        <v>2510</v>
      </c>
      <c r="W943" s="2" t="s">
        <v>580</v>
      </c>
      <c r="X943" s="2" t="s">
        <v>525</v>
      </c>
      <c r="Y943" s="2" t="s">
        <v>3641</v>
      </c>
      <c r="Z943" s="4">
        <v>387</v>
      </c>
      <c r="AA943" s="4">
        <f>=ROUNDDOWN(143.333333333333,0)</f>
      </c>
      <c r="AB943" s="5">
        <v>2.7</v>
      </c>
      <c r="AC943" s="2" t="s">
        <v>100</v>
      </c>
      <c r="AD943" s="4"/>
      <c r="AE943" s="4"/>
      <c r="AF943" s="6">
        <v>63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/>
      <c r="BJ943" s="4">
        <v>3</v>
      </c>
      <c r="BK943" s="8">
        <v>28.43</v>
      </c>
      <c r="BL943" s="2" t="s">
        <v>3477</v>
      </c>
      <c r="BM943" s="7"/>
      <c r="BN943" s="7"/>
      <c r="BO943" s="4"/>
      <c r="BP943" s="8"/>
      <c r="BQ943" s="4"/>
      <c r="BR943" s="8"/>
      <c r="BS943" s="7"/>
      <c r="BT943" s="7"/>
      <c r="BU943" s="2" t="s">
        <v>2526</v>
      </c>
      <c r="BV943" s="2" t="s">
        <v>97</v>
      </c>
      <c r="BW943" s="2" t="s">
        <v>100</v>
      </c>
      <c r="BX943" s="2" t="s">
        <v>100</v>
      </c>
      <c r="BY943" s="2" t="s">
        <v>112</v>
      </c>
      <c r="BZ943" s="2" t="s">
        <v>149</v>
      </c>
    </row>
    <row r="944">
      <c r="A944" s="2" t="s">
        <v>3650</v>
      </c>
      <c r="B944" s="2" t="s">
        <v>3380</v>
      </c>
      <c r="C944" s="2" t="s">
        <v>88</v>
      </c>
      <c r="D944" s="2" t="s">
        <v>3408</v>
      </c>
      <c r="E944" s="2" t="s">
        <v>3409</v>
      </c>
      <c r="F944" s="2" t="s">
        <v>3651</v>
      </c>
      <c r="G944" s="2" t="s">
        <v>3651</v>
      </c>
      <c r="H944" s="2" t="s">
        <v>3651</v>
      </c>
      <c r="I944" s="2" t="s">
        <v>3652</v>
      </c>
      <c r="J944" s="2" t="s">
        <v>3385</v>
      </c>
      <c r="K944" s="2" t="s">
        <v>3653</v>
      </c>
      <c r="L944" s="3">
        <v>57.82</v>
      </c>
      <c r="M944" s="3">
        <v>60.71</v>
      </c>
      <c r="N944" s="3">
        <v>127.49</v>
      </c>
      <c r="O944" s="2" t="s">
        <v>97</v>
      </c>
      <c r="P944" s="2" t="s">
        <v>123</v>
      </c>
      <c r="Q944" s="2" t="s">
        <v>99</v>
      </c>
      <c r="R944" s="2" t="s">
        <v>100</v>
      </c>
      <c r="S944" s="2" t="s">
        <v>3654</v>
      </c>
      <c r="T944" s="2" t="s">
        <v>100</v>
      </c>
      <c r="U944" s="2" t="s">
        <v>901</v>
      </c>
      <c r="V944" s="2" t="s">
        <v>3634</v>
      </c>
      <c r="W944" s="2" t="s">
        <v>142</v>
      </c>
      <c r="X944" s="2" t="s">
        <v>100</v>
      </c>
      <c r="Y944" s="2" t="s">
        <v>3655</v>
      </c>
      <c r="Z944" s="4">
        <v>232</v>
      </c>
      <c r="AA944" s="4">
        <f>=ROUNDDOWN(25.7777777777778,0)</f>
      </c>
      <c r="AB944" s="5">
        <v>9</v>
      </c>
      <c r="AC944" s="2" t="s">
        <v>100</v>
      </c>
      <c r="AD944" s="4"/>
      <c r="AE944" s="4"/>
      <c r="AF944" s="6">
        <v>63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/>
      <c r="BD944" s="8"/>
      <c r="BE944" s="4"/>
      <c r="BF944" s="8"/>
      <c r="BG944" s="7"/>
      <c r="BH944" s="7"/>
      <c r="BI944" s="7"/>
      <c r="BJ944" s="4">
        <v>25</v>
      </c>
      <c r="BK944" s="8">
        <v>1875.6</v>
      </c>
      <c r="BL944" s="2" t="s">
        <v>3656</v>
      </c>
      <c r="BM944" s="7"/>
      <c r="BN944" s="7"/>
      <c r="BO944" s="4"/>
      <c r="BP944" s="8"/>
      <c r="BQ944" s="4"/>
      <c r="BR944" s="8"/>
      <c r="BS944" s="7"/>
      <c r="BT944" s="7"/>
      <c r="BU944" s="2" t="s">
        <v>2526</v>
      </c>
      <c r="BV944" s="2" t="s">
        <v>97</v>
      </c>
      <c r="BW944" s="2" t="s">
        <v>100</v>
      </c>
      <c r="BX944" s="2" t="s">
        <v>100</v>
      </c>
      <c r="BY944" s="2" t="s">
        <v>112</v>
      </c>
      <c r="BZ944" s="2" t="s">
        <v>149</v>
      </c>
    </row>
    <row r="945">
      <c r="A945" s="2" t="s">
        <v>3657</v>
      </c>
      <c r="B945" s="2" t="s">
        <v>3380</v>
      </c>
      <c r="C945" s="2" t="s">
        <v>88</v>
      </c>
      <c r="D945" s="2" t="s">
        <v>3408</v>
      </c>
      <c r="E945" s="2" t="s">
        <v>3409</v>
      </c>
      <c r="F945" s="2" t="s">
        <v>3658</v>
      </c>
      <c r="G945" s="2" t="s">
        <v>3658</v>
      </c>
      <c r="H945" s="2" t="s">
        <v>3658</v>
      </c>
      <c r="I945" s="2" t="s">
        <v>3659</v>
      </c>
      <c r="J945" s="2" t="s">
        <v>3385</v>
      </c>
      <c r="K945" s="2" t="s">
        <v>188</v>
      </c>
      <c r="L945" s="3">
        <v>45.74</v>
      </c>
      <c r="M945" s="3">
        <v>48.03</v>
      </c>
      <c r="N945" s="3">
        <v>89.24</v>
      </c>
      <c r="O945" s="2" t="s">
        <v>97</v>
      </c>
      <c r="P945" s="2" t="s">
        <v>98</v>
      </c>
      <c r="Q945" s="2" t="s">
        <v>99</v>
      </c>
      <c r="R945" s="2" t="s">
        <v>100</v>
      </c>
      <c r="S945" s="2" t="s">
        <v>3660</v>
      </c>
      <c r="T945" s="2" t="s">
        <v>100</v>
      </c>
      <c r="U945" s="2" t="s">
        <v>901</v>
      </c>
      <c r="V945" s="2" t="s">
        <v>547</v>
      </c>
      <c r="W945" s="2" t="s">
        <v>142</v>
      </c>
      <c r="X945" s="2" t="s">
        <v>100</v>
      </c>
      <c r="Y945" s="2" t="s">
        <v>3661</v>
      </c>
      <c r="Z945" s="4">
        <v>1</v>
      </c>
      <c r="AA945" s="4">
        <f>=ROUNDDOWN(0.416666666666667,0)</f>
      </c>
      <c r="AB945" s="5">
        <v>2.4</v>
      </c>
      <c r="AC945" s="2" t="s">
        <v>3491</v>
      </c>
      <c r="AD945" s="4">
        <v>100</v>
      </c>
      <c r="AE945" s="4">
        <v>100</v>
      </c>
      <c r="AF945" s="6">
        <v>63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/>
      <c r="BJ945" s="4">
        <v>14</v>
      </c>
      <c r="BK945" s="8">
        <v>777.55</v>
      </c>
      <c r="BL945" s="2" t="s">
        <v>3662</v>
      </c>
      <c r="BM945" s="7"/>
      <c r="BN945" s="7"/>
      <c r="BO945" s="4"/>
      <c r="BP945" s="8"/>
      <c r="BQ945" s="4"/>
      <c r="BR945" s="8"/>
      <c r="BS945" s="7"/>
      <c r="BT945" s="7"/>
      <c r="BU945" s="2" t="s">
        <v>2526</v>
      </c>
      <c r="BV945" s="2" t="s">
        <v>97</v>
      </c>
      <c r="BW945" s="2" t="s">
        <v>100</v>
      </c>
      <c r="BX945" s="2" t="s">
        <v>100</v>
      </c>
      <c r="BY945" s="2" t="s">
        <v>112</v>
      </c>
      <c r="BZ945" s="2" t="s">
        <v>149</v>
      </c>
    </row>
    <row r="946">
      <c r="A946" s="2" t="s">
        <v>3663</v>
      </c>
      <c r="B946" s="2" t="s">
        <v>3380</v>
      </c>
      <c r="C946" s="2" t="s">
        <v>88</v>
      </c>
      <c r="D946" s="2" t="s">
        <v>3408</v>
      </c>
      <c r="E946" s="2" t="s">
        <v>3409</v>
      </c>
      <c r="F946" s="2" t="s">
        <v>3658</v>
      </c>
      <c r="G946" s="2" t="s">
        <v>3658</v>
      </c>
      <c r="H946" s="2" t="s">
        <v>3658</v>
      </c>
      <c r="I946" s="2" t="s">
        <v>3659</v>
      </c>
      <c r="J946" s="2" t="s">
        <v>3385</v>
      </c>
      <c r="K946" s="2" t="s">
        <v>673</v>
      </c>
      <c r="L946" s="3">
        <v>45.74</v>
      </c>
      <c r="M946" s="3">
        <v>48.03</v>
      </c>
      <c r="N946" s="3">
        <v>89.24</v>
      </c>
      <c r="O946" s="2" t="s">
        <v>97</v>
      </c>
      <c r="P946" s="2" t="s">
        <v>98</v>
      </c>
      <c r="Q946" s="2" t="s">
        <v>99</v>
      </c>
      <c r="R946" s="2" t="s">
        <v>100</v>
      </c>
      <c r="S946" s="2" t="s">
        <v>3664</v>
      </c>
      <c r="T946" s="2" t="s">
        <v>100</v>
      </c>
      <c r="U946" s="2" t="s">
        <v>901</v>
      </c>
      <c r="V946" s="2" t="s">
        <v>547</v>
      </c>
      <c r="W946" s="2" t="s">
        <v>142</v>
      </c>
      <c r="X946" s="2" t="s">
        <v>100</v>
      </c>
      <c r="Y946" s="2" t="s">
        <v>371</v>
      </c>
      <c r="Z946" s="4">
        <v>75</v>
      </c>
      <c r="AA946" s="4">
        <f>=ROUNDDOWN(15,0)</f>
      </c>
      <c r="AB946" s="5">
        <v>5</v>
      </c>
      <c r="AC946" s="2" t="s">
        <v>1468</v>
      </c>
      <c r="AD946" s="4">
        <v>100</v>
      </c>
      <c r="AE946" s="4">
        <v>100</v>
      </c>
      <c r="AF946" s="6">
        <v>63</v>
      </c>
      <c r="AG946" s="6"/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/>
      <c r="BJ946" s="4">
        <v>17</v>
      </c>
      <c r="BK946" s="8">
        <v>950.74</v>
      </c>
      <c r="BL946" s="2" t="s">
        <v>3665</v>
      </c>
      <c r="BM946" s="7"/>
      <c r="BN946" s="7"/>
      <c r="BO946" s="4"/>
      <c r="BP946" s="8"/>
      <c r="BQ946" s="4"/>
      <c r="BR946" s="8"/>
      <c r="BS946" s="7"/>
      <c r="BT946" s="7"/>
      <c r="BU946" s="2" t="s">
        <v>1040</v>
      </c>
      <c r="BV946" s="2" t="s">
        <v>97</v>
      </c>
      <c r="BW946" s="2" t="s">
        <v>100</v>
      </c>
      <c r="BX946" s="2" t="s">
        <v>100</v>
      </c>
      <c r="BY946" s="2" t="s">
        <v>112</v>
      </c>
      <c r="BZ946" s="2" t="s">
        <v>149</v>
      </c>
    </row>
    <row r="947">
      <c r="A947" s="2" t="s">
        <v>3666</v>
      </c>
      <c r="B947" s="2" t="s">
        <v>3380</v>
      </c>
      <c r="C947" s="2" t="s">
        <v>88</v>
      </c>
      <c r="D947" s="2" t="s">
        <v>3408</v>
      </c>
      <c r="E947" s="2" t="s">
        <v>3409</v>
      </c>
      <c r="F947" s="2" t="s">
        <v>3658</v>
      </c>
      <c r="G947" s="2" t="s">
        <v>3658</v>
      </c>
      <c r="H947" s="2" t="s">
        <v>3658</v>
      </c>
      <c r="I947" s="2" t="s">
        <v>3659</v>
      </c>
      <c r="J947" s="2" t="s">
        <v>3385</v>
      </c>
      <c r="K947" s="2" t="s">
        <v>842</v>
      </c>
      <c r="L947" s="3">
        <v>45.74</v>
      </c>
      <c r="M947" s="3">
        <v>48.03</v>
      </c>
      <c r="N947" s="3">
        <v>89.24</v>
      </c>
      <c r="O947" s="2" t="s">
        <v>97</v>
      </c>
      <c r="P947" s="2" t="s">
        <v>98</v>
      </c>
      <c r="Q947" s="2" t="s">
        <v>99</v>
      </c>
      <c r="R947" s="2" t="s">
        <v>100</v>
      </c>
      <c r="S947" s="2" t="s">
        <v>3667</v>
      </c>
      <c r="T947" s="2" t="s">
        <v>100</v>
      </c>
      <c r="U947" s="2" t="s">
        <v>901</v>
      </c>
      <c r="V947" s="2" t="s">
        <v>547</v>
      </c>
      <c r="W947" s="2" t="s">
        <v>142</v>
      </c>
      <c r="X947" s="2" t="s">
        <v>100</v>
      </c>
      <c r="Y947" s="2" t="s">
        <v>144</v>
      </c>
      <c r="Z947" s="4">
        <v>59</v>
      </c>
      <c r="AA947" s="4">
        <f>=ROUNDDOWN(19.6666666666667,0)</f>
      </c>
      <c r="AB947" s="5">
        <v>3</v>
      </c>
      <c r="AC947" s="2" t="s">
        <v>990</v>
      </c>
      <c r="AD947" s="4">
        <v>120</v>
      </c>
      <c r="AE947" s="4">
        <v>120</v>
      </c>
      <c r="AF947" s="6">
        <v>63</v>
      </c>
      <c r="AG947" s="6"/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/>
      <c r="BJ947" s="4">
        <v>12</v>
      </c>
      <c r="BK947" s="8">
        <v>638.12</v>
      </c>
      <c r="BL947" s="2" t="s">
        <v>3668</v>
      </c>
      <c r="BM947" s="7"/>
      <c r="BN947" s="7"/>
      <c r="BO947" s="4"/>
      <c r="BP947" s="8"/>
      <c r="BQ947" s="4"/>
      <c r="BR947" s="8"/>
      <c r="BS947" s="7"/>
      <c r="BT947" s="7"/>
      <c r="BU947" s="2" t="s">
        <v>1040</v>
      </c>
      <c r="BV947" s="2" t="s">
        <v>97</v>
      </c>
      <c r="BW947" s="2" t="s">
        <v>100</v>
      </c>
      <c r="BX947" s="2" t="s">
        <v>100</v>
      </c>
      <c r="BY947" s="2" t="s">
        <v>112</v>
      </c>
      <c r="BZ947" s="2" t="s">
        <v>149</v>
      </c>
    </row>
    <row r="948">
      <c r="A948" s="2" t="s">
        <v>3669</v>
      </c>
      <c r="B948" s="2" t="s">
        <v>3380</v>
      </c>
      <c r="C948" s="2" t="s">
        <v>88</v>
      </c>
      <c r="D948" s="2" t="s">
        <v>3408</v>
      </c>
      <c r="E948" s="2" t="s">
        <v>3409</v>
      </c>
      <c r="F948" s="2" t="s">
        <v>3670</v>
      </c>
      <c r="G948" s="2" t="s">
        <v>3670</v>
      </c>
      <c r="H948" s="2" t="s">
        <v>3670</v>
      </c>
      <c r="I948" s="2" t="s">
        <v>3428</v>
      </c>
      <c r="J948" s="2" t="s">
        <v>3385</v>
      </c>
      <c r="K948" s="2" t="s">
        <v>706</v>
      </c>
      <c r="L948" s="3">
        <v>49.63</v>
      </c>
      <c r="M948" s="3">
        <v>52.11</v>
      </c>
      <c r="N948" s="3">
        <v>96.04</v>
      </c>
      <c r="O948" s="2" t="s">
        <v>97</v>
      </c>
      <c r="P948" s="2" t="s">
        <v>123</v>
      </c>
      <c r="Q948" s="2" t="s">
        <v>99</v>
      </c>
      <c r="R948" s="2" t="s">
        <v>100</v>
      </c>
      <c r="S948" s="2" t="s">
        <v>3671</v>
      </c>
      <c r="T948" s="2" t="s">
        <v>100</v>
      </c>
      <c r="U948" s="2" t="s">
        <v>901</v>
      </c>
      <c r="V948" s="2" t="s">
        <v>3634</v>
      </c>
      <c r="W948" s="2" t="s">
        <v>142</v>
      </c>
      <c r="X948" s="2" t="s">
        <v>100</v>
      </c>
      <c r="Y948" s="2" t="s">
        <v>144</v>
      </c>
      <c r="Z948" s="4">
        <v>339</v>
      </c>
      <c r="AA948" s="4">
        <f>=ROUNDDOWN(22.156862745098,0)</f>
      </c>
      <c r="AB948" s="5">
        <v>15.3</v>
      </c>
      <c r="AC948" s="2" t="s">
        <v>3491</v>
      </c>
      <c r="AD948" s="4">
        <v>200</v>
      </c>
      <c r="AE948" s="4">
        <v>200</v>
      </c>
      <c r="AF948" s="6">
        <v>63</v>
      </c>
      <c r="AG948" s="6"/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>
        <v>51</v>
      </c>
      <c r="BK948" s="8">
        <v>3185.73</v>
      </c>
      <c r="BL948" s="2" t="s">
        <v>3672</v>
      </c>
      <c r="BM948" s="7"/>
      <c r="BN948" s="7"/>
      <c r="BO948" s="4"/>
      <c r="BP948" s="8"/>
      <c r="BQ948" s="4"/>
      <c r="BR948" s="8"/>
      <c r="BS948" s="7"/>
      <c r="BT948" s="7"/>
      <c r="BU948" s="2" t="s">
        <v>1040</v>
      </c>
      <c r="BV948" s="2" t="s">
        <v>97</v>
      </c>
      <c r="BW948" s="2" t="s">
        <v>100</v>
      </c>
      <c r="BX948" s="2" t="s">
        <v>100</v>
      </c>
      <c r="BY948" s="2" t="s">
        <v>112</v>
      </c>
      <c r="BZ948" s="2" t="s">
        <v>149</v>
      </c>
    </row>
    <row r="949">
      <c r="A949" s="2" t="s">
        <v>3673</v>
      </c>
      <c r="B949" s="2" t="s">
        <v>3380</v>
      </c>
      <c r="C949" s="2" t="s">
        <v>88</v>
      </c>
      <c r="D949" s="2" t="s">
        <v>3408</v>
      </c>
      <c r="E949" s="2" t="s">
        <v>3409</v>
      </c>
      <c r="F949" s="2" t="s">
        <v>3674</v>
      </c>
      <c r="G949" s="2" t="s">
        <v>3674</v>
      </c>
      <c r="H949" s="2" t="s">
        <v>3674</v>
      </c>
      <c r="I949" s="2" t="s">
        <v>3675</v>
      </c>
      <c r="J949" s="2" t="s">
        <v>3676</v>
      </c>
      <c r="K949" s="2" t="s">
        <v>3475</v>
      </c>
      <c r="L949" s="3">
        <v>54.23</v>
      </c>
      <c r="M949" s="3">
        <v>56.94</v>
      </c>
      <c r="N949" s="3">
        <v>118.99</v>
      </c>
      <c r="O949" s="2" t="s">
        <v>97</v>
      </c>
      <c r="P949" s="2" t="s">
        <v>123</v>
      </c>
      <c r="Q949" s="2" t="s">
        <v>99</v>
      </c>
      <c r="R949" s="2" t="s">
        <v>100</v>
      </c>
      <c r="S949" s="2" t="s">
        <v>3677</v>
      </c>
      <c r="T949" s="2" t="s">
        <v>100</v>
      </c>
      <c r="U949" s="2" t="s">
        <v>894</v>
      </c>
      <c r="V949" s="2" t="s">
        <v>547</v>
      </c>
      <c r="W949" s="2" t="s">
        <v>1136</v>
      </c>
      <c r="X949" s="2" t="s">
        <v>3678</v>
      </c>
      <c r="Y949" s="2" t="s">
        <v>3679</v>
      </c>
      <c r="Z949" s="4">
        <v>330</v>
      </c>
      <c r="AA949" s="4">
        <f>=ROUNDDOWN(30,0)</f>
      </c>
      <c r="AB949" s="5">
        <v>11</v>
      </c>
      <c r="AC949" s="2" t="s">
        <v>100</v>
      </c>
      <c r="AD949" s="4"/>
      <c r="AE949" s="4"/>
      <c r="AF949" s="6">
        <v>63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/>
      <c r="BJ949" s="4">
        <v>28</v>
      </c>
      <c r="BK949" s="8">
        <v>1673.86</v>
      </c>
      <c r="BL949" s="2" t="s">
        <v>3680</v>
      </c>
      <c r="BM949" s="7"/>
      <c r="BN949" s="7"/>
      <c r="BO949" s="4"/>
      <c r="BP949" s="8"/>
      <c r="BQ949" s="4"/>
      <c r="BR949" s="8"/>
      <c r="BS949" s="7"/>
      <c r="BT949" s="7"/>
      <c r="BU949" s="2" t="s">
        <v>2526</v>
      </c>
      <c r="BV949" s="2" t="s">
        <v>97</v>
      </c>
      <c r="BW949" s="2" t="s">
        <v>100</v>
      </c>
      <c r="BX949" s="2" t="s">
        <v>100</v>
      </c>
      <c r="BY949" s="2" t="s">
        <v>112</v>
      </c>
      <c r="BZ949" s="2" t="s">
        <v>149</v>
      </c>
    </row>
    <row r="950">
      <c r="A950" s="2" t="s">
        <v>3681</v>
      </c>
      <c r="B950" s="2" t="s">
        <v>3380</v>
      </c>
      <c r="C950" s="2" t="s">
        <v>88</v>
      </c>
      <c r="D950" s="2" t="s">
        <v>3408</v>
      </c>
      <c r="E950" s="2" t="s">
        <v>3409</v>
      </c>
      <c r="F950" s="2" t="s">
        <v>3674</v>
      </c>
      <c r="G950" s="2" t="s">
        <v>3674</v>
      </c>
      <c r="H950" s="2" t="s">
        <v>3674</v>
      </c>
      <c r="I950" s="2" t="s">
        <v>3675</v>
      </c>
      <c r="J950" s="2" t="s">
        <v>3676</v>
      </c>
      <c r="K950" s="2" t="s">
        <v>878</v>
      </c>
      <c r="L950" s="3">
        <v>54.23</v>
      </c>
      <c r="M950" s="3">
        <v>56.94</v>
      </c>
      <c r="N950" s="3">
        <v>118.99</v>
      </c>
      <c r="O950" s="2" t="s">
        <v>97</v>
      </c>
      <c r="P950" s="2" t="s">
        <v>123</v>
      </c>
      <c r="Q950" s="2" t="s">
        <v>99</v>
      </c>
      <c r="R950" s="2" t="s">
        <v>100</v>
      </c>
      <c r="S950" s="2" t="s">
        <v>3682</v>
      </c>
      <c r="T950" s="2" t="s">
        <v>100</v>
      </c>
      <c r="U950" s="2" t="s">
        <v>894</v>
      </c>
      <c r="V950" s="2" t="s">
        <v>547</v>
      </c>
      <c r="W950" s="2" t="s">
        <v>1136</v>
      </c>
      <c r="X950" s="2" t="s">
        <v>493</v>
      </c>
      <c r="Y950" s="2" t="s">
        <v>3683</v>
      </c>
      <c r="Z950" s="4">
        <v>284</v>
      </c>
      <c r="AA950" s="4">
        <f>=ROUNDDOWN(28.4,0)</f>
      </c>
      <c r="AB950" s="5">
        <v>10</v>
      </c>
      <c r="AC950" s="2" t="s">
        <v>100</v>
      </c>
      <c r="AD950" s="4"/>
      <c r="AE950" s="4"/>
      <c r="AF950" s="6">
        <v>63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/>
      <c r="BJ950" s="4">
        <v>45</v>
      </c>
      <c r="BK950" s="8">
        <v>2887.71</v>
      </c>
      <c r="BL950" s="2" t="s">
        <v>3684</v>
      </c>
      <c r="BM950" s="7"/>
      <c r="BN950" s="7"/>
      <c r="BO950" s="4"/>
      <c r="BP950" s="8"/>
      <c r="BQ950" s="4"/>
      <c r="BR950" s="8"/>
      <c r="BS950" s="7"/>
      <c r="BT950" s="7"/>
      <c r="BU950" s="2" t="s">
        <v>2526</v>
      </c>
      <c r="BV950" s="2" t="s">
        <v>97</v>
      </c>
      <c r="BW950" s="2" t="s">
        <v>100</v>
      </c>
      <c r="BX950" s="2" t="s">
        <v>100</v>
      </c>
      <c r="BY950" s="2" t="s">
        <v>112</v>
      </c>
      <c r="BZ950" s="2" t="s">
        <v>149</v>
      </c>
    </row>
    <row r="951">
      <c r="A951" s="2" t="s">
        <v>3685</v>
      </c>
      <c r="B951" s="2" t="s">
        <v>3380</v>
      </c>
      <c r="C951" s="2" t="s">
        <v>88</v>
      </c>
      <c r="D951" s="2" t="s">
        <v>3408</v>
      </c>
      <c r="E951" s="2" t="s">
        <v>3409</v>
      </c>
      <c r="F951" s="2" t="s">
        <v>3686</v>
      </c>
      <c r="G951" s="2" t="s">
        <v>3686</v>
      </c>
      <c r="H951" s="2" t="s">
        <v>3686</v>
      </c>
      <c r="I951" s="2" t="s">
        <v>3687</v>
      </c>
      <c r="J951" s="2" t="s">
        <v>3385</v>
      </c>
      <c r="K951" s="2" t="s">
        <v>706</v>
      </c>
      <c r="L951" s="3">
        <v>16.15</v>
      </c>
      <c r="M951" s="3">
        <v>16.96</v>
      </c>
      <c r="N951" s="3">
        <v>33.99</v>
      </c>
      <c r="O951" s="2" t="s">
        <v>97</v>
      </c>
      <c r="P951" s="2" t="s">
        <v>707</v>
      </c>
      <c r="Q951" s="2" t="s">
        <v>99</v>
      </c>
      <c r="R951" s="2" t="s">
        <v>100</v>
      </c>
      <c r="S951" s="2" t="s">
        <v>3688</v>
      </c>
      <c r="T951" s="2" t="s">
        <v>100</v>
      </c>
      <c r="U951" s="2" t="s">
        <v>901</v>
      </c>
      <c r="V951" s="2" t="s">
        <v>192</v>
      </c>
      <c r="W951" s="2" t="s">
        <v>142</v>
      </c>
      <c r="X951" s="2" t="s">
        <v>100</v>
      </c>
      <c r="Y951" s="2" t="s">
        <v>144</v>
      </c>
      <c r="Z951" s="4">
        <v>89</v>
      </c>
      <c r="AA951" s="4">
        <f>=ROUNDDOWN(21.7073170731707,0)</f>
      </c>
      <c r="AB951" s="5">
        <v>4.1</v>
      </c>
      <c r="AC951" s="2" t="s">
        <v>100</v>
      </c>
      <c r="AD951" s="4"/>
      <c r="AE951" s="4"/>
      <c r="AF951" s="6">
        <v>63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/>
      <c r="BD951" s="8"/>
      <c r="BE951" s="4"/>
      <c r="BF951" s="8"/>
      <c r="BG951" s="7"/>
      <c r="BH951" s="7"/>
      <c r="BI951" s="7"/>
      <c r="BJ951" s="4">
        <v>30</v>
      </c>
      <c r="BK951" s="8">
        <v>600.5</v>
      </c>
      <c r="BL951" s="2" t="s">
        <v>3689</v>
      </c>
      <c r="BM951" s="7"/>
      <c r="BN951" s="7"/>
      <c r="BO951" s="4"/>
      <c r="BP951" s="8"/>
      <c r="BQ951" s="4"/>
      <c r="BR951" s="8"/>
      <c r="BS951" s="7"/>
      <c r="BT951" s="7"/>
      <c r="BU951" s="2" t="s">
        <v>2526</v>
      </c>
      <c r="BV951" s="2" t="s">
        <v>97</v>
      </c>
      <c r="BW951" s="2" t="s">
        <v>100</v>
      </c>
      <c r="BX951" s="2" t="s">
        <v>100</v>
      </c>
      <c r="BY951" s="2" t="s">
        <v>112</v>
      </c>
      <c r="BZ951" s="2" t="s">
        <v>149</v>
      </c>
    </row>
    <row r="952">
      <c r="A952" s="2" t="s">
        <v>3690</v>
      </c>
      <c r="B952" s="2" t="s">
        <v>3380</v>
      </c>
      <c r="C952" s="2" t="s">
        <v>88</v>
      </c>
      <c r="D952" s="2" t="s">
        <v>3408</v>
      </c>
      <c r="E952" s="2" t="s">
        <v>3409</v>
      </c>
      <c r="F952" s="2" t="s">
        <v>3691</v>
      </c>
      <c r="G952" s="2" t="s">
        <v>3691</v>
      </c>
      <c r="H952" s="2" t="s">
        <v>3691</v>
      </c>
      <c r="I952" s="2" t="s">
        <v>3692</v>
      </c>
      <c r="J952" s="2" t="s">
        <v>3385</v>
      </c>
      <c r="K952" s="2" t="s">
        <v>179</v>
      </c>
      <c r="L952" s="3">
        <v>63.6</v>
      </c>
      <c r="M952" s="3">
        <v>66.78</v>
      </c>
      <c r="N952" s="3">
        <v>124.94</v>
      </c>
      <c r="O952" s="2" t="s">
        <v>97</v>
      </c>
      <c r="P952" s="2" t="s">
        <v>98</v>
      </c>
      <c r="Q952" s="2" t="s">
        <v>99</v>
      </c>
      <c r="R952" s="2" t="s">
        <v>100</v>
      </c>
      <c r="S952" s="2" t="s">
        <v>3693</v>
      </c>
      <c r="T952" s="2" t="s">
        <v>100</v>
      </c>
      <c r="U952" s="2" t="s">
        <v>901</v>
      </c>
      <c r="V952" s="2" t="s">
        <v>547</v>
      </c>
      <c r="W952" s="2" t="s">
        <v>1136</v>
      </c>
      <c r="X952" s="2" t="s">
        <v>100</v>
      </c>
      <c r="Y952" s="2" t="s">
        <v>3694</v>
      </c>
      <c r="Z952" s="4">
        <v>155</v>
      </c>
      <c r="AA952" s="4">
        <f>=ROUNDDOWN(29.2452830188679,0)</f>
      </c>
      <c r="AB952" s="5">
        <v>5.3</v>
      </c>
      <c r="AC952" s="2" t="s">
        <v>100</v>
      </c>
      <c r="AD952" s="4"/>
      <c r="AE952" s="4"/>
      <c r="AF952" s="6">
        <v>63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/>
      <c r="BJ952" s="4">
        <v>9</v>
      </c>
      <c r="BK952" s="8">
        <v>664.46</v>
      </c>
      <c r="BL952" s="2" t="s">
        <v>3695</v>
      </c>
      <c r="BM952" s="7"/>
      <c r="BN952" s="7"/>
      <c r="BO952" s="4"/>
      <c r="BP952" s="8"/>
      <c r="BQ952" s="4"/>
      <c r="BR952" s="8"/>
      <c r="BS952" s="7"/>
      <c r="BT952" s="7"/>
      <c r="BU952" s="2" t="s">
        <v>1040</v>
      </c>
      <c r="BV952" s="2" t="s">
        <v>97</v>
      </c>
      <c r="BW952" s="2" t="s">
        <v>100</v>
      </c>
      <c r="BX952" s="2" t="s">
        <v>100</v>
      </c>
      <c r="BY952" s="2" t="s">
        <v>112</v>
      </c>
      <c r="BZ952" s="2" t="s">
        <v>149</v>
      </c>
    </row>
    <row r="953">
      <c r="A953" s="2" t="s">
        <v>3696</v>
      </c>
      <c r="B953" s="2" t="s">
        <v>3380</v>
      </c>
      <c r="C953" s="2" t="s">
        <v>88</v>
      </c>
      <c r="D953" s="2" t="s">
        <v>3408</v>
      </c>
      <c r="E953" s="2" t="s">
        <v>3409</v>
      </c>
      <c r="F953" s="2" t="s">
        <v>3691</v>
      </c>
      <c r="G953" s="2" t="s">
        <v>3691</v>
      </c>
      <c r="H953" s="2" t="s">
        <v>3691</v>
      </c>
      <c r="I953" s="2" t="s">
        <v>3692</v>
      </c>
      <c r="J953" s="2" t="s">
        <v>3385</v>
      </c>
      <c r="K953" s="2" t="s">
        <v>96</v>
      </c>
      <c r="L953" s="3">
        <v>67.34</v>
      </c>
      <c r="M953" s="3">
        <v>70.71</v>
      </c>
      <c r="N953" s="3">
        <v>124.94</v>
      </c>
      <c r="O953" s="2" t="s">
        <v>97</v>
      </c>
      <c r="P953" s="2" t="s">
        <v>98</v>
      </c>
      <c r="Q953" s="2" t="s">
        <v>99</v>
      </c>
      <c r="R953" s="2" t="s">
        <v>100</v>
      </c>
      <c r="S953" s="2" t="s">
        <v>100</v>
      </c>
      <c r="T953" s="2" t="s">
        <v>100</v>
      </c>
      <c r="U953" s="2" t="s">
        <v>901</v>
      </c>
      <c r="V953" s="2" t="s">
        <v>547</v>
      </c>
      <c r="W953" s="2" t="s">
        <v>1136</v>
      </c>
      <c r="X953" s="2" t="s">
        <v>493</v>
      </c>
      <c r="Y953" s="2" t="s">
        <v>3683</v>
      </c>
      <c r="Z953" s="4">
        <v>153</v>
      </c>
      <c r="AA953" s="4">
        <f>=ROUNDDOWN(25.5,0)</f>
      </c>
      <c r="AB953" s="5">
        <v>6</v>
      </c>
      <c r="AC953" s="2" t="s">
        <v>100</v>
      </c>
      <c r="AD953" s="4"/>
      <c r="AE953" s="4"/>
      <c r="AF953" s="6">
        <v>63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/>
      <c r="BJ953" s="4">
        <v>14</v>
      </c>
      <c r="BK953" s="8">
        <v>1104.8</v>
      </c>
      <c r="BL953" s="2" t="s">
        <v>3697</v>
      </c>
      <c r="BM953" s="7"/>
      <c r="BN953" s="7"/>
      <c r="BO953" s="4"/>
      <c r="BP953" s="8"/>
      <c r="BQ953" s="4"/>
      <c r="BR953" s="8"/>
      <c r="BS953" s="7"/>
      <c r="BT953" s="7"/>
      <c r="BU953" s="2" t="s">
        <v>2526</v>
      </c>
      <c r="BV953" s="2" t="s">
        <v>97</v>
      </c>
      <c r="BW953" s="2" t="s">
        <v>100</v>
      </c>
      <c r="BX953" s="2" t="s">
        <v>100</v>
      </c>
      <c r="BY953" s="2" t="s">
        <v>112</v>
      </c>
      <c r="BZ953" s="2" t="s">
        <v>149</v>
      </c>
    </row>
    <row r="954">
      <c r="A954" s="2" t="s">
        <v>3698</v>
      </c>
      <c r="B954" s="2" t="s">
        <v>3380</v>
      </c>
      <c r="C954" s="2" t="s">
        <v>88</v>
      </c>
      <c r="D954" s="2" t="s">
        <v>3408</v>
      </c>
      <c r="E954" s="2" t="s">
        <v>3409</v>
      </c>
      <c r="F954" s="2" t="s">
        <v>3691</v>
      </c>
      <c r="G954" s="2" t="s">
        <v>3691</v>
      </c>
      <c r="H954" s="2" t="s">
        <v>3691</v>
      </c>
      <c r="I954" s="2" t="s">
        <v>3692</v>
      </c>
      <c r="J954" s="2" t="s">
        <v>3385</v>
      </c>
      <c r="K954" s="2" t="s">
        <v>673</v>
      </c>
      <c r="L954" s="3">
        <v>63.6</v>
      </c>
      <c r="M954" s="3">
        <v>66.78</v>
      </c>
      <c r="N954" s="3">
        <v>124.94</v>
      </c>
      <c r="O954" s="2" t="s">
        <v>97</v>
      </c>
      <c r="P954" s="2" t="s">
        <v>123</v>
      </c>
      <c r="Q954" s="2" t="s">
        <v>99</v>
      </c>
      <c r="R954" s="2" t="s">
        <v>100</v>
      </c>
      <c r="S954" s="2" t="s">
        <v>3699</v>
      </c>
      <c r="T954" s="2" t="s">
        <v>100</v>
      </c>
      <c r="U954" s="2" t="s">
        <v>901</v>
      </c>
      <c r="V954" s="2" t="s">
        <v>547</v>
      </c>
      <c r="W954" s="2" t="s">
        <v>1136</v>
      </c>
      <c r="X954" s="2" t="s">
        <v>100</v>
      </c>
      <c r="Y954" s="2" t="s">
        <v>3700</v>
      </c>
      <c r="Z954" s="4">
        <v>641</v>
      </c>
      <c r="AA954" s="4">
        <f>=ROUNDDOWN(58.2727272727273,0)</f>
      </c>
      <c r="AB954" s="5">
        <v>11</v>
      </c>
      <c r="AC954" s="2" t="s">
        <v>100</v>
      </c>
      <c r="AD954" s="4"/>
      <c r="AE954" s="4"/>
      <c r="AF954" s="6">
        <v>63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/>
      <c r="BJ954" s="4">
        <v>44</v>
      </c>
      <c r="BK954" s="8">
        <v>3526.02</v>
      </c>
      <c r="BL954" s="2" t="s">
        <v>3701</v>
      </c>
      <c r="BM954" s="7"/>
      <c r="BN954" s="7"/>
      <c r="BO954" s="4"/>
      <c r="BP954" s="8"/>
      <c r="BQ954" s="4"/>
      <c r="BR954" s="8"/>
      <c r="BS954" s="7"/>
      <c r="BT954" s="7"/>
      <c r="BU954" s="2" t="s">
        <v>1040</v>
      </c>
      <c r="BV954" s="2" t="s">
        <v>97</v>
      </c>
      <c r="BW954" s="2" t="s">
        <v>100</v>
      </c>
      <c r="BX954" s="2" t="s">
        <v>100</v>
      </c>
      <c r="BY954" s="2" t="s">
        <v>112</v>
      </c>
      <c r="BZ954" s="2" t="s">
        <v>149</v>
      </c>
    </row>
    <row r="955">
      <c r="A955" s="2" t="s">
        <v>3702</v>
      </c>
      <c r="B955" s="2" t="s">
        <v>3380</v>
      </c>
      <c r="C955" s="2" t="s">
        <v>88</v>
      </c>
      <c r="D955" s="2" t="s">
        <v>3408</v>
      </c>
      <c r="E955" s="2" t="s">
        <v>3409</v>
      </c>
      <c r="F955" s="2" t="s">
        <v>3703</v>
      </c>
      <c r="G955" s="2" t="s">
        <v>3703</v>
      </c>
      <c r="H955" s="2" t="s">
        <v>3703</v>
      </c>
      <c r="I955" s="2" t="s">
        <v>3704</v>
      </c>
      <c r="J955" s="2" t="s">
        <v>3385</v>
      </c>
      <c r="K955" s="2" t="s">
        <v>179</v>
      </c>
      <c r="L955" s="3">
        <v>24.48</v>
      </c>
      <c r="M955" s="3">
        <v>25.7</v>
      </c>
      <c r="N955" s="3">
        <v>59.49</v>
      </c>
      <c r="O955" s="2" t="s">
        <v>97</v>
      </c>
      <c r="P955" s="2" t="s">
        <v>707</v>
      </c>
      <c r="Q955" s="2" t="s">
        <v>99</v>
      </c>
      <c r="R955" s="2" t="s">
        <v>100</v>
      </c>
      <c r="S955" s="2" t="s">
        <v>100</v>
      </c>
      <c r="T955" s="2" t="s">
        <v>100</v>
      </c>
      <c r="U955" s="2" t="s">
        <v>1776</v>
      </c>
      <c r="V955" s="2" t="s">
        <v>192</v>
      </c>
      <c r="W955" s="2" t="s">
        <v>142</v>
      </c>
      <c r="X955" s="2" t="s">
        <v>100</v>
      </c>
      <c r="Y955" s="2" t="s">
        <v>3635</v>
      </c>
      <c r="Z955" s="4">
        <v>62</v>
      </c>
      <c r="AA955" s="4">
        <f>=ROUNDDOWN(15.5,0)</f>
      </c>
      <c r="AB955" s="5">
        <v>4</v>
      </c>
      <c r="AC955" s="2" t="s">
        <v>2121</v>
      </c>
      <c r="AD955" s="4">
        <v>100</v>
      </c>
      <c r="AE955" s="4">
        <v>100</v>
      </c>
      <c r="AF955" s="6">
        <v>63</v>
      </c>
      <c r="AG955" s="6"/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/>
      <c r="BD955" s="8"/>
      <c r="BE955" s="4"/>
      <c r="BF955" s="8"/>
      <c r="BG955" s="7"/>
      <c r="BH955" s="7"/>
      <c r="BI955" s="7"/>
      <c r="BJ955" s="4">
        <v>22</v>
      </c>
      <c r="BK955" s="8">
        <v>668.35</v>
      </c>
      <c r="BL955" s="2" t="s">
        <v>3705</v>
      </c>
      <c r="BM955" s="7"/>
      <c r="BN955" s="7"/>
      <c r="BO955" s="4"/>
      <c r="BP955" s="8"/>
      <c r="BQ955" s="4"/>
      <c r="BR955" s="8"/>
      <c r="BS955" s="7"/>
      <c r="BT955" s="7"/>
      <c r="BU955" s="2" t="s">
        <v>2526</v>
      </c>
      <c r="BV955" s="2" t="s">
        <v>97</v>
      </c>
      <c r="BW955" s="2" t="s">
        <v>100</v>
      </c>
      <c r="BX955" s="2" t="s">
        <v>100</v>
      </c>
      <c r="BY955" s="2" t="s">
        <v>112</v>
      </c>
      <c r="BZ955" s="2" t="s">
        <v>149</v>
      </c>
    </row>
    <row r="956">
      <c r="A956" s="2" t="s">
        <v>3706</v>
      </c>
      <c r="B956" s="2" t="s">
        <v>3380</v>
      </c>
      <c r="C956" s="2" t="s">
        <v>88</v>
      </c>
      <c r="D956" s="2" t="s">
        <v>3408</v>
      </c>
      <c r="E956" s="2" t="s">
        <v>3409</v>
      </c>
      <c r="F956" s="2" t="s">
        <v>3707</v>
      </c>
      <c r="G956" s="2" t="s">
        <v>3707</v>
      </c>
      <c r="H956" s="2" t="s">
        <v>3707</v>
      </c>
      <c r="I956" s="2" t="s">
        <v>3708</v>
      </c>
      <c r="J956" s="2" t="s">
        <v>3385</v>
      </c>
      <c r="K956" s="2" t="s">
        <v>179</v>
      </c>
      <c r="L956" s="3">
        <v>58.22</v>
      </c>
      <c r="M956" s="3">
        <v>61.13</v>
      </c>
      <c r="N956" s="3">
        <v>118.99</v>
      </c>
      <c r="O956" s="2" t="s">
        <v>97</v>
      </c>
      <c r="P956" s="2" t="s">
        <v>707</v>
      </c>
      <c r="Q956" s="2" t="s">
        <v>99</v>
      </c>
      <c r="R956" s="2" t="s">
        <v>100</v>
      </c>
      <c r="S956" s="2" t="s">
        <v>3709</v>
      </c>
      <c r="T956" s="2" t="s">
        <v>100</v>
      </c>
      <c r="U956" s="2" t="s">
        <v>460</v>
      </c>
      <c r="V956" s="2" t="s">
        <v>547</v>
      </c>
      <c r="W956" s="2" t="s">
        <v>493</v>
      </c>
      <c r="X956" s="2" t="s">
        <v>100</v>
      </c>
      <c r="Y956" s="2" t="s">
        <v>3710</v>
      </c>
      <c r="Z956" s="4">
        <v>41</v>
      </c>
      <c r="AA956" s="4">
        <f>=ROUNDDOWN(20.5,0)</f>
      </c>
      <c r="AB956" s="5">
        <v>2</v>
      </c>
      <c r="AC956" s="2" t="s">
        <v>100</v>
      </c>
      <c r="AD956" s="4"/>
      <c r="AE956" s="4"/>
      <c r="AF956" s="6">
        <v>63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/>
      <c r="BD956" s="8"/>
      <c r="BE956" s="4"/>
      <c r="BF956" s="8"/>
      <c r="BG956" s="7"/>
      <c r="BH956" s="7"/>
      <c r="BI956" s="7"/>
      <c r="BJ956" s="4">
        <v>9</v>
      </c>
      <c r="BK956" s="8">
        <v>572.02</v>
      </c>
      <c r="BL956" s="2" t="s">
        <v>3711</v>
      </c>
      <c r="BM956" s="7"/>
      <c r="BN956" s="7"/>
      <c r="BO956" s="4"/>
      <c r="BP956" s="8"/>
      <c r="BQ956" s="4"/>
      <c r="BR956" s="8"/>
      <c r="BS956" s="7"/>
      <c r="BT956" s="7"/>
      <c r="BU956" s="2" t="s">
        <v>2526</v>
      </c>
      <c r="BV956" s="2" t="s">
        <v>97</v>
      </c>
      <c r="BW956" s="2" t="s">
        <v>100</v>
      </c>
      <c r="BX956" s="2" t="s">
        <v>100</v>
      </c>
      <c r="BY956" s="2" t="s">
        <v>112</v>
      </c>
      <c r="BZ956" s="2" t="s">
        <v>149</v>
      </c>
    </row>
    <row r="957">
      <c r="A957" s="2" t="s">
        <v>3712</v>
      </c>
      <c r="B957" s="2" t="s">
        <v>3380</v>
      </c>
      <c r="C957" s="2" t="s">
        <v>88</v>
      </c>
      <c r="D957" s="2" t="s">
        <v>3408</v>
      </c>
      <c r="E957" s="2" t="s">
        <v>3409</v>
      </c>
      <c r="F957" s="2" t="s">
        <v>3713</v>
      </c>
      <c r="G957" s="2" t="s">
        <v>3713</v>
      </c>
      <c r="H957" s="2" t="s">
        <v>3713</v>
      </c>
      <c r="I957" s="2" t="s">
        <v>3714</v>
      </c>
      <c r="J957" s="2" t="s">
        <v>3385</v>
      </c>
      <c r="K957" s="2" t="s">
        <v>165</v>
      </c>
      <c r="L957" s="3">
        <v>61.71</v>
      </c>
      <c r="M957" s="3">
        <v>64.8</v>
      </c>
      <c r="N957" s="3">
        <v>127.49</v>
      </c>
      <c r="O957" s="2" t="s">
        <v>97</v>
      </c>
      <c r="P957" s="2" t="s">
        <v>123</v>
      </c>
      <c r="Q957" s="2" t="s">
        <v>99</v>
      </c>
      <c r="R957" s="2" t="s">
        <v>100</v>
      </c>
      <c r="S957" s="2" t="s">
        <v>3715</v>
      </c>
      <c r="T957" s="2" t="s">
        <v>100</v>
      </c>
      <c r="U957" s="2" t="s">
        <v>894</v>
      </c>
      <c r="V957" s="2" t="s">
        <v>547</v>
      </c>
      <c r="W957" s="2" t="s">
        <v>493</v>
      </c>
      <c r="X957" s="2" t="s">
        <v>1136</v>
      </c>
      <c r="Y957" s="2" t="s">
        <v>2080</v>
      </c>
      <c r="Z957" s="4">
        <v>2</v>
      </c>
      <c r="AA957" s="4">
        <f>=ROUNDDOWN(0.285714285714286,0)</f>
      </c>
      <c r="AB957" s="5">
        <v>7</v>
      </c>
      <c r="AC957" s="2" t="s">
        <v>990</v>
      </c>
      <c r="AD957" s="4">
        <v>120</v>
      </c>
      <c r="AE957" s="4">
        <v>120</v>
      </c>
      <c r="AF957" s="6">
        <v>63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/>
      <c r="BD957" s="8"/>
      <c r="BE957" s="4"/>
      <c r="BF957" s="8"/>
      <c r="BG957" s="7"/>
      <c r="BH957" s="7"/>
      <c r="BI957" s="7"/>
      <c r="BJ957" s="4">
        <v>31</v>
      </c>
      <c r="BK957" s="8">
        <v>2292.56</v>
      </c>
      <c r="BL957" s="2" t="s">
        <v>3716</v>
      </c>
      <c r="BM957" s="7"/>
      <c r="BN957" s="7"/>
      <c r="BO957" s="4"/>
      <c r="BP957" s="8"/>
      <c r="BQ957" s="4"/>
      <c r="BR957" s="8"/>
      <c r="BS957" s="7"/>
      <c r="BT957" s="7"/>
      <c r="BU957" s="2" t="s">
        <v>2526</v>
      </c>
      <c r="BV957" s="2" t="s">
        <v>97</v>
      </c>
      <c r="BW957" s="2" t="s">
        <v>100</v>
      </c>
      <c r="BX957" s="2" t="s">
        <v>100</v>
      </c>
      <c r="BY957" s="2" t="s">
        <v>112</v>
      </c>
      <c r="BZ957" s="2" t="s">
        <v>149</v>
      </c>
    </row>
    <row r="958">
      <c r="A958" s="2" t="s">
        <v>3717</v>
      </c>
      <c r="B958" s="2" t="s">
        <v>3380</v>
      </c>
      <c r="C958" s="2" t="s">
        <v>88</v>
      </c>
      <c r="D958" s="2" t="s">
        <v>3408</v>
      </c>
      <c r="E958" s="2" t="s">
        <v>3409</v>
      </c>
      <c r="F958" s="2" t="s">
        <v>3718</v>
      </c>
      <c r="G958" s="2" t="s">
        <v>3718</v>
      </c>
      <c r="H958" s="2" t="s">
        <v>3718</v>
      </c>
      <c r="I958" s="2" t="s">
        <v>3719</v>
      </c>
      <c r="J958" s="2" t="s">
        <v>3385</v>
      </c>
      <c r="K958" s="2" t="s">
        <v>706</v>
      </c>
      <c r="L958" s="3">
        <v>50.03</v>
      </c>
      <c r="M958" s="3">
        <v>52.53</v>
      </c>
      <c r="N958" s="3">
        <v>101.99</v>
      </c>
      <c r="O958" s="2" t="s">
        <v>97</v>
      </c>
      <c r="P958" s="2" t="s">
        <v>707</v>
      </c>
      <c r="Q958" s="2" t="s">
        <v>99</v>
      </c>
      <c r="R958" s="2" t="s">
        <v>100</v>
      </c>
      <c r="S958" s="2" t="s">
        <v>100</v>
      </c>
      <c r="T958" s="2" t="s">
        <v>100</v>
      </c>
      <c r="U958" s="2" t="s">
        <v>894</v>
      </c>
      <c r="V958" s="2" t="s">
        <v>547</v>
      </c>
      <c r="W958" s="2" t="s">
        <v>493</v>
      </c>
      <c r="X958" s="2" t="s">
        <v>100</v>
      </c>
      <c r="Y958" s="2" t="s">
        <v>3720</v>
      </c>
      <c r="Z958" s="4">
        <v>10</v>
      </c>
      <c r="AA958" s="4">
        <f>=ROUNDDOWN(3.03030303030303,0)</f>
      </c>
      <c r="AB958" s="5">
        <v>3.3</v>
      </c>
      <c r="AC958" s="2" t="s">
        <v>824</v>
      </c>
      <c r="AD958" s="4">
        <v>100</v>
      </c>
      <c r="AE958" s="4">
        <v>100</v>
      </c>
      <c r="AF958" s="6">
        <v>63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/>
      <c r="BD958" s="8"/>
      <c r="BE958" s="4"/>
      <c r="BF958" s="8"/>
      <c r="BG958" s="7"/>
      <c r="BH958" s="7"/>
      <c r="BI958" s="7"/>
      <c r="BJ958" s="4">
        <v>12</v>
      </c>
      <c r="BK958" s="8">
        <v>652.84</v>
      </c>
      <c r="BL958" s="2" t="s">
        <v>3721</v>
      </c>
      <c r="BM958" s="7"/>
      <c r="BN958" s="7"/>
      <c r="BO958" s="4"/>
      <c r="BP958" s="8"/>
      <c r="BQ958" s="4"/>
      <c r="BR958" s="8"/>
      <c r="BS958" s="7"/>
      <c r="BT958" s="7"/>
      <c r="BU958" s="2" t="s">
        <v>2526</v>
      </c>
      <c r="BV958" s="2" t="s">
        <v>97</v>
      </c>
      <c r="BW958" s="2" t="s">
        <v>100</v>
      </c>
      <c r="BX958" s="2" t="s">
        <v>100</v>
      </c>
      <c r="BY958" s="2" t="s">
        <v>112</v>
      </c>
      <c r="BZ958" s="2" t="s">
        <v>149</v>
      </c>
    </row>
    <row r="959">
      <c r="A959" s="2" t="s">
        <v>3722</v>
      </c>
      <c r="B959" s="2" t="s">
        <v>3380</v>
      </c>
      <c r="C959" s="2" t="s">
        <v>88</v>
      </c>
      <c r="D959" s="2" t="s">
        <v>3408</v>
      </c>
      <c r="E959" s="2" t="s">
        <v>3409</v>
      </c>
      <c r="F959" s="2" t="s">
        <v>3723</v>
      </c>
      <c r="G959" s="2" t="s">
        <v>3723</v>
      </c>
      <c r="H959" s="2" t="s">
        <v>3723</v>
      </c>
      <c r="I959" s="2" t="s">
        <v>3724</v>
      </c>
      <c r="J959" s="2" t="s">
        <v>3385</v>
      </c>
      <c r="K959" s="2" t="s">
        <v>3725</v>
      </c>
      <c r="L959" s="3">
        <v>6.66</v>
      </c>
      <c r="M959" s="3">
        <v>6.99</v>
      </c>
      <c r="N959" s="3">
        <v>19.99</v>
      </c>
      <c r="O959" s="2" t="s">
        <v>97</v>
      </c>
      <c r="P959" s="2" t="s">
        <v>98</v>
      </c>
      <c r="Q959" s="2" t="s">
        <v>99</v>
      </c>
      <c r="R959" s="2" t="s">
        <v>100</v>
      </c>
      <c r="S959" s="2" t="s">
        <v>100</v>
      </c>
      <c r="T959" s="2" t="s">
        <v>100</v>
      </c>
      <c r="U959" s="2" t="s">
        <v>1776</v>
      </c>
      <c r="V959" s="2" t="s">
        <v>2510</v>
      </c>
      <c r="W959" s="2" t="s">
        <v>580</v>
      </c>
      <c r="X959" s="2" t="s">
        <v>525</v>
      </c>
      <c r="Y959" s="2" t="s">
        <v>3641</v>
      </c>
      <c r="Z959" s="4">
        <v>366</v>
      </c>
      <c r="AA959" s="4">
        <f>=ROUNDDOWN(126.206896551724,0)</f>
      </c>
      <c r="AB959" s="5">
        <v>2.9</v>
      </c>
      <c r="AC959" s="2" t="s">
        <v>100</v>
      </c>
      <c r="AD959" s="4"/>
      <c r="AE959" s="4"/>
      <c r="AF959" s="6">
        <v>63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/>
      <c r="BD959" s="8"/>
      <c r="BE959" s="4"/>
      <c r="BF959" s="8"/>
      <c r="BG959" s="7"/>
      <c r="BH959" s="7"/>
      <c r="BI959" s="7"/>
      <c r="BJ959" s="4">
        <v>10</v>
      </c>
      <c r="BK959" s="8">
        <v>120.21</v>
      </c>
      <c r="BL959" s="2" t="s">
        <v>3726</v>
      </c>
      <c r="BM959" s="7"/>
      <c r="BN959" s="7"/>
      <c r="BO959" s="4"/>
      <c r="BP959" s="8"/>
      <c r="BQ959" s="4"/>
      <c r="BR959" s="8"/>
      <c r="BS959" s="7"/>
      <c r="BT959" s="7"/>
      <c r="BU959" s="2" t="s">
        <v>2526</v>
      </c>
      <c r="BV959" s="2" t="s">
        <v>97</v>
      </c>
      <c r="BW959" s="2" t="s">
        <v>100</v>
      </c>
      <c r="BX959" s="2" t="s">
        <v>100</v>
      </c>
      <c r="BY959" s="2" t="s">
        <v>112</v>
      </c>
      <c r="BZ959" s="2" t="s">
        <v>149</v>
      </c>
    </row>
    <row r="960">
      <c r="A960" s="2" t="s">
        <v>3727</v>
      </c>
      <c r="B960" s="2" t="s">
        <v>3380</v>
      </c>
      <c r="C960" s="2" t="s">
        <v>88</v>
      </c>
      <c r="D960" s="2" t="s">
        <v>3408</v>
      </c>
      <c r="E960" s="2" t="s">
        <v>3409</v>
      </c>
      <c r="F960" s="2" t="s">
        <v>3728</v>
      </c>
      <c r="G960" s="2" t="s">
        <v>3728</v>
      </c>
      <c r="H960" s="2" t="s">
        <v>3728</v>
      </c>
      <c r="I960" s="2" t="s">
        <v>3729</v>
      </c>
      <c r="J960" s="2" t="s">
        <v>3385</v>
      </c>
      <c r="K960" s="2" t="s">
        <v>1857</v>
      </c>
      <c r="L960" s="3">
        <v>64.52</v>
      </c>
      <c r="M960" s="3">
        <v>67.75</v>
      </c>
      <c r="N960" s="3">
        <v>124.94</v>
      </c>
      <c r="O960" s="2" t="s">
        <v>97</v>
      </c>
      <c r="P960" s="2" t="s">
        <v>98</v>
      </c>
      <c r="Q960" s="2" t="s">
        <v>99</v>
      </c>
      <c r="R960" s="2" t="s">
        <v>100</v>
      </c>
      <c r="S960" s="2" t="s">
        <v>3730</v>
      </c>
      <c r="T960" s="2" t="s">
        <v>100</v>
      </c>
      <c r="U960" s="2" t="s">
        <v>901</v>
      </c>
      <c r="V960" s="2" t="s">
        <v>547</v>
      </c>
      <c r="W960" s="2" t="s">
        <v>1136</v>
      </c>
      <c r="X960" s="2" t="s">
        <v>3731</v>
      </c>
      <c r="Y960" s="2" t="s">
        <v>3679</v>
      </c>
      <c r="Z960" s="4">
        <v>182</v>
      </c>
      <c r="AA960" s="4">
        <f>=ROUNDDOWN(36.4,0)</f>
      </c>
      <c r="AB960" s="5">
        <v>5</v>
      </c>
      <c r="AC960" s="2" t="s">
        <v>100</v>
      </c>
      <c r="AD960" s="4"/>
      <c r="AE960" s="4"/>
      <c r="AF960" s="6">
        <v>63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/>
      <c r="BD960" s="8"/>
      <c r="BE960" s="4"/>
      <c r="BF960" s="8"/>
      <c r="BG960" s="7"/>
      <c r="BH960" s="7"/>
      <c r="BI960" s="7"/>
      <c r="BJ960" s="4">
        <v>10</v>
      </c>
      <c r="BK960" s="8">
        <v>806.93</v>
      </c>
      <c r="BL960" s="2" t="s">
        <v>3732</v>
      </c>
      <c r="BM960" s="7"/>
      <c r="BN960" s="7"/>
      <c r="BO960" s="4"/>
      <c r="BP960" s="8"/>
      <c r="BQ960" s="4"/>
      <c r="BR960" s="8"/>
      <c r="BS960" s="7"/>
      <c r="BT960" s="7"/>
      <c r="BU960" s="2" t="s">
        <v>2526</v>
      </c>
      <c r="BV960" s="2" t="s">
        <v>97</v>
      </c>
      <c r="BW960" s="2" t="s">
        <v>100</v>
      </c>
      <c r="BX960" s="2" t="s">
        <v>100</v>
      </c>
      <c r="BY960" s="2" t="s">
        <v>112</v>
      </c>
      <c r="BZ960" s="2" t="s">
        <v>149</v>
      </c>
    </row>
    <row r="961">
      <c r="A961" s="2" t="s">
        <v>3733</v>
      </c>
      <c r="B961" s="2" t="s">
        <v>3380</v>
      </c>
      <c r="C961" s="2" t="s">
        <v>88</v>
      </c>
      <c r="D961" s="2" t="s">
        <v>3408</v>
      </c>
      <c r="E961" s="2" t="s">
        <v>3409</v>
      </c>
      <c r="F961" s="2" t="s">
        <v>3734</v>
      </c>
      <c r="G961" s="2" t="s">
        <v>3734</v>
      </c>
      <c r="H961" s="2" t="s">
        <v>3734</v>
      </c>
      <c r="I961" s="2" t="s">
        <v>3675</v>
      </c>
      <c r="J961" s="2" t="s">
        <v>3385</v>
      </c>
      <c r="K961" s="2" t="s">
        <v>2698</v>
      </c>
      <c r="L961" s="3">
        <v>43.01</v>
      </c>
      <c r="M961" s="3">
        <v>45.16</v>
      </c>
      <c r="N961" s="3">
        <v>84.99</v>
      </c>
      <c r="O961" s="2" t="s">
        <v>97</v>
      </c>
      <c r="P961" s="2" t="s">
        <v>98</v>
      </c>
      <c r="Q961" s="2" t="s">
        <v>99</v>
      </c>
      <c r="R961" s="2" t="s">
        <v>100</v>
      </c>
      <c r="S961" s="2" t="s">
        <v>3735</v>
      </c>
      <c r="T961" s="2" t="s">
        <v>100</v>
      </c>
      <c r="U961" s="2" t="s">
        <v>894</v>
      </c>
      <c r="V961" s="2" t="s">
        <v>547</v>
      </c>
      <c r="W961" s="2" t="s">
        <v>1136</v>
      </c>
      <c r="X961" s="2" t="s">
        <v>1136</v>
      </c>
      <c r="Y961" s="2" t="s">
        <v>3736</v>
      </c>
      <c r="Z961" s="4">
        <v>313</v>
      </c>
      <c r="AA961" s="4">
        <f>=ROUNDDOWN(39.125,0)</f>
      </c>
      <c r="AB961" s="5">
        <v>8</v>
      </c>
      <c r="AC961" s="2" t="s">
        <v>100</v>
      </c>
      <c r="AD961" s="4"/>
      <c r="AE961" s="4"/>
      <c r="AF961" s="6">
        <v>63</v>
      </c>
      <c r="AG961" s="6"/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/>
      <c r="BD961" s="8"/>
      <c r="BE961" s="4"/>
      <c r="BF961" s="8"/>
      <c r="BG961" s="7"/>
      <c r="BH961" s="7"/>
      <c r="BI961" s="7"/>
      <c r="BJ961" s="4">
        <v>28</v>
      </c>
      <c r="BK961" s="8">
        <v>1442.56</v>
      </c>
      <c r="BL961" s="2" t="s">
        <v>3737</v>
      </c>
      <c r="BM961" s="7"/>
      <c r="BN961" s="7"/>
      <c r="BO961" s="4"/>
      <c r="BP961" s="8"/>
      <c r="BQ961" s="4"/>
      <c r="BR961" s="8"/>
      <c r="BS961" s="7"/>
      <c r="BT961" s="7"/>
      <c r="BU961" s="2" t="s">
        <v>2526</v>
      </c>
      <c r="BV961" s="2" t="s">
        <v>97</v>
      </c>
      <c r="BW961" s="2" t="s">
        <v>100</v>
      </c>
      <c r="BX961" s="2" t="s">
        <v>100</v>
      </c>
      <c r="BY961" s="2" t="s">
        <v>112</v>
      </c>
      <c r="BZ961" s="2" t="s">
        <v>149</v>
      </c>
    </row>
    <row r="962">
      <c r="A962" s="2" t="s">
        <v>3738</v>
      </c>
      <c r="B962" s="2" t="s">
        <v>3380</v>
      </c>
      <c r="C962" s="2" t="s">
        <v>88</v>
      </c>
      <c r="D962" s="2" t="s">
        <v>3408</v>
      </c>
      <c r="E962" s="2" t="s">
        <v>3479</v>
      </c>
      <c r="F962" s="2" t="s">
        <v>3739</v>
      </c>
      <c r="G962" s="2" t="s">
        <v>3739</v>
      </c>
      <c r="H962" s="2" t="s">
        <v>3739</v>
      </c>
      <c r="I962" s="2" t="s">
        <v>3740</v>
      </c>
      <c r="J962" s="2" t="s">
        <v>3385</v>
      </c>
      <c r="K962" s="2" t="s">
        <v>446</v>
      </c>
      <c r="L962" s="3">
        <v>76.19</v>
      </c>
      <c r="M962" s="3">
        <v>80</v>
      </c>
      <c r="N962" s="3">
        <v>140.24</v>
      </c>
      <c r="O962" s="2" t="s">
        <v>97</v>
      </c>
      <c r="P962" s="2" t="s">
        <v>98</v>
      </c>
      <c r="Q962" s="2" t="s">
        <v>99</v>
      </c>
      <c r="R962" s="2" t="s">
        <v>100</v>
      </c>
      <c r="S962" s="2" t="s">
        <v>3741</v>
      </c>
      <c r="T962" s="2" t="s">
        <v>100</v>
      </c>
      <c r="U962" s="2" t="s">
        <v>460</v>
      </c>
      <c r="V962" s="2" t="s">
        <v>547</v>
      </c>
      <c r="W962" s="2" t="s">
        <v>493</v>
      </c>
      <c r="X962" s="2" t="s">
        <v>100</v>
      </c>
      <c r="Y962" s="2" t="s">
        <v>1483</v>
      </c>
      <c r="Z962" s="4">
        <v>165</v>
      </c>
      <c r="AA962" s="4">
        <f>=ROUNDDOWN(33,0)</f>
      </c>
      <c r="AB962" s="5">
        <v>5</v>
      </c>
      <c r="AC962" s="2" t="s">
        <v>100</v>
      </c>
      <c r="AD962" s="4"/>
      <c r="AE962" s="4"/>
      <c r="AF962" s="6">
        <v>63</v>
      </c>
      <c r="AG962" s="6"/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/>
      <c r="BD962" s="8"/>
      <c r="BE962" s="4"/>
      <c r="BF962" s="8"/>
      <c r="BG962" s="7"/>
      <c r="BH962" s="7"/>
      <c r="BI962" s="7"/>
      <c r="BJ962" s="4">
        <v>7</v>
      </c>
      <c r="BK962" s="8">
        <v>539.05</v>
      </c>
      <c r="BL962" s="2" t="s">
        <v>3742</v>
      </c>
      <c r="BM962" s="7"/>
      <c r="BN962" s="7"/>
      <c r="BO962" s="4"/>
      <c r="BP962" s="8"/>
      <c r="BQ962" s="4"/>
      <c r="BR962" s="8"/>
      <c r="BS962" s="7"/>
      <c r="BT962" s="7"/>
      <c r="BU962" s="2" t="s">
        <v>2526</v>
      </c>
      <c r="BV962" s="2" t="s">
        <v>97</v>
      </c>
      <c r="BW962" s="2" t="s">
        <v>100</v>
      </c>
      <c r="BX962" s="2" t="s">
        <v>100</v>
      </c>
      <c r="BY962" s="2" t="s">
        <v>112</v>
      </c>
      <c r="BZ962" s="2" t="s">
        <v>149</v>
      </c>
    </row>
    <row r="963">
      <c r="A963" s="2" t="s">
        <v>3743</v>
      </c>
      <c r="B963" s="2" t="s">
        <v>3380</v>
      </c>
      <c r="C963" s="2" t="s">
        <v>88</v>
      </c>
      <c r="D963" s="2" t="s">
        <v>3408</v>
      </c>
      <c r="E963" s="2" t="s">
        <v>3479</v>
      </c>
      <c r="F963" s="2" t="s">
        <v>3744</v>
      </c>
      <c r="G963" s="2" t="s">
        <v>3744</v>
      </c>
      <c r="H963" s="2" t="s">
        <v>3744</v>
      </c>
      <c r="I963" s="2" t="s">
        <v>3745</v>
      </c>
      <c r="J963" s="2" t="s">
        <v>3385</v>
      </c>
      <c r="K963" s="2" t="s">
        <v>3653</v>
      </c>
      <c r="L963" s="3">
        <v>69.19</v>
      </c>
      <c r="M963" s="3">
        <v>72.65</v>
      </c>
      <c r="N963" s="3">
        <v>135.99</v>
      </c>
      <c r="O963" s="2" t="s">
        <v>97</v>
      </c>
      <c r="P963" s="2" t="s">
        <v>98</v>
      </c>
      <c r="Q963" s="2" t="s">
        <v>99</v>
      </c>
      <c r="R963" s="2" t="s">
        <v>100</v>
      </c>
      <c r="S963" s="2" t="s">
        <v>3746</v>
      </c>
      <c r="T963" s="2" t="s">
        <v>100</v>
      </c>
      <c r="U963" s="2" t="s">
        <v>460</v>
      </c>
      <c r="V963" s="2" t="s">
        <v>547</v>
      </c>
      <c r="W963" s="2" t="s">
        <v>493</v>
      </c>
      <c r="X963" s="2" t="s">
        <v>3747</v>
      </c>
      <c r="Y963" s="2" t="s">
        <v>3748</v>
      </c>
      <c r="Z963" s="4">
        <v>86</v>
      </c>
      <c r="AA963" s="4">
        <f>=ROUNDDOWN(28.6666666666667,0)</f>
      </c>
      <c r="AB963" s="5">
        <v>3</v>
      </c>
      <c r="AC963" s="2" t="s">
        <v>100</v>
      </c>
      <c r="AD963" s="4"/>
      <c r="AE963" s="4"/>
      <c r="AF963" s="6">
        <v>63</v>
      </c>
      <c r="AG963" s="6"/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/>
      <c r="BD963" s="8"/>
      <c r="BE963" s="4"/>
      <c r="BF963" s="8"/>
      <c r="BG963" s="7"/>
      <c r="BH963" s="7"/>
      <c r="BI963" s="7"/>
      <c r="BJ963" s="4">
        <v>19</v>
      </c>
      <c r="BK963" s="8">
        <v>1561.18</v>
      </c>
      <c r="BL963" s="2" t="s">
        <v>3749</v>
      </c>
      <c r="BM963" s="7"/>
      <c r="BN963" s="7"/>
      <c r="BO963" s="4"/>
      <c r="BP963" s="8"/>
      <c r="BQ963" s="4"/>
      <c r="BR963" s="8"/>
      <c r="BS963" s="7"/>
      <c r="BT963" s="7"/>
      <c r="BU963" s="2" t="s">
        <v>2526</v>
      </c>
      <c r="BV963" s="2" t="s">
        <v>97</v>
      </c>
      <c r="BW963" s="2" t="s">
        <v>100</v>
      </c>
      <c r="BX963" s="2" t="s">
        <v>100</v>
      </c>
      <c r="BY963" s="2" t="s">
        <v>112</v>
      </c>
      <c r="BZ963" s="2" t="s">
        <v>149</v>
      </c>
    </row>
    <row r="964">
      <c r="A964" s="2" t="s">
        <v>3750</v>
      </c>
      <c r="B964" s="2" t="s">
        <v>3380</v>
      </c>
      <c r="C964" s="2" t="s">
        <v>88</v>
      </c>
      <c r="D964" s="2" t="s">
        <v>3408</v>
      </c>
      <c r="E964" s="2" t="s">
        <v>3479</v>
      </c>
      <c r="F964" s="2" t="s">
        <v>3751</v>
      </c>
      <c r="G964" s="2" t="s">
        <v>3751</v>
      </c>
      <c r="H964" s="2" t="s">
        <v>3751</v>
      </c>
      <c r="I964" s="2" t="s">
        <v>3752</v>
      </c>
      <c r="J964" s="2" t="s">
        <v>3385</v>
      </c>
      <c r="K964" s="2" t="s">
        <v>179</v>
      </c>
      <c r="L964" s="3">
        <v>46.22</v>
      </c>
      <c r="M964" s="3">
        <v>48.53</v>
      </c>
      <c r="N964" s="3">
        <v>89.24</v>
      </c>
      <c r="O964" s="2" t="s">
        <v>97</v>
      </c>
      <c r="P964" s="2" t="s">
        <v>98</v>
      </c>
      <c r="Q964" s="2" t="s">
        <v>99</v>
      </c>
      <c r="R964" s="2" t="s">
        <v>100</v>
      </c>
      <c r="S964" s="2" t="s">
        <v>3753</v>
      </c>
      <c r="T964" s="2" t="s">
        <v>100</v>
      </c>
      <c r="U964" s="2" t="s">
        <v>894</v>
      </c>
      <c r="V964" s="2" t="s">
        <v>547</v>
      </c>
      <c r="W964" s="2" t="s">
        <v>493</v>
      </c>
      <c r="X964" s="2" t="s">
        <v>100</v>
      </c>
      <c r="Y964" s="2" t="s">
        <v>2828</v>
      </c>
      <c r="Z964" s="4">
        <v>38</v>
      </c>
      <c r="AA964" s="4">
        <f>=ROUNDDOWN(6.33333333333333,0)</f>
      </c>
      <c r="AB964" s="5">
        <v>6</v>
      </c>
      <c r="AC964" s="2" t="s">
        <v>3491</v>
      </c>
      <c r="AD964" s="4">
        <v>100</v>
      </c>
      <c r="AE964" s="4">
        <v>100</v>
      </c>
      <c r="AF964" s="6">
        <v>63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/>
      <c r="BD964" s="8"/>
      <c r="BE964" s="4"/>
      <c r="BF964" s="8"/>
      <c r="BG964" s="7"/>
      <c r="BH964" s="7"/>
      <c r="BI964" s="7"/>
      <c r="BJ964" s="4">
        <v>21</v>
      </c>
      <c r="BK964" s="8">
        <v>1161.98</v>
      </c>
      <c r="BL964" s="2" t="s">
        <v>3754</v>
      </c>
      <c r="BM964" s="7"/>
      <c r="BN964" s="7"/>
      <c r="BO964" s="4"/>
      <c r="BP964" s="8"/>
      <c r="BQ964" s="4"/>
      <c r="BR964" s="8"/>
      <c r="BS964" s="7"/>
      <c r="BT964" s="7"/>
      <c r="BU964" s="2" t="s">
        <v>2526</v>
      </c>
      <c r="BV964" s="2" t="s">
        <v>97</v>
      </c>
      <c r="BW964" s="2" t="s">
        <v>100</v>
      </c>
      <c r="BX964" s="2" t="s">
        <v>100</v>
      </c>
      <c r="BY964" s="2" t="s">
        <v>112</v>
      </c>
      <c r="BZ964" s="2" t="s">
        <v>149</v>
      </c>
    </row>
    <row r="965">
      <c r="A965" s="2" t="s">
        <v>3755</v>
      </c>
      <c r="B965" s="2" t="s">
        <v>3380</v>
      </c>
      <c r="C965" s="2" t="s">
        <v>88</v>
      </c>
      <c r="D965" s="2" t="s">
        <v>3408</v>
      </c>
      <c r="E965" s="2" t="s">
        <v>3479</v>
      </c>
      <c r="F965" s="2" t="s">
        <v>3756</v>
      </c>
      <c r="G965" s="2" t="s">
        <v>100</v>
      </c>
      <c r="H965" s="2" t="s">
        <v>100</v>
      </c>
      <c r="I965" s="2" t="s">
        <v>3757</v>
      </c>
      <c r="J965" s="2" t="s">
        <v>3385</v>
      </c>
      <c r="K965" s="2" t="s">
        <v>179</v>
      </c>
      <c r="L965" s="3">
        <v>48.43</v>
      </c>
      <c r="M965" s="3">
        <v>50.85</v>
      </c>
      <c r="N965" s="3">
        <v>98.59</v>
      </c>
      <c r="O965" s="2" t="s">
        <v>97</v>
      </c>
      <c r="P965" s="2" t="s">
        <v>98</v>
      </c>
      <c r="Q965" s="2" t="s">
        <v>99</v>
      </c>
      <c r="R965" s="2" t="s">
        <v>100</v>
      </c>
      <c r="S965" s="2" t="s">
        <v>3758</v>
      </c>
      <c r="T965" s="2" t="s">
        <v>100</v>
      </c>
      <c r="U965" s="2" t="s">
        <v>894</v>
      </c>
      <c r="V965" s="2" t="s">
        <v>547</v>
      </c>
      <c r="W965" s="2" t="s">
        <v>493</v>
      </c>
      <c r="X965" s="2" t="s">
        <v>100</v>
      </c>
      <c r="Y965" s="2" t="s">
        <v>3759</v>
      </c>
      <c r="Z965" s="4">
        <v>97</v>
      </c>
      <c r="AA965" s="4">
        <f>=ROUNDDOWN(21.5555555555556,0)</f>
      </c>
      <c r="AB965" s="5">
        <v>4.5</v>
      </c>
      <c r="AC965" s="2" t="s">
        <v>100</v>
      </c>
      <c r="AD965" s="4"/>
      <c r="AE965" s="4"/>
      <c r="AF965" s="6">
        <v>63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/>
      <c r="BD965" s="8"/>
      <c r="BE965" s="4"/>
      <c r="BF965" s="8"/>
      <c r="BG965" s="7"/>
      <c r="BH965" s="7"/>
      <c r="BI965" s="7"/>
      <c r="BJ965" s="4">
        <v>16</v>
      </c>
      <c r="BK965" s="8">
        <v>825.28</v>
      </c>
      <c r="BL965" s="2" t="s">
        <v>3760</v>
      </c>
      <c r="BM965" s="7"/>
      <c r="BN965" s="7"/>
      <c r="BO965" s="4"/>
      <c r="BP965" s="8"/>
      <c r="BQ965" s="4"/>
      <c r="BR965" s="8"/>
      <c r="BS965" s="7"/>
      <c r="BT965" s="7"/>
      <c r="BU965" s="2" t="s">
        <v>1040</v>
      </c>
      <c r="BV965" s="2" t="s">
        <v>97</v>
      </c>
      <c r="BW965" s="2" t="s">
        <v>100</v>
      </c>
      <c r="BX965" s="2" t="s">
        <v>100</v>
      </c>
      <c r="BY965" s="2" t="s">
        <v>112</v>
      </c>
      <c r="BZ965" s="2" t="s">
        <v>149</v>
      </c>
    </row>
    <row r="966">
      <c r="A966" s="2" t="s">
        <v>3761</v>
      </c>
      <c r="B966" s="2" t="s">
        <v>3380</v>
      </c>
      <c r="C966" s="2" t="s">
        <v>88</v>
      </c>
      <c r="D966" s="2" t="s">
        <v>3408</v>
      </c>
      <c r="E966" s="2" t="s">
        <v>3479</v>
      </c>
      <c r="F966" s="2" t="s">
        <v>3762</v>
      </c>
      <c r="G966" s="2" t="s">
        <v>3762</v>
      </c>
      <c r="H966" s="2" t="s">
        <v>3762</v>
      </c>
      <c r="I966" s="2" t="s">
        <v>3763</v>
      </c>
      <c r="J966" s="2" t="s">
        <v>3385</v>
      </c>
      <c r="K966" s="2" t="s">
        <v>3764</v>
      </c>
      <c r="L966" s="3">
        <v>42.18</v>
      </c>
      <c r="M966" s="3">
        <v>44.29</v>
      </c>
      <c r="N966" s="3">
        <v>84.99</v>
      </c>
      <c r="O966" s="2" t="s">
        <v>97</v>
      </c>
      <c r="P966" s="2" t="s">
        <v>707</v>
      </c>
      <c r="Q966" s="2" t="s">
        <v>99</v>
      </c>
      <c r="R966" s="2" t="s">
        <v>100</v>
      </c>
      <c r="S966" s="2" t="s">
        <v>3765</v>
      </c>
      <c r="T966" s="2" t="s">
        <v>100</v>
      </c>
      <c r="U966" s="2" t="s">
        <v>1776</v>
      </c>
      <c r="V966" s="2" t="s">
        <v>2510</v>
      </c>
      <c r="W966" s="2" t="s">
        <v>1136</v>
      </c>
      <c r="X966" s="2" t="s">
        <v>142</v>
      </c>
      <c r="Y966" s="2" t="s">
        <v>3766</v>
      </c>
      <c r="Z966" s="4">
        <v>60</v>
      </c>
      <c r="AA966" s="4">
        <f>=ROUNDDOWN(20,0)</f>
      </c>
      <c r="AB966" s="5">
        <v>3</v>
      </c>
      <c r="AC966" s="2" t="s">
        <v>100</v>
      </c>
      <c r="AD966" s="4"/>
      <c r="AE966" s="4"/>
      <c r="AF966" s="6">
        <v>63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/>
      <c r="BD966" s="8"/>
      <c r="BE966" s="4"/>
      <c r="BF966" s="8"/>
      <c r="BG966" s="7"/>
      <c r="BH966" s="7"/>
      <c r="BI966" s="7"/>
      <c r="BJ966" s="4">
        <v>16</v>
      </c>
      <c r="BK966" s="8">
        <v>843.93</v>
      </c>
      <c r="BL966" s="2" t="s">
        <v>3767</v>
      </c>
      <c r="BM966" s="7"/>
      <c r="BN966" s="7"/>
      <c r="BO966" s="4"/>
      <c r="BP966" s="8"/>
      <c r="BQ966" s="4"/>
      <c r="BR966" s="8"/>
      <c r="BS966" s="7"/>
      <c r="BT966" s="7"/>
      <c r="BU966" s="2" t="s">
        <v>2526</v>
      </c>
      <c r="BV966" s="2" t="s">
        <v>97</v>
      </c>
      <c r="BW966" s="2" t="s">
        <v>100</v>
      </c>
      <c r="BX966" s="2" t="s">
        <v>100</v>
      </c>
      <c r="BY966" s="2" t="s">
        <v>112</v>
      </c>
      <c r="BZ966" s="2" t="s">
        <v>149</v>
      </c>
    </row>
    <row r="967">
      <c r="A967" s="2" t="s">
        <v>3768</v>
      </c>
      <c r="B967" s="2" t="s">
        <v>3380</v>
      </c>
      <c r="C967" s="2" t="s">
        <v>88</v>
      </c>
      <c r="D967" s="2" t="s">
        <v>3408</v>
      </c>
      <c r="E967" s="2" t="s">
        <v>3479</v>
      </c>
      <c r="F967" s="2" t="s">
        <v>3769</v>
      </c>
      <c r="G967" s="2" t="s">
        <v>3769</v>
      </c>
      <c r="H967" s="2" t="s">
        <v>3769</v>
      </c>
      <c r="I967" s="2" t="s">
        <v>3770</v>
      </c>
      <c r="J967" s="2" t="s">
        <v>3385</v>
      </c>
      <c r="K967" s="2" t="s">
        <v>96</v>
      </c>
      <c r="L967" s="3">
        <v>49.13</v>
      </c>
      <c r="M967" s="3">
        <v>51.59</v>
      </c>
      <c r="N967" s="3">
        <v>111.34</v>
      </c>
      <c r="O967" s="2" t="s">
        <v>97</v>
      </c>
      <c r="P967" s="2" t="s">
        <v>707</v>
      </c>
      <c r="Q967" s="2" t="s">
        <v>99</v>
      </c>
      <c r="R967" s="2" t="s">
        <v>100</v>
      </c>
      <c r="S967" s="2" t="s">
        <v>3771</v>
      </c>
      <c r="T967" s="2" t="s">
        <v>100</v>
      </c>
      <c r="U967" s="2" t="s">
        <v>901</v>
      </c>
      <c r="V967" s="2" t="s">
        <v>547</v>
      </c>
      <c r="W967" s="2" t="s">
        <v>493</v>
      </c>
      <c r="X967" s="2" t="s">
        <v>100</v>
      </c>
      <c r="Y967" s="2" t="s">
        <v>3452</v>
      </c>
      <c r="Z967" s="4">
        <v>72</v>
      </c>
      <c r="AA967" s="4">
        <f>=ROUNDDOWN(36,0)</f>
      </c>
      <c r="AB967" s="5">
        <v>2</v>
      </c>
      <c r="AC967" s="2" t="s">
        <v>100</v>
      </c>
      <c r="AD967" s="4"/>
      <c r="AE967" s="4"/>
      <c r="AF967" s="6">
        <v>63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/>
      <c r="BD967" s="8"/>
      <c r="BE967" s="4"/>
      <c r="BF967" s="8"/>
      <c r="BG967" s="7"/>
      <c r="BH967" s="7"/>
      <c r="BI967" s="7"/>
      <c r="BJ967" s="4">
        <v>8</v>
      </c>
      <c r="BK967" s="8">
        <v>490.68</v>
      </c>
      <c r="BL967" s="2" t="s">
        <v>3772</v>
      </c>
      <c r="BM967" s="7"/>
      <c r="BN967" s="7"/>
      <c r="BO967" s="4"/>
      <c r="BP967" s="8"/>
      <c r="BQ967" s="4"/>
      <c r="BR967" s="8"/>
      <c r="BS967" s="7"/>
      <c r="BT967" s="7"/>
      <c r="BU967" s="2" t="s">
        <v>1040</v>
      </c>
      <c r="BV967" s="2" t="s">
        <v>97</v>
      </c>
      <c r="BW967" s="2" t="s">
        <v>100</v>
      </c>
      <c r="BX967" s="2" t="s">
        <v>100</v>
      </c>
      <c r="BY967" s="2" t="s">
        <v>112</v>
      </c>
      <c r="BZ967" s="2" t="s">
        <v>149</v>
      </c>
    </row>
    <row r="968">
      <c r="A968" s="2" t="s">
        <v>3773</v>
      </c>
      <c r="B968" s="2" t="s">
        <v>3380</v>
      </c>
      <c r="C968" s="2" t="s">
        <v>88</v>
      </c>
      <c r="D968" s="2" t="s">
        <v>3408</v>
      </c>
      <c r="E968" s="2" t="s">
        <v>3479</v>
      </c>
      <c r="F968" s="2" t="s">
        <v>3774</v>
      </c>
      <c r="G968" s="2" t="s">
        <v>100</v>
      </c>
      <c r="H968" s="2" t="s">
        <v>100</v>
      </c>
      <c r="I968" s="2" t="s">
        <v>3775</v>
      </c>
      <c r="J968" s="2" t="s">
        <v>3385</v>
      </c>
      <c r="K968" s="2" t="s">
        <v>179</v>
      </c>
      <c r="L968" s="3">
        <v>24.5</v>
      </c>
      <c r="M968" s="3">
        <v>25.72</v>
      </c>
      <c r="N968" s="3">
        <v>50.99</v>
      </c>
      <c r="O968" s="2" t="s">
        <v>97</v>
      </c>
      <c r="P968" s="2" t="s">
        <v>98</v>
      </c>
      <c r="Q968" s="2" t="s">
        <v>99</v>
      </c>
      <c r="R968" s="2" t="s">
        <v>100</v>
      </c>
      <c r="S968" s="2" t="s">
        <v>3776</v>
      </c>
      <c r="T968" s="2" t="s">
        <v>100</v>
      </c>
      <c r="U968" s="2" t="s">
        <v>1228</v>
      </c>
      <c r="V968" s="2" t="s">
        <v>717</v>
      </c>
      <c r="W968" s="2" t="s">
        <v>717</v>
      </c>
      <c r="X968" s="2" t="s">
        <v>100</v>
      </c>
      <c r="Y968" s="2" t="s">
        <v>3777</v>
      </c>
      <c r="Z968" s="4">
        <v>53</v>
      </c>
      <c r="AA968" s="4">
        <f>=ROUNDDOWN(6.625,0)</f>
      </c>
      <c r="AB968" s="5">
        <v>8</v>
      </c>
      <c r="AC968" s="2" t="s">
        <v>1468</v>
      </c>
      <c r="AD968" s="4">
        <v>150</v>
      </c>
      <c r="AE968" s="4">
        <v>150</v>
      </c>
      <c r="AF968" s="6">
        <v>63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>
        <v>29</v>
      </c>
      <c r="BK968" s="8">
        <v>883.85</v>
      </c>
      <c r="BL968" s="2" t="s">
        <v>3778</v>
      </c>
      <c r="BM968" s="7"/>
      <c r="BN968" s="7"/>
      <c r="BO968" s="4"/>
      <c r="BP968" s="8"/>
      <c r="BQ968" s="4"/>
      <c r="BR968" s="8"/>
      <c r="BS968" s="7"/>
      <c r="BT968" s="7"/>
      <c r="BU968" s="2" t="s">
        <v>2526</v>
      </c>
      <c r="BV968" s="2" t="s">
        <v>97</v>
      </c>
      <c r="BW968" s="2" t="s">
        <v>100</v>
      </c>
      <c r="BX968" s="2" t="s">
        <v>100</v>
      </c>
      <c r="BY968" s="2" t="s">
        <v>112</v>
      </c>
      <c r="BZ968" s="2" t="s">
        <v>149</v>
      </c>
    </row>
    <row r="969">
      <c r="A969" s="2" t="s">
        <v>3779</v>
      </c>
      <c r="B969" s="2" t="s">
        <v>3380</v>
      </c>
      <c r="C969" s="2" t="s">
        <v>88</v>
      </c>
      <c r="D969" s="2" t="s">
        <v>3408</v>
      </c>
      <c r="E969" s="2" t="s">
        <v>3479</v>
      </c>
      <c r="F969" s="2" t="s">
        <v>3780</v>
      </c>
      <c r="G969" s="2" t="s">
        <v>3780</v>
      </c>
      <c r="H969" s="2" t="s">
        <v>3780</v>
      </c>
      <c r="I969" s="2" t="s">
        <v>3781</v>
      </c>
      <c r="J969" s="2" t="s">
        <v>3385</v>
      </c>
      <c r="K969" s="2" t="s">
        <v>3782</v>
      </c>
      <c r="L969" s="3">
        <v>14</v>
      </c>
      <c r="M969" s="3">
        <v>14.7</v>
      </c>
      <c r="N969" s="3">
        <v>34.99</v>
      </c>
      <c r="O969" s="2" t="s">
        <v>97</v>
      </c>
      <c r="P969" s="2" t="s">
        <v>98</v>
      </c>
      <c r="Q969" s="2" t="s">
        <v>99</v>
      </c>
      <c r="R969" s="2" t="s">
        <v>100</v>
      </c>
      <c r="S969" s="2" t="s">
        <v>100</v>
      </c>
      <c r="T969" s="2" t="s">
        <v>100</v>
      </c>
      <c r="U969" s="2" t="s">
        <v>1776</v>
      </c>
      <c r="V969" s="2" t="s">
        <v>2510</v>
      </c>
      <c r="W969" s="2" t="s">
        <v>194</v>
      </c>
      <c r="X969" s="2" t="s">
        <v>594</v>
      </c>
      <c r="Y969" s="2" t="s">
        <v>3645</v>
      </c>
      <c r="Z969" s="4">
        <v>232</v>
      </c>
      <c r="AA969" s="4">
        <f>=ROUNDDOWN(28.641975308642,0)</f>
      </c>
      <c r="AB969" s="5">
        <v>8.1</v>
      </c>
      <c r="AC969" s="2" t="s">
        <v>100</v>
      </c>
      <c r="AD969" s="4"/>
      <c r="AE969" s="4"/>
      <c r="AF969" s="6">
        <v>63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>
        <v>1</v>
      </c>
      <c r="BK969" s="8">
        <v>37.69</v>
      </c>
      <c r="BL969" s="2" t="s">
        <v>3783</v>
      </c>
      <c r="BM969" s="7"/>
      <c r="BN969" s="7"/>
      <c r="BO969" s="4"/>
      <c r="BP969" s="8"/>
      <c r="BQ969" s="4"/>
      <c r="BR969" s="8"/>
      <c r="BS969" s="7"/>
      <c r="BT969" s="7"/>
      <c r="BU969" s="2" t="s">
        <v>2526</v>
      </c>
      <c r="BV969" s="2" t="s">
        <v>97</v>
      </c>
      <c r="BW969" s="2" t="s">
        <v>100</v>
      </c>
      <c r="BX969" s="2" t="s">
        <v>100</v>
      </c>
      <c r="BY969" s="2" t="s">
        <v>112</v>
      </c>
      <c r="BZ969" s="2" t="s">
        <v>149</v>
      </c>
    </row>
    <row r="970">
      <c r="A970" s="2" t="s">
        <v>3784</v>
      </c>
      <c r="B970" s="2" t="s">
        <v>3380</v>
      </c>
      <c r="C970" s="2" t="s">
        <v>88</v>
      </c>
      <c r="D970" s="2" t="s">
        <v>3408</v>
      </c>
      <c r="E970" s="2" t="s">
        <v>3479</v>
      </c>
      <c r="F970" s="2" t="s">
        <v>3785</v>
      </c>
      <c r="G970" s="2" t="s">
        <v>3785</v>
      </c>
      <c r="H970" s="2" t="s">
        <v>3785</v>
      </c>
      <c r="I970" s="2" t="s">
        <v>3775</v>
      </c>
      <c r="J970" s="2" t="s">
        <v>3385</v>
      </c>
      <c r="K970" s="2" t="s">
        <v>179</v>
      </c>
      <c r="L970" s="3">
        <v>55.77</v>
      </c>
      <c r="M970" s="3">
        <v>58.56</v>
      </c>
      <c r="N970" s="3">
        <v>118.99</v>
      </c>
      <c r="O970" s="2" t="s">
        <v>97</v>
      </c>
      <c r="P970" s="2" t="s">
        <v>98</v>
      </c>
      <c r="Q970" s="2" t="s">
        <v>99</v>
      </c>
      <c r="R970" s="2" t="s">
        <v>100</v>
      </c>
      <c r="S970" s="2" t="s">
        <v>3786</v>
      </c>
      <c r="T970" s="2" t="s">
        <v>100</v>
      </c>
      <c r="U970" s="2" t="s">
        <v>1228</v>
      </c>
      <c r="V970" s="2" t="s">
        <v>717</v>
      </c>
      <c r="W970" s="2" t="s">
        <v>717</v>
      </c>
      <c r="X970" s="2" t="s">
        <v>100</v>
      </c>
      <c r="Y970" s="2" t="s">
        <v>1935</v>
      </c>
      <c r="Z970" s="4">
        <v>14</v>
      </c>
      <c r="AA970" s="4">
        <f>=ROUNDDOWN(6.36363636363636,0)</f>
      </c>
      <c r="AB970" s="5">
        <v>2.2</v>
      </c>
      <c r="AC970" s="2" t="s">
        <v>990</v>
      </c>
      <c r="AD970" s="4">
        <v>100</v>
      </c>
      <c r="AE970" s="4">
        <v>100</v>
      </c>
      <c r="AF970" s="6">
        <v>63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/>
      <c r="BD970" s="8"/>
      <c r="BE970" s="4"/>
      <c r="BF970" s="8"/>
      <c r="BG970" s="7"/>
      <c r="BH970" s="7"/>
      <c r="BI970" s="7"/>
      <c r="BJ970" s="4">
        <v>8</v>
      </c>
      <c r="BK970" s="8">
        <v>549.63</v>
      </c>
      <c r="BL970" s="2" t="s">
        <v>3787</v>
      </c>
      <c r="BM970" s="7"/>
      <c r="BN970" s="7"/>
      <c r="BO970" s="4"/>
      <c r="BP970" s="8"/>
      <c r="BQ970" s="4"/>
      <c r="BR970" s="8"/>
      <c r="BS970" s="7"/>
      <c r="BT970" s="7"/>
      <c r="BU970" s="2" t="s">
        <v>2526</v>
      </c>
      <c r="BV970" s="2" t="s">
        <v>97</v>
      </c>
      <c r="BW970" s="2" t="s">
        <v>100</v>
      </c>
      <c r="BX970" s="2" t="s">
        <v>100</v>
      </c>
      <c r="BY970" s="2" t="s">
        <v>112</v>
      </c>
      <c r="BZ970" s="2" t="s">
        <v>149</v>
      </c>
    </row>
    <row r="971">
      <c r="A971" s="2" t="s">
        <v>3788</v>
      </c>
      <c r="B971" s="2" t="s">
        <v>3380</v>
      </c>
      <c r="C971" s="2" t="s">
        <v>88</v>
      </c>
      <c r="D971" s="2" t="s">
        <v>3408</v>
      </c>
      <c r="E971" s="2" t="s">
        <v>3390</v>
      </c>
      <c r="F971" s="2" t="s">
        <v>3789</v>
      </c>
      <c r="G971" s="2" t="s">
        <v>3789</v>
      </c>
      <c r="H971" s="2" t="s">
        <v>3789</v>
      </c>
      <c r="I971" s="2" t="s">
        <v>3790</v>
      </c>
      <c r="J971" s="2" t="s">
        <v>3385</v>
      </c>
      <c r="K971" s="2" t="s">
        <v>289</v>
      </c>
      <c r="L971" s="3">
        <v>77.71</v>
      </c>
      <c r="M971" s="3">
        <v>81.6</v>
      </c>
      <c r="N971" s="3">
        <v>169.99</v>
      </c>
      <c r="O971" s="2" t="s">
        <v>97</v>
      </c>
      <c r="P971" s="2" t="s">
        <v>707</v>
      </c>
      <c r="Q971" s="2" t="s">
        <v>99</v>
      </c>
      <c r="R971" s="2" t="s">
        <v>100</v>
      </c>
      <c r="S971" s="2" t="s">
        <v>3791</v>
      </c>
      <c r="T971" s="2" t="s">
        <v>100</v>
      </c>
      <c r="U971" s="2" t="s">
        <v>460</v>
      </c>
      <c r="V971" s="2" t="s">
        <v>547</v>
      </c>
      <c r="W971" s="2" t="s">
        <v>493</v>
      </c>
      <c r="X971" s="2" t="s">
        <v>1136</v>
      </c>
      <c r="Y971" s="2" t="s">
        <v>3792</v>
      </c>
      <c r="Z971" s="4">
        <v>72</v>
      </c>
      <c r="AA971" s="4">
        <f>=ROUNDDOWN(30,0)</f>
      </c>
      <c r="AB971" s="5">
        <v>2.4</v>
      </c>
      <c r="AC971" s="2" t="s">
        <v>100</v>
      </c>
      <c r="AD971" s="4"/>
      <c r="AE971" s="4"/>
      <c r="AF971" s="6">
        <v>63</v>
      </c>
      <c r="AG971" s="6"/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/>
      <c r="BD971" s="8"/>
      <c r="BE971" s="4"/>
      <c r="BF971" s="8"/>
      <c r="BG971" s="7"/>
      <c r="BH971" s="7"/>
      <c r="BI971" s="7"/>
      <c r="BJ971" s="4">
        <v>10</v>
      </c>
      <c r="BK971" s="8">
        <v>890.1</v>
      </c>
      <c r="BL971" s="2" t="s">
        <v>3793</v>
      </c>
      <c r="BM971" s="7"/>
      <c r="BN971" s="7"/>
      <c r="BO971" s="4"/>
      <c r="BP971" s="8"/>
      <c r="BQ971" s="4"/>
      <c r="BR971" s="8"/>
      <c r="BS971" s="7"/>
      <c r="BT971" s="7"/>
      <c r="BU971" s="2" t="s">
        <v>2526</v>
      </c>
      <c r="BV971" s="2" t="s">
        <v>97</v>
      </c>
      <c r="BW971" s="2" t="s">
        <v>100</v>
      </c>
      <c r="BX971" s="2" t="s">
        <v>100</v>
      </c>
      <c r="BY971" s="2" t="s">
        <v>112</v>
      </c>
      <c r="BZ971" s="2" t="s">
        <v>149</v>
      </c>
    </row>
    <row r="972">
      <c r="A972" s="2" t="s">
        <v>3794</v>
      </c>
      <c r="B972" s="2" t="s">
        <v>3380</v>
      </c>
      <c r="C972" s="2" t="s">
        <v>88</v>
      </c>
      <c r="D972" s="2" t="s">
        <v>3795</v>
      </c>
      <c r="E972" s="2" t="s">
        <v>3796</v>
      </c>
      <c r="F972" s="2" t="s">
        <v>533</v>
      </c>
      <c r="G972" s="2" t="s">
        <v>533</v>
      </c>
      <c r="H972" s="2" t="s">
        <v>533</v>
      </c>
      <c r="I972" s="2" t="s">
        <v>3797</v>
      </c>
      <c r="J972" s="2" t="s">
        <v>3385</v>
      </c>
      <c r="K972" s="2" t="s">
        <v>3798</v>
      </c>
      <c r="L972" s="3">
        <v>40.19</v>
      </c>
      <c r="M972" s="3">
        <v>42.2</v>
      </c>
      <c r="N972" s="3">
        <v>89.99</v>
      </c>
      <c r="O972" s="2" t="s">
        <v>97</v>
      </c>
      <c r="P972" s="2" t="s">
        <v>98</v>
      </c>
      <c r="Q972" s="2" t="s">
        <v>99</v>
      </c>
      <c r="R972" s="2" t="s">
        <v>100</v>
      </c>
      <c r="S972" s="2" t="s">
        <v>3799</v>
      </c>
      <c r="T972" s="2" t="s">
        <v>100</v>
      </c>
      <c r="U972" s="2" t="s">
        <v>1776</v>
      </c>
      <c r="V972" s="2" t="s">
        <v>461</v>
      </c>
      <c r="W972" s="2" t="s">
        <v>493</v>
      </c>
      <c r="X972" s="2" t="s">
        <v>594</v>
      </c>
      <c r="Y972" s="2" t="s">
        <v>3800</v>
      </c>
      <c r="Z972" s="4">
        <v>66</v>
      </c>
      <c r="AA972" s="4">
        <f>=ROUNDDOWN(15.7142857142857,0)</f>
      </c>
      <c r="AB972" s="5">
        <v>4.2</v>
      </c>
      <c r="AC972" s="2" t="s">
        <v>3515</v>
      </c>
      <c r="AD972" s="4">
        <v>100</v>
      </c>
      <c r="AE972" s="4">
        <v>100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/>
      <c r="BJ972" s="4">
        <v>17</v>
      </c>
      <c r="BK972" s="8">
        <v>810.81</v>
      </c>
      <c r="BL972" s="2" t="s">
        <v>3801</v>
      </c>
      <c r="BM972" s="7"/>
      <c r="BN972" s="7"/>
      <c r="BO972" s="4"/>
      <c r="BP972" s="8"/>
      <c r="BQ972" s="4"/>
      <c r="BR972" s="8"/>
      <c r="BS972" s="7"/>
      <c r="BT972" s="7"/>
      <c r="BU972" s="2" t="s">
        <v>2526</v>
      </c>
      <c r="BV972" s="2" t="s">
        <v>97</v>
      </c>
      <c r="BW972" s="2" t="s">
        <v>100</v>
      </c>
      <c r="BX972" s="2" t="s">
        <v>100</v>
      </c>
      <c r="BY972" s="2" t="s">
        <v>112</v>
      </c>
      <c r="BZ972" s="2" t="s">
        <v>149</v>
      </c>
    </row>
    <row r="973">
      <c r="A973" s="2" t="s">
        <v>3802</v>
      </c>
      <c r="B973" s="2" t="s">
        <v>3380</v>
      </c>
      <c r="C973" s="2" t="s">
        <v>88</v>
      </c>
      <c r="D973" s="2" t="s">
        <v>3795</v>
      </c>
      <c r="E973" s="2" t="s">
        <v>3796</v>
      </c>
      <c r="F973" s="2" t="s">
        <v>533</v>
      </c>
      <c r="G973" s="2" t="s">
        <v>533</v>
      </c>
      <c r="H973" s="2" t="s">
        <v>533</v>
      </c>
      <c r="I973" s="2" t="s">
        <v>3797</v>
      </c>
      <c r="J973" s="2" t="s">
        <v>3385</v>
      </c>
      <c r="K973" s="2" t="s">
        <v>3803</v>
      </c>
      <c r="L973" s="3">
        <v>40.19</v>
      </c>
      <c r="M973" s="3">
        <v>42.2</v>
      </c>
      <c r="N973" s="3">
        <v>89.99</v>
      </c>
      <c r="O973" s="2" t="s">
        <v>97</v>
      </c>
      <c r="P973" s="2" t="s">
        <v>123</v>
      </c>
      <c r="Q973" s="2" t="s">
        <v>99</v>
      </c>
      <c r="R973" s="2" t="s">
        <v>100</v>
      </c>
      <c r="S973" s="2" t="s">
        <v>3804</v>
      </c>
      <c r="T973" s="2" t="s">
        <v>100</v>
      </c>
      <c r="U973" s="2" t="s">
        <v>1776</v>
      </c>
      <c r="V973" s="2" t="s">
        <v>461</v>
      </c>
      <c r="W973" s="2" t="s">
        <v>493</v>
      </c>
      <c r="X973" s="2" t="s">
        <v>100</v>
      </c>
      <c r="Y973" s="2" t="s">
        <v>3805</v>
      </c>
      <c r="Z973" s="4">
        <v>248</v>
      </c>
      <c r="AA973" s="4">
        <f>=ROUNDDOWN(17.7142857142857,0)</f>
      </c>
      <c r="AB973" s="5">
        <v>14</v>
      </c>
      <c r="AC973" s="2" t="s">
        <v>3388</v>
      </c>
      <c r="AD973" s="4">
        <v>200</v>
      </c>
      <c r="AE973" s="4">
        <v>200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/>
      <c r="BJ973" s="4">
        <v>35</v>
      </c>
      <c r="BK973" s="8">
        <v>1657.02</v>
      </c>
      <c r="BL973" s="2" t="s">
        <v>3806</v>
      </c>
      <c r="BM973" s="7"/>
      <c r="BN973" s="7"/>
      <c r="BO973" s="4"/>
      <c r="BP973" s="8"/>
      <c r="BQ973" s="4"/>
      <c r="BR973" s="8"/>
      <c r="BS973" s="7"/>
      <c r="BT973" s="7"/>
      <c r="BU973" s="2" t="s">
        <v>2526</v>
      </c>
      <c r="BV973" s="2" t="s">
        <v>97</v>
      </c>
      <c r="BW973" s="2" t="s">
        <v>100</v>
      </c>
      <c r="BX973" s="2" t="s">
        <v>100</v>
      </c>
      <c r="BY973" s="2" t="s">
        <v>112</v>
      </c>
      <c r="BZ973" s="2" t="s">
        <v>149</v>
      </c>
    </row>
    <row r="974">
      <c r="A974" s="2" t="s">
        <v>3807</v>
      </c>
      <c r="B974" s="2" t="s">
        <v>3380</v>
      </c>
      <c r="C974" s="2" t="s">
        <v>88</v>
      </c>
      <c r="D974" s="2" t="s">
        <v>3438</v>
      </c>
      <c r="E974" s="2" t="s">
        <v>3439</v>
      </c>
      <c r="F974" s="2" t="s">
        <v>3808</v>
      </c>
      <c r="G974" s="2" t="s">
        <v>3808</v>
      </c>
      <c r="H974" s="2" t="s">
        <v>3808</v>
      </c>
      <c r="I974" s="2" t="s">
        <v>3809</v>
      </c>
      <c r="J974" s="2" t="s">
        <v>3810</v>
      </c>
      <c r="K974" s="2" t="s">
        <v>3475</v>
      </c>
      <c r="L974" s="3">
        <v>40.47</v>
      </c>
      <c r="M974" s="3">
        <v>42.49</v>
      </c>
      <c r="N974" s="3">
        <v>84.99</v>
      </c>
      <c r="O974" s="2" t="s">
        <v>97</v>
      </c>
      <c r="P974" s="2" t="s">
        <v>98</v>
      </c>
      <c r="Q974" s="2" t="s">
        <v>99</v>
      </c>
      <c r="R974" s="2" t="s">
        <v>100</v>
      </c>
      <c r="S974" s="2" t="s">
        <v>100</v>
      </c>
      <c r="T974" s="2" t="s">
        <v>100</v>
      </c>
      <c r="U974" s="2" t="s">
        <v>1776</v>
      </c>
      <c r="V974" s="2" t="s">
        <v>3412</v>
      </c>
      <c r="W974" s="2" t="s">
        <v>1136</v>
      </c>
      <c r="X974" s="2" t="s">
        <v>100</v>
      </c>
      <c r="Y974" s="2" t="s">
        <v>3446</v>
      </c>
      <c r="Z974" s="4">
        <v>144</v>
      </c>
      <c r="AA974" s="4">
        <f>=ROUNDDOWN(33.4883720930233,0)</f>
      </c>
      <c r="AB974" s="5">
        <v>4.3</v>
      </c>
      <c r="AC974" s="2" t="s">
        <v>100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/>
      <c r="BD974" s="8"/>
      <c r="BE974" s="4"/>
      <c r="BF974" s="8"/>
      <c r="BG974" s="7"/>
      <c r="BH974" s="7"/>
      <c r="BI974" s="7"/>
      <c r="BJ974" s="4">
        <v>30</v>
      </c>
      <c r="BK974" s="8">
        <v>1584.6</v>
      </c>
      <c r="BL974" s="2" t="s">
        <v>3811</v>
      </c>
      <c r="BM974" s="7"/>
      <c r="BN974" s="7"/>
      <c r="BO974" s="4"/>
      <c r="BP974" s="8"/>
      <c r="BQ974" s="4"/>
      <c r="BR974" s="8"/>
      <c r="BS974" s="7"/>
      <c r="BT974" s="7"/>
      <c r="BU974" s="2" t="s">
        <v>2526</v>
      </c>
      <c r="BV974" s="2" t="s">
        <v>97</v>
      </c>
      <c r="BW974" s="2" t="s">
        <v>100</v>
      </c>
      <c r="BX974" s="2" t="s">
        <v>100</v>
      </c>
      <c r="BY974" s="2" t="s">
        <v>112</v>
      </c>
      <c r="BZ974" s="2" t="s">
        <v>149</v>
      </c>
    </row>
    <row r="975">
      <c r="A975" s="2" t="s">
        <v>3812</v>
      </c>
      <c r="B975" s="2" t="s">
        <v>3380</v>
      </c>
      <c r="C975" s="2" t="s">
        <v>88</v>
      </c>
      <c r="D975" s="2" t="s">
        <v>3438</v>
      </c>
      <c r="E975" s="2" t="s">
        <v>3439</v>
      </c>
      <c r="F975" s="2" t="s">
        <v>3813</v>
      </c>
      <c r="G975" s="2" t="s">
        <v>3813</v>
      </c>
      <c r="H975" s="2" t="s">
        <v>3813</v>
      </c>
      <c r="I975" s="2" t="s">
        <v>3814</v>
      </c>
      <c r="J975" s="2" t="s">
        <v>3385</v>
      </c>
      <c r="K975" s="2" t="s">
        <v>3475</v>
      </c>
      <c r="L975" s="3">
        <v>40.47</v>
      </c>
      <c r="M975" s="3">
        <v>42.49</v>
      </c>
      <c r="N975" s="3">
        <v>84.99</v>
      </c>
      <c r="O975" s="2" t="s">
        <v>97</v>
      </c>
      <c r="P975" s="2" t="s">
        <v>98</v>
      </c>
      <c r="Q975" s="2" t="s">
        <v>99</v>
      </c>
      <c r="R975" s="2" t="s">
        <v>100</v>
      </c>
      <c r="S975" s="2" t="s">
        <v>100</v>
      </c>
      <c r="T975" s="2" t="s">
        <v>100</v>
      </c>
      <c r="U975" s="2" t="s">
        <v>1776</v>
      </c>
      <c r="V975" s="2" t="s">
        <v>3412</v>
      </c>
      <c r="W975" s="2" t="s">
        <v>1136</v>
      </c>
      <c r="X975" s="2" t="s">
        <v>104</v>
      </c>
      <c r="Y975" s="2" t="s">
        <v>3476</v>
      </c>
      <c r="Z975" s="4">
        <v>183</v>
      </c>
      <c r="AA975" s="4">
        <f>=ROUNDDOWN(12.2,0)</f>
      </c>
      <c r="AB975" s="5">
        <v>15</v>
      </c>
      <c r="AC975" s="2" t="s">
        <v>3515</v>
      </c>
      <c r="AD975" s="4">
        <v>100</v>
      </c>
      <c r="AE975" s="4">
        <v>200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/>
      <c r="BK975" s="8"/>
      <c r="BL975" s="2" t="s">
        <v>100</v>
      </c>
      <c r="BM975" s="7"/>
      <c r="BN975" s="7"/>
      <c r="BO975" s="4"/>
      <c r="BP975" s="8"/>
      <c r="BQ975" s="4"/>
      <c r="BR975" s="8"/>
      <c r="BS975" s="7"/>
      <c r="BT975" s="7"/>
      <c r="BU975" s="2" t="s">
        <v>2526</v>
      </c>
      <c r="BV975" s="2" t="s">
        <v>97</v>
      </c>
      <c r="BW975" s="2" t="s">
        <v>100</v>
      </c>
      <c r="BX975" s="2" t="s">
        <v>100</v>
      </c>
      <c r="BY975" s="2" t="s">
        <v>112</v>
      </c>
      <c r="BZ975" s="2" t="s">
        <v>149</v>
      </c>
    </row>
    <row r="976">
      <c r="A976" s="2" t="s">
        <v>3815</v>
      </c>
      <c r="B976" s="2" t="s">
        <v>3380</v>
      </c>
      <c r="C976" s="2" t="s">
        <v>88</v>
      </c>
      <c r="D976" s="2" t="s">
        <v>3438</v>
      </c>
      <c r="E976" s="2" t="s">
        <v>3439</v>
      </c>
      <c r="F976" s="2" t="s">
        <v>3816</v>
      </c>
      <c r="G976" s="2" t="s">
        <v>3816</v>
      </c>
      <c r="H976" s="2" t="s">
        <v>3816</v>
      </c>
      <c r="I976" s="2" t="s">
        <v>3817</v>
      </c>
      <c r="J976" s="2" t="s">
        <v>3385</v>
      </c>
      <c r="K976" s="2" t="s">
        <v>3475</v>
      </c>
      <c r="L976" s="3">
        <v>76.9</v>
      </c>
      <c r="M976" s="3">
        <v>80.74</v>
      </c>
      <c r="N976" s="3">
        <v>161.49</v>
      </c>
      <c r="O976" s="2" t="s">
        <v>97</v>
      </c>
      <c r="P976" s="2" t="s">
        <v>123</v>
      </c>
      <c r="Q976" s="2" t="s">
        <v>99</v>
      </c>
      <c r="R976" s="2" t="s">
        <v>100</v>
      </c>
      <c r="S976" s="2" t="s">
        <v>100</v>
      </c>
      <c r="T976" s="2" t="s">
        <v>100</v>
      </c>
      <c r="U976" s="2" t="s">
        <v>1776</v>
      </c>
      <c r="V976" s="2" t="s">
        <v>3412</v>
      </c>
      <c r="W976" s="2" t="s">
        <v>1136</v>
      </c>
      <c r="X976" s="2" t="s">
        <v>104</v>
      </c>
      <c r="Y976" s="2" t="s">
        <v>3476</v>
      </c>
      <c r="Z976" s="4"/>
      <c r="AA976" s="4">
        <f>=ROUNDDOWN({0},0)</f>
      </c>
      <c r="AB976" s="5">
        <v>7</v>
      </c>
      <c r="AC976" s="2" t="s">
        <v>3515</v>
      </c>
      <c r="AD976" s="4">
        <v>100</v>
      </c>
      <c r="AE976" s="4">
        <v>220</v>
      </c>
      <c r="AF976" s="6">
        <v>65</v>
      </c>
      <c r="AG976" s="6"/>
      <c r="AH976" s="7">
        <v>0.4194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>
        <v>25</v>
      </c>
      <c r="BK976" s="8">
        <v>2911.53</v>
      </c>
      <c r="BL976" s="2" t="s">
        <v>3818</v>
      </c>
      <c r="BM976" s="7"/>
      <c r="BN976" s="7"/>
      <c r="BO976" s="4"/>
      <c r="BP976" s="8"/>
      <c r="BQ976" s="4"/>
      <c r="BR976" s="8"/>
      <c r="BS976" s="7"/>
      <c r="BT976" s="7"/>
      <c r="BU976" s="2" t="s">
        <v>2526</v>
      </c>
      <c r="BV976" s="2" t="s">
        <v>97</v>
      </c>
      <c r="BW976" s="2" t="s">
        <v>100</v>
      </c>
      <c r="BX976" s="2" t="s">
        <v>100</v>
      </c>
      <c r="BY976" s="2" t="s">
        <v>112</v>
      </c>
      <c r="BZ976" s="2" t="s">
        <v>149</v>
      </c>
    </row>
    <row r="977">
      <c r="A977" s="2" t="s">
        <v>3819</v>
      </c>
      <c r="B977" s="2" t="s">
        <v>3380</v>
      </c>
      <c r="C977" s="2" t="s">
        <v>88</v>
      </c>
      <c r="D977" s="2" t="s">
        <v>3438</v>
      </c>
      <c r="E977" s="2" t="s">
        <v>3820</v>
      </c>
      <c r="F977" s="2" t="s">
        <v>3821</v>
      </c>
      <c r="G977" s="2" t="s">
        <v>3821</v>
      </c>
      <c r="H977" s="2" t="s">
        <v>3821</v>
      </c>
      <c r="I977" s="2" t="s">
        <v>3822</v>
      </c>
      <c r="J977" s="2" t="s">
        <v>3385</v>
      </c>
      <c r="K977" s="2" t="s">
        <v>446</v>
      </c>
      <c r="L977" s="3">
        <v>57.85</v>
      </c>
      <c r="M977" s="3">
        <v>60.74</v>
      </c>
      <c r="N977" s="3">
        <v>114.74</v>
      </c>
      <c r="O977" s="2" t="s">
        <v>97</v>
      </c>
      <c r="P977" s="2" t="s">
        <v>98</v>
      </c>
      <c r="Q977" s="2" t="s">
        <v>99</v>
      </c>
      <c r="R977" s="2" t="s">
        <v>100</v>
      </c>
      <c r="S977" s="2" t="s">
        <v>3823</v>
      </c>
      <c r="T977" s="2" t="s">
        <v>100</v>
      </c>
      <c r="U977" s="2" t="s">
        <v>1776</v>
      </c>
      <c r="V977" s="2" t="s">
        <v>461</v>
      </c>
      <c r="W977" s="2" t="s">
        <v>717</v>
      </c>
      <c r="X977" s="2" t="s">
        <v>609</v>
      </c>
      <c r="Y977" s="2" t="s">
        <v>3578</v>
      </c>
      <c r="Z977" s="4">
        <v>180</v>
      </c>
      <c r="AA977" s="4">
        <f>=ROUNDDOWN(26.865671641791,0)</f>
      </c>
      <c r="AB977" s="5">
        <v>6.7</v>
      </c>
      <c r="AC977" s="2" t="s">
        <v>100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>
        <v>14</v>
      </c>
      <c r="BK977" s="8">
        <v>962.22</v>
      </c>
      <c r="BL977" s="2" t="s">
        <v>3824</v>
      </c>
      <c r="BM977" s="7"/>
      <c r="BN977" s="7"/>
      <c r="BO977" s="4"/>
      <c r="BP977" s="8"/>
      <c r="BQ977" s="4"/>
      <c r="BR977" s="8"/>
      <c r="BS977" s="7"/>
      <c r="BT977" s="7"/>
      <c r="BU977" s="2" t="s">
        <v>2526</v>
      </c>
      <c r="BV977" s="2" t="s">
        <v>97</v>
      </c>
      <c r="BW977" s="2" t="s">
        <v>100</v>
      </c>
      <c r="BX977" s="2" t="s">
        <v>100</v>
      </c>
      <c r="BY977" s="2" t="s">
        <v>112</v>
      </c>
      <c r="BZ977" s="2" t="s">
        <v>149</v>
      </c>
    </row>
    <row r="978">
      <c r="A978" s="2" t="s">
        <v>3825</v>
      </c>
      <c r="B978" s="2" t="s">
        <v>3380</v>
      </c>
      <c r="C978" s="2" t="s">
        <v>88</v>
      </c>
      <c r="D978" s="2" t="s">
        <v>3438</v>
      </c>
      <c r="E978" s="2" t="s">
        <v>3820</v>
      </c>
      <c r="F978" s="2" t="s">
        <v>3826</v>
      </c>
      <c r="G978" s="2" t="s">
        <v>3826</v>
      </c>
      <c r="H978" s="2" t="s">
        <v>3826</v>
      </c>
      <c r="I978" s="2" t="s">
        <v>3827</v>
      </c>
      <c r="J978" s="2" t="s">
        <v>3828</v>
      </c>
      <c r="K978" s="2" t="s">
        <v>3475</v>
      </c>
      <c r="L978" s="3">
        <v>50.43</v>
      </c>
      <c r="M978" s="3">
        <v>52.95</v>
      </c>
      <c r="N978" s="3">
        <v>93.49</v>
      </c>
      <c r="O978" s="2" t="s">
        <v>97</v>
      </c>
      <c r="P978" s="2" t="s">
        <v>123</v>
      </c>
      <c r="Q978" s="2" t="s">
        <v>99</v>
      </c>
      <c r="R978" s="2" t="s">
        <v>100</v>
      </c>
      <c r="S978" s="2" t="s">
        <v>100</v>
      </c>
      <c r="T978" s="2" t="s">
        <v>100</v>
      </c>
      <c r="U978" s="2" t="s">
        <v>1776</v>
      </c>
      <c r="V978" s="2" t="s">
        <v>547</v>
      </c>
      <c r="W978" s="2" t="s">
        <v>100</v>
      </c>
      <c r="X978" s="2" t="s">
        <v>100</v>
      </c>
      <c r="Y978" s="2" t="s">
        <v>1935</v>
      </c>
      <c r="Z978" s="4">
        <v>257</v>
      </c>
      <c r="AA978" s="4">
        <f>=ROUNDDOWN(18.3571428571429,0)</f>
      </c>
      <c r="AB978" s="5">
        <v>14</v>
      </c>
      <c r="AC978" s="2" t="s">
        <v>1142</v>
      </c>
      <c r="AD978" s="4">
        <v>120</v>
      </c>
      <c r="AE978" s="4">
        <v>120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/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/>
      <c r="BJ978" s="4">
        <v>49</v>
      </c>
      <c r="BK978" s="8">
        <v>2900.32</v>
      </c>
      <c r="BL978" s="2" t="s">
        <v>3829</v>
      </c>
      <c r="BM978" s="7"/>
      <c r="BN978" s="7"/>
      <c r="BO978" s="4"/>
      <c r="BP978" s="8"/>
      <c r="BQ978" s="4"/>
      <c r="BR978" s="8"/>
      <c r="BS978" s="7"/>
      <c r="BT978" s="7"/>
      <c r="BU978" s="2" t="s">
        <v>2526</v>
      </c>
      <c r="BV978" s="2" t="s">
        <v>97</v>
      </c>
      <c r="BW978" s="2" t="s">
        <v>100</v>
      </c>
      <c r="BX978" s="2" t="s">
        <v>100</v>
      </c>
      <c r="BY978" s="2" t="s">
        <v>112</v>
      </c>
      <c r="BZ978" s="2" t="s">
        <v>149</v>
      </c>
    </row>
    <row r="979">
      <c r="A979" s="2" t="s">
        <v>3830</v>
      </c>
      <c r="B979" s="2" t="s">
        <v>3380</v>
      </c>
      <c r="C979" s="2" t="s">
        <v>88</v>
      </c>
      <c r="D979" s="2" t="s">
        <v>3438</v>
      </c>
      <c r="E979" s="2" t="s">
        <v>3820</v>
      </c>
      <c r="F979" s="2" t="s">
        <v>3826</v>
      </c>
      <c r="G979" s="2" t="s">
        <v>3826</v>
      </c>
      <c r="H979" s="2" t="s">
        <v>3826</v>
      </c>
      <c r="I979" s="2" t="s">
        <v>3831</v>
      </c>
      <c r="J979" s="2" t="s">
        <v>3832</v>
      </c>
      <c r="K979" s="2" t="s">
        <v>3475</v>
      </c>
      <c r="L979" s="3">
        <v>18.95</v>
      </c>
      <c r="M979" s="3">
        <v>19.9</v>
      </c>
      <c r="N979" s="3">
        <v>42.49</v>
      </c>
      <c r="O979" s="2" t="s">
        <v>97</v>
      </c>
      <c r="P979" s="2" t="s">
        <v>98</v>
      </c>
      <c r="Q979" s="2" t="s">
        <v>99</v>
      </c>
      <c r="R979" s="2" t="s">
        <v>100</v>
      </c>
      <c r="S979" s="2" t="s">
        <v>100</v>
      </c>
      <c r="T979" s="2" t="s">
        <v>100</v>
      </c>
      <c r="U979" s="2" t="s">
        <v>1776</v>
      </c>
      <c r="V979" s="2" t="s">
        <v>547</v>
      </c>
      <c r="W979" s="2" t="s">
        <v>100</v>
      </c>
      <c r="X979" s="2" t="s">
        <v>100</v>
      </c>
      <c r="Y979" s="2" t="s">
        <v>1935</v>
      </c>
      <c r="Z979" s="4">
        <v>342</v>
      </c>
      <c r="AA979" s="4">
        <f>=ROUNDDOWN(18,0)</f>
      </c>
      <c r="AB979" s="5">
        <v>19</v>
      </c>
      <c r="AC979" s="2" t="s">
        <v>3612</v>
      </c>
      <c r="AD979" s="4">
        <v>200</v>
      </c>
      <c r="AE979" s="4">
        <v>200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/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/>
      <c r="BJ979" s="4">
        <v>57</v>
      </c>
      <c r="BK979" s="8">
        <v>1278.7</v>
      </c>
      <c r="BL979" s="2" t="s">
        <v>3833</v>
      </c>
      <c r="BM979" s="7"/>
      <c r="BN979" s="7"/>
      <c r="BO979" s="4"/>
      <c r="BP979" s="8"/>
      <c r="BQ979" s="4"/>
      <c r="BR979" s="8"/>
      <c r="BS979" s="7"/>
      <c r="BT979" s="7"/>
      <c r="BU979" s="2" t="s">
        <v>2526</v>
      </c>
      <c r="BV979" s="2" t="s">
        <v>97</v>
      </c>
      <c r="BW979" s="2" t="s">
        <v>100</v>
      </c>
      <c r="BX979" s="2" t="s">
        <v>100</v>
      </c>
      <c r="BY979" s="2" t="s">
        <v>112</v>
      </c>
      <c r="BZ979" s="2" t="s">
        <v>149</v>
      </c>
    </row>
    <row r="980">
      <c r="A980" s="2" t="s">
        <v>3834</v>
      </c>
      <c r="B980" s="2" t="s">
        <v>3380</v>
      </c>
      <c r="C980" s="2" t="s">
        <v>88</v>
      </c>
      <c r="D980" s="2" t="s">
        <v>3438</v>
      </c>
      <c r="E980" s="2" t="s">
        <v>3820</v>
      </c>
      <c r="F980" s="2" t="s">
        <v>3826</v>
      </c>
      <c r="G980" s="2" t="s">
        <v>3826</v>
      </c>
      <c r="H980" s="2" t="s">
        <v>3826</v>
      </c>
      <c r="I980" s="2" t="s">
        <v>3827</v>
      </c>
      <c r="J980" s="2" t="s">
        <v>3828</v>
      </c>
      <c r="K980" s="2" t="s">
        <v>878</v>
      </c>
      <c r="L980" s="3">
        <v>50.43</v>
      </c>
      <c r="M980" s="3">
        <v>52.95</v>
      </c>
      <c r="N980" s="3">
        <v>93.49</v>
      </c>
      <c r="O980" s="2" t="s">
        <v>97</v>
      </c>
      <c r="P980" s="2" t="s">
        <v>98</v>
      </c>
      <c r="Q980" s="2" t="s">
        <v>99</v>
      </c>
      <c r="R980" s="2" t="s">
        <v>100</v>
      </c>
      <c r="S980" s="2" t="s">
        <v>3835</v>
      </c>
      <c r="T980" s="2" t="s">
        <v>100</v>
      </c>
      <c r="U980" s="2" t="s">
        <v>1776</v>
      </c>
      <c r="V980" s="2" t="s">
        <v>547</v>
      </c>
      <c r="W980" s="2" t="s">
        <v>493</v>
      </c>
      <c r="X980" s="2" t="s">
        <v>1136</v>
      </c>
      <c r="Y980" s="2" t="s">
        <v>3521</v>
      </c>
      <c r="Z980" s="4"/>
      <c r="AA980" s="4">
        <f>=ROUNDDOWN({0},0)</f>
      </c>
      <c r="AB980" s="5">
        <v>4</v>
      </c>
      <c r="AC980" s="2" t="s">
        <v>3515</v>
      </c>
      <c r="AD980" s="4">
        <v>70</v>
      </c>
      <c r="AE980" s="4">
        <v>170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/>
      <c r="BJ980" s="4">
        <v>12</v>
      </c>
      <c r="BK980" s="8">
        <v>735.84</v>
      </c>
      <c r="BL980" s="2" t="s">
        <v>3836</v>
      </c>
      <c r="BM980" s="7"/>
      <c r="BN980" s="7"/>
      <c r="BO980" s="4"/>
      <c r="BP980" s="8"/>
      <c r="BQ980" s="4"/>
      <c r="BR980" s="8"/>
      <c r="BS980" s="7"/>
      <c r="BT980" s="7"/>
      <c r="BU980" s="2" t="s">
        <v>2526</v>
      </c>
      <c r="BV980" s="2" t="s">
        <v>97</v>
      </c>
      <c r="BW980" s="2" t="s">
        <v>100</v>
      </c>
      <c r="BX980" s="2" t="s">
        <v>100</v>
      </c>
      <c r="BY980" s="2" t="s">
        <v>112</v>
      </c>
      <c r="BZ980" s="2" t="s">
        <v>149</v>
      </c>
    </row>
    <row r="981">
      <c r="A981" s="2" t="s">
        <v>3837</v>
      </c>
      <c r="B981" s="2" t="s">
        <v>3380</v>
      </c>
      <c r="C981" s="2" t="s">
        <v>88</v>
      </c>
      <c r="D981" s="2" t="s">
        <v>3838</v>
      </c>
      <c r="E981" s="2" t="s">
        <v>3839</v>
      </c>
      <c r="F981" s="2" t="s">
        <v>3840</v>
      </c>
      <c r="G981" s="2" t="s">
        <v>3841</v>
      </c>
      <c r="H981" s="2" t="s">
        <v>3842</v>
      </c>
      <c r="I981" s="2" t="s">
        <v>3843</v>
      </c>
      <c r="J981" s="2" t="s">
        <v>3385</v>
      </c>
      <c r="K981" s="2" t="s">
        <v>3570</v>
      </c>
      <c r="L981" s="3">
        <v>34.24</v>
      </c>
      <c r="M981" s="3">
        <v>35.95</v>
      </c>
      <c r="N981" s="3">
        <v>69.69</v>
      </c>
      <c r="O981" s="2" t="s">
        <v>97</v>
      </c>
      <c r="P981" s="2" t="s">
        <v>707</v>
      </c>
      <c r="Q981" s="2" t="s">
        <v>99</v>
      </c>
      <c r="R981" s="2" t="s">
        <v>100</v>
      </c>
      <c r="S981" s="2" t="s">
        <v>3844</v>
      </c>
      <c r="T981" s="2" t="s">
        <v>100</v>
      </c>
      <c r="U981" s="2" t="s">
        <v>901</v>
      </c>
      <c r="V981" s="2" t="s">
        <v>461</v>
      </c>
      <c r="W981" s="2" t="s">
        <v>142</v>
      </c>
      <c r="X981" s="2" t="s">
        <v>100</v>
      </c>
      <c r="Y981" s="2" t="s">
        <v>1670</v>
      </c>
      <c r="Z981" s="4">
        <v>271</v>
      </c>
      <c r="AA981" s="4">
        <f>=ROUNDDOWN(38.7142857142857,0)</f>
      </c>
      <c r="AB981" s="5">
        <v>7</v>
      </c>
      <c r="AC981" s="2" t="s">
        <v>100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>
        <v>22</v>
      </c>
      <c r="BK981" s="8">
        <v>781.62</v>
      </c>
      <c r="BL981" s="2" t="s">
        <v>3845</v>
      </c>
      <c r="BM981" s="7"/>
      <c r="BN981" s="7"/>
      <c r="BO981" s="4"/>
      <c r="BP981" s="8"/>
      <c r="BQ981" s="4"/>
      <c r="BR981" s="8"/>
      <c r="BS981" s="7"/>
      <c r="BT981" s="7"/>
      <c r="BU981" s="2" t="s">
        <v>2526</v>
      </c>
      <c r="BV981" s="2" t="s">
        <v>97</v>
      </c>
      <c r="BW981" s="2" t="s">
        <v>100</v>
      </c>
      <c r="BX981" s="2" t="s">
        <v>100</v>
      </c>
      <c r="BY981" s="2" t="s">
        <v>112</v>
      </c>
      <c r="BZ981" s="2" t="s">
        <v>149</v>
      </c>
    </row>
    <row r="982">
      <c r="A982" s="2" t="s">
        <v>3846</v>
      </c>
      <c r="B982" s="2" t="s">
        <v>3380</v>
      </c>
      <c r="C982" s="2" t="s">
        <v>88</v>
      </c>
      <c r="D982" s="2" t="s">
        <v>3847</v>
      </c>
      <c r="E982" s="2" t="s">
        <v>3479</v>
      </c>
      <c r="F982" s="2" t="s">
        <v>3848</v>
      </c>
      <c r="G982" s="2" t="s">
        <v>3848</v>
      </c>
      <c r="H982" s="2" t="s">
        <v>3848</v>
      </c>
      <c r="I982" s="2" t="s">
        <v>3849</v>
      </c>
      <c r="J982" s="2" t="s">
        <v>3385</v>
      </c>
      <c r="K982" s="2" t="s">
        <v>289</v>
      </c>
      <c r="L982" s="3">
        <v>42.43</v>
      </c>
      <c r="M982" s="3">
        <v>44.55</v>
      </c>
      <c r="N982" s="3">
        <v>89.99</v>
      </c>
      <c r="O982" s="2" t="s">
        <v>97</v>
      </c>
      <c r="P982" s="2" t="s">
        <v>98</v>
      </c>
      <c r="Q982" s="2" t="s">
        <v>99</v>
      </c>
      <c r="R982" s="2" t="s">
        <v>100</v>
      </c>
      <c r="S982" s="2" t="s">
        <v>3850</v>
      </c>
      <c r="T982" s="2" t="s">
        <v>100</v>
      </c>
      <c r="U982" s="2" t="s">
        <v>1776</v>
      </c>
      <c r="V982" s="2" t="s">
        <v>547</v>
      </c>
      <c r="W982" s="2" t="s">
        <v>493</v>
      </c>
      <c r="X982" s="2" t="s">
        <v>100</v>
      </c>
      <c r="Y982" s="2" t="s">
        <v>2080</v>
      </c>
      <c r="Z982" s="4">
        <v>101</v>
      </c>
      <c r="AA982" s="4">
        <f>=ROUNDDOWN(10.1,0)</f>
      </c>
      <c r="AB982" s="5">
        <v>10</v>
      </c>
      <c r="AC982" s="2" t="s">
        <v>3491</v>
      </c>
      <c r="AD982" s="4">
        <v>120</v>
      </c>
      <c r="AE982" s="4">
        <v>120</v>
      </c>
      <c r="AF982" s="6">
        <v>63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>
        <v>33</v>
      </c>
      <c r="BK982" s="8">
        <v>1563.32</v>
      </c>
      <c r="BL982" s="2" t="s">
        <v>3851</v>
      </c>
      <c r="BM982" s="7"/>
      <c r="BN982" s="7"/>
      <c r="BO982" s="4"/>
      <c r="BP982" s="8"/>
      <c r="BQ982" s="4"/>
      <c r="BR982" s="8"/>
      <c r="BS982" s="7"/>
      <c r="BT982" s="7"/>
      <c r="BU982" s="2" t="s">
        <v>2526</v>
      </c>
      <c r="BV982" s="2" t="s">
        <v>97</v>
      </c>
      <c r="BW982" s="2" t="s">
        <v>100</v>
      </c>
      <c r="BX982" s="2" t="s">
        <v>100</v>
      </c>
      <c r="BY982" s="2" t="s">
        <v>112</v>
      </c>
      <c r="BZ982" s="2" t="s">
        <v>149</v>
      </c>
    </row>
    <row r="983">
      <c r="A983" s="2" t="s">
        <v>3852</v>
      </c>
      <c r="B983" s="2" t="s">
        <v>3380</v>
      </c>
      <c r="C983" s="2" t="s">
        <v>88</v>
      </c>
      <c r="D983" s="2" t="s">
        <v>3847</v>
      </c>
      <c r="E983" s="2" t="s">
        <v>3479</v>
      </c>
      <c r="F983" s="2" t="s">
        <v>3853</v>
      </c>
      <c r="G983" s="2" t="s">
        <v>3853</v>
      </c>
      <c r="H983" s="2" t="s">
        <v>3853</v>
      </c>
      <c r="I983" s="2" t="s">
        <v>3854</v>
      </c>
      <c r="J983" s="2" t="s">
        <v>3385</v>
      </c>
      <c r="K983" s="2" t="s">
        <v>179</v>
      </c>
      <c r="L983" s="3">
        <v>45.33</v>
      </c>
      <c r="M983" s="3">
        <v>47.6</v>
      </c>
      <c r="N983" s="3">
        <v>101.99</v>
      </c>
      <c r="O983" s="2" t="s">
        <v>97</v>
      </c>
      <c r="P983" s="2" t="s">
        <v>123</v>
      </c>
      <c r="Q983" s="2" t="s">
        <v>99</v>
      </c>
      <c r="R983" s="2" t="s">
        <v>100</v>
      </c>
      <c r="S983" s="2" t="s">
        <v>100</v>
      </c>
      <c r="T983" s="2" t="s">
        <v>100</v>
      </c>
      <c r="U983" s="2" t="s">
        <v>1776</v>
      </c>
      <c r="V983" s="2" t="s">
        <v>547</v>
      </c>
      <c r="W983" s="2" t="s">
        <v>493</v>
      </c>
      <c r="X983" s="2" t="s">
        <v>100</v>
      </c>
      <c r="Y983" s="2" t="s">
        <v>3855</v>
      </c>
      <c r="Z983" s="4">
        <v>40</v>
      </c>
      <c r="AA983" s="4">
        <f>=ROUNDDOWN(5,0)</f>
      </c>
      <c r="AB983" s="5">
        <v>8</v>
      </c>
      <c r="AC983" s="2" t="s">
        <v>3388</v>
      </c>
      <c r="AD983" s="4">
        <v>120</v>
      </c>
      <c r="AE983" s="4">
        <v>120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>
        <v>37</v>
      </c>
      <c r="BK983" s="8">
        <v>2084.52</v>
      </c>
      <c r="BL983" s="2" t="s">
        <v>3856</v>
      </c>
      <c r="BM983" s="7"/>
      <c r="BN983" s="7"/>
      <c r="BO983" s="4"/>
      <c r="BP983" s="8"/>
      <c r="BQ983" s="4"/>
      <c r="BR983" s="8"/>
      <c r="BS983" s="7"/>
      <c r="BT983" s="7"/>
      <c r="BU983" s="2" t="s">
        <v>2526</v>
      </c>
      <c r="BV983" s="2" t="s">
        <v>97</v>
      </c>
      <c r="BW983" s="2" t="s">
        <v>100</v>
      </c>
      <c r="BX983" s="2" t="s">
        <v>100</v>
      </c>
      <c r="BY983" s="2" t="s">
        <v>112</v>
      </c>
      <c r="BZ983" s="2" t="s">
        <v>149</v>
      </c>
    </row>
    <row r="984">
      <c r="A984" s="2" t="s">
        <v>3857</v>
      </c>
      <c r="B984" s="2" t="s">
        <v>3380</v>
      </c>
      <c r="C984" s="2" t="s">
        <v>88</v>
      </c>
      <c r="D984" s="2" t="s">
        <v>3847</v>
      </c>
      <c r="E984" s="2" t="s">
        <v>3479</v>
      </c>
      <c r="F984" s="2" t="s">
        <v>3858</v>
      </c>
      <c r="G984" s="2" t="s">
        <v>3858</v>
      </c>
      <c r="H984" s="2" t="s">
        <v>3858</v>
      </c>
      <c r="I984" s="2" t="s">
        <v>3859</v>
      </c>
      <c r="J984" s="2" t="s">
        <v>3385</v>
      </c>
      <c r="K984" s="2" t="s">
        <v>2990</v>
      </c>
      <c r="L984" s="3">
        <v>25.25</v>
      </c>
      <c r="M984" s="3">
        <v>26.51</v>
      </c>
      <c r="N984" s="3">
        <v>53.54</v>
      </c>
      <c r="O984" s="2" t="s">
        <v>97</v>
      </c>
      <c r="P984" s="2" t="s">
        <v>98</v>
      </c>
      <c r="Q984" s="2" t="s">
        <v>99</v>
      </c>
      <c r="R984" s="2" t="s">
        <v>100</v>
      </c>
      <c r="S984" s="2" t="s">
        <v>3860</v>
      </c>
      <c r="T984" s="2" t="s">
        <v>100</v>
      </c>
      <c r="U984" s="2" t="s">
        <v>894</v>
      </c>
      <c r="V984" s="2" t="s">
        <v>3861</v>
      </c>
      <c r="W984" s="2" t="s">
        <v>493</v>
      </c>
      <c r="X984" s="2" t="s">
        <v>100</v>
      </c>
      <c r="Y984" s="2" t="s">
        <v>1592</v>
      </c>
      <c r="Z984" s="4">
        <v>263</v>
      </c>
      <c r="AA984" s="4">
        <f>=ROUNDDOWN(17.5333333333333,0)</f>
      </c>
      <c r="AB984" s="5">
        <v>15</v>
      </c>
      <c r="AC984" s="2" t="s">
        <v>100</v>
      </c>
      <c r="AD984" s="4"/>
      <c r="AE984" s="4"/>
      <c r="AF984" s="6">
        <v>63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>
        <v>58</v>
      </c>
      <c r="BK984" s="8">
        <v>1543.89</v>
      </c>
      <c r="BL984" s="2" t="s">
        <v>3862</v>
      </c>
      <c r="BM984" s="7"/>
      <c r="BN984" s="7"/>
      <c r="BO984" s="4"/>
      <c r="BP984" s="8"/>
      <c r="BQ984" s="4"/>
      <c r="BR984" s="8"/>
      <c r="BS984" s="7"/>
      <c r="BT984" s="7"/>
      <c r="BU984" s="2" t="s">
        <v>2526</v>
      </c>
      <c r="BV984" s="2" t="s">
        <v>97</v>
      </c>
      <c r="BW984" s="2" t="s">
        <v>100</v>
      </c>
      <c r="BX984" s="2" t="s">
        <v>100</v>
      </c>
      <c r="BY984" s="2" t="s">
        <v>112</v>
      </c>
      <c r="BZ984" s="2" t="s">
        <v>149</v>
      </c>
    </row>
    <row r="985">
      <c r="A985" s="2" t="s">
        <v>3863</v>
      </c>
      <c r="B985" s="2" t="s">
        <v>3380</v>
      </c>
      <c r="C985" s="2" t="s">
        <v>88</v>
      </c>
      <c r="D985" s="2" t="s">
        <v>3847</v>
      </c>
      <c r="E985" s="2" t="s">
        <v>3479</v>
      </c>
      <c r="F985" s="2" t="s">
        <v>3864</v>
      </c>
      <c r="G985" s="2" t="s">
        <v>3864</v>
      </c>
      <c r="H985" s="2" t="s">
        <v>3864</v>
      </c>
      <c r="I985" s="2" t="s">
        <v>3865</v>
      </c>
      <c r="J985" s="2" t="s">
        <v>3385</v>
      </c>
      <c r="K985" s="2" t="s">
        <v>446</v>
      </c>
      <c r="L985" s="3">
        <v>21.78</v>
      </c>
      <c r="M985" s="3">
        <v>22.87</v>
      </c>
      <c r="N985" s="3">
        <v>46.74</v>
      </c>
      <c r="O985" s="2" t="s">
        <v>97</v>
      </c>
      <c r="P985" s="2" t="s">
        <v>707</v>
      </c>
      <c r="Q985" s="2" t="s">
        <v>99</v>
      </c>
      <c r="R985" s="2" t="s">
        <v>100</v>
      </c>
      <c r="S985" s="2" t="s">
        <v>100</v>
      </c>
      <c r="T985" s="2" t="s">
        <v>100</v>
      </c>
      <c r="U985" s="2" t="s">
        <v>894</v>
      </c>
      <c r="V985" s="2" t="s">
        <v>733</v>
      </c>
      <c r="W985" s="2" t="s">
        <v>594</v>
      </c>
      <c r="X985" s="2" t="s">
        <v>609</v>
      </c>
      <c r="Y985" s="2" t="s">
        <v>3866</v>
      </c>
      <c r="Z985" s="4">
        <v>96</v>
      </c>
      <c r="AA985" s="4">
        <f>=ROUNDDOWN(25.2631578947368,0)</f>
      </c>
      <c r="AB985" s="5">
        <v>3.8</v>
      </c>
      <c r="AC985" s="2" t="s">
        <v>1468</v>
      </c>
      <c r="AD985" s="4">
        <v>100</v>
      </c>
      <c r="AE985" s="4">
        <v>100</v>
      </c>
      <c r="AF985" s="6">
        <v>63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>
        <v>20</v>
      </c>
      <c r="BK985" s="8">
        <v>516.38</v>
      </c>
      <c r="BL985" s="2" t="s">
        <v>3867</v>
      </c>
      <c r="BM985" s="7"/>
      <c r="BN985" s="7"/>
      <c r="BO985" s="4"/>
      <c r="BP985" s="8"/>
      <c r="BQ985" s="4"/>
      <c r="BR985" s="8"/>
      <c r="BS985" s="7"/>
      <c r="BT985" s="7"/>
      <c r="BU985" s="2" t="s">
        <v>2526</v>
      </c>
      <c r="BV985" s="2" t="s">
        <v>97</v>
      </c>
      <c r="BW985" s="2" t="s">
        <v>100</v>
      </c>
      <c r="BX985" s="2" t="s">
        <v>100</v>
      </c>
      <c r="BY985" s="2" t="s">
        <v>112</v>
      </c>
      <c r="BZ985" s="2" t="s">
        <v>149</v>
      </c>
    </row>
    <row r="986">
      <c r="A986" s="2" t="s">
        <v>3868</v>
      </c>
      <c r="B986" s="2" t="s">
        <v>3380</v>
      </c>
      <c r="C986" s="2" t="s">
        <v>88</v>
      </c>
      <c r="D986" s="2" t="s">
        <v>3847</v>
      </c>
      <c r="E986" s="2" t="s">
        <v>3479</v>
      </c>
      <c r="F986" s="2" t="s">
        <v>3869</v>
      </c>
      <c r="G986" s="2" t="s">
        <v>3869</v>
      </c>
      <c r="H986" s="2" t="s">
        <v>3869</v>
      </c>
      <c r="I986" s="2" t="s">
        <v>3870</v>
      </c>
      <c r="J986" s="2" t="s">
        <v>3385</v>
      </c>
      <c r="K986" s="2" t="s">
        <v>179</v>
      </c>
      <c r="L986" s="3">
        <v>59.5</v>
      </c>
      <c r="M986" s="3">
        <v>62.48</v>
      </c>
      <c r="N986" s="3">
        <v>127.49</v>
      </c>
      <c r="O986" s="2" t="s">
        <v>97</v>
      </c>
      <c r="P986" s="2" t="s">
        <v>123</v>
      </c>
      <c r="Q986" s="2" t="s">
        <v>99</v>
      </c>
      <c r="R986" s="2" t="s">
        <v>100</v>
      </c>
      <c r="S986" s="2" t="s">
        <v>3871</v>
      </c>
      <c r="T986" s="2" t="s">
        <v>100</v>
      </c>
      <c r="U986" s="2" t="s">
        <v>1776</v>
      </c>
      <c r="V986" s="2" t="s">
        <v>2913</v>
      </c>
      <c r="W986" s="2" t="s">
        <v>686</v>
      </c>
      <c r="X986" s="2" t="s">
        <v>100</v>
      </c>
      <c r="Y986" s="2" t="s">
        <v>144</v>
      </c>
      <c r="Z986" s="4">
        <v>120</v>
      </c>
      <c r="AA986" s="4">
        <f>=ROUNDDOWN(11.1111111111111,0)</f>
      </c>
      <c r="AB986" s="5">
        <v>10.8</v>
      </c>
      <c r="AC986" s="2" t="s">
        <v>3010</v>
      </c>
      <c r="AD986" s="4">
        <v>110</v>
      </c>
      <c r="AE986" s="4">
        <v>110</v>
      </c>
      <c r="AF986" s="6">
        <v>63</v>
      </c>
      <c r="AG986" s="6"/>
      <c r="AH986" s="7">
        <v>0.7419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>
        <v>40</v>
      </c>
      <c r="BK986" s="8">
        <v>2755.02</v>
      </c>
      <c r="BL986" s="2" t="s">
        <v>3872</v>
      </c>
      <c r="BM986" s="7"/>
      <c r="BN986" s="7"/>
      <c r="BO986" s="4"/>
      <c r="BP986" s="8"/>
      <c r="BQ986" s="4"/>
      <c r="BR986" s="8"/>
      <c r="BS986" s="7"/>
      <c r="BT986" s="7"/>
      <c r="BU986" s="2" t="s">
        <v>1040</v>
      </c>
      <c r="BV986" s="2" t="s">
        <v>97</v>
      </c>
      <c r="BW986" s="2" t="s">
        <v>100</v>
      </c>
      <c r="BX986" s="2" t="s">
        <v>100</v>
      </c>
      <c r="BY986" s="2" t="s">
        <v>112</v>
      </c>
      <c r="BZ986" s="2" t="s">
        <v>149</v>
      </c>
    </row>
    <row r="987">
      <c r="A987" s="2" t="s">
        <v>3873</v>
      </c>
      <c r="B987" s="2" t="s">
        <v>3380</v>
      </c>
      <c r="C987" s="2" t="s">
        <v>88</v>
      </c>
      <c r="D987" s="2" t="s">
        <v>3847</v>
      </c>
      <c r="E987" s="2" t="s">
        <v>3390</v>
      </c>
      <c r="F987" s="2" t="s">
        <v>3874</v>
      </c>
      <c r="G987" s="2" t="s">
        <v>3874</v>
      </c>
      <c r="H987" s="2" t="s">
        <v>3874</v>
      </c>
      <c r="I987" s="2" t="s">
        <v>3875</v>
      </c>
      <c r="J987" s="2" t="s">
        <v>3385</v>
      </c>
      <c r="K987" s="2" t="s">
        <v>3876</v>
      </c>
      <c r="L987" s="3">
        <v>21.31</v>
      </c>
      <c r="M987" s="3">
        <v>22.38</v>
      </c>
      <c r="N987" s="3">
        <v>50.99</v>
      </c>
      <c r="O987" s="2" t="s">
        <v>97</v>
      </c>
      <c r="P987" s="2" t="s">
        <v>98</v>
      </c>
      <c r="Q987" s="2" t="s">
        <v>99</v>
      </c>
      <c r="R987" s="2" t="s">
        <v>100</v>
      </c>
      <c r="S987" s="2" t="s">
        <v>3877</v>
      </c>
      <c r="T987" s="2" t="s">
        <v>100</v>
      </c>
      <c r="U987" s="2" t="s">
        <v>901</v>
      </c>
      <c r="V987" s="2" t="s">
        <v>733</v>
      </c>
      <c r="W987" s="2" t="s">
        <v>609</v>
      </c>
      <c r="X987" s="2" t="s">
        <v>142</v>
      </c>
      <c r="Y987" s="2" t="s">
        <v>3878</v>
      </c>
      <c r="Z987" s="4">
        <v>114</v>
      </c>
      <c r="AA987" s="4">
        <f>=ROUNDDOWN(9.5,0)</f>
      </c>
      <c r="AB987" s="5">
        <v>12</v>
      </c>
      <c r="AC987" s="2" t="s">
        <v>1468</v>
      </c>
      <c r="AD987" s="4">
        <v>100</v>
      </c>
      <c r="AE987" s="4">
        <v>100</v>
      </c>
      <c r="AF987" s="6">
        <v>63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>
        <v>52</v>
      </c>
      <c r="BK987" s="8">
        <v>1400.5</v>
      </c>
      <c r="BL987" s="2" t="s">
        <v>3879</v>
      </c>
      <c r="BM987" s="7"/>
      <c r="BN987" s="7"/>
      <c r="BO987" s="4"/>
      <c r="BP987" s="8"/>
      <c r="BQ987" s="4"/>
      <c r="BR987" s="8"/>
      <c r="BS987" s="7"/>
      <c r="BT987" s="7"/>
      <c r="BU987" s="2" t="s">
        <v>2526</v>
      </c>
      <c r="BV987" s="2" t="s">
        <v>97</v>
      </c>
      <c r="BW987" s="2" t="s">
        <v>100</v>
      </c>
      <c r="BX987" s="2" t="s">
        <v>100</v>
      </c>
      <c r="BY987" s="2" t="s">
        <v>112</v>
      </c>
      <c r="BZ987" s="2" t="s">
        <v>149</v>
      </c>
    </row>
    <row r="988">
      <c r="A988" s="2" t="s">
        <v>3880</v>
      </c>
      <c r="B988" s="2" t="s">
        <v>3380</v>
      </c>
      <c r="C988" s="2" t="s">
        <v>3196</v>
      </c>
      <c r="D988" s="2" t="s">
        <v>3381</v>
      </c>
      <c r="E988" s="2" t="s">
        <v>3456</v>
      </c>
      <c r="F988" s="2" t="s">
        <v>3881</v>
      </c>
      <c r="G988" s="2" t="s">
        <v>3881</v>
      </c>
      <c r="H988" s="2" t="s">
        <v>3881</v>
      </c>
      <c r="I988" s="2" t="s">
        <v>3882</v>
      </c>
      <c r="J988" s="2" t="s">
        <v>3883</v>
      </c>
      <c r="K988" s="2" t="s">
        <v>3475</v>
      </c>
      <c r="L988" s="3">
        <v>47.09</v>
      </c>
      <c r="M988" s="3">
        <v>49.44</v>
      </c>
      <c r="N988" s="3">
        <v>98.99</v>
      </c>
      <c r="O988" s="2" t="s">
        <v>97</v>
      </c>
      <c r="P988" s="2" t="s">
        <v>123</v>
      </c>
      <c r="Q988" s="2" t="s">
        <v>99</v>
      </c>
      <c r="R988" s="2" t="s">
        <v>100</v>
      </c>
      <c r="S988" s="2" t="s">
        <v>3884</v>
      </c>
      <c r="T988" s="2" t="s">
        <v>100</v>
      </c>
      <c r="U988" s="2" t="s">
        <v>1776</v>
      </c>
      <c r="V988" s="2" t="s">
        <v>547</v>
      </c>
      <c r="W988" s="2" t="s">
        <v>1136</v>
      </c>
      <c r="X988" s="2" t="s">
        <v>100</v>
      </c>
      <c r="Y988" s="2" t="s">
        <v>3885</v>
      </c>
      <c r="Z988" s="4">
        <v>70</v>
      </c>
      <c r="AA988" s="4">
        <f>=ROUNDDOWN(7.77777777777778,0)</f>
      </c>
      <c r="AB988" s="5">
        <v>9</v>
      </c>
      <c r="AC988" s="2" t="s">
        <v>3491</v>
      </c>
      <c r="AD988" s="4">
        <v>180</v>
      </c>
      <c r="AE988" s="4">
        <v>350</v>
      </c>
      <c r="AF988" s="6">
        <v>63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/>
      <c r="BJ988" s="4">
        <v>28</v>
      </c>
      <c r="BK988" s="8">
        <v>1617.44</v>
      </c>
      <c r="BL988" s="2" t="s">
        <v>3886</v>
      </c>
      <c r="BM988" s="7"/>
      <c r="BN988" s="7"/>
      <c r="BO988" s="4"/>
      <c r="BP988" s="8"/>
      <c r="BQ988" s="4"/>
      <c r="BR988" s="8"/>
      <c r="BS988" s="7"/>
      <c r="BT988" s="7"/>
      <c r="BU988" s="2" t="s">
        <v>2551</v>
      </c>
      <c r="BV988" s="2" t="s">
        <v>97</v>
      </c>
      <c r="BW988" s="2" t="s">
        <v>100</v>
      </c>
      <c r="BX988" s="2" t="s">
        <v>100</v>
      </c>
      <c r="BY988" s="2" t="s">
        <v>112</v>
      </c>
      <c r="BZ988" s="2" t="s">
        <v>149</v>
      </c>
    </row>
    <row r="989">
      <c r="A989" s="2" t="s">
        <v>3887</v>
      </c>
      <c r="B989" s="2" t="s">
        <v>3380</v>
      </c>
      <c r="C989" s="2" t="s">
        <v>3196</v>
      </c>
      <c r="D989" s="2" t="s">
        <v>3381</v>
      </c>
      <c r="E989" s="2" t="s">
        <v>3456</v>
      </c>
      <c r="F989" s="2" t="s">
        <v>3881</v>
      </c>
      <c r="G989" s="2" t="s">
        <v>3881</v>
      </c>
      <c r="H989" s="2" t="s">
        <v>3881</v>
      </c>
      <c r="I989" s="2" t="s">
        <v>3882</v>
      </c>
      <c r="J989" s="2" t="s">
        <v>3883</v>
      </c>
      <c r="K989" s="2" t="s">
        <v>458</v>
      </c>
      <c r="L989" s="3">
        <v>47.09</v>
      </c>
      <c r="M989" s="3">
        <v>49.44</v>
      </c>
      <c r="N989" s="3">
        <v>98.99</v>
      </c>
      <c r="O989" s="2" t="s">
        <v>97</v>
      </c>
      <c r="P989" s="2" t="s">
        <v>123</v>
      </c>
      <c r="Q989" s="2" t="s">
        <v>99</v>
      </c>
      <c r="R989" s="2" t="s">
        <v>100</v>
      </c>
      <c r="S989" s="2" t="s">
        <v>3888</v>
      </c>
      <c r="T989" s="2" t="s">
        <v>100</v>
      </c>
      <c r="U989" s="2" t="s">
        <v>1776</v>
      </c>
      <c r="V989" s="2" t="s">
        <v>547</v>
      </c>
      <c r="W989" s="2" t="s">
        <v>1136</v>
      </c>
      <c r="X989" s="2" t="s">
        <v>493</v>
      </c>
      <c r="Y989" s="2" t="s">
        <v>2080</v>
      </c>
      <c r="Z989" s="4">
        <v>119</v>
      </c>
      <c r="AA989" s="4">
        <f>=ROUNDDOWN(9.15384615384615,0)</f>
      </c>
      <c r="AB989" s="5">
        <v>13</v>
      </c>
      <c r="AC989" s="2" t="s">
        <v>3491</v>
      </c>
      <c r="AD989" s="4">
        <v>150</v>
      </c>
      <c r="AE989" s="4">
        <v>250</v>
      </c>
      <c r="AF989" s="6">
        <v>63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/>
      <c r="BJ989" s="4">
        <v>45</v>
      </c>
      <c r="BK989" s="8">
        <v>2293.43</v>
      </c>
      <c r="BL989" s="2" t="s">
        <v>3889</v>
      </c>
      <c r="BM989" s="7"/>
      <c r="BN989" s="7"/>
      <c r="BO989" s="4"/>
      <c r="BP989" s="8"/>
      <c r="BQ989" s="4"/>
      <c r="BR989" s="8"/>
      <c r="BS989" s="7"/>
      <c r="BT989" s="7"/>
      <c r="BU989" s="2" t="s">
        <v>2551</v>
      </c>
      <c r="BV989" s="2" t="s">
        <v>97</v>
      </c>
      <c r="BW989" s="2" t="s">
        <v>100</v>
      </c>
      <c r="BX989" s="2" t="s">
        <v>100</v>
      </c>
      <c r="BY989" s="2" t="s">
        <v>112</v>
      </c>
      <c r="BZ989" s="2" t="s">
        <v>149</v>
      </c>
    </row>
    <row r="990">
      <c r="A990" s="2" t="s">
        <v>3890</v>
      </c>
      <c r="B990" s="2" t="s">
        <v>3380</v>
      </c>
      <c r="C990" s="2" t="s">
        <v>3196</v>
      </c>
      <c r="D990" s="2" t="s">
        <v>3381</v>
      </c>
      <c r="E990" s="2" t="s">
        <v>3382</v>
      </c>
      <c r="F990" s="2" t="s">
        <v>3881</v>
      </c>
      <c r="G990" s="2" t="s">
        <v>3881</v>
      </c>
      <c r="H990" s="2" t="s">
        <v>3881</v>
      </c>
      <c r="I990" s="2" t="s">
        <v>3891</v>
      </c>
      <c r="J990" s="2" t="s">
        <v>3892</v>
      </c>
      <c r="K990" s="2" t="s">
        <v>3475</v>
      </c>
      <c r="L990" s="3">
        <v>93.25</v>
      </c>
      <c r="M990" s="3">
        <v>97.91</v>
      </c>
      <c r="N990" s="3">
        <v>206.99</v>
      </c>
      <c r="O990" s="2" t="s">
        <v>97</v>
      </c>
      <c r="P990" s="2" t="s">
        <v>123</v>
      </c>
      <c r="Q990" s="2" t="s">
        <v>99</v>
      </c>
      <c r="R990" s="2" t="s">
        <v>100</v>
      </c>
      <c r="S990" s="2" t="s">
        <v>100</v>
      </c>
      <c r="T990" s="2" t="s">
        <v>100</v>
      </c>
      <c r="U990" s="2" t="s">
        <v>901</v>
      </c>
      <c r="V990" s="2" t="s">
        <v>547</v>
      </c>
      <c r="W990" s="2" t="s">
        <v>1136</v>
      </c>
      <c r="X990" s="2" t="s">
        <v>493</v>
      </c>
      <c r="Y990" s="2" t="s">
        <v>3878</v>
      </c>
      <c r="Z990" s="4">
        <v>139</v>
      </c>
      <c r="AA990" s="4">
        <f>=ROUNDDOWN(23.1666666666667,0)</f>
      </c>
      <c r="AB990" s="5">
        <v>6</v>
      </c>
      <c r="AC990" s="2" t="s">
        <v>100</v>
      </c>
      <c r="AD990" s="4"/>
      <c r="AE990" s="4"/>
      <c r="AF990" s="6">
        <v>63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/>
      <c r="BJ990" s="4">
        <v>22</v>
      </c>
      <c r="BK990" s="8">
        <v>2585.89</v>
      </c>
      <c r="BL990" s="2" t="s">
        <v>3893</v>
      </c>
      <c r="BM990" s="7"/>
      <c r="BN990" s="7"/>
      <c r="BO990" s="4"/>
      <c r="BP990" s="8"/>
      <c r="BQ990" s="4"/>
      <c r="BR990" s="8"/>
      <c r="BS990" s="7"/>
      <c r="BT990" s="7"/>
      <c r="BU990" s="2" t="s">
        <v>2551</v>
      </c>
      <c r="BV990" s="2" t="s">
        <v>97</v>
      </c>
      <c r="BW990" s="2" t="s">
        <v>100</v>
      </c>
      <c r="BX990" s="2" t="s">
        <v>100</v>
      </c>
      <c r="BY990" s="2" t="s">
        <v>112</v>
      </c>
      <c r="BZ990" s="2" t="s">
        <v>149</v>
      </c>
    </row>
    <row r="991">
      <c r="A991" s="2" t="s">
        <v>3894</v>
      </c>
      <c r="B991" s="2" t="s">
        <v>3380</v>
      </c>
      <c r="C991" s="2" t="s">
        <v>3196</v>
      </c>
      <c r="D991" s="2" t="s">
        <v>3381</v>
      </c>
      <c r="E991" s="2" t="s">
        <v>3382</v>
      </c>
      <c r="F991" s="2" t="s">
        <v>3881</v>
      </c>
      <c r="G991" s="2" t="s">
        <v>3881</v>
      </c>
      <c r="H991" s="2" t="s">
        <v>3881</v>
      </c>
      <c r="I991" s="2" t="s">
        <v>3891</v>
      </c>
      <c r="J991" s="2" t="s">
        <v>3892</v>
      </c>
      <c r="K991" s="2" t="s">
        <v>878</v>
      </c>
      <c r="L991" s="3">
        <v>93.25</v>
      </c>
      <c r="M991" s="3">
        <v>97.91</v>
      </c>
      <c r="N991" s="3">
        <v>206.99</v>
      </c>
      <c r="O991" s="2" t="s">
        <v>97</v>
      </c>
      <c r="P991" s="2" t="s">
        <v>98</v>
      </c>
      <c r="Q991" s="2" t="s">
        <v>99</v>
      </c>
      <c r="R991" s="2" t="s">
        <v>100</v>
      </c>
      <c r="S991" s="2" t="s">
        <v>100</v>
      </c>
      <c r="T991" s="2" t="s">
        <v>100</v>
      </c>
      <c r="U991" s="2" t="s">
        <v>901</v>
      </c>
      <c r="V991" s="2" t="s">
        <v>3412</v>
      </c>
      <c r="W991" s="2" t="s">
        <v>1136</v>
      </c>
      <c r="X991" s="2" t="s">
        <v>493</v>
      </c>
      <c r="Y991" s="2" t="s">
        <v>3895</v>
      </c>
      <c r="Z991" s="4">
        <v>42</v>
      </c>
      <c r="AA991" s="4">
        <f>=ROUNDDOWN(16.1538461538462,0)</f>
      </c>
      <c r="AB991" s="5">
        <v>2.6</v>
      </c>
      <c r="AC991" s="2" t="s">
        <v>2121</v>
      </c>
      <c r="AD991" s="4">
        <v>60</v>
      </c>
      <c r="AE991" s="4">
        <v>60</v>
      </c>
      <c r="AF991" s="6">
        <v>63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/>
      <c r="BJ991" s="4">
        <v>17</v>
      </c>
      <c r="BK991" s="8">
        <v>1827.93</v>
      </c>
      <c r="BL991" s="2" t="s">
        <v>3896</v>
      </c>
      <c r="BM991" s="7"/>
      <c r="BN991" s="7"/>
      <c r="BO991" s="4"/>
      <c r="BP991" s="8"/>
      <c r="BQ991" s="4"/>
      <c r="BR991" s="8"/>
      <c r="BS991" s="7"/>
      <c r="BT991" s="7"/>
      <c r="BU991" s="2" t="s">
        <v>2551</v>
      </c>
      <c r="BV991" s="2" t="s">
        <v>97</v>
      </c>
      <c r="BW991" s="2" t="s">
        <v>100</v>
      </c>
      <c r="BX991" s="2" t="s">
        <v>100</v>
      </c>
      <c r="BY991" s="2" t="s">
        <v>112</v>
      </c>
      <c r="BZ991" s="2" t="s">
        <v>149</v>
      </c>
    </row>
    <row r="992">
      <c r="A992" s="2" t="s">
        <v>3897</v>
      </c>
      <c r="B992" s="2" t="s">
        <v>3380</v>
      </c>
      <c r="C992" s="2" t="s">
        <v>3196</v>
      </c>
      <c r="D992" s="2" t="s">
        <v>3438</v>
      </c>
      <c r="E992" s="2" t="s">
        <v>3439</v>
      </c>
      <c r="F992" s="2" t="s">
        <v>3898</v>
      </c>
      <c r="G992" s="2" t="s">
        <v>3898</v>
      </c>
      <c r="H992" s="2" t="s">
        <v>3898</v>
      </c>
      <c r="I992" s="2" t="s">
        <v>3899</v>
      </c>
      <c r="J992" s="2" t="s">
        <v>3892</v>
      </c>
      <c r="K992" s="2" t="s">
        <v>3475</v>
      </c>
      <c r="L992" s="3">
        <v>104.91</v>
      </c>
      <c r="M992" s="3">
        <v>110.16</v>
      </c>
      <c r="N992" s="3">
        <v>229.49</v>
      </c>
      <c r="O992" s="2" t="s">
        <v>97</v>
      </c>
      <c r="P992" s="2" t="s">
        <v>98</v>
      </c>
      <c r="Q992" s="2" t="s">
        <v>99</v>
      </c>
      <c r="R992" s="2" t="s">
        <v>100</v>
      </c>
      <c r="S992" s="2" t="s">
        <v>3900</v>
      </c>
      <c r="T992" s="2" t="s">
        <v>100</v>
      </c>
      <c r="U992" s="2" t="s">
        <v>901</v>
      </c>
      <c r="V992" s="2" t="s">
        <v>461</v>
      </c>
      <c r="W992" s="2" t="s">
        <v>493</v>
      </c>
      <c r="X992" s="2" t="s">
        <v>1136</v>
      </c>
      <c r="Y992" s="2" t="s">
        <v>3800</v>
      </c>
      <c r="Z992" s="4">
        <v>73</v>
      </c>
      <c r="AA992" s="4">
        <f>=ROUNDDOWN(24.3333333333333,0)</f>
      </c>
      <c r="AB992" s="5">
        <v>3</v>
      </c>
      <c r="AC992" s="2" t="s">
        <v>100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/>
      <c r="BD992" s="8"/>
      <c r="BE992" s="4"/>
      <c r="BF992" s="8"/>
      <c r="BG992" s="7"/>
      <c r="BH992" s="7"/>
      <c r="BI992" s="7"/>
      <c r="BJ992" s="4">
        <v>8</v>
      </c>
      <c r="BK992" s="8">
        <v>1005</v>
      </c>
      <c r="BL992" s="2" t="s">
        <v>3901</v>
      </c>
      <c r="BM992" s="7"/>
      <c r="BN992" s="7"/>
      <c r="BO992" s="4"/>
      <c r="BP992" s="8"/>
      <c r="BQ992" s="4"/>
      <c r="BR992" s="8"/>
      <c r="BS992" s="7"/>
      <c r="BT992" s="7"/>
      <c r="BU992" s="2" t="s">
        <v>2551</v>
      </c>
      <c r="BV992" s="2" t="s">
        <v>97</v>
      </c>
      <c r="BW992" s="2" t="s">
        <v>100</v>
      </c>
      <c r="BX992" s="2" t="s">
        <v>100</v>
      </c>
      <c r="BY992" s="2" t="s">
        <v>112</v>
      </c>
      <c r="BZ992" s="2" t="s">
        <v>149</v>
      </c>
    </row>
    <row r="993">
      <c r="A993" s="2" t="s">
        <v>3902</v>
      </c>
      <c r="B993" s="2" t="s">
        <v>3380</v>
      </c>
      <c r="C993" s="2" t="s">
        <v>3196</v>
      </c>
      <c r="D993" s="2" t="s">
        <v>3438</v>
      </c>
      <c r="E993" s="2" t="s">
        <v>3820</v>
      </c>
      <c r="F993" s="2" t="s">
        <v>3903</v>
      </c>
      <c r="G993" s="2" t="s">
        <v>3903</v>
      </c>
      <c r="H993" s="2" t="s">
        <v>3903</v>
      </c>
      <c r="I993" s="2" t="s">
        <v>3904</v>
      </c>
      <c r="J993" s="2" t="s">
        <v>3385</v>
      </c>
      <c r="K993" s="2" t="s">
        <v>3475</v>
      </c>
      <c r="L993" s="3">
        <v>112.71</v>
      </c>
      <c r="M993" s="3">
        <v>118.35</v>
      </c>
      <c r="N993" s="3">
        <v>199.74</v>
      </c>
      <c r="O993" s="2" t="s">
        <v>97</v>
      </c>
      <c r="P993" s="2" t="s">
        <v>707</v>
      </c>
      <c r="Q993" s="2" t="s">
        <v>99</v>
      </c>
      <c r="R993" s="2" t="s">
        <v>100</v>
      </c>
      <c r="S993" s="2" t="s">
        <v>3905</v>
      </c>
      <c r="T993" s="2" t="s">
        <v>100</v>
      </c>
      <c r="U993" s="2" t="s">
        <v>1776</v>
      </c>
      <c r="V993" s="2" t="s">
        <v>461</v>
      </c>
      <c r="W993" s="2" t="s">
        <v>493</v>
      </c>
      <c r="X993" s="2" t="s">
        <v>1136</v>
      </c>
      <c r="Y993" s="2" t="s">
        <v>3906</v>
      </c>
      <c r="Z993" s="4">
        <v>31</v>
      </c>
      <c r="AA993" s="4">
        <f>=ROUNDDOWN(15.5,0)</f>
      </c>
      <c r="AB993" s="5">
        <v>2</v>
      </c>
      <c r="AC993" s="2" t="s">
        <v>389</v>
      </c>
      <c r="AD993" s="4">
        <v>100</v>
      </c>
      <c r="AE993" s="4">
        <v>100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/>
      <c r="BD993" s="8"/>
      <c r="BE993" s="4"/>
      <c r="BF993" s="8"/>
      <c r="BG993" s="7"/>
      <c r="BH993" s="7"/>
      <c r="BI993" s="7"/>
      <c r="BJ993" s="4">
        <v>6</v>
      </c>
      <c r="BK993" s="8">
        <v>709.71</v>
      </c>
      <c r="BL993" s="2" t="s">
        <v>3907</v>
      </c>
      <c r="BM993" s="7"/>
      <c r="BN993" s="7"/>
      <c r="BO993" s="4"/>
      <c r="BP993" s="8"/>
      <c r="BQ993" s="4"/>
      <c r="BR993" s="8"/>
      <c r="BS993" s="7"/>
      <c r="BT993" s="7"/>
      <c r="BU993" s="2" t="s">
        <v>2526</v>
      </c>
      <c r="BV993" s="2" t="s">
        <v>97</v>
      </c>
      <c r="BW993" s="2" t="s">
        <v>100</v>
      </c>
      <c r="BX993" s="2" t="s">
        <v>100</v>
      </c>
      <c r="BY993" s="2" t="s">
        <v>112</v>
      </c>
      <c r="BZ993" s="2" t="s">
        <v>149</v>
      </c>
    </row>
    <row r="994">
      <c r="A994" s="2" t="s">
        <v>3908</v>
      </c>
      <c r="B994" s="2" t="s">
        <v>3380</v>
      </c>
      <c r="C994" s="2" t="s">
        <v>3196</v>
      </c>
      <c r="D994" s="2" t="s">
        <v>3438</v>
      </c>
      <c r="E994" s="2" t="s">
        <v>3820</v>
      </c>
      <c r="F994" s="2" t="s">
        <v>3898</v>
      </c>
      <c r="G994" s="2" t="s">
        <v>3898</v>
      </c>
      <c r="H994" s="2" t="s">
        <v>3898</v>
      </c>
      <c r="I994" s="2" t="s">
        <v>3909</v>
      </c>
      <c r="J994" s="2" t="s">
        <v>3910</v>
      </c>
      <c r="K994" s="2" t="s">
        <v>165</v>
      </c>
      <c r="L994" s="3">
        <v>74.11</v>
      </c>
      <c r="M994" s="3">
        <v>77.82</v>
      </c>
      <c r="N994" s="3">
        <v>141.94</v>
      </c>
      <c r="O994" s="2" t="s">
        <v>97</v>
      </c>
      <c r="P994" s="2" t="s">
        <v>139</v>
      </c>
      <c r="Q994" s="2" t="s">
        <v>99</v>
      </c>
      <c r="R994" s="2" t="s">
        <v>100</v>
      </c>
      <c r="S994" s="2" t="s">
        <v>3911</v>
      </c>
      <c r="T994" s="2" t="s">
        <v>100</v>
      </c>
      <c r="U994" s="2" t="s">
        <v>1776</v>
      </c>
      <c r="V994" s="2" t="s">
        <v>473</v>
      </c>
      <c r="W994" s="2" t="s">
        <v>493</v>
      </c>
      <c r="X994" s="2" t="s">
        <v>1136</v>
      </c>
      <c r="Y994" s="2" t="s">
        <v>3521</v>
      </c>
      <c r="Z994" s="4">
        <v>261</v>
      </c>
      <c r="AA994" s="4">
        <f>=ROUNDDOWN(15.3529411764706,0)</f>
      </c>
      <c r="AB994" s="5">
        <v>17</v>
      </c>
      <c r="AC994" s="2" t="s">
        <v>783</v>
      </c>
      <c r="AD994" s="4">
        <v>150</v>
      </c>
      <c r="AE994" s="4">
        <v>300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/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/>
      <c r="BJ994" s="4">
        <v>71</v>
      </c>
      <c r="BK994" s="8">
        <v>5854.58</v>
      </c>
      <c r="BL994" s="2" t="s">
        <v>3912</v>
      </c>
      <c r="BM994" s="7"/>
      <c r="BN994" s="7"/>
      <c r="BO994" s="4"/>
      <c r="BP994" s="8"/>
      <c r="BQ994" s="4"/>
      <c r="BR994" s="8"/>
      <c r="BS994" s="7"/>
      <c r="BT994" s="7"/>
      <c r="BU994" s="2" t="s">
        <v>2551</v>
      </c>
      <c r="BV994" s="2" t="s">
        <v>97</v>
      </c>
      <c r="BW994" s="2" t="s">
        <v>100</v>
      </c>
      <c r="BX994" s="2" t="s">
        <v>100</v>
      </c>
      <c r="BY994" s="2" t="s">
        <v>112</v>
      </c>
      <c r="BZ994" s="2" t="s">
        <v>149</v>
      </c>
    </row>
    <row r="995">
      <c r="A995" s="2" t="s">
        <v>3913</v>
      </c>
      <c r="B995" s="2" t="s">
        <v>3380</v>
      </c>
      <c r="C995" s="2" t="s">
        <v>3196</v>
      </c>
      <c r="D995" s="2" t="s">
        <v>3438</v>
      </c>
      <c r="E995" s="2" t="s">
        <v>3820</v>
      </c>
      <c r="F995" s="2" t="s">
        <v>3898</v>
      </c>
      <c r="G995" s="2" t="s">
        <v>3898</v>
      </c>
      <c r="H995" s="2" t="s">
        <v>3898</v>
      </c>
      <c r="I995" s="2" t="s">
        <v>3914</v>
      </c>
      <c r="J995" s="2" t="s">
        <v>3915</v>
      </c>
      <c r="K995" s="2" t="s">
        <v>165</v>
      </c>
      <c r="L995" s="3">
        <v>111.24</v>
      </c>
      <c r="M995" s="3">
        <v>116.8</v>
      </c>
      <c r="N995" s="3">
        <v>209.94</v>
      </c>
      <c r="O995" s="2" t="s">
        <v>97</v>
      </c>
      <c r="P995" s="2" t="s">
        <v>139</v>
      </c>
      <c r="Q995" s="2" t="s">
        <v>99</v>
      </c>
      <c r="R995" s="2" t="s">
        <v>100</v>
      </c>
      <c r="S995" s="2" t="s">
        <v>3916</v>
      </c>
      <c r="T995" s="2" t="s">
        <v>100</v>
      </c>
      <c r="U995" s="2" t="s">
        <v>1776</v>
      </c>
      <c r="V995" s="2" t="s">
        <v>473</v>
      </c>
      <c r="W995" s="2" t="s">
        <v>493</v>
      </c>
      <c r="X995" s="2" t="s">
        <v>1136</v>
      </c>
      <c r="Y995" s="2" t="s">
        <v>3521</v>
      </c>
      <c r="Z995" s="4">
        <v>196</v>
      </c>
      <c r="AA995" s="4">
        <f>=ROUNDDOWN(10.8888888888889,0)</f>
      </c>
      <c r="AB995" s="5">
        <v>18</v>
      </c>
      <c r="AC995" s="2" t="s">
        <v>3515</v>
      </c>
      <c r="AD995" s="4">
        <v>200</v>
      </c>
      <c r="AE995" s="4">
        <v>400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/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/>
      <c r="BJ995" s="4">
        <v>65</v>
      </c>
      <c r="BK995" s="8">
        <v>6975.24</v>
      </c>
      <c r="BL995" s="2" t="s">
        <v>3917</v>
      </c>
      <c r="BM995" s="7"/>
      <c r="BN995" s="7"/>
      <c r="BO995" s="4"/>
      <c r="BP995" s="8"/>
      <c r="BQ995" s="4"/>
      <c r="BR995" s="8"/>
      <c r="BS995" s="7"/>
      <c r="BT995" s="7"/>
      <c r="BU995" s="2" t="s">
        <v>2551</v>
      </c>
      <c r="BV995" s="2" t="s">
        <v>97</v>
      </c>
      <c r="BW995" s="2" t="s">
        <v>100</v>
      </c>
      <c r="BX995" s="2" t="s">
        <v>100</v>
      </c>
      <c r="BY995" s="2" t="s">
        <v>112</v>
      </c>
      <c r="BZ995" s="2" t="s">
        <v>149</v>
      </c>
    </row>
    <row r="996">
      <c r="A996" s="2" t="s">
        <v>3918</v>
      </c>
      <c r="B996" s="2" t="s">
        <v>3380</v>
      </c>
      <c r="C996" s="2" t="s">
        <v>3196</v>
      </c>
      <c r="D996" s="2" t="s">
        <v>3438</v>
      </c>
      <c r="E996" s="2" t="s">
        <v>3820</v>
      </c>
      <c r="F996" s="2" t="s">
        <v>3898</v>
      </c>
      <c r="G996" s="2" t="s">
        <v>3898</v>
      </c>
      <c r="H996" s="2" t="s">
        <v>3898</v>
      </c>
      <c r="I996" s="2" t="s">
        <v>3909</v>
      </c>
      <c r="J996" s="2" t="s">
        <v>3910</v>
      </c>
      <c r="K996" s="2" t="s">
        <v>3475</v>
      </c>
      <c r="L996" s="3">
        <v>74.11</v>
      </c>
      <c r="M996" s="3">
        <v>77.82</v>
      </c>
      <c r="N996" s="3">
        <v>141.94</v>
      </c>
      <c r="O996" s="2" t="s">
        <v>97</v>
      </c>
      <c r="P996" s="2" t="s">
        <v>139</v>
      </c>
      <c r="Q996" s="2" t="s">
        <v>99</v>
      </c>
      <c r="R996" s="2" t="s">
        <v>100</v>
      </c>
      <c r="S996" s="2" t="s">
        <v>100</v>
      </c>
      <c r="T996" s="2" t="s">
        <v>100</v>
      </c>
      <c r="U996" s="2" t="s">
        <v>1776</v>
      </c>
      <c r="V996" s="2" t="s">
        <v>473</v>
      </c>
      <c r="W996" s="2" t="s">
        <v>493</v>
      </c>
      <c r="X996" s="2" t="s">
        <v>1136</v>
      </c>
      <c r="Y996" s="2" t="s">
        <v>3919</v>
      </c>
      <c r="Z996" s="4">
        <v>575</v>
      </c>
      <c r="AA996" s="4">
        <f>=ROUNDDOWN(19.1666666666667,0)</f>
      </c>
      <c r="AB996" s="5">
        <v>30</v>
      </c>
      <c r="AC996" s="2" t="s">
        <v>783</v>
      </c>
      <c r="AD996" s="4">
        <v>250</v>
      </c>
      <c r="AE996" s="4">
        <v>250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/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/>
      <c r="BJ996" s="4">
        <v>93</v>
      </c>
      <c r="BK996" s="8">
        <v>7493.47</v>
      </c>
      <c r="BL996" s="2" t="s">
        <v>3920</v>
      </c>
      <c r="BM996" s="7"/>
      <c r="BN996" s="7"/>
      <c r="BO996" s="4"/>
      <c r="BP996" s="8"/>
      <c r="BQ996" s="4"/>
      <c r="BR996" s="8"/>
      <c r="BS996" s="7"/>
      <c r="BT996" s="7"/>
      <c r="BU996" s="2" t="s">
        <v>2551</v>
      </c>
      <c r="BV996" s="2" t="s">
        <v>97</v>
      </c>
      <c r="BW996" s="2" t="s">
        <v>100</v>
      </c>
      <c r="BX996" s="2" t="s">
        <v>100</v>
      </c>
      <c r="BY996" s="2" t="s">
        <v>112</v>
      </c>
      <c r="BZ996" s="2" t="s">
        <v>149</v>
      </c>
    </row>
    <row r="997">
      <c r="A997" s="2" t="s">
        <v>3921</v>
      </c>
      <c r="B997" s="2" t="s">
        <v>3380</v>
      </c>
      <c r="C997" s="2" t="s">
        <v>3196</v>
      </c>
      <c r="D997" s="2" t="s">
        <v>3438</v>
      </c>
      <c r="E997" s="2" t="s">
        <v>3820</v>
      </c>
      <c r="F997" s="2" t="s">
        <v>3898</v>
      </c>
      <c r="G997" s="2" t="s">
        <v>3898</v>
      </c>
      <c r="H997" s="2" t="s">
        <v>3898</v>
      </c>
      <c r="I997" s="2" t="s">
        <v>3914</v>
      </c>
      <c r="J997" s="2" t="s">
        <v>3915</v>
      </c>
      <c r="K997" s="2" t="s">
        <v>3475</v>
      </c>
      <c r="L997" s="3">
        <v>111.24</v>
      </c>
      <c r="M997" s="3">
        <v>116.8</v>
      </c>
      <c r="N997" s="3">
        <v>209.94</v>
      </c>
      <c r="O997" s="2" t="s">
        <v>97</v>
      </c>
      <c r="P997" s="2" t="s">
        <v>139</v>
      </c>
      <c r="Q997" s="2" t="s">
        <v>99</v>
      </c>
      <c r="R997" s="2" t="s">
        <v>100</v>
      </c>
      <c r="S997" s="2" t="s">
        <v>3900</v>
      </c>
      <c r="T997" s="2" t="s">
        <v>100</v>
      </c>
      <c r="U997" s="2" t="s">
        <v>1776</v>
      </c>
      <c r="V997" s="2" t="s">
        <v>473</v>
      </c>
      <c r="W997" s="2" t="s">
        <v>493</v>
      </c>
      <c r="X997" s="2" t="s">
        <v>1136</v>
      </c>
      <c r="Y997" s="2" t="s">
        <v>1879</v>
      </c>
      <c r="Z997" s="4">
        <v>1027</v>
      </c>
      <c r="AA997" s="4">
        <f>=ROUNDDOWN(26.3333333333333,0)</f>
      </c>
      <c r="AB997" s="5">
        <v>39</v>
      </c>
      <c r="AC997" s="2" t="s">
        <v>783</v>
      </c>
      <c r="AD997" s="4">
        <v>100</v>
      </c>
      <c r="AE997" s="4">
        <v>230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100</v>
      </c>
      <c r="AW997" s="8" t="s">
        <v>100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/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/>
      <c r="BJ997" s="4">
        <v>88</v>
      </c>
      <c r="BK997" s="8">
        <v>10361.32</v>
      </c>
      <c r="BL997" s="2" t="s">
        <v>3922</v>
      </c>
      <c r="BM997" s="7"/>
      <c r="BN997" s="7"/>
      <c r="BO997" s="4"/>
      <c r="BP997" s="8"/>
      <c r="BQ997" s="4"/>
      <c r="BR997" s="8"/>
      <c r="BS997" s="7"/>
      <c r="BT997" s="7"/>
      <c r="BU997" s="2" t="s">
        <v>2551</v>
      </c>
      <c r="BV997" s="2" t="s">
        <v>97</v>
      </c>
      <c r="BW997" s="2" t="s">
        <v>100</v>
      </c>
      <c r="BX997" s="2" t="s">
        <v>100</v>
      </c>
      <c r="BY997" s="2" t="s">
        <v>112</v>
      </c>
      <c r="BZ997" s="2" t="s">
        <v>149</v>
      </c>
    </row>
    <row r="998">
      <c r="A998" s="2" t="s">
        <v>3923</v>
      </c>
      <c r="B998" s="2" t="s">
        <v>3380</v>
      </c>
      <c r="C998" s="2" t="s">
        <v>3196</v>
      </c>
      <c r="D998" s="2" t="s">
        <v>3438</v>
      </c>
      <c r="E998" s="2" t="s">
        <v>3820</v>
      </c>
      <c r="F998" s="2" t="s">
        <v>3898</v>
      </c>
      <c r="G998" s="2" t="s">
        <v>3898</v>
      </c>
      <c r="H998" s="2" t="s">
        <v>3898</v>
      </c>
      <c r="I998" s="2" t="s">
        <v>3909</v>
      </c>
      <c r="J998" s="2" t="s">
        <v>3910</v>
      </c>
      <c r="K998" s="2" t="s">
        <v>878</v>
      </c>
      <c r="L998" s="3">
        <v>74.11</v>
      </c>
      <c r="M998" s="3">
        <v>77.82</v>
      </c>
      <c r="N998" s="3">
        <v>141.94</v>
      </c>
      <c r="O998" s="2" t="s">
        <v>97</v>
      </c>
      <c r="P998" s="2" t="s">
        <v>123</v>
      </c>
      <c r="Q998" s="2" t="s">
        <v>99</v>
      </c>
      <c r="R998" s="2" t="s">
        <v>100</v>
      </c>
      <c r="S998" s="2" t="s">
        <v>100</v>
      </c>
      <c r="T998" s="2" t="s">
        <v>100</v>
      </c>
      <c r="U998" s="2" t="s">
        <v>1776</v>
      </c>
      <c r="V998" s="2" t="s">
        <v>473</v>
      </c>
      <c r="W998" s="2" t="s">
        <v>493</v>
      </c>
      <c r="X998" s="2" t="s">
        <v>1136</v>
      </c>
      <c r="Y998" s="2" t="s">
        <v>3919</v>
      </c>
      <c r="Z998" s="4">
        <v>268</v>
      </c>
      <c r="AA998" s="4">
        <f>=ROUNDDOWN(29.7777777777778,0)</f>
      </c>
      <c r="AB998" s="5">
        <v>9</v>
      </c>
      <c r="AC998" s="2" t="s">
        <v>100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/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/>
      <c r="BJ998" s="4">
        <v>31</v>
      </c>
      <c r="BK998" s="8">
        <v>2470.44</v>
      </c>
      <c r="BL998" s="2" t="s">
        <v>3924</v>
      </c>
      <c r="BM998" s="7"/>
      <c r="BN998" s="7"/>
      <c r="BO998" s="4"/>
      <c r="BP998" s="8"/>
      <c r="BQ998" s="4"/>
      <c r="BR998" s="8"/>
      <c r="BS998" s="7"/>
      <c r="BT998" s="7"/>
      <c r="BU998" s="2" t="s">
        <v>2551</v>
      </c>
      <c r="BV998" s="2" t="s">
        <v>97</v>
      </c>
      <c r="BW998" s="2" t="s">
        <v>100</v>
      </c>
      <c r="BX998" s="2" t="s">
        <v>100</v>
      </c>
      <c r="BY998" s="2" t="s">
        <v>112</v>
      </c>
      <c r="BZ998" s="2" t="s">
        <v>149</v>
      </c>
    </row>
    <row r="999">
      <c r="A999" s="2" t="s">
        <v>3925</v>
      </c>
      <c r="B999" s="2" t="s">
        <v>3380</v>
      </c>
      <c r="C999" s="2" t="s">
        <v>3196</v>
      </c>
      <c r="D999" s="2" t="s">
        <v>3438</v>
      </c>
      <c r="E999" s="2" t="s">
        <v>3820</v>
      </c>
      <c r="F999" s="2" t="s">
        <v>3898</v>
      </c>
      <c r="G999" s="2" t="s">
        <v>3898</v>
      </c>
      <c r="H999" s="2" t="s">
        <v>3898</v>
      </c>
      <c r="I999" s="2" t="s">
        <v>3914</v>
      </c>
      <c r="J999" s="2" t="s">
        <v>3915</v>
      </c>
      <c r="K999" s="2" t="s">
        <v>878</v>
      </c>
      <c r="L999" s="3">
        <v>111.24</v>
      </c>
      <c r="M999" s="3">
        <v>116.8</v>
      </c>
      <c r="N999" s="3">
        <v>209.94</v>
      </c>
      <c r="O999" s="2" t="s">
        <v>97</v>
      </c>
      <c r="P999" s="2" t="s">
        <v>123</v>
      </c>
      <c r="Q999" s="2" t="s">
        <v>99</v>
      </c>
      <c r="R999" s="2" t="s">
        <v>100</v>
      </c>
      <c r="S999" s="2" t="s">
        <v>100</v>
      </c>
      <c r="T999" s="2" t="s">
        <v>100</v>
      </c>
      <c r="U999" s="2" t="s">
        <v>1776</v>
      </c>
      <c r="V999" s="2" t="s">
        <v>473</v>
      </c>
      <c r="W999" s="2" t="s">
        <v>493</v>
      </c>
      <c r="X999" s="2" t="s">
        <v>1136</v>
      </c>
      <c r="Y999" s="2" t="s">
        <v>3926</v>
      </c>
      <c r="Z999" s="4">
        <v>277</v>
      </c>
      <c r="AA999" s="4">
        <f>=ROUNDDOWN(34.625,0)</f>
      </c>
      <c r="AB999" s="5">
        <v>8</v>
      </c>
      <c r="AC999" s="2" t="s">
        <v>100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100</v>
      </c>
      <c r="AW999" s="8" t="s">
        <v>100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/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/>
      <c r="BJ999" s="4">
        <v>26</v>
      </c>
      <c r="BK999" s="8">
        <v>3114.6</v>
      </c>
      <c r="BL999" s="2" t="s">
        <v>3927</v>
      </c>
      <c r="BM999" s="7"/>
      <c r="BN999" s="7"/>
      <c r="BO999" s="4"/>
      <c r="BP999" s="8"/>
      <c r="BQ999" s="4"/>
      <c r="BR999" s="8"/>
      <c r="BS999" s="7"/>
      <c r="BT999" s="7"/>
      <c r="BU999" s="2" t="s">
        <v>2551</v>
      </c>
      <c r="BV999" s="2" t="s">
        <v>97</v>
      </c>
      <c r="BW999" s="2" t="s">
        <v>100</v>
      </c>
      <c r="BX999" s="2" t="s">
        <v>100</v>
      </c>
      <c r="BY999" s="2" t="s">
        <v>112</v>
      </c>
      <c r="BZ999" s="2" t="s">
        <v>149</v>
      </c>
    </row>
    <row r="1000">
      <c r="A1000" s="2" t="s">
        <v>3928</v>
      </c>
      <c r="B1000" s="2" t="s">
        <v>3380</v>
      </c>
      <c r="C1000" s="2" t="s">
        <v>3196</v>
      </c>
      <c r="D1000" s="2" t="s">
        <v>3438</v>
      </c>
      <c r="E1000" s="2" t="s">
        <v>3820</v>
      </c>
      <c r="F1000" s="2" t="s">
        <v>3898</v>
      </c>
      <c r="G1000" s="2" t="s">
        <v>3898</v>
      </c>
      <c r="H1000" s="2" t="s">
        <v>3898</v>
      </c>
      <c r="I1000" s="2" t="s">
        <v>3909</v>
      </c>
      <c r="J1000" s="2" t="s">
        <v>3910</v>
      </c>
      <c r="K1000" s="2" t="s">
        <v>458</v>
      </c>
      <c r="L1000" s="3">
        <v>74.11</v>
      </c>
      <c r="M1000" s="3">
        <v>77.82</v>
      </c>
      <c r="N1000" s="3">
        <v>141.94</v>
      </c>
      <c r="O1000" s="2" t="s">
        <v>97</v>
      </c>
      <c r="P1000" s="2" t="s">
        <v>123</v>
      </c>
      <c r="Q1000" s="2" t="s">
        <v>99</v>
      </c>
      <c r="R1000" s="2" t="s">
        <v>100</v>
      </c>
      <c r="S1000" s="2" t="s">
        <v>100</v>
      </c>
      <c r="T1000" s="2" t="s">
        <v>100</v>
      </c>
      <c r="U1000" s="2" t="s">
        <v>1776</v>
      </c>
      <c r="V1000" s="2" t="s">
        <v>473</v>
      </c>
      <c r="W1000" s="2" t="s">
        <v>493</v>
      </c>
      <c r="X1000" s="2" t="s">
        <v>1136</v>
      </c>
      <c r="Y1000" s="2" t="s">
        <v>3929</v>
      </c>
      <c r="Z1000" s="4">
        <v>165</v>
      </c>
      <c r="AA1000" s="4">
        <f>=ROUNDDOWN(19.8795180722892,0)</f>
      </c>
      <c r="AB1000" s="5">
        <v>8.3</v>
      </c>
      <c r="AC1000" s="2" t="s">
        <v>3388</v>
      </c>
      <c r="AD1000" s="4">
        <v>180</v>
      </c>
      <c r="AE1000" s="4">
        <v>180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/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/>
      <c r="BJ1000" s="4">
        <v>22</v>
      </c>
      <c r="BK1000" s="8">
        <v>1679.74</v>
      </c>
      <c r="BL1000" s="2" t="s">
        <v>3930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2551</v>
      </c>
      <c r="BV1000" s="2" t="s">
        <v>97</v>
      </c>
      <c r="BW1000" s="2" t="s">
        <v>100</v>
      </c>
      <c r="BX1000" s="2" t="s">
        <v>100</v>
      </c>
      <c r="BY1000" s="2" t="s">
        <v>112</v>
      </c>
      <c r="BZ1000" s="2" t="s">
        <v>149</v>
      </c>
    </row>
    <row r="1001">
      <c r="A1001" s="2" t="s">
        <v>3931</v>
      </c>
      <c r="B1001" s="2" t="s">
        <v>3380</v>
      </c>
      <c r="C1001" s="2" t="s">
        <v>3196</v>
      </c>
      <c r="D1001" s="2" t="s">
        <v>3438</v>
      </c>
      <c r="E1001" s="2" t="s">
        <v>3820</v>
      </c>
      <c r="F1001" s="2" t="s">
        <v>3898</v>
      </c>
      <c r="G1001" s="2" t="s">
        <v>3898</v>
      </c>
      <c r="H1001" s="2" t="s">
        <v>3898</v>
      </c>
      <c r="I1001" s="2" t="s">
        <v>3914</v>
      </c>
      <c r="J1001" s="2" t="s">
        <v>3915</v>
      </c>
      <c r="K1001" s="2" t="s">
        <v>458</v>
      </c>
      <c r="L1001" s="3">
        <v>111.24</v>
      </c>
      <c r="M1001" s="3">
        <v>116.8</v>
      </c>
      <c r="N1001" s="3">
        <v>209.94</v>
      </c>
      <c r="O1001" s="2" t="s">
        <v>97</v>
      </c>
      <c r="P1001" s="2" t="s">
        <v>123</v>
      </c>
      <c r="Q1001" s="2" t="s">
        <v>99</v>
      </c>
      <c r="R1001" s="2" t="s">
        <v>100</v>
      </c>
      <c r="S1001" s="2" t="s">
        <v>100</v>
      </c>
      <c r="T1001" s="2" t="s">
        <v>100</v>
      </c>
      <c r="U1001" s="2" t="s">
        <v>1776</v>
      </c>
      <c r="V1001" s="2" t="s">
        <v>473</v>
      </c>
      <c r="W1001" s="2" t="s">
        <v>493</v>
      </c>
      <c r="X1001" s="2" t="s">
        <v>1136</v>
      </c>
      <c r="Y1001" s="2" t="s">
        <v>3929</v>
      </c>
      <c r="Z1001" s="4">
        <v>114</v>
      </c>
      <c r="AA1001" s="4">
        <f>=ROUNDDOWN(14.4303797468354,0)</f>
      </c>
      <c r="AB1001" s="5">
        <v>7.9</v>
      </c>
      <c r="AC1001" s="2" t="s">
        <v>3388</v>
      </c>
      <c r="AD1001" s="4">
        <v>150</v>
      </c>
      <c r="AE1001" s="4">
        <v>150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/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/>
      <c r="BJ1001" s="4">
        <v>18</v>
      </c>
      <c r="BK1001" s="8">
        <v>2109.75</v>
      </c>
      <c r="BL1001" s="2" t="s">
        <v>3932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2551</v>
      </c>
      <c r="BV1001" s="2" t="s">
        <v>97</v>
      </c>
      <c r="BW1001" s="2" t="s">
        <v>100</v>
      </c>
      <c r="BX1001" s="2" t="s">
        <v>100</v>
      </c>
      <c r="BY1001" s="2" t="s">
        <v>112</v>
      </c>
      <c r="BZ1001" s="2" t="s">
        <v>149</v>
      </c>
    </row>
    <row r="1002">
      <c r="A1002" s="2" t="s">
        <v>3933</v>
      </c>
      <c r="B1002" s="2" t="s">
        <v>3380</v>
      </c>
      <c r="C1002" s="2" t="s">
        <v>3196</v>
      </c>
      <c r="D1002" s="2" t="s">
        <v>3934</v>
      </c>
      <c r="E1002" s="2" t="s">
        <v>3935</v>
      </c>
      <c r="F1002" s="2" t="s">
        <v>3936</v>
      </c>
      <c r="G1002" s="2" t="s">
        <v>3936</v>
      </c>
      <c r="H1002" s="2" t="s">
        <v>3936</v>
      </c>
      <c r="I1002" s="2" t="s">
        <v>3937</v>
      </c>
      <c r="J1002" s="2" t="s">
        <v>3892</v>
      </c>
      <c r="K1002" s="2" t="s">
        <v>3543</v>
      </c>
      <c r="L1002" s="3">
        <v>27.51</v>
      </c>
      <c r="M1002" s="3">
        <v>28.89</v>
      </c>
      <c r="N1002" s="3">
        <v>52.69</v>
      </c>
      <c r="O1002" s="2" t="s">
        <v>97</v>
      </c>
      <c r="P1002" s="2" t="s">
        <v>139</v>
      </c>
      <c r="Q1002" s="2" t="s">
        <v>99</v>
      </c>
      <c r="R1002" s="2" t="s">
        <v>100</v>
      </c>
      <c r="S1002" s="2" t="s">
        <v>3938</v>
      </c>
      <c r="T1002" s="2" t="s">
        <v>100</v>
      </c>
      <c r="U1002" s="2" t="s">
        <v>901</v>
      </c>
      <c r="V1002" s="2" t="s">
        <v>461</v>
      </c>
      <c r="W1002" s="2" t="s">
        <v>142</v>
      </c>
      <c r="X1002" s="2" t="s">
        <v>100</v>
      </c>
      <c r="Y1002" s="2" t="s">
        <v>144</v>
      </c>
      <c r="Z1002" s="4">
        <v>121</v>
      </c>
      <c r="AA1002" s="4">
        <f>=ROUNDDOWN(2.88095238095238,0)</f>
      </c>
      <c r="AB1002" s="5">
        <v>42</v>
      </c>
      <c r="AC1002" s="2" t="s">
        <v>897</v>
      </c>
      <c r="AD1002" s="4">
        <v>500</v>
      </c>
      <c r="AE1002" s="4">
        <v>1310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/>
      <c r="BJ1002" s="4">
        <v>162</v>
      </c>
      <c r="BK1002" s="8">
        <v>4461.18</v>
      </c>
      <c r="BL1002" s="2" t="s">
        <v>3939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2551</v>
      </c>
      <c r="BV1002" s="2" t="s">
        <v>97</v>
      </c>
      <c r="BW1002" s="2" t="s">
        <v>100</v>
      </c>
      <c r="BX1002" s="2" t="s">
        <v>100</v>
      </c>
      <c r="BY1002" s="2" t="s">
        <v>112</v>
      </c>
      <c r="BZ1002" s="2" t="s">
        <v>149</v>
      </c>
    </row>
    <row r="1003">
      <c r="A1003" s="2" t="s">
        <v>3940</v>
      </c>
      <c r="B1003" s="2" t="s">
        <v>3380</v>
      </c>
      <c r="C1003" s="2" t="s">
        <v>3196</v>
      </c>
      <c r="D1003" s="2" t="s">
        <v>3934</v>
      </c>
      <c r="E1003" s="2" t="s">
        <v>3935</v>
      </c>
      <c r="F1003" s="2" t="s">
        <v>3936</v>
      </c>
      <c r="G1003" s="2" t="s">
        <v>3936</v>
      </c>
      <c r="H1003" s="2" t="s">
        <v>3936</v>
      </c>
      <c r="I1003" s="2" t="s">
        <v>3937</v>
      </c>
      <c r="J1003" s="2" t="s">
        <v>3892</v>
      </c>
      <c r="K1003" s="2" t="s">
        <v>878</v>
      </c>
      <c r="L1003" s="3">
        <v>27.51</v>
      </c>
      <c r="M1003" s="3">
        <v>28.89</v>
      </c>
      <c r="N1003" s="3">
        <v>52.69</v>
      </c>
      <c r="O1003" s="2" t="s">
        <v>97</v>
      </c>
      <c r="P1003" s="2" t="s">
        <v>139</v>
      </c>
      <c r="Q1003" s="2" t="s">
        <v>99</v>
      </c>
      <c r="R1003" s="2" t="s">
        <v>100</v>
      </c>
      <c r="S1003" s="2" t="s">
        <v>100</v>
      </c>
      <c r="T1003" s="2" t="s">
        <v>100</v>
      </c>
      <c r="U1003" s="2" t="s">
        <v>901</v>
      </c>
      <c r="V1003" s="2" t="s">
        <v>461</v>
      </c>
      <c r="W1003" s="2" t="s">
        <v>142</v>
      </c>
      <c r="X1003" s="2" t="s">
        <v>1136</v>
      </c>
      <c r="Y1003" s="2" t="s">
        <v>3941</v>
      </c>
      <c r="Z1003" s="4">
        <v>99</v>
      </c>
      <c r="AA1003" s="4">
        <f>=ROUNDDOWN(3.41379310344828,0)</f>
      </c>
      <c r="AB1003" s="5">
        <v>29</v>
      </c>
      <c r="AC1003" s="2" t="s">
        <v>897</v>
      </c>
      <c r="AD1003" s="4">
        <v>250</v>
      </c>
      <c r="AE1003" s="4">
        <v>890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/>
      <c r="BJ1003" s="4">
        <v>89</v>
      </c>
      <c r="BK1003" s="8">
        <v>2731.99</v>
      </c>
      <c r="BL1003" s="2" t="s">
        <v>3942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2551</v>
      </c>
      <c r="BV1003" s="2" t="s">
        <v>97</v>
      </c>
      <c r="BW1003" s="2" t="s">
        <v>100</v>
      </c>
      <c r="BX1003" s="2" t="s">
        <v>100</v>
      </c>
      <c r="BY1003" s="2" t="s">
        <v>112</v>
      </c>
      <c r="BZ1003" s="2" t="s">
        <v>149</v>
      </c>
    </row>
    <row r="1004">
      <c r="A1004" s="2" t="s">
        <v>3943</v>
      </c>
      <c r="B1004" s="2" t="s">
        <v>3380</v>
      </c>
      <c r="C1004" s="2" t="s">
        <v>3196</v>
      </c>
      <c r="D1004" s="2" t="s">
        <v>3934</v>
      </c>
      <c r="E1004" s="2" t="s">
        <v>3935</v>
      </c>
      <c r="F1004" s="2" t="s">
        <v>3944</v>
      </c>
      <c r="G1004" s="2" t="s">
        <v>3944</v>
      </c>
      <c r="H1004" s="2" t="s">
        <v>3944</v>
      </c>
      <c r="I1004" s="2" t="s">
        <v>3945</v>
      </c>
      <c r="J1004" s="2" t="s">
        <v>3892</v>
      </c>
      <c r="K1004" s="2" t="s">
        <v>3946</v>
      </c>
      <c r="L1004" s="3">
        <v>100.98</v>
      </c>
      <c r="M1004" s="3">
        <v>106.03</v>
      </c>
      <c r="N1004" s="3">
        <v>169.99</v>
      </c>
      <c r="O1004" s="2" t="s">
        <v>97</v>
      </c>
      <c r="P1004" s="2" t="s">
        <v>139</v>
      </c>
      <c r="Q1004" s="2" t="s">
        <v>99</v>
      </c>
      <c r="R1004" s="2" t="s">
        <v>100</v>
      </c>
      <c r="S1004" s="2" t="s">
        <v>3947</v>
      </c>
      <c r="T1004" s="2" t="s">
        <v>100</v>
      </c>
      <c r="U1004" s="2" t="s">
        <v>901</v>
      </c>
      <c r="V1004" s="2" t="s">
        <v>461</v>
      </c>
      <c r="W1004" s="2" t="s">
        <v>142</v>
      </c>
      <c r="X1004" s="2" t="s">
        <v>100</v>
      </c>
      <c r="Y1004" s="2" t="s">
        <v>1724</v>
      </c>
      <c r="Z1004" s="4">
        <v>303</v>
      </c>
      <c r="AA1004" s="4">
        <f>=ROUNDDOWN(23.3076923076923,0)</f>
      </c>
      <c r="AB1004" s="5">
        <v>13</v>
      </c>
      <c r="AC1004" s="2" t="s">
        <v>832</v>
      </c>
      <c r="AD1004" s="4">
        <v>400</v>
      </c>
      <c r="AE1004" s="4">
        <v>400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>
        <v>52</v>
      </c>
      <c r="BK1004" s="8">
        <v>5639.28</v>
      </c>
      <c r="BL1004" s="2" t="s">
        <v>3948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2551</v>
      </c>
      <c r="BV1004" s="2" t="s">
        <v>97</v>
      </c>
      <c r="BW1004" s="2" t="s">
        <v>100</v>
      </c>
      <c r="BX1004" s="2" t="s">
        <v>100</v>
      </c>
      <c r="BY1004" s="2" t="s">
        <v>112</v>
      </c>
      <c r="BZ1004" s="2" t="s">
        <v>149</v>
      </c>
    </row>
    <row r="1005">
      <c r="A1005" s="2" t="s">
        <v>3949</v>
      </c>
      <c r="B1005" s="2" t="s">
        <v>3380</v>
      </c>
      <c r="C1005" s="2" t="s">
        <v>3950</v>
      </c>
      <c r="D1005" s="2" t="s">
        <v>3381</v>
      </c>
      <c r="E1005" s="2" t="s">
        <v>3382</v>
      </c>
      <c r="F1005" s="2" t="s">
        <v>3951</v>
      </c>
      <c r="G1005" s="2" t="s">
        <v>3951</v>
      </c>
      <c r="H1005" s="2" t="s">
        <v>3951</v>
      </c>
      <c r="I1005" s="2" t="s">
        <v>3952</v>
      </c>
      <c r="J1005" s="2" t="s">
        <v>3385</v>
      </c>
      <c r="K1005" s="2" t="s">
        <v>289</v>
      </c>
      <c r="L1005" s="3">
        <v>70.13</v>
      </c>
      <c r="M1005" s="3">
        <v>73.64</v>
      </c>
      <c r="N1005" s="3">
        <v>144.49</v>
      </c>
      <c r="O1005" s="2" t="s">
        <v>97</v>
      </c>
      <c r="P1005" s="2" t="s">
        <v>98</v>
      </c>
      <c r="Q1005" s="2" t="s">
        <v>99</v>
      </c>
      <c r="R1005" s="2" t="s">
        <v>100</v>
      </c>
      <c r="S1005" s="2" t="s">
        <v>100</v>
      </c>
      <c r="T1005" s="2" t="s">
        <v>100</v>
      </c>
      <c r="U1005" s="2" t="s">
        <v>901</v>
      </c>
      <c r="V1005" s="2" t="s">
        <v>473</v>
      </c>
      <c r="W1005" s="2" t="s">
        <v>493</v>
      </c>
      <c r="X1005" s="2" t="s">
        <v>3953</v>
      </c>
      <c r="Y1005" s="2" t="s">
        <v>3954</v>
      </c>
      <c r="Z1005" s="4">
        <v>61</v>
      </c>
      <c r="AA1005" s="4">
        <f>=ROUNDDOWN(15.25,0)</f>
      </c>
      <c r="AB1005" s="5">
        <v>4</v>
      </c>
      <c r="AC1005" s="2" t="s">
        <v>2121</v>
      </c>
      <c r="AD1005" s="4">
        <v>100</v>
      </c>
      <c r="AE1005" s="4">
        <v>100</v>
      </c>
      <c r="AF1005" s="6">
        <v>63</v>
      </c>
      <c r="AG1005" s="6"/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>
        <v>23</v>
      </c>
      <c r="BK1005" s="8">
        <v>2003.23</v>
      </c>
      <c r="BL1005" s="2" t="s">
        <v>3955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2551</v>
      </c>
      <c r="BV1005" s="2" t="s">
        <v>97</v>
      </c>
      <c r="BW1005" s="2" t="s">
        <v>100</v>
      </c>
      <c r="BX1005" s="2" t="s">
        <v>100</v>
      </c>
      <c r="BY1005" s="2" t="s">
        <v>112</v>
      </c>
      <c r="BZ1005" s="2" t="s">
        <v>149</v>
      </c>
    </row>
    <row r="1006">
      <c r="A1006" s="2" t="s">
        <v>3956</v>
      </c>
      <c r="B1006" s="2" t="s">
        <v>3380</v>
      </c>
      <c r="C1006" s="2" t="s">
        <v>3950</v>
      </c>
      <c r="D1006" s="2" t="s">
        <v>3381</v>
      </c>
      <c r="E1006" s="2" t="s">
        <v>3479</v>
      </c>
      <c r="F1006" s="2" t="s">
        <v>3957</v>
      </c>
      <c r="G1006" s="2" t="s">
        <v>3957</v>
      </c>
      <c r="H1006" s="2" t="s">
        <v>3957</v>
      </c>
      <c r="I1006" s="2" t="s">
        <v>3958</v>
      </c>
      <c r="J1006" s="2" t="s">
        <v>3385</v>
      </c>
      <c r="K1006" s="2" t="s">
        <v>179</v>
      </c>
      <c r="L1006" s="3">
        <v>38.46</v>
      </c>
      <c r="M1006" s="3">
        <v>40.38</v>
      </c>
      <c r="N1006" s="3">
        <v>84.99</v>
      </c>
      <c r="O1006" s="2" t="s">
        <v>97</v>
      </c>
      <c r="P1006" s="2" t="s">
        <v>123</v>
      </c>
      <c r="Q1006" s="2" t="s">
        <v>99</v>
      </c>
      <c r="R1006" s="2" t="s">
        <v>100</v>
      </c>
      <c r="S1006" s="2" t="s">
        <v>3959</v>
      </c>
      <c r="T1006" s="2" t="s">
        <v>100</v>
      </c>
      <c r="U1006" s="2" t="s">
        <v>1776</v>
      </c>
      <c r="V1006" s="2" t="s">
        <v>547</v>
      </c>
      <c r="W1006" s="2" t="s">
        <v>493</v>
      </c>
      <c r="X1006" s="2" t="s">
        <v>3953</v>
      </c>
      <c r="Y1006" s="2" t="s">
        <v>3960</v>
      </c>
      <c r="Z1006" s="4">
        <v>190</v>
      </c>
      <c r="AA1006" s="4">
        <f>=ROUNDDOWN(10,0)</f>
      </c>
      <c r="AB1006" s="5">
        <v>19</v>
      </c>
      <c r="AC1006" s="2" t="s">
        <v>3515</v>
      </c>
      <c r="AD1006" s="4">
        <v>170</v>
      </c>
      <c r="AE1006" s="4">
        <v>330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/>
      <c r="BD1006" s="8"/>
      <c r="BE1006" s="4"/>
      <c r="BF1006" s="8"/>
      <c r="BG1006" s="7"/>
      <c r="BH1006" s="7"/>
      <c r="BI1006" s="7"/>
      <c r="BJ1006" s="4">
        <v>69</v>
      </c>
      <c r="BK1006" s="8">
        <v>3348.82</v>
      </c>
      <c r="BL1006" s="2" t="s">
        <v>3961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2551</v>
      </c>
      <c r="BV1006" s="2" t="s">
        <v>97</v>
      </c>
      <c r="BW1006" s="2" t="s">
        <v>100</v>
      </c>
      <c r="BX1006" s="2" t="s">
        <v>100</v>
      </c>
      <c r="BY1006" s="2" t="s">
        <v>112</v>
      </c>
      <c r="BZ1006" s="2" t="s">
        <v>149</v>
      </c>
    </row>
    <row r="1007">
      <c r="A1007" s="2" t="s">
        <v>3962</v>
      </c>
      <c r="B1007" s="2" t="s">
        <v>3380</v>
      </c>
      <c r="C1007" s="2" t="s">
        <v>3950</v>
      </c>
      <c r="D1007" s="2" t="s">
        <v>3381</v>
      </c>
      <c r="E1007" s="2" t="s">
        <v>3479</v>
      </c>
      <c r="F1007" s="2" t="s">
        <v>3963</v>
      </c>
      <c r="G1007" s="2" t="s">
        <v>3963</v>
      </c>
      <c r="H1007" s="2" t="s">
        <v>3963</v>
      </c>
      <c r="I1007" s="2" t="s">
        <v>3964</v>
      </c>
      <c r="J1007" s="2" t="s">
        <v>3385</v>
      </c>
      <c r="K1007" s="2" t="s">
        <v>179</v>
      </c>
      <c r="L1007" s="3">
        <v>40.8</v>
      </c>
      <c r="M1007" s="3">
        <v>42.84</v>
      </c>
      <c r="N1007" s="3">
        <v>84.99</v>
      </c>
      <c r="O1007" s="2" t="s">
        <v>97</v>
      </c>
      <c r="P1007" s="2" t="s">
        <v>707</v>
      </c>
      <c r="Q1007" s="2" t="s">
        <v>99</v>
      </c>
      <c r="R1007" s="2" t="s">
        <v>100</v>
      </c>
      <c r="S1007" s="2" t="s">
        <v>3965</v>
      </c>
      <c r="T1007" s="2" t="s">
        <v>100</v>
      </c>
      <c r="U1007" s="2" t="s">
        <v>1776</v>
      </c>
      <c r="V1007" s="2" t="s">
        <v>717</v>
      </c>
      <c r="W1007" s="2" t="s">
        <v>493</v>
      </c>
      <c r="X1007" s="2" t="s">
        <v>3953</v>
      </c>
      <c r="Y1007" s="2" t="s">
        <v>3960</v>
      </c>
      <c r="Z1007" s="4">
        <v>72</v>
      </c>
      <c r="AA1007" s="4">
        <f>=ROUNDDOWN(14.4,0)</f>
      </c>
      <c r="AB1007" s="5">
        <v>5</v>
      </c>
      <c r="AC1007" s="2" t="s">
        <v>389</v>
      </c>
      <c r="AD1007" s="4">
        <v>100</v>
      </c>
      <c r="AE1007" s="4">
        <v>100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>
        <v>10</v>
      </c>
      <c r="BK1007" s="8">
        <v>444.14</v>
      </c>
      <c r="BL1007" s="2" t="s">
        <v>3966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2526</v>
      </c>
      <c r="BV1007" s="2" t="s">
        <v>97</v>
      </c>
      <c r="BW1007" s="2" t="s">
        <v>100</v>
      </c>
      <c r="BX1007" s="2" t="s">
        <v>100</v>
      </c>
      <c r="BY1007" s="2" t="s">
        <v>112</v>
      </c>
      <c r="BZ1007" s="2" t="s">
        <v>149</v>
      </c>
    </row>
    <row r="1008">
      <c r="A1008" s="2" t="s">
        <v>3967</v>
      </c>
      <c r="B1008" s="2" t="s">
        <v>3380</v>
      </c>
      <c r="C1008" s="2" t="s">
        <v>3950</v>
      </c>
      <c r="D1008" s="2" t="s">
        <v>3381</v>
      </c>
      <c r="E1008" s="2" t="s">
        <v>3390</v>
      </c>
      <c r="F1008" s="2" t="s">
        <v>3968</v>
      </c>
      <c r="G1008" s="2" t="s">
        <v>3968</v>
      </c>
      <c r="H1008" s="2" t="s">
        <v>3968</v>
      </c>
      <c r="I1008" s="2" t="s">
        <v>3969</v>
      </c>
      <c r="J1008" s="2" t="s">
        <v>3385</v>
      </c>
      <c r="K1008" s="2" t="s">
        <v>3475</v>
      </c>
      <c r="L1008" s="3">
        <v>37.19</v>
      </c>
      <c r="M1008" s="3">
        <v>39.05</v>
      </c>
      <c r="N1008" s="3">
        <v>76.49</v>
      </c>
      <c r="O1008" s="2" t="s">
        <v>97</v>
      </c>
      <c r="P1008" s="2" t="s">
        <v>139</v>
      </c>
      <c r="Q1008" s="2" t="s">
        <v>99</v>
      </c>
      <c r="R1008" s="2" t="s">
        <v>100</v>
      </c>
      <c r="S1008" s="2" t="s">
        <v>100</v>
      </c>
      <c r="T1008" s="2" t="s">
        <v>100</v>
      </c>
      <c r="U1008" s="2" t="s">
        <v>1776</v>
      </c>
      <c r="V1008" s="2" t="s">
        <v>461</v>
      </c>
      <c r="W1008" s="2" t="s">
        <v>142</v>
      </c>
      <c r="X1008" s="2" t="s">
        <v>3953</v>
      </c>
      <c r="Y1008" s="2" t="s">
        <v>2219</v>
      </c>
      <c r="Z1008" s="4">
        <v>265</v>
      </c>
      <c r="AA1008" s="4">
        <f>=ROUNDDOWN(13.25,0)</f>
      </c>
      <c r="AB1008" s="5">
        <v>20</v>
      </c>
      <c r="AC1008" s="2" t="s">
        <v>3515</v>
      </c>
      <c r="AD1008" s="4">
        <v>200</v>
      </c>
      <c r="AE1008" s="4">
        <v>400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>
        <v>81</v>
      </c>
      <c r="BK1008" s="8">
        <v>3678.5</v>
      </c>
      <c r="BL1008" s="2" t="s">
        <v>3970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2551</v>
      </c>
      <c r="BV1008" s="2" t="s">
        <v>97</v>
      </c>
      <c r="BW1008" s="2" t="s">
        <v>100</v>
      </c>
      <c r="BX1008" s="2" t="s">
        <v>100</v>
      </c>
      <c r="BY1008" s="2" t="s">
        <v>112</v>
      </c>
      <c r="BZ1008" s="2" t="s">
        <v>149</v>
      </c>
    </row>
    <row r="1009">
      <c r="A1009" s="2" t="s">
        <v>3971</v>
      </c>
      <c r="B1009" s="2" t="s">
        <v>3380</v>
      </c>
      <c r="C1009" s="2" t="s">
        <v>3950</v>
      </c>
      <c r="D1009" s="2" t="s">
        <v>3408</v>
      </c>
      <c r="E1009" s="2" t="s">
        <v>3479</v>
      </c>
      <c r="F1009" s="2" t="s">
        <v>3972</v>
      </c>
      <c r="G1009" s="2" t="s">
        <v>3972</v>
      </c>
      <c r="H1009" s="2" t="s">
        <v>3972</v>
      </c>
      <c r="I1009" s="2" t="s">
        <v>3740</v>
      </c>
      <c r="J1009" s="2" t="s">
        <v>3385</v>
      </c>
      <c r="K1009" s="2" t="s">
        <v>706</v>
      </c>
      <c r="L1009" s="3">
        <v>79.42</v>
      </c>
      <c r="M1009" s="3">
        <v>83.39</v>
      </c>
      <c r="N1009" s="3">
        <v>157.24</v>
      </c>
      <c r="O1009" s="2" t="s">
        <v>97</v>
      </c>
      <c r="P1009" s="2" t="s">
        <v>123</v>
      </c>
      <c r="Q1009" s="2" t="s">
        <v>99</v>
      </c>
      <c r="R1009" s="2" t="s">
        <v>100</v>
      </c>
      <c r="S1009" s="2" t="s">
        <v>3973</v>
      </c>
      <c r="T1009" s="2" t="s">
        <v>100</v>
      </c>
      <c r="U1009" s="2" t="s">
        <v>460</v>
      </c>
      <c r="V1009" s="2" t="s">
        <v>547</v>
      </c>
      <c r="W1009" s="2" t="s">
        <v>493</v>
      </c>
      <c r="X1009" s="2" t="s">
        <v>3953</v>
      </c>
      <c r="Y1009" s="2" t="s">
        <v>3974</v>
      </c>
      <c r="Z1009" s="4">
        <v>123</v>
      </c>
      <c r="AA1009" s="4">
        <f>=ROUNDDOWN(13.6666666666667,0)</f>
      </c>
      <c r="AB1009" s="5">
        <v>9</v>
      </c>
      <c r="AC1009" s="2" t="s">
        <v>1468</v>
      </c>
      <c r="AD1009" s="4">
        <v>80</v>
      </c>
      <c r="AE1009" s="4">
        <v>80</v>
      </c>
      <c r="AF1009" s="6">
        <v>63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>
        <v>31</v>
      </c>
      <c r="BK1009" s="8">
        <v>2756.43</v>
      </c>
      <c r="BL1009" s="2" t="s">
        <v>3975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2551</v>
      </c>
      <c r="BV1009" s="2" t="s">
        <v>97</v>
      </c>
      <c r="BW1009" s="2" t="s">
        <v>100</v>
      </c>
      <c r="BX1009" s="2" t="s">
        <v>100</v>
      </c>
      <c r="BY1009" s="2" t="s">
        <v>112</v>
      </c>
      <c r="BZ1009" s="2" t="s">
        <v>149</v>
      </c>
    </row>
    <row r="1010">
      <c r="A1010" s="2" t="s">
        <v>3976</v>
      </c>
      <c r="B1010" s="2" t="s">
        <v>3380</v>
      </c>
      <c r="C1010" s="2" t="s">
        <v>3950</v>
      </c>
      <c r="D1010" s="2" t="s">
        <v>3408</v>
      </c>
      <c r="E1010" s="2" t="s">
        <v>3479</v>
      </c>
      <c r="F1010" s="2" t="s">
        <v>3977</v>
      </c>
      <c r="G1010" s="2" t="s">
        <v>3977</v>
      </c>
      <c r="H1010" s="2" t="s">
        <v>3977</v>
      </c>
      <c r="I1010" s="2" t="s">
        <v>3978</v>
      </c>
      <c r="J1010" s="2" t="s">
        <v>3385</v>
      </c>
      <c r="K1010" s="2" t="s">
        <v>706</v>
      </c>
      <c r="L1010" s="3">
        <v>29.92</v>
      </c>
      <c r="M1010" s="3">
        <v>31.42</v>
      </c>
      <c r="N1010" s="3">
        <v>63.74</v>
      </c>
      <c r="O1010" s="2" t="s">
        <v>97</v>
      </c>
      <c r="P1010" s="2" t="s">
        <v>98</v>
      </c>
      <c r="Q1010" s="2" t="s">
        <v>99</v>
      </c>
      <c r="R1010" s="2" t="s">
        <v>100</v>
      </c>
      <c r="S1010" s="2" t="s">
        <v>100</v>
      </c>
      <c r="T1010" s="2" t="s">
        <v>100</v>
      </c>
      <c r="U1010" s="2" t="s">
        <v>894</v>
      </c>
      <c r="V1010" s="2" t="s">
        <v>733</v>
      </c>
      <c r="W1010" s="2" t="s">
        <v>142</v>
      </c>
      <c r="X1010" s="2" t="s">
        <v>3979</v>
      </c>
      <c r="Y1010" s="2" t="s">
        <v>3980</v>
      </c>
      <c r="Z1010" s="4">
        <v>74</v>
      </c>
      <c r="AA1010" s="4">
        <f>=ROUNDDOWN(12.3333333333333,0)</f>
      </c>
      <c r="AB1010" s="5">
        <v>6</v>
      </c>
      <c r="AC1010" s="2" t="s">
        <v>2121</v>
      </c>
      <c r="AD1010" s="4">
        <v>100</v>
      </c>
      <c r="AE1010" s="4">
        <v>100</v>
      </c>
      <c r="AF1010" s="6">
        <v>63</v>
      </c>
      <c r="AG1010" s="6"/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>
        <v>21</v>
      </c>
      <c r="BK1010" s="8">
        <v>721.76</v>
      </c>
      <c r="BL1010" s="2" t="s">
        <v>3981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2551</v>
      </c>
      <c r="BV1010" s="2" t="s">
        <v>97</v>
      </c>
      <c r="BW1010" s="2" t="s">
        <v>100</v>
      </c>
      <c r="BX1010" s="2" t="s">
        <v>100</v>
      </c>
      <c r="BY1010" s="2" t="s">
        <v>112</v>
      </c>
      <c r="BZ1010" s="2" t="s">
        <v>149</v>
      </c>
    </row>
    <row r="1011">
      <c r="A1011" s="2" t="s">
        <v>3982</v>
      </c>
      <c r="B1011" s="2" t="s">
        <v>3380</v>
      </c>
      <c r="C1011" s="2" t="s">
        <v>3950</v>
      </c>
      <c r="D1011" s="2" t="s">
        <v>3408</v>
      </c>
      <c r="E1011" s="2" t="s">
        <v>3479</v>
      </c>
      <c r="F1011" s="2" t="s">
        <v>3983</v>
      </c>
      <c r="G1011" s="2" t="s">
        <v>3983</v>
      </c>
      <c r="H1011" s="2" t="s">
        <v>3983</v>
      </c>
      <c r="I1011" s="2" t="s">
        <v>3984</v>
      </c>
      <c r="J1011" s="2" t="s">
        <v>3385</v>
      </c>
      <c r="K1011" s="2" t="s">
        <v>256</v>
      </c>
      <c r="L1011" s="3">
        <v>63.6</v>
      </c>
      <c r="M1011" s="3">
        <v>66.78</v>
      </c>
      <c r="N1011" s="3">
        <v>124.94</v>
      </c>
      <c r="O1011" s="2" t="s">
        <v>97</v>
      </c>
      <c r="P1011" s="2" t="s">
        <v>139</v>
      </c>
      <c r="Q1011" s="2" t="s">
        <v>99</v>
      </c>
      <c r="R1011" s="2" t="s">
        <v>100</v>
      </c>
      <c r="S1011" s="2" t="s">
        <v>100</v>
      </c>
      <c r="T1011" s="2" t="s">
        <v>100</v>
      </c>
      <c r="U1011" s="2" t="s">
        <v>1228</v>
      </c>
      <c r="V1011" s="2" t="s">
        <v>733</v>
      </c>
      <c r="W1011" s="2" t="s">
        <v>142</v>
      </c>
      <c r="X1011" s="2" t="s">
        <v>3979</v>
      </c>
      <c r="Y1011" s="2" t="s">
        <v>3985</v>
      </c>
      <c r="Z1011" s="4">
        <v>161</v>
      </c>
      <c r="AA1011" s="4">
        <f>=ROUNDDOWN(8.47368421052632,0)</f>
      </c>
      <c r="AB1011" s="5">
        <v>19</v>
      </c>
      <c r="AC1011" s="2" t="s">
        <v>990</v>
      </c>
      <c r="AD1011" s="4">
        <v>150</v>
      </c>
      <c r="AE1011" s="4">
        <v>260</v>
      </c>
      <c r="AF1011" s="6">
        <v>63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/>
      <c r="BD1011" s="8"/>
      <c r="BE1011" s="4"/>
      <c r="BF1011" s="8"/>
      <c r="BG1011" s="7"/>
      <c r="BH1011" s="7"/>
      <c r="BI1011" s="7"/>
      <c r="BJ1011" s="4">
        <v>67</v>
      </c>
      <c r="BK1011" s="8">
        <v>4926.06</v>
      </c>
      <c r="BL1011" s="2" t="s">
        <v>3986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2551</v>
      </c>
      <c r="BV1011" s="2" t="s">
        <v>97</v>
      </c>
      <c r="BW1011" s="2" t="s">
        <v>100</v>
      </c>
      <c r="BX1011" s="2" t="s">
        <v>100</v>
      </c>
      <c r="BY1011" s="2" t="s">
        <v>112</v>
      </c>
      <c r="BZ1011" s="2" t="s">
        <v>149</v>
      </c>
    </row>
    <row r="1012">
      <c r="A1012" s="2" t="s">
        <v>3987</v>
      </c>
      <c r="B1012" s="2" t="s">
        <v>3380</v>
      </c>
      <c r="C1012" s="2" t="s">
        <v>3950</v>
      </c>
      <c r="D1012" s="2" t="s">
        <v>3408</v>
      </c>
      <c r="E1012" s="2" t="s">
        <v>3479</v>
      </c>
      <c r="F1012" s="2" t="s">
        <v>3988</v>
      </c>
      <c r="G1012" s="2" t="s">
        <v>3988</v>
      </c>
      <c r="H1012" s="2" t="s">
        <v>3988</v>
      </c>
      <c r="I1012" s="2" t="s">
        <v>3989</v>
      </c>
      <c r="J1012" s="2" t="s">
        <v>3385</v>
      </c>
      <c r="K1012" s="2" t="s">
        <v>706</v>
      </c>
      <c r="L1012" s="3">
        <v>26.03</v>
      </c>
      <c r="M1012" s="3">
        <v>27.33</v>
      </c>
      <c r="N1012" s="3">
        <v>59.49</v>
      </c>
      <c r="O1012" s="2" t="s">
        <v>97</v>
      </c>
      <c r="P1012" s="2" t="s">
        <v>123</v>
      </c>
      <c r="Q1012" s="2" t="s">
        <v>99</v>
      </c>
      <c r="R1012" s="2" t="s">
        <v>100</v>
      </c>
      <c r="S1012" s="2" t="s">
        <v>3990</v>
      </c>
      <c r="T1012" s="2" t="s">
        <v>100</v>
      </c>
      <c r="U1012" s="2" t="s">
        <v>1776</v>
      </c>
      <c r="V1012" s="2" t="s">
        <v>3634</v>
      </c>
      <c r="W1012" s="2" t="s">
        <v>104</v>
      </c>
      <c r="X1012" s="2" t="s">
        <v>3979</v>
      </c>
      <c r="Y1012" s="2" t="s">
        <v>1592</v>
      </c>
      <c r="Z1012" s="4">
        <v>333</v>
      </c>
      <c r="AA1012" s="4">
        <f>=ROUNDDOWN(23.7857142857143,0)</f>
      </c>
      <c r="AB1012" s="5">
        <v>14</v>
      </c>
      <c r="AC1012" s="2" t="s">
        <v>100</v>
      </c>
      <c r="AD1012" s="4"/>
      <c r="AE1012" s="4"/>
      <c r="AF1012" s="6">
        <v>63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>
        <v>32</v>
      </c>
      <c r="BK1012" s="8">
        <v>1253.71</v>
      </c>
      <c r="BL1012" s="2" t="s">
        <v>3991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2551</v>
      </c>
      <c r="BV1012" s="2" t="s">
        <v>97</v>
      </c>
      <c r="BW1012" s="2" t="s">
        <v>100</v>
      </c>
      <c r="BX1012" s="2" t="s">
        <v>100</v>
      </c>
      <c r="BY1012" s="2" t="s">
        <v>112</v>
      </c>
      <c r="BZ1012" s="2" t="s">
        <v>149</v>
      </c>
    </row>
    <row r="1013">
      <c r="A1013" s="2" t="s">
        <v>3992</v>
      </c>
      <c r="B1013" s="2" t="s">
        <v>3380</v>
      </c>
      <c r="C1013" s="2" t="s">
        <v>3950</v>
      </c>
      <c r="D1013" s="2" t="s">
        <v>3408</v>
      </c>
      <c r="E1013" s="2" t="s">
        <v>3479</v>
      </c>
      <c r="F1013" s="2" t="s">
        <v>3993</v>
      </c>
      <c r="G1013" s="2" t="s">
        <v>3993</v>
      </c>
      <c r="H1013" s="2" t="s">
        <v>3993</v>
      </c>
      <c r="I1013" s="2" t="s">
        <v>3994</v>
      </c>
      <c r="J1013" s="2" t="s">
        <v>3385</v>
      </c>
      <c r="K1013" s="2" t="s">
        <v>706</v>
      </c>
      <c r="L1013" s="3">
        <v>87.35</v>
      </c>
      <c r="M1013" s="3">
        <v>91.72</v>
      </c>
      <c r="N1013" s="3">
        <v>161.49</v>
      </c>
      <c r="O1013" s="2" t="s">
        <v>97</v>
      </c>
      <c r="P1013" s="2" t="s">
        <v>123</v>
      </c>
      <c r="Q1013" s="2" t="s">
        <v>99</v>
      </c>
      <c r="R1013" s="2" t="s">
        <v>100</v>
      </c>
      <c r="S1013" s="2" t="s">
        <v>3995</v>
      </c>
      <c r="T1013" s="2" t="s">
        <v>100</v>
      </c>
      <c r="U1013" s="2" t="s">
        <v>460</v>
      </c>
      <c r="V1013" s="2" t="s">
        <v>3634</v>
      </c>
      <c r="W1013" s="2" t="s">
        <v>142</v>
      </c>
      <c r="X1013" s="2" t="s">
        <v>3979</v>
      </c>
      <c r="Y1013" s="2" t="s">
        <v>3996</v>
      </c>
      <c r="Z1013" s="4">
        <v>131</v>
      </c>
      <c r="AA1013" s="4">
        <f>=ROUNDDOWN(18.7142857142857,0)</f>
      </c>
      <c r="AB1013" s="5">
        <v>7</v>
      </c>
      <c r="AC1013" s="2" t="s">
        <v>100</v>
      </c>
      <c r="AD1013" s="4"/>
      <c r="AE1013" s="4"/>
      <c r="AF1013" s="6">
        <v>63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>
        <v>26</v>
      </c>
      <c r="BK1013" s="8">
        <v>2455.65</v>
      </c>
      <c r="BL1013" s="2" t="s">
        <v>3997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2551</v>
      </c>
      <c r="BV1013" s="2" t="s">
        <v>97</v>
      </c>
      <c r="BW1013" s="2" t="s">
        <v>100</v>
      </c>
      <c r="BX1013" s="2" t="s">
        <v>100</v>
      </c>
      <c r="BY1013" s="2" t="s">
        <v>112</v>
      </c>
      <c r="BZ1013" s="2" t="s">
        <v>149</v>
      </c>
    </row>
    <row r="1014">
      <c r="A1014" s="2" t="s">
        <v>3998</v>
      </c>
      <c r="B1014" s="2" t="s">
        <v>3380</v>
      </c>
      <c r="C1014" s="2" t="s">
        <v>3950</v>
      </c>
      <c r="D1014" s="2" t="s">
        <v>3438</v>
      </c>
      <c r="E1014" s="2" t="s">
        <v>3439</v>
      </c>
      <c r="F1014" s="2" t="s">
        <v>1969</v>
      </c>
      <c r="G1014" s="2" t="s">
        <v>1969</v>
      </c>
      <c r="H1014" s="2" t="s">
        <v>1969</v>
      </c>
      <c r="I1014" s="2" t="s">
        <v>3999</v>
      </c>
      <c r="J1014" s="2" t="s">
        <v>3385</v>
      </c>
      <c r="K1014" s="2" t="s">
        <v>3475</v>
      </c>
      <c r="L1014" s="3">
        <v>62.26</v>
      </c>
      <c r="M1014" s="3">
        <v>65.37</v>
      </c>
      <c r="N1014" s="3">
        <v>130.04</v>
      </c>
      <c r="O1014" s="2" t="s">
        <v>97</v>
      </c>
      <c r="P1014" s="2" t="s">
        <v>139</v>
      </c>
      <c r="Q1014" s="2" t="s">
        <v>99</v>
      </c>
      <c r="R1014" s="2" t="s">
        <v>100</v>
      </c>
      <c r="S1014" s="2" t="s">
        <v>100</v>
      </c>
      <c r="T1014" s="2" t="s">
        <v>100</v>
      </c>
      <c r="U1014" s="2" t="s">
        <v>1776</v>
      </c>
      <c r="V1014" s="2" t="s">
        <v>461</v>
      </c>
      <c r="W1014" s="2" t="s">
        <v>142</v>
      </c>
      <c r="X1014" s="2" t="s">
        <v>3953</v>
      </c>
      <c r="Y1014" s="2" t="s">
        <v>4000</v>
      </c>
      <c r="Z1014" s="4">
        <v>335</v>
      </c>
      <c r="AA1014" s="4">
        <f>=ROUNDDOWN(17.6315789473684,0)</f>
      </c>
      <c r="AB1014" s="5">
        <v>19</v>
      </c>
      <c r="AC1014" s="2" t="s">
        <v>783</v>
      </c>
      <c r="AD1014" s="4">
        <v>200</v>
      </c>
      <c r="AE1014" s="4">
        <v>420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/>
      <c r="BD1014" s="8"/>
      <c r="BE1014" s="4"/>
      <c r="BF1014" s="8"/>
      <c r="BG1014" s="7"/>
      <c r="BH1014" s="7"/>
      <c r="BI1014" s="7"/>
      <c r="BJ1014" s="4">
        <v>52</v>
      </c>
      <c r="BK1014" s="8">
        <v>3995.94</v>
      </c>
      <c r="BL1014" s="2" t="s">
        <v>4001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2551</v>
      </c>
      <c r="BV1014" s="2" t="s">
        <v>97</v>
      </c>
      <c r="BW1014" s="2" t="s">
        <v>100</v>
      </c>
      <c r="BX1014" s="2" t="s">
        <v>100</v>
      </c>
      <c r="BY1014" s="2" t="s">
        <v>112</v>
      </c>
      <c r="BZ1014" s="2" t="s">
        <v>149</v>
      </c>
    </row>
    <row r="1015">
      <c r="A1015" s="2" t="s">
        <v>4002</v>
      </c>
      <c r="B1015" s="2" t="s">
        <v>3380</v>
      </c>
      <c r="C1015" s="2" t="s">
        <v>3950</v>
      </c>
      <c r="D1015" s="2" t="s">
        <v>3438</v>
      </c>
      <c r="E1015" s="2" t="s">
        <v>3439</v>
      </c>
      <c r="F1015" s="2" t="s">
        <v>4003</v>
      </c>
      <c r="G1015" s="2" t="s">
        <v>4003</v>
      </c>
      <c r="H1015" s="2" t="s">
        <v>4003</v>
      </c>
      <c r="I1015" s="2" t="s">
        <v>4004</v>
      </c>
      <c r="J1015" s="2" t="s">
        <v>3385</v>
      </c>
      <c r="K1015" s="2" t="s">
        <v>165</v>
      </c>
      <c r="L1015" s="3">
        <v>123.21</v>
      </c>
      <c r="M1015" s="3">
        <v>129.37</v>
      </c>
      <c r="N1015" s="3">
        <v>225.24</v>
      </c>
      <c r="O1015" s="2" t="s">
        <v>97</v>
      </c>
      <c r="P1015" s="2" t="s">
        <v>98</v>
      </c>
      <c r="Q1015" s="2" t="s">
        <v>99</v>
      </c>
      <c r="R1015" s="2" t="s">
        <v>100</v>
      </c>
      <c r="S1015" s="2" t="s">
        <v>100</v>
      </c>
      <c r="T1015" s="2" t="s">
        <v>100</v>
      </c>
      <c r="U1015" s="2" t="s">
        <v>1776</v>
      </c>
      <c r="V1015" s="2" t="s">
        <v>461</v>
      </c>
      <c r="W1015" s="2" t="s">
        <v>142</v>
      </c>
      <c r="X1015" s="2" t="s">
        <v>3953</v>
      </c>
      <c r="Y1015" s="2" t="s">
        <v>4005</v>
      </c>
      <c r="Z1015" s="4">
        <v>152</v>
      </c>
      <c r="AA1015" s="4">
        <f>=ROUNDDOWN(46.0606060606061,0)</f>
      </c>
      <c r="AB1015" s="5">
        <v>3.3</v>
      </c>
      <c r="AC1015" s="2" t="s">
        <v>100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>
        <v>16</v>
      </c>
      <c r="BK1015" s="8">
        <v>1846.95</v>
      </c>
      <c r="BL1015" s="2" t="s">
        <v>2807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2551</v>
      </c>
      <c r="BV1015" s="2" t="s">
        <v>97</v>
      </c>
      <c r="BW1015" s="2" t="s">
        <v>100</v>
      </c>
      <c r="BX1015" s="2" t="s">
        <v>100</v>
      </c>
      <c r="BY1015" s="2" t="s">
        <v>112</v>
      </c>
      <c r="BZ1015" s="2" t="s">
        <v>149</v>
      </c>
    </row>
    <row r="1016">
      <c r="A1016" s="2" t="s">
        <v>4006</v>
      </c>
      <c r="B1016" s="2" t="s">
        <v>3380</v>
      </c>
      <c r="C1016" s="2" t="s">
        <v>3950</v>
      </c>
      <c r="D1016" s="2" t="s">
        <v>3438</v>
      </c>
      <c r="E1016" s="2" t="s">
        <v>3439</v>
      </c>
      <c r="F1016" s="2" t="s">
        <v>917</v>
      </c>
      <c r="G1016" s="2" t="s">
        <v>917</v>
      </c>
      <c r="H1016" s="2" t="s">
        <v>917</v>
      </c>
      <c r="I1016" s="2" t="s">
        <v>4007</v>
      </c>
      <c r="J1016" s="2" t="s">
        <v>3385</v>
      </c>
      <c r="K1016" s="2" t="s">
        <v>446</v>
      </c>
      <c r="L1016" s="3">
        <v>45.23</v>
      </c>
      <c r="M1016" s="3">
        <v>47.49</v>
      </c>
      <c r="N1016" s="3">
        <v>94.99</v>
      </c>
      <c r="O1016" s="2" t="s">
        <v>97</v>
      </c>
      <c r="P1016" s="2" t="s">
        <v>98</v>
      </c>
      <c r="Q1016" s="2" t="s">
        <v>99</v>
      </c>
      <c r="R1016" s="2" t="s">
        <v>100</v>
      </c>
      <c r="S1016" s="2" t="s">
        <v>100</v>
      </c>
      <c r="T1016" s="2" t="s">
        <v>100</v>
      </c>
      <c r="U1016" s="2" t="s">
        <v>1776</v>
      </c>
      <c r="V1016" s="2" t="s">
        <v>3412</v>
      </c>
      <c r="W1016" s="2" t="s">
        <v>717</v>
      </c>
      <c r="X1016" s="2" t="s">
        <v>4008</v>
      </c>
      <c r="Y1016" s="2" t="s">
        <v>3441</v>
      </c>
      <c r="Z1016" s="4">
        <v>153</v>
      </c>
      <c r="AA1016" s="4">
        <f>=ROUNDDOWN(25.5,0)</f>
      </c>
      <c r="AB1016" s="5">
        <v>6</v>
      </c>
      <c r="AC1016" s="2" t="s">
        <v>100</v>
      </c>
      <c r="AD1016" s="4"/>
      <c r="AE1016" s="4"/>
      <c r="AF1016" s="6">
        <v>63</v>
      </c>
      <c r="AG1016" s="6"/>
      <c r="AH1016" s="7">
        <v>0.0645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/>
      <c r="BD1016" s="8"/>
      <c r="BE1016" s="4"/>
      <c r="BF1016" s="8"/>
      <c r="BG1016" s="7"/>
      <c r="BH1016" s="7"/>
      <c r="BI1016" s="7"/>
      <c r="BJ1016" s="4">
        <v>1</v>
      </c>
      <c r="BK1016" s="8">
        <v>63.4</v>
      </c>
      <c r="BL1016" s="2" t="s">
        <v>3477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2551</v>
      </c>
      <c r="BV1016" s="2" t="s">
        <v>97</v>
      </c>
      <c r="BW1016" s="2" t="s">
        <v>100</v>
      </c>
      <c r="BX1016" s="2" t="s">
        <v>100</v>
      </c>
      <c r="BY1016" s="2" t="s">
        <v>112</v>
      </c>
      <c r="BZ1016" s="2" t="s">
        <v>149</v>
      </c>
    </row>
    <row r="1017">
      <c r="A1017" s="2" t="s">
        <v>4009</v>
      </c>
      <c r="B1017" s="2" t="s">
        <v>3380</v>
      </c>
      <c r="C1017" s="2" t="s">
        <v>3950</v>
      </c>
      <c r="D1017" s="2" t="s">
        <v>3438</v>
      </c>
      <c r="E1017" s="2" t="s">
        <v>3439</v>
      </c>
      <c r="F1017" s="2" t="s">
        <v>4010</v>
      </c>
      <c r="G1017" s="2" t="s">
        <v>4010</v>
      </c>
      <c r="H1017" s="2" t="s">
        <v>4010</v>
      </c>
      <c r="I1017" s="2" t="s">
        <v>4011</v>
      </c>
      <c r="J1017" s="2" t="s">
        <v>3385</v>
      </c>
      <c r="K1017" s="2" t="s">
        <v>3475</v>
      </c>
      <c r="L1017" s="3">
        <v>56.66</v>
      </c>
      <c r="M1017" s="3">
        <v>59.49</v>
      </c>
      <c r="N1017" s="3">
        <v>118.99</v>
      </c>
      <c r="O1017" s="2" t="s">
        <v>97</v>
      </c>
      <c r="P1017" s="2" t="s">
        <v>98</v>
      </c>
      <c r="Q1017" s="2" t="s">
        <v>99</v>
      </c>
      <c r="R1017" s="2" t="s">
        <v>100</v>
      </c>
      <c r="S1017" s="2" t="s">
        <v>100</v>
      </c>
      <c r="T1017" s="2" t="s">
        <v>100</v>
      </c>
      <c r="U1017" s="2" t="s">
        <v>1776</v>
      </c>
      <c r="V1017" s="2" t="s">
        <v>3412</v>
      </c>
      <c r="W1017" s="2" t="s">
        <v>4008</v>
      </c>
      <c r="X1017" s="2" t="s">
        <v>4012</v>
      </c>
      <c r="Y1017" s="2" t="s">
        <v>3476</v>
      </c>
      <c r="Z1017" s="4">
        <v>39</v>
      </c>
      <c r="AA1017" s="4">
        <f>=ROUNDDOWN(13,0)</f>
      </c>
      <c r="AB1017" s="5">
        <v>3</v>
      </c>
      <c r="AC1017" s="2" t="s">
        <v>3388</v>
      </c>
      <c r="AD1017" s="4">
        <v>120</v>
      </c>
      <c r="AE1017" s="4">
        <v>120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/>
      <c r="BD1017" s="8"/>
      <c r="BE1017" s="4"/>
      <c r="BF1017" s="8"/>
      <c r="BG1017" s="7"/>
      <c r="BH1017" s="7"/>
      <c r="BI1017" s="7"/>
      <c r="BJ1017" s="4">
        <v>8</v>
      </c>
      <c r="BK1017" s="8">
        <v>496.2</v>
      </c>
      <c r="BL1017" s="2" t="s">
        <v>700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2551</v>
      </c>
      <c r="BV1017" s="2" t="s">
        <v>97</v>
      </c>
      <c r="BW1017" s="2" t="s">
        <v>100</v>
      </c>
      <c r="BX1017" s="2" t="s">
        <v>100</v>
      </c>
      <c r="BY1017" s="2" t="s">
        <v>112</v>
      </c>
      <c r="BZ1017" s="2" t="s">
        <v>149</v>
      </c>
    </row>
    <row r="1018">
      <c r="A1018" s="2" t="s">
        <v>4013</v>
      </c>
      <c r="B1018" s="2" t="s">
        <v>3380</v>
      </c>
      <c r="C1018" s="2" t="s">
        <v>3950</v>
      </c>
      <c r="D1018" s="2" t="s">
        <v>3847</v>
      </c>
      <c r="E1018" s="2" t="s">
        <v>3479</v>
      </c>
      <c r="F1018" s="2" t="s">
        <v>4014</v>
      </c>
      <c r="G1018" s="2" t="s">
        <v>4014</v>
      </c>
      <c r="H1018" s="2" t="s">
        <v>4014</v>
      </c>
      <c r="I1018" s="2" t="s">
        <v>4015</v>
      </c>
      <c r="J1018" s="2" t="s">
        <v>3385</v>
      </c>
      <c r="K1018" s="2" t="s">
        <v>706</v>
      </c>
      <c r="L1018" s="3">
        <v>15.17</v>
      </c>
      <c r="M1018" s="3">
        <v>15.93</v>
      </c>
      <c r="N1018" s="3">
        <v>38.24</v>
      </c>
      <c r="O1018" s="2" t="s">
        <v>97</v>
      </c>
      <c r="P1018" s="2" t="s">
        <v>123</v>
      </c>
      <c r="Q1018" s="2" t="s">
        <v>99</v>
      </c>
      <c r="R1018" s="2" t="s">
        <v>100</v>
      </c>
      <c r="S1018" s="2" t="s">
        <v>4016</v>
      </c>
      <c r="T1018" s="2" t="s">
        <v>100</v>
      </c>
      <c r="U1018" s="2" t="s">
        <v>1776</v>
      </c>
      <c r="V1018" s="2" t="s">
        <v>3634</v>
      </c>
      <c r="W1018" s="2" t="s">
        <v>104</v>
      </c>
      <c r="X1018" s="2" t="s">
        <v>3979</v>
      </c>
      <c r="Y1018" s="2" t="s">
        <v>1592</v>
      </c>
      <c r="Z1018" s="4">
        <v>29</v>
      </c>
      <c r="AA1018" s="4">
        <f>=ROUNDDOWN(1.45,0)</f>
      </c>
      <c r="AB1018" s="5">
        <v>20</v>
      </c>
      <c r="AC1018" s="2" t="s">
        <v>990</v>
      </c>
      <c r="AD1018" s="4">
        <v>100</v>
      </c>
      <c r="AE1018" s="4">
        <v>500</v>
      </c>
      <c r="AF1018" s="6">
        <v>63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/>
      <c r="BD1018" s="8"/>
      <c r="BE1018" s="4"/>
      <c r="BF1018" s="8"/>
      <c r="BG1018" s="7"/>
      <c r="BH1018" s="7"/>
      <c r="BI1018" s="7"/>
      <c r="BJ1018" s="4">
        <v>67</v>
      </c>
      <c r="BK1018" s="8">
        <v>1317.52</v>
      </c>
      <c r="BL1018" s="2" t="s">
        <v>4017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2551</v>
      </c>
      <c r="BV1018" s="2" t="s">
        <v>97</v>
      </c>
      <c r="BW1018" s="2" t="s">
        <v>100</v>
      </c>
      <c r="BX1018" s="2" t="s">
        <v>100</v>
      </c>
      <c r="BY1018" s="2" t="s">
        <v>112</v>
      </c>
      <c r="BZ1018" s="2" t="s">
        <v>149</v>
      </c>
    </row>
    <row r="1019">
      <c r="A1019" s="2" t="s">
        <v>4018</v>
      </c>
      <c r="B1019" s="2" t="s">
        <v>3380</v>
      </c>
      <c r="C1019" s="2" t="s">
        <v>3950</v>
      </c>
      <c r="D1019" s="2" t="s">
        <v>3847</v>
      </c>
      <c r="E1019" s="2" t="s">
        <v>3479</v>
      </c>
      <c r="F1019" s="2" t="s">
        <v>4019</v>
      </c>
      <c r="G1019" s="2" t="s">
        <v>4019</v>
      </c>
      <c r="H1019" s="2" t="s">
        <v>4019</v>
      </c>
      <c r="I1019" s="2" t="s">
        <v>4020</v>
      </c>
      <c r="J1019" s="2" t="s">
        <v>3385</v>
      </c>
      <c r="K1019" s="2" t="s">
        <v>706</v>
      </c>
      <c r="L1019" s="3">
        <v>17.03</v>
      </c>
      <c r="M1019" s="3">
        <v>17.88</v>
      </c>
      <c r="N1019" s="3">
        <v>39.09</v>
      </c>
      <c r="O1019" s="2" t="s">
        <v>97</v>
      </c>
      <c r="P1019" s="2" t="s">
        <v>98</v>
      </c>
      <c r="Q1019" s="2" t="s">
        <v>99</v>
      </c>
      <c r="R1019" s="2" t="s">
        <v>100</v>
      </c>
      <c r="S1019" s="2" t="s">
        <v>4021</v>
      </c>
      <c r="T1019" s="2" t="s">
        <v>100</v>
      </c>
      <c r="U1019" s="2" t="s">
        <v>1776</v>
      </c>
      <c r="V1019" s="2" t="s">
        <v>3634</v>
      </c>
      <c r="W1019" s="2" t="s">
        <v>104</v>
      </c>
      <c r="X1019" s="2" t="s">
        <v>3979</v>
      </c>
      <c r="Y1019" s="2" t="s">
        <v>1592</v>
      </c>
      <c r="Z1019" s="4">
        <v>103</v>
      </c>
      <c r="AA1019" s="4">
        <f>=ROUNDDOWN(8.58333333333333,0)</f>
      </c>
      <c r="AB1019" s="5">
        <v>12</v>
      </c>
      <c r="AC1019" s="2" t="s">
        <v>1468</v>
      </c>
      <c r="AD1019" s="4">
        <v>150</v>
      </c>
      <c r="AE1019" s="4">
        <v>150</v>
      </c>
      <c r="AF1019" s="6">
        <v>63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/>
      <c r="BD1019" s="8"/>
      <c r="BE1019" s="4"/>
      <c r="BF1019" s="8"/>
      <c r="BG1019" s="7"/>
      <c r="BH1019" s="7"/>
      <c r="BI1019" s="7"/>
      <c r="BJ1019" s="4">
        <v>66</v>
      </c>
      <c r="BK1019" s="8">
        <v>1484.43</v>
      </c>
      <c r="BL1019" s="2" t="s">
        <v>4022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2551</v>
      </c>
      <c r="BV1019" s="2" t="s">
        <v>97</v>
      </c>
      <c r="BW1019" s="2" t="s">
        <v>100</v>
      </c>
      <c r="BX1019" s="2" t="s">
        <v>100</v>
      </c>
      <c r="BY1019" s="2" t="s">
        <v>112</v>
      </c>
      <c r="BZ1019" s="2" t="s">
        <v>149</v>
      </c>
    </row>
    <row r="1020">
      <c r="A1020" s="2" t="s">
        <v>4023</v>
      </c>
      <c r="B1020" s="2" t="s">
        <v>3380</v>
      </c>
      <c r="C1020" s="2" t="s">
        <v>3950</v>
      </c>
      <c r="D1020" s="2" t="s">
        <v>3847</v>
      </c>
      <c r="E1020" s="2" t="s">
        <v>3479</v>
      </c>
      <c r="F1020" s="2" t="s">
        <v>4024</v>
      </c>
      <c r="G1020" s="2" t="s">
        <v>4024</v>
      </c>
      <c r="H1020" s="2" t="s">
        <v>4024</v>
      </c>
      <c r="I1020" s="2" t="s">
        <v>4025</v>
      </c>
      <c r="J1020" s="2" t="s">
        <v>3385</v>
      </c>
      <c r="K1020" s="2" t="s">
        <v>256</v>
      </c>
      <c r="L1020" s="3">
        <v>41.91</v>
      </c>
      <c r="M1020" s="3">
        <v>44.01</v>
      </c>
      <c r="N1020" s="3">
        <v>90.94</v>
      </c>
      <c r="O1020" s="2" t="s">
        <v>97</v>
      </c>
      <c r="P1020" s="2" t="s">
        <v>98</v>
      </c>
      <c r="Q1020" s="2" t="s">
        <v>99</v>
      </c>
      <c r="R1020" s="2" t="s">
        <v>100</v>
      </c>
      <c r="S1020" s="2" t="s">
        <v>100</v>
      </c>
      <c r="T1020" s="2" t="s">
        <v>100</v>
      </c>
      <c r="U1020" s="2" t="s">
        <v>901</v>
      </c>
      <c r="V1020" s="2" t="s">
        <v>733</v>
      </c>
      <c r="W1020" s="2" t="s">
        <v>142</v>
      </c>
      <c r="X1020" s="2" t="s">
        <v>3979</v>
      </c>
      <c r="Y1020" s="2" t="s">
        <v>3985</v>
      </c>
      <c r="Z1020" s="4">
        <v>82</v>
      </c>
      <c r="AA1020" s="4">
        <f>=ROUNDDOWN(12.4242424242424,0)</f>
      </c>
      <c r="AB1020" s="5">
        <v>6.6</v>
      </c>
      <c r="AC1020" s="2" t="s">
        <v>2121</v>
      </c>
      <c r="AD1020" s="4">
        <v>100</v>
      </c>
      <c r="AE1020" s="4">
        <v>100</v>
      </c>
      <c r="AF1020" s="6">
        <v>63</v>
      </c>
      <c r="AG1020" s="6"/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/>
      <c r="BD1020" s="8"/>
      <c r="BE1020" s="4"/>
      <c r="BF1020" s="8"/>
      <c r="BG1020" s="7"/>
      <c r="BH1020" s="7"/>
      <c r="BI1020" s="7"/>
      <c r="BJ1020" s="4">
        <v>21</v>
      </c>
      <c r="BK1020" s="8">
        <v>1004.21</v>
      </c>
      <c r="BL1020" s="2" t="s">
        <v>4026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2551</v>
      </c>
      <c r="BV1020" s="2" t="s">
        <v>97</v>
      </c>
      <c r="BW1020" s="2" t="s">
        <v>100</v>
      </c>
      <c r="BX1020" s="2" t="s">
        <v>100</v>
      </c>
      <c r="BY1020" s="2" t="s">
        <v>112</v>
      </c>
      <c r="BZ1020" s="2" t="s">
        <v>149</v>
      </c>
    </row>
    <row r="1021">
      <c r="A1021" s="2" t="s">
        <v>4027</v>
      </c>
      <c r="B1021" s="2" t="s">
        <v>3380</v>
      </c>
      <c r="C1021" s="2" t="s">
        <v>4028</v>
      </c>
      <c r="D1021" s="2" t="s">
        <v>3408</v>
      </c>
      <c r="E1021" s="2" t="s">
        <v>3479</v>
      </c>
      <c r="F1021" s="2" t="s">
        <v>4029</v>
      </c>
      <c r="G1021" s="2" t="s">
        <v>4029</v>
      </c>
      <c r="H1021" s="2" t="s">
        <v>4029</v>
      </c>
      <c r="I1021" s="2" t="s">
        <v>4030</v>
      </c>
      <c r="J1021" s="2" t="s">
        <v>3385</v>
      </c>
      <c r="K1021" s="2" t="s">
        <v>4031</v>
      </c>
      <c r="L1021" s="3">
        <v>37.27</v>
      </c>
      <c r="M1021" s="3">
        <v>39.13</v>
      </c>
      <c r="N1021" s="3">
        <v>76.49</v>
      </c>
      <c r="O1021" s="2" t="s">
        <v>97</v>
      </c>
      <c r="P1021" s="2" t="s">
        <v>707</v>
      </c>
      <c r="Q1021" s="2" t="s">
        <v>99</v>
      </c>
      <c r="R1021" s="2" t="s">
        <v>100</v>
      </c>
      <c r="S1021" s="2" t="s">
        <v>4032</v>
      </c>
      <c r="T1021" s="2" t="s">
        <v>100</v>
      </c>
      <c r="U1021" s="2" t="s">
        <v>901</v>
      </c>
      <c r="V1021" s="2" t="s">
        <v>473</v>
      </c>
      <c r="W1021" s="2" t="s">
        <v>493</v>
      </c>
      <c r="X1021" s="2" t="s">
        <v>2835</v>
      </c>
      <c r="Y1021" s="2" t="s">
        <v>4033</v>
      </c>
      <c r="Z1021" s="4">
        <v>154</v>
      </c>
      <c r="AA1021" s="4">
        <f>=ROUNDDOWN(51.3333333333333,0)</f>
      </c>
      <c r="AB1021" s="5">
        <v>3</v>
      </c>
      <c r="AC1021" s="2" t="s">
        <v>100</v>
      </c>
      <c r="AD1021" s="4"/>
      <c r="AE1021" s="4"/>
      <c r="AF1021" s="6">
        <v>63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/>
      <c r="BD1021" s="8"/>
      <c r="BE1021" s="4"/>
      <c r="BF1021" s="8"/>
      <c r="BG1021" s="7"/>
      <c r="BH1021" s="7"/>
      <c r="BI1021" s="7"/>
      <c r="BJ1021" s="4">
        <v>6</v>
      </c>
      <c r="BK1021" s="8">
        <v>244.97</v>
      </c>
      <c r="BL1021" s="2" t="s">
        <v>4034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2526</v>
      </c>
      <c r="BV1021" s="2" t="s">
        <v>97</v>
      </c>
      <c r="BW1021" s="2" t="s">
        <v>100</v>
      </c>
      <c r="BX1021" s="2" t="s">
        <v>100</v>
      </c>
      <c r="BY1021" s="2" t="s">
        <v>112</v>
      </c>
      <c r="BZ1021" s="2" t="s">
        <v>149</v>
      </c>
    </row>
    <row r="1022">
      <c r="A1022" s="2" t="s">
        <v>4035</v>
      </c>
      <c r="B1022" s="2" t="s">
        <v>3380</v>
      </c>
      <c r="C1022" s="2" t="s">
        <v>4028</v>
      </c>
      <c r="D1022" s="2" t="s">
        <v>3408</v>
      </c>
      <c r="E1022" s="2" t="s">
        <v>3479</v>
      </c>
      <c r="F1022" s="2" t="s">
        <v>4036</v>
      </c>
      <c r="G1022" s="2" t="s">
        <v>4036</v>
      </c>
      <c r="H1022" s="2" t="s">
        <v>4036</v>
      </c>
      <c r="I1022" s="2" t="s">
        <v>4037</v>
      </c>
      <c r="J1022" s="2" t="s">
        <v>3385</v>
      </c>
      <c r="K1022" s="2" t="s">
        <v>626</v>
      </c>
      <c r="L1022" s="3">
        <v>44.05</v>
      </c>
      <c r="M1022" s="3">
        <v>46.25</v>
      </c>
      <c r="N1022" s="3">
        <v>84.99</v>
      </c>
      <c r="O1022" s="2" t="s">
        <v>97</v>
      </c>
      <c r="P1022" s="2" t="s">
        <v>98</v>
      </c>
      <c r="Q1022" s="2" t="s">
        <v>99</v>
      </c>
      <c r="R1022" s="2" t="s">
        <v>100</v>
      </c>
      <c r="S1022" s="2" t="s">
        <v>4038</v>
      </c>
      <c r="T1022" s="2" t="s">
        <v>100</v>
      </c>
      <c r="U1022" s="2" t="s">
        <v>894</v>
      </c>
      <c r="V1022" s="2" t="s">
        <v>2913</v>
      </c>
      <c r="W1022" s="2" t="s">
        <v>686</v>
      </c>
      <c r="X1022" s="2" t="s">
        <v>100</v>
      </c>
      <c r="Y1022" s="2" t="s">
        <v>144</v>
      </c>
      <c r="Z1022" s="4">
        <v>92</v>
      </c>
      <c r="AA1022" s="4">
        <f>=ROUNDDOWN(61.3333333333333,0)</f>
      </c>
      <c r="AB1022" s="5">
        <v>1.5</v>
      </c>
      <c r="AC1022" s="2" t="s">
        <v>100</v>
      </c>
      <c r="AD1022" s="4"/>
      <c r="AE1022" s="4"/>
      <c r="AF1022" s="6">
        <v>63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/>
      <c r="BD1022" s="8"/>
      <c r="BE1022" s="4"/>
      <c r="BF1022" s="8"/>
      <c r="BG1022" s="7"/>
      <c r="BH1022" s="7"/>
      <c r="BI1022" s="7"/>
      <c r="BJ1022" s="4">
        <v>4</v>
      </c>
      <c r="BK1022" s="8">
        <v>235.12</v>
      </c>
      <c r="BL1022" s="2" t="s">
        <v>4039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2526</v>
      </c>
      <c r="BV1022" s="2" t="s">
        <v>97</v>
      </c>
      <c r="BW1022" s="2" t="s">
        <v>100</v>
      </c>
      <c r="BX1022" s="2" t="s">
        <v>100</v>
      </c>
      <c r="BY1022" s="2" t="s">
        <v>112</v>
      </c>
      <c r="BZ1022" s="2" t="s">
        <v>149</v>
      </c>
    </row>
    <row r="1023">
      <c r="A1023" s="2" t="s">
        <v>4040</v>
      </c>
      <c r="B1023" s="2" t="s">
        <v>4041</v>
      </c>
      <c r="C1023" s="2" t="s">
        <v>4042</v>
      </c>
      <c r="D1023" s="2" t="s">
        <v>4043</v>
      </c>
      <c r="E1023" s="2" t="s">
        <v>4044</v>
      </c>
      <c r="F1023" s="2" t="s">
        <v>1798</v>
      </c>
      <c r="G1023" s="2" t="s">
        <v>364</v>
      </c>
      <c r="H1023" s="2" t="s">
        <v>364</v>
      </c>
      <c r="I1023" s="2" t="s">
        <v>4045</v>
      </c>
      <c r="J1023" s="2" t="s">
        <v>1443</v>
      </c>
      <c r="K1023" s="2" t="s">
        <v>458</v>
      </c>
      <c r="L1023" s="3">
        <v>12.59</v>
      </c>
      <c r="M1023" s="3">
        <v>13.22</v>
      </c>
      <c r="N1023" s="3">
        <v>27.99</v>
      </c>
      <c r="O1023" s="2" t="s">
        <v>97</v>
      </c>
      <c r="P1023" s="2" t="s">
        <v>98</v>
      </c>
      <c r="Q1023" s="2" t="s">
        <v>99</v>
      </c>
      <c r="R1023" s="2" t="s">
        <v>100</v>
      </c>
      <c r="S1023" s="2" t="s">
        <v>4046</v>
      </c>
      <c r="T1023" s="2" t="s">
        <v>438</v>
      </c>
      <c r="U1023" s="2" t="s">
        <v>100</v>
      </c>
      <c r="V1023" s="2" t="s">
        <v>461</v>
      </c>
      <c r="W1023" s="2" t="s">
        <v>609</v>
      </c>
      <c r="X1023" s="2" t="s">
        <v>100</v>
      </c>
      <c r="Y1023" s="2" t="s">
        <v>144</v>
      </c>
      <c r="Z1023" s="4">
        <v>2586</v>
      </c>
      <c r="AA1023" s="4">
        <f>=ROUNDDOWN(36.8901569186876,0)</f>
      </c>
      <c r="AB1023" s="5">
        <v>70.1</v>
      </c>
      <c r="AC1023" s="2" t="s">
        <v>100</v>
      </c>
      <c r="AD1023" s="4"/>
      <c r="AE1023" s="4"/>
      <c r="AF1023" s="6">
        <v>65</v>
      </c>
      <c r="AG1023" s="6">
        <v>48</v>
      </c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22</v>
      </c>
      <c r="AQ1023" s="8">
        <v>328.9</v>
      </c>
      <c r="AR1023" s="4"/>
      <c r="AS1023" s="8"/>
      <c r="AT1023" s="7"/>
      <c r="AU1023" s="7"/>
      <c r="AV1023" s="4">
        <v>35</v>
      </c>
      <c r="AW1023" s="8">
        <v>594.69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0.5531</v>
      </c>
      <c r="BC1023" s="4">
        <v>35</v>
      </c>
      <c r="BD1023" s="8">
        <v>594.69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>
        <v>1</v>
      </c>
      <c r="BJ1023" s="4">
        <v>225</v>
      </c>
      <c r="BK1023" s="8">
        <v>3058.64</v>
      </c>
      <c r="BL1023" s="2" t="s">
        <v>4047</v>
      </c>
      <c r="BM1023" s="7">
        <v>0.0978</v>
      </c>
      <c r="BN1023" s="7">
        <v>0.1075</v>
      </c>
      <c r="BO1023" s="4">
        <v>22</v>
      </c>
      <c r="BP1023" s="8">
        <v>328.9</v>
      </c>
      <c r="BQ1023" s="4"/>
      <c r="BR1023" s="8"/>
      <c r="BS1023" s="7"/>
      <c r="BT1023" s="7"/>
      <c r="BU1023" s="2" t="s">
        <v>109</v>
      </c>
      <c r="BV1023" s="2" t="s">
        <v>97</v>
      </c>
      <c r="BW1023" s="2" t="s">
        <v>159</v>
      </c>
      <c r="BX1023" s="2" t="s">
        <v>358</v>
      </c>
      <c r="BY1023" s="2" t="s">
        <v>112</v>
      </c>
      <c r="BZ1023" s="2" t="s">
        <v>100</v>
      </c>
    </row>
    <row r="1024">
      <c r="A1024" s="2" t="s">
        <v>4048</v>
      </c>
      <c r="B1024" s="2" t="s">
        <v>4041</v>
      </c>
      <c r="C1024" s="2" t="s">
        <v>4042</v>
      </c>
      <c r="D1024" s="2" t="s">
        <v>4043</v>
      </c>
      <c r="E1024" s="2" t="s">
        <v>4044</v>
      </c>
      <c r="F1024" s="2" t="s">
        <v>1798</v>
      </c>
      <c r="G1024" s="2" t="s">
        <v>364</v>
      </c>
      <c r="H1024" s="2" t="s">
        <v>364</v>
      </c>
      <c r="I1024" s="2" t="s">
        <v>4045</v>
      </c>
      <c r="J1024" s="2" t="s">
        <v>1806</v>
      </c>
      <c r="K1024" s="2" t="s">
        <v>458</v>
      </c>
      <c r="L1024" s="3">
        <v>13.16</v>
      </c>
      <c r="M1024" s="3">
        <v>13.82</v>
      </c>
      <c r="N1024" s="3">
        <v>29.99</v>
      </c>
      <c r="O1024" s="2" t="s">
        <v>97</v>
      </c>
      <c r="P1024" s="2" t="s">
        <v>98</v>
      </c>
      <c r="Q1024" s="2" t="s">
        <v>99</v>
      </c>
      <c r="R1024" s="2" t="s">
        <v>100</v>
      </c>
      <c r="S1024" s="2" t="s">
        <v>4046</v>
      </c>
      <c r="T1024" s="2" t="s">
        <v>438</v>
      </c>
      <c r="U1024" s="2" t="s">
        <v>100</v>
      </c>
      <c r="V1024" s="2" t="s">
        <v>461</v>
      </c>
      <c r="W1024" s="2" t="s">
        <v>609</v>
      </c>
      <c r="X1024" s="2" t="s">
        <v>100</v>
      </c>
      <c r="Y1024" s="2" t="s">
        <v>144</v>
      </c>
      <c r="Z1024" s="4">
        <v>3275</v>
      </c>
      <c r="AA1024" s="4">
        <f>=ROUNDDOWN(48.1617647058823,0)</f>
      </c>
      <c r="AB1024" s="5">
        <v>68</v>
      </c>
      <c r="AC1024" s="2" t="s">
        <v>655</v>
      </c>
      <c r="AD1024" s="4">
        <v>600</v>
      </c>
      <c r="AE1024" s="4">
        <v>2100</v>
      </c>
      <c r="AF1024" s="6">
        <v>65</v>
      </c>
      <c r="AG1024" s="6">
        <v>48</v>
      </c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/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 t="s">
        <v>100</v>
      </c>
      <c r="BJ1024" s="4">
        <v>251</v>
      </c>
      <c r="BK1024" s="8">
        <v>3638.39</v>
      </c>
      <c r="BL1024" s="2" t="s">
        <v>4049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109</v>
      </c>
      <c r="BV1024" s="2" t="s">
        <v>97</v>
      </c>
      <c r="BW1024" s="2" t="s">
        <v>159</v>
      </c>
      <c r="BX1024" s="2" t="s">
        <v>4050</v>
      </c>
      <c r="BY1024" s="2" t="s">
        <v>112</v>
      </c>
      <c r="BZ1024" s="2" t="s">
        <v>100</v>
      </c>
    </row>
    <row r="1025">
      <c r="A1025" s="2" t="s">
        <v>4051</v>
      </c>
      <c r="B1025" s="2" t="s">
        <v>4041</v>
      </c>
      <c r="C1025" s="2" t="s">
        <v>4042</v>
      </c>
      <c r="D1025" s="2" t="s">
        <v>4043</v>
      </c>
      <c r="E1025" s="2" t="s">
        <v>4044</v>
      </c>
      <c r="F1025" s="2" t="s">
        <v>1798</v>
      </c>
      <c r="G1025" s="2" t="s">
        <v>364</v>
      </c>
      <c r="H1025" s="2" t="s">
        <v>364</v>
      </c>
      <c r="I1025" s="2" t="s">
        <v>4045</v>
      </c>
      <c r="J1025" s="2" t="s">
        <v>490</v>
      </c>
      <c r="K1025" s="2" t="s">
        <v>458</v>
      </c>
      <c r="L1025" s="3">
        <v>16.02</v>
      </c>
      <c r="M1025" s="3">
        <v>16.82</v>
      </c>
      <c r="N1025" s="3">
        <v>34.99</v>
      </c>
      <c r="O1025" s="2" t="s">
        <v>97</v>
      </c>
      <c r="P1025" s="2" t="s">
        <v>156</v>
      </c>
      <c r="Q1025" s="2" t="s">
        <v>99</v>
      </c>
      <c r="R1025" s="2" t="s">
        <v>100</v>
      </c>
      <c r="S1025" s="2" t="s">
        <v>4046</v>
      </c>
      <c r="T1025" s="2" t="s">
        <v>438</v>
      </c>
      <c r="U1025" s="2" t="s">
        <v>100</v>
      </c>
      <c r="V1025" s="2" t="s">
        <v>461</v>
      </c>
      <c r="W1025" s="2" t="s">
        <v>609</v>
      </c>
      <c r="X1025" s="2" t="s">
        <v>100</v>
      </c>
      <c r="Y1025" s="2" t="s">
        <v>144</v>
      </c>
      <c r="Z1025" s="4">
        <v>1587</v>
      </c>
      <c r="AA1025" s="4">
        <f>=ROUNDDOWN(31.3636363636364,0)</f>
      </c>
      <c r="AB1025" s="5">
        <v>50.6</v>
      </c>
      <c r="AC1025" s="2" t="s">
        <v>655</v>
      </c>
      <c r="AD1025" s="4">
        <v>100</v>
      </c>
      <c r="AE1025" s="4">
        <v>220</v>
      </c>
      <c r="AF1025" s="6">
        <v>65</v>
      </c>
      <c r="AG1025" s="6">
        <v>48</v>
      </c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6</v>
      </c>
      <c r="AQ1025" s="8">
        <v>112.8</v>
      </c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0.1897</v>
      </c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 t="s">
        <v>100</v>
      </c>
      <c r="BJ1025" s="4">
        <v>196</v>
      </c>
      <c r="BK1025" s="8">
        <v>3429.69</v>
      </c>
      <c r="BL1025" s="2" t="s">
        <v>4047</v>
      </c>
      <c r="BM1025" s="7">
        <v>0.0306</v>
      </c>
      <c r="BN1025" s="7">
        <v>0.0329</v>
      </c>
      <c r="BO1025" s="4">
        <v>6</v>
      </c>
      <c r="BP1025" s="8">
        <v>112.8</v>
      </c>
      <c r="BQ1025" s="4"/>
      <c r="BR1025" s="8"/>
      <c r="BS1025" s="7"/>
      <c r="BT1025" s="7"/>
      <c r="BU1025" s="2" t="s">
        <v>109</v>
      </c>
      <c r="BV1025" s="2" t="s">
        <v>97</v>
      </c>
      <c r="BW1025" s="2" t="s">
        <v>159</v>
      </c>
      <c r="BX1025" s="2" t="s">
        <v>358</v>
      </c>
      <c r="BY1025" s="2" t="s">
        <v>112</v>
      </c>
      <c r="BZ1025" s="2" t="s">
        <v>100</v>
      </c>
    </row>
    <row r="1026">
      <c r="A1026" s="2" t="s">
        <v>4052</v>
      </c>
      <c r="B1026" s="2" t="s">
        <v>4041</v>
      </c>
      <c r="C1026" s="2" t="s">
        <v>4042</v>
      </c>
      <c r="D1026" s="2" t="s">
        <v>4043</v>
      </c>
      <c r="E1026" s="2" t="s">
        <v>4044</v>
      </c>
      <c r="F1026" s="2" t="s">
        <v>1798</v>
      </c>
      <c r="G1026" s="2" t="s">
        <v>364</v>
      </c>
      <c r="H1026" s="2" t="s">
        <v>364</v>
      </c>
      <c r="I1026" s="2" t="s">
        <v>4045</v>
      </c>
      <c r="J1026" s="2" t="s">
        <v>95</v>
      </c>
      <c r="K1026" s="2" t="s">
        <v>458</v>
      </c>
      <c r="L1026" s="3">
        <v>18.53</v>
      </c>
      <c r="M1026" s="3">
        <v>19.46</v>
      </c>
      <c r="N1026" s="3">
        <v>39.99</v>
      </c>
      <c r="O1026" s="2" t="s">
        <v>97</v>
      </c>
      <c r="P1026" s="2" t="s">
        <v>139</v>
      </c>
      <c r="Q1026" s="2" t="s">
        <v>99</v>
      </c>
      <c r="R1026" s="2" t="s">
        <v>100</v>
      </c>
      <c r="S1026" s="2" t="s">
        <v>4046</v>
      </c>
      <c r="T1026" s="2" t="s">
        <v>438</v>
      </c>
      <c r="U1026" s="2" t="s">
        <v>100</v>
      </c>
      <c r="V1026" s="2" t="s">
        <v>461</v>
      </c>
      <c r="W1026" s="2" t="s">
        <v>609</v>
      </c>
      <c r="X1026" s="2" t="s">
        <v>100</v>
      </c>
      <c r="Y1026" s="2" t="s">
        <v>144</v>
      </c>
      <c r="Z1026" s="4">
        <v>3368</v>
      </c>
      <c r="AA1026" s="4">
        <f>=ROUNDDOWN(29.1349480968858,0)</f>
      </c>
      <c r="AB1026" s="5">
        <v>115.6</v>
      </c>
      <c r="AC1026" s="2" t="s">
        <v>655</v>
      </c>
      <c r="AD1026" s="4">
        <v>110</v>
      </c>
      <c r="AE1026" s="4">
        <v>990</v>
      </c>
      <c r="AF1026" s="6">
        <v>65</v>
      </c>
      <c r="AG1026" s="6">
        <v>48</v>
      </c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6</v>
      </c>
      <c r="AQ1026" s="8">
        <v>126.9</v>
      </c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>
        <v>0.2134</v>
      </c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 t="s">
        <v>100</v>
      </c>
      <c r="BJ1026" s="4">
        <v>512</v>
      </c>
      <c r="BK1026" s="8">
        <v>10386.22</v>
      </c>
      <c r="BL1026" s="2" t="s">
        <v>4053</v>
      </c>
      <c r="BM1026" s="7">
        <v>0.0117</v>
      </c>
      <c r="BN1026" s="7">
        <v>0.0122</v>
      </c>
      <c r="BO1026" s="4">
        <v>6</v>
      </c>
      <c r="BP1026" s="8">
        <v>126.9</v>
      </c>
      <c r="BQ1026" s="4"/>
      <c r="BR1026" s="8"/>
      <c r="BS1026" s="7"/>
      <c r="BT1026" s="7"/>
      <c r="BU1026" s="2" t="s">
        <v>109</v>
      </c>
      <c r="BV1026" s="2" t="s">
        <v>97</v>
      </c>
      <c r="BW1026" s="2" t="s">
        <v>159</v>
      </c>
      <c r="BX1026" s="2" t="s">
        <v>4054</v>
      </c>
      <c r="BY1026" s="2" t="s">
        <v>112</v>
      </c>
      <c r="BZ1026" s="2" t="s">
        <v>100</v>
      </c>
    </row>
    <row r="1027">
      <c r="A1027" s="2" t="s">
        <v>4055</v>
      </c>
      <c r="B1027" s="2" t="s">
        <v>4041</v>
      </c>
      <c r="C1027" s="2" t="s">
        <v>4042</v>
      </c>
      <c r="D1027" s="2" t="s">
        <v>4043</v>
      </c>
      <c r="E1027" s="2" t="s">
        <v>4044</v>
      </c>
      <c r="F1027" s="2" t="s">
        <v>1798</v>
      </c>
      <c r="G1027" s="2" t="s">
        <v>364</v>
      </c>
      <c r="H1027" s="2" t="s">
        <v>364</v>
      </c>
      <c r="I1027" s="2" t="s">
        <v>4045</v>
      </c>
      <c r="J1027" s="2" t="s">
        <v>114</v>
      </c>
      <c r="K1027" s="2" t="s">
        <v>458</v>
      </c>
      <c r="L1027" s="3">
        <v>21.75</v>
      </c>
      <c r="M1027" s="3">
        <v>22.84</v>
      </c>
      <c r="N1027" s="3">
        <v>43.99</v>
      </c>
      <c r="O1027" s="2" t="s">
        <v>97</v>
      </c>
      <c r="P1027" s="2" t="s">
        <v>123</v>
      </c>
      <c r="Q1027" s="2" t="s">
        <v>99</v>
      </c>
      <c r="R1027" s="2" t="s">
        <v>100</v>
      </c>
      <c r="S1027" s="2" t="s">
        <v>4046</v>
      </c>
      <c r="T1027" s="2" t="s">
        <v>438</v>
      </c>
      <c r="U1027" s="2" t="s">
        <v>100</v>
      </c>
      <c r="V1027" s="2" t="s">
        <v>461</v>
      </c>
      <c r="W1027" s="2" t="s">
        <v>609</v>
      </c>
      <c r="X1027" s="2" t="s">
        <v>100</v>
      </c>
      <c r="Y1027" s="2" t="s">
        <v>144</v>
      </c>
      <c r="Z1027" s="4">
        <v>1697</v>
      </c>
      <c r="AA1027" s="4">
        <f>=ROUNDDOWN(24.0368271954674,0)</f>
      </c>
      <c r="AB1027" s="5">
        <v>70.6</v>
      </c>
      <c r="AC1027" s="2" t="s">
        <v>655</v>
      </c>
      <c r="AD1027" s="4">
        <v>100</v>
      </c>
      <c r="AE1027" s="4">
        <v>530</v>
      </c>
      <c r="AF1027" s="6">
        <v>65</v>
      </c>
      <c r="AG1027" s="6">
        <v>48</v>
      </c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1</v>
      </c>
      <c r="AQ1027" s="8">
        <v>26.09</v>
      </c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>
        <v>0.0439</v>
      </c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 t="s">
        <v>100</v>
      </c>
      <c r="BJ1027" s="4">
        <v>287</v>
      </c>
      <c r="BK1027" s="8">
        <v>6866.86</v>
      </c>
      <c r="BL1027" s="2" t="s">
        <v>4056</v>
      </c>
      <c r="BM1027" s="7">
        <v>0.0035</v>
      </c>
      <c r="BN1027" s="7">
        <v>0.0038</v>
      </c>
      <c r="BO1027" s="4">
        <v>1</v>
      </c>
      <c r="BP1027" s="8">
        <v>26.09</v>
      </c>
      <c r="BQ1027" s="4"/>
      <c r="BR1027" s="8"/>
      <c r="BS1027" s="7"/>
      <c r="BT1027" s="7"/>
      <c r="BU1027" s="2" t="s">
        <v>109</v>
      </c>
      <c r="BV1027" s="2" t="s">
        <v>97</v>
      </c>
      <c r="BW1027" s="2" t="s">
        <v>159</v>
      </c>
      <c r="BX1027" s="2" t="s">
        <v>358</v>
      </c>
      <c r="BY1027" s="2" t="s">
        <v>112</v>
      </c>
      <c r="BZ1027" s="2" t="s">
        <v>100</v>
      </c>
    </row>
    <row r="1028">
      <c r="A1028" s="2" t="s">
        <v>4057</v>
      </c>
      <c r="B1028" s="2" t="s">
        <v>4041</v>
      </c>
      <c r="C1028" s="2" t="s">
        <v>4042</v>
      </c>
      <c r="D1028" s="2" t="s">
        <v>4043</v>
      </c>
      <c r="E1028" s="2" t="s">
        <v>4044</v>
      </c>
      <c r="F1028" s="2" t="s">
        <v>1798</v>
      </c>
      <c r="G1028" s="2" t="s">
        <v>364</v>
      </c>
      <c r="H1028" s="2" t="s">
        <v>364</v>
      </c>
      <c r="I1028" s="2" t="s">
        <v>4045</v>
      </c>
      <c r="J1028" s="2" t="s">
        <v>118</v>
      </c>
      <c r="K1028" s="2" t="s">
        <v>458</v>
      </c>
      <c r="L1028" s="3">
        <v>21.75</v>
      </c>
      <c r="M1028" s="3">
        <v>22.84</v>
      </c>
      <c r="N1028" s="3">
        <v>43.99</v>
      </c>
      <c r="O1028" s="2" t="s">
        <v>97</v>
      </c>
      <c r="P1028" s="2" t="s">
        <v>98</v>
      </c>
      <c r="Q1028" s="2" t="s">
        <v>99</v>
      </c>
      <c r="R1028" s="2" t="s">
        <v>100</v>
      </c>
      <c r="S1028" s="2" t="s">
        <v>4046</v>
      </c>
      <c r="T1028" s="2" t="s">
        <v>438</v>
      </c>
      <c r="U1028" s="2" t="s">
        <v>100</v>
      </c>
      <c r="V1028" s="2" t="s">
        <v>461</v>
      </c>
      <c r="W1028" s="2" t="s">
        <v>609</v>
      </c>
      <c r="X1028" s="2" t="s">
        <v>100</v>
      </c>
      <c r="Y1028" s="2" t="s">
        <v>144</v>
      </c>
      <c r="Z1028" s="4">
        <v>516</v>
      </c>
      <c r="AA1028" s="4">
        <f>=ROUNDDOWN(21.5,0)</f>
      </c>
      <c r="AB1028" s="5">
        <v>24</v>
      </c>
      <c r="AC1028" s="2" t="s">
        <v>655</v>
      </c>
      <c r="AD1028" s="4">
        <v>100</v>
      </c>
      <c r="AE1028" s="4">
        <v>200</v>
      </c>
      <c r="AF1028" s="6">
        <v>65</v>
      </c>
      <c r="AG1028" s="6">
        <v>48</v>
      </c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/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 t="s">
        <v>100</v>
      </c>
      <c r="BJ1028" s="4">
        <v>101</v>
      </c>
      <c r="BK1028" s="8">
        <v>2419.06</v>
      </c>
      <c r="BL1028" s="2" t="s">
        <v>1598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109</v>
      </c>
      <c r="BV1028" s="2" t="s">
        <v>97</v>
      </c>
      <c r="BW1028" s="2" t="s">
        <v>159</v>
      </c>
      <c r="BX1028" s="2" t="s">
        <v>358</v>
      </c>
      <c r="BY1028" s="2" t="s">
        <v>112</v>
      </c>
      <c r="BZ1028" s="2" t="s">
        <v>100</v>
      </c>
    </row>
    <row r="1029">
      <c r="A1029" s="2" t="s">
        <v>4058</v>
      </c>
      <c r="B1029" s="2" t="s">
        <v>4041</v>
      </c>
      <c r="C1029" s="2" t="s">
        <v>4042</v>
      </c>
      <c r="D1029" s="2" t="s">
        <v>4043</v>
      </c>
      <c r="E1029" s="2" t="s">
        <v>4044</v>
      </c>
      <c r="F1029" s="2" t="s">
        <v>4059</v>
      </c>
      <c r="G1029" s="2" t="s">
        <v>4060</v>
      </c>
      <c r="H1029" s="2" t="s">
        <v>4060</v>
      </c>
      <c r="I1029" s="2" t="s">
        <v>4061</v>
      </c>
      <c r="J1029" s="2" t="s">
        <v>4062</v>
      </c>
      <c r="K1029" s="2" t="s">
        <v>458</v>
      </c>
      <c r="L1029" s="3">
        <v>15.4</v>
      </c>
      <c r="M1029" s="3">
        <v>16.17</v>
      </c>
      <c r="N1029" s="3">
        <v>34.99</v>
      </c>
      <c r="O1029" s="2" t="s">
        <v>97</v>
      </c>
      <c r="P1029" s="2" t="s">
        <v>139</v>
      </c>
      <c r="Q1029" s="2" t="s">
        <v>99</v>
      </c>
      <c r="R1029" s="2" t="s">
        <v>100</v>
      </c>
      <c r="S1029" s="2" t="s">
        <v>4046</v>
      </c>
      <c r="T1029" s="2" t="s">
        <v>438</v>
      </c>
      <c r="U1029" s="2" t="s">
        <v>100</v>
      </c>
      <c r="V1029" s="2" t="s">
        <v>461</v>
      </c>
      <c r="W1029" s="2" t="s">
        <v>609</v>
      </c>
      <c r="X1029" s="2" t="s">
        <v>100</v>
      </c>
      <c r="Y1029" s="2" t="s">
        <v>1116</v>
      </c>
      <c r="Z1029" s="4">
        <v>3843</v>
      </c>
      <c r="AA1029" s="4">
        <f>=ROUNDDOWN(21.35,0)</f>
      </c>
      <c r="AB1029" s="5">
        <v>180</v>
      </c>
      <c r="AC1029" s="2" t="s">
        <v>655</v>
      </c>
      <c r="AD1029" s="4">
        <v>1400</v>
      </c>
      <c r="AE1029" s="4">
        <v>1400</v>
      </c>
      <c r="AF1029" s="6">
        <v>65</v>
      </c>
      <c r="AG1029" s="6">
        <v>48</v>
      </c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10</v>
      </c>
      <c r="AQ1029" s="8">
        <v>230.9</v>
      </c>
      <c r="AR1029" s="4"/>
      <c r="AS1029" s="8"/>
      <c r="AT1029" s="7"/>
      <c r="AU1029" s="7"/>
      <c r="AV1029" s="4">
        <v>10</v>
      </c>
      <c r="AW1029" s="8">
        <v>230.9</v>
      </c>
      <c r="AX1029" s="4"/>
      <c r="AY1029" s="8"/>
      <c r="AZ1029" s="7"/>
      <c r="BA1029" s="7"/>
      <c r="BB1029" s="7">
        <v>1</v>
      </c>
      <c r="BC1029" s="4">
        <v>10</v>
      </c>
      <c r="BD1029" s="8">
        <v>230.9</v>
      </c>
      <c r="BE1029" s="4"/>
      <c r="BF1029" s="8"/>
      <c r="BG1029" s="7"/>
      <c r="BH1029" s="7"/>
      <c r="BI1029" s="7">
        <v>1</v>
      </c>
      <c r="BJ1029" s="4">
        <v>747</v>
      </c>
      <c r="BK1029" s="8">
        <v>13486.71</v>
      </c>
      <c r="BL1029" s="2" t="s">
        <v>4063</v>
      </c>
      <c r="BM1029" s="7">
        <v>0.0134</v>
      </c>
      <c r="BN1029" s="7">
        <v>0.0171</v>
      </c>
      <c r="BO1029" s="4">
        <v>10</v>
      </c>
      <c r="BP1029" s="8">
        <v>230.9</v>
      </c>
      <c r="BQ1029" s="4"/>
      <c r="BR1029" s="8"/>
      <c r="BS1029" s="7"/>
      <c r="BT1029" s="7"/>
      <c r="BU1029" s="2" t="s">
        <v>109</v>
      </c>
      <c r="BV1029" s="2" t="s">
        <v>97</v>
      </c>
      <c r="BW1029" s="2" t="s">
        <v>159</v>
      </c>
      <c r="BX1029" s="2" t="s">
        <v>4064</v>
      </c>
      <c r="BY1029" s="2" t="s">
        <v>112</v>
      </c>
      <c r="BZ1029" s="2" t="s">
        <v>100</v>
      </c>
    </row>
    <row r="1030">
      <c r="A1030" s="2" t="s">
        <v>4065</v>
      </c>
      <c r="B1030" s="2" t="s">
        <v>4041</v>
      </c>
      <c r="C1030" s="2" t="s">
        <v>4042</v>
      </c>
      <c r="D1030" s="2" t="s">
        <v>4043</v>
      </c>
      <c r="E1030" s="2" t="s">
        <v>4044</v>
      </c>
      <c r="F1030" s="2" t="s">
        <v>4066</v>
      </c>
      <c r="G1030" s="2" t="s">
        <v>4067</v>
      </c>
      <c r="H1030" s="2" t="s">
        <v>4067</v>
      </c>
      <c r="I1030" s="2" t="s">
        <v>4068</v>
      </c>
      <c r="J1030" s="2" t="s">
        <v>1443</v>
      </c>
      <c r="K1030" s="2" t="s">
        <v>458</v>
      </c>
      <c r="L1030" s="3">
        <v>10.91</v>
      </c>
      <c r="M1030" s="3">
        <v>11.46</v>
      </c>
      <c r="N1030" s="3">
        <v>20.99</v>
      </c>
      <c r="O1030" s="2" t="s">
        <v>97</v>
      </c>
      <c r="P1030" s="2" t="s">
        <v>98</v>
      </c>
      <c r="Q1030" s="2" t="s">
        <v>99</v>
      </c>
      <c r="R1030" s="2" t="s">
        <v>100</v>
      </c>
      <c r="S1030" s="2" t="s">
        <v>4069</v>
      </c>
      <c r="T1030" s="2" t="s">
        <v>438</v>
      </c>
      <c r="U1030" s="2" t="s">
        <v>100</v>
      </c>
      <c r="V1030" s="2" t="s">
        <v>461</v>
      </c>
      <c r="W1030" s="2" t="s">
        <v>609</v>
      </c>
      <c r="X1030" s="2" t="s">
        <v>100</v>
      </c>
      <c r="Y1030" s="2" t="s">
        <v>144</v>
      </c>
      <c r="Z1030" s="4">
        <v>326</v>
      </c>
      <c r="AA1030" s="4">
        <f>=ROUNDDOWN(25.0769230769231,0)</f>
      </c>
      <c r="AB1030" s="5">
        <v>13</v>
      </c>
      <c r="AC1030" s="2" t="s">
        <v>145</v>
      </c>
      <c r="AD1030" s="4">
        <v>100</v>
      </c>
      <c r="AE1030" s="4">
        <v>230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>
        <v>4</v>
      </c>
      <c r="AW1030" s="8">
        <v>75.56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/>
      <c r="BC1030" s="4">
        <v>4</v>
      </c>
      <c r="BD1030" s="8">
        <v>75.56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>
        <v>1</v>
      </c>
      <c r="BJ1030" s="4">
        <v>46</v>
      </c>
      <c r="BK1030" s="8">
        <v>620.96</v>
      </c>
      <c r="BL1030" s="2" t="s">
        <v>4070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109</v>
      </c>
      <c r="BV1030" s="2" t="s">
        <v>97</v>
      </c>
      <c r="BW1030" s="2" t="s">
        <v>159</v>
      </c>
      <c r="BX1030" s="2" t="s">
        <v>1250</v>
      </c>
      <c r="BY1030" s="2" t="s">
        <v>112</v>
      </c>
      <c r="BZ1030" s="2" t="s">
        <v>100</v>
      </c>
    </row>
    <row r="1031">
      <c r="A1031" s="2" t="s">
        <v>4071</v>
      </c>
      <c r="B1031" s="2" t="s">
        <v>4041</v>
      </c>
      <c r="C1031" s="2" t="s">
        <v>4042</v>
      </c>
      <c r="D1031" s="2" t="s">
        <v>4043</v>
      </c>
      <c r="E1031" s="2" t="s">
        <v>4044</v>
      </c>
      <c r="F1031" s="2" t="s">
        <v>4066</v>
      </c>
      <c r="G1031" s="2" t="s">
        <v>4067</v>
      </c>
      <c r="H1031" s="2" t="s">
        <v>4067</v>
      </c>
      <c r="I1031" s="2" t="s">
        <v>4068</v>
      </c>
      <c r="J1031" s="2" t="s">
        <v>1806</v>
      </c>
      <c r="K1031" s="2" t="s">
        <v>458</v>
      </c>
      <c r="L1031" s="3">
        <v>11.43</v>
      </c>
      <c r="M1031" s="3">
        <v>12</v>
      </c>
      <c r="N1031" s="3">
        <v>21.99</v>
      </c>
      <c r="O1031" s="2" t="s">
        <v>97</v>
      </c>
      <c r="P1031" s="2" t="s">
        <v>98</v>
      </c>
      <c r="Q1031" s="2" t="s">
        <v>99</v>
      </c>
      <c r="R1031" s="2" t="s">
        <v>100</v>
      </c>
      <c r="S1031" s="2" t="s">
        <v>4069</v>
      </c>
      <c r="T1031" s="2" t="s">
        <v>438</v>
      </c>
      <c r="U1031" s="2" t="s">
        <v>100</v>
      </c>
      <c r="V1031" s="2" t="s">
        <v>461</v>
      </c>
      <c r="W1031" s="2" t="s">
        <v>609</v>
      </c>
      <c r="X1031" s="2" t="s">
        <v>100</v>
      </c>
      <c r="Y1031" s="2" t="s">
        <v>144</v>
      </c>
      <c r="Z1031" s="4">
        <v>988</v>
      </c>
      <c r="AA1031" s="4">
        <f>=ROUNDDOWN(28.2285714285714,0)</f>
      </c>
      <c r="AB1031" s="5">
        <v>35</v>
      </c>
      <c r="AC1031" s="2" t="s">
        <v>145</v>
      </c>
      <c r="AD1031" s="4">
        <v>150</v>
      </c>
      <c r="AE1031" s="4">
        <v>1450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/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 t="s">
        <v>100</v>
      </c>
      <c r="BJ1031" s="4">
        <v>134</v>
      </c>
      <c r="BK1031" s="8">
        <v>1922.91</v>
      </c>
      <c r="BL1031" s="2" t="s">
        <v>4072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109</v>
      </c>
      <c r="BV1031" s="2" t="s">
        <v>97</v>
      </c>
      <c r="BW1031" s="2" t="s">
        <v>159</v>
      </c>
      <c r="BX1031" s="2" t="s">
        <v>4073</v>
      </c>
      <c r="BY1031" s="2" t="s">
        <v>112</v>
      </c>
      <c r="BZ1031" s="2" t="s">
        <v>100</v>
      </c>
    </row>
    <row r="1032">
      <c r="A1032" s="2" t="s">
        <v>4074</v>
      </c>
      <c r="B1032" s="2" t="s">
        <v>4041</v>
      </c>
      <c r="C1032" s="2" t="s">
        <v>4042</v>
      </c>
      <c r="D1032" s="2" t="s">
        <v>4043</v>
      </c>
      <c r="E1032" s="2" t="s">
        <v>4044</v>
      </c>
      <c r="F1032" s="2" t="s">
        <v>4066</v>
      </c>
      <c r="G1032" s="2" t="s">
        <v>4067</v>
      </c>
      <c r="H1032" s="2" t="s">
        <v>4067</v>
      </c>
      <c r="I1032" s="2" t="s">
        <v>4068</v>
      </c>
      <c r="J1032" s="2" t="s">
        <v>490</v>
      </c>
      <c r="K1032" s="2" t="s">
        <v>458</v>
      </c>
      <c r="L1032" s="3">
        <v>12.99</v>
      </c>
      <c r="M1032" s="3">
        <v>13.64</v>
      </c>
      <c r="N1032" s="3">
        <v>24.99</v>
      </c>
      <c r="O1032" s="2" t="s">
        <v>97</v>
      </c>
      <c r="P1032" s="2" t="s">
        <v>98</v>
      </c>
      <c r="Q1032" s="2" t="s">
        <v>99</v>
      </c>
      <c r="R1032" s="2" t="s">
        <v>100</v>
      </c>
      <c r="S1032" s="2" t="s">
        <v>4069</v>
      </c>
      <c r="T1032" s="2" t="s">
        <v>438</v>
      </c>
      <c r="U1032" s="2" t="s">
        <v>100</v>
      </c>
      <c r="V1032" s="2" t="s">
        <v>461</v>
      </c>
      <c r="W1032" s="2" t="s">
        <v>609</v>
      </c>
      <c r="X1032" s="2" t="s">
        <v>100</v>
      </c>
      <c r="Y1032" s="2" t="s">
        <v>144</v>
      </c>
      <c r="Z1032" s="4">
        <v>494</v>
      </c>
      <c r="AA1032" s="4">
        <f>=ROUNDDOWN(29.0588235294118,0)</f>
      </c>
      <c r="AB1032" s="5">
        <v>17</v>
      </c>
      <c r="AC1032" s="2" t="s">
        <v>145</v>
      </c>
      <c r="AD1032" s="4">
        <v>30</v>
      </c>
      <c r="AE1032" s="4">
        <v>130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4</v>
      </c>
      <c r="AQ1032" s="8">
        <v>75.56</v>
      </c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1</v>
      </c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 t="s">
        <v>100</v>
      </c>
      <c r="BJ1032" s="4">
        <v>65</v>
      </c>
      <c r="BK1032" s="8">
        <v>1039.88</v>
      </c>
      <c r="BL1032" s="2" t="s">
        <v>4075</v>
      </c>
      <c r="BM1032" s="7">
        <v>0.0615</v>
      </c>
      <c r="BN1032" s="7">
        <v>0.0727</v>
      </c>
      <c r="BO1032" s="4">
        <v>4</v>
      </c>
      <c r="BP1032" s="8">
        <v>75.56</v>
      </c>
      <c r="BQ1032" s="4"/>
      <c r="BR1032" s="8"/>
      <c r="BS1032" s="7"/>
      <c r="BT1032" s="7"/>
      <c r="BU1032" s="2" t="s">
        <v>109</v>
      </c>
      <c r="BV1032" s="2" t="s">
        <v>97</v>
      </c>
      <c r="BW1032" s="2" t="s">
        <v>159</v>
      </c>
      <c r="BX1032" s="2" t="s">
        <v>4076</v>
      </c>
      <c r="BY1032" s="2" t="s">
        <v>112</v>
      </c>
      <c r="BZ1032" s="2" t="s">
        <v>100</v>
      </c>
    </row>
    <row r="1033">
      <c r="A1033" s="2" t="s">
        <v>4077</v>
      </c>
      <c r="B1033" s="2" t="s">
        <v>4041</v>
      </c>
      <c r="C1033" s="2" t="s">
        <v>4042</v>
      </c>
      <c r="D1033" s="2" t="s">
        <v>4043</v>
      </c>
      <c r="E1033" s="2" t="s">
        <v>4044</v>
      </c>
      <c r="F1033" s="2" t="s">
        <v>4066</v>
      </c>
      <c r="G1033" s="2" t="s">
        <v>4067</v>
      </c>
      <c r="H1033" s="2" t="s">
        <v>4067</v>
      </c>
      <c r="I1033" s="2" t="s">
        <v>4068</v>
      </c>
      <c r="J1033" s="2" t="s">
        <v>95</v>
      </c>
      <c r="K1033" s="2" t="s">
        <v>458</v>
      </c>
      <c r="L1033" s="3">
        <v>14.55</v>
      </c>
      <c r="M1033" s="3">
        <v>15.28</v>
      </c>
      <c r="N1033" s="3">
        <v>27.99</v>
      </c>
      <c r="O1033" s="2" t="s">
        <v>97</v>
      </c>
      <c r="P1033" s="2" t="s">
        <v>123</v>
      </c>
      <c r="Q1033" s="2" t="s">
        <v>99</v>
      </c>
      <c r="R1033" s="2" t="s">
        <v>100</v>
      </c>
      <c r="S1033" s="2" t="s">
        <v>4069</v>
      </c>
      <c r="T1033" s="2" t="s">
        <v>438</v>
      </c>
      <c r="U1033" s="2" t="s">
        <v>100</v>
      </c>
      <c r="V1033" s="2" t="s">
        <v>461</v>
      </c>
      <c r="W1033" s="2" t="s">
        <v>609</v>
      </c>
      <c r="X1033" s="2" t="s">
        <v>100</v>
      </c>
      <c r="Y1033" s="2" t="s">
        <v>144</v>
      </c>
      <c r="Z1033" s="4">
        <v>832</v>
      </c>
      <c r="AA1033" s="4">
        <f>=ROUNDDOWN(16.64,0)</f>
      </c>
      <c r="AB1033" s="5">
        <v>50</v>
      </c>
      <c r="AC1033" s="2" t="s">
        <v>145</v>
      </c>
      <c r="AD1033" s="4">
        <v>180</v>
      </c>
      <c r="AE1033" s="4">
        <v>830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/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 t="s">
        <v>100</v>
      </c>
      <c r="BJ1033" s="4">
        <v>156</v>
      </c>
      <c r="BK1033" s="8">
        <v>2776.05</v>
      </c>
      <c r="BL1033" s="2" t="s">
        <v>4078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109</v>
      </c>
      <c r="BV1033" s="2" t="s">
        <v>97</v>
      </c>
      <c r="BW1033" s="2" t="s">
        <v>159</v>
      </c>
      <c r="BX1033" s="2" t="s">
        <v>1105</v>
      </c>
      <c r="BY1033" s="2" t="s">
        <v>112</v>
      </c>
      <c r="BZ1033" s="2" t="s">
        <v>100</v>
      </c>
    </row>
    <row r="1034">
      <c r="A1034" s="2" t="s">
        <v>4079</v>
      </c>
      <c r="B1034" s="2" t="s">
        <v>4041</v>
      </c>
      <c r="C1034" s="2" t="s">
        <v>4042</v>
      </c>
      <c r="D1034" s="2" t="s">
        <v>4043</v>
      </c>
      <c r="E1034" s="2" t="s">
        <v>4044</v>
      </c>
      <c r="F1034" s="2" t="s">
        <v>4066</v>
      </c>
      <c r="G1034" s="2" t="s">
        <v>4067</v>
      </c>
      <c r="H1034" s="2" t="s">
        <v>4067</v>
      </c>
      <c r="I1034" s="2" t="s">
        <v>4068</v>
      </c>
      <c r="J1034" s="2" t="s">
        <v>114</v>
      </c>
      <c r="K1034" s="2" t="s">
        <v>458</v>
      </c>
      <c r="L1034" s="3">
        <v>17.15</v>
      </c>
      <c r="M1034" s="3">
        <v>18.01</v>
      </c>
      <c r="N1034" s="3">
        <v>32.99</v>
      </c>
      <c r="O1034" s="2" t="s">
        <v>97</v>
      </c>
      <c r="P1034" s="2" t="s">
        <v>98</v>
      </c>
      <c r="Q1034" s="2" t="s">
        <v>99</v>
      </c>
      <c r="R1034" s="2" t="s">
        <v>100</v>
      </c>
      <c r="S1034" s="2" t="s">
        <v>4069</v>
      </c>
      <c r="T1034" s="2" t="s">
        <v>438</v>
      </c>
      <c r="U1034" s="2" t="s">
        <v>100</v>
      </c>
      <c r="V1034" s="2" t="s">
        <v>461</v>
      </c>
      <c r="W1034" s="2" t="s">
        <v>609</v>
      </c>
      <c r="X1034" s="2" t="s">
        <v>100</v>
      </c>
      <c r="Y1034" s="2" t="s">
        <v>144</v>
      </c>
      <c r="Z1034" s="4">
        <v>459</v>
      </c>
      <c r="AA1034" s="4">
        <f>=ROUNDDOWN(32.3239436619718,0)</f>
      </c>
      <c r="AB1034" s="5">
        <v>14.2</v>
      </c>
      <c r="AC1034" s="2" t="s">
        <v>145</v>
      </c>
      <c r="AD1034" s="4">
        <v>70</v>
      </c>
      <c r="AE1034" s="4">
        <v>210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/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 t="s">
        <v>100</v>
      </c>
      <c r="BJ1034" s="4">
        <v>79</v>
      </c>
      <c r="BK1034" s="8">
        <v>1730.25</v>
      </c>
      <c r="BL1034" s="2" t="s">
        <v>4080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109</v>
      </c>
      <c r="BV1034" s="2" t="s">
        <v>97</v>
      </c>
      <c r="BW1034" s="2" t="s">
        <v>159</v>
      </c>
      <c r="BX1034" s="2" t="s">
        <v>4081</v>
      </c>
      <c r="BY1034" s="2" t="s">
        <v>112</v>
      </c>
      <c r="BZ1034" s="2" t="s">
        <v>100</v>
      </c>
    </row>
    <row r="1035">
      <c r="A1035" s="2" t="s">
        <v>4082</v>
      </c>
      <c r="B1035" s="2" t="s">
        <v>4041</v>
      </c>
      <c r="C1035" s="2" t="s">
        <v>4042</v>
      </c>
      <c r="D1035" s="2" t="s">
        <v>4043</v>
      </c>
      <c r="E1035" s="2" t="s">
        <v>4044</v>
      </c>
      <c r="F1035" s="2" t="s">
        <v>4083</v>
      </c>
      <c r="G1035" s="2" t="s">
        <v>4083</v>
      </c>
      <c r="H1035" s="2" t="s">
        <v>4083</v>
      </c>
      <c r="I1035" s="2" t="s">
        <v>4084</v>
      </c>
      <c r="J1035" s="2" t="s">
        <v>490</v>
      </c>
      <c r="K1035" s="2" t="s">
        <v>458</v>
      </c>
      <c r="L1035" s="3">
        <v>19.04</v>
      </c>
      <c r="M1035" s="3">
        <v>19.99</v>
      </c>
      <c r="N1035" s="3">
        <v>39.99</v>
      </c>
      <c r="O1035" s="2" t="s">
        <v>97</v>
      </c>
      <c r="P1035" s="2" t="s">
        <v>707</v>
      </c>
      <c r="Q1035" s="2" t="s">
        <v>99</v>
      </c>
      <c r="R1035" s="2" t="s">
        <v>100</v>
      </c>
      <c r="S1035" s="2" t="s">
        <v>4085</v>
      </c>
      <c r="T1035" s="2" t="s">
        <v>438</v>
      </c>
      <c r="U1035" s="2" t="s">
        <v>1776</v>
      </c>
      <c r="V1035" s="2" t="s">
        <v>461</v>
      </c>
      <c r="W1035" s="2" t="s">
        <v>609</v>
      </c>
      <c r="X1035" s="2" t="s">
        <v>493</v>
      </c>
      <c r="Y1035" s="2" t="s">
        <v>4086</v>
      </c>
      <c r="Z1035" s="4">
        <v>240</v>
      </c>
      <c r="AA1035" s="4">
        <f>=ROUNDDOWN(48,0)</f>
      </c>
      <c r="AB1035" s="5">
        <v>5</v>
      </c>
      <c r="AC1035" s="2" t="s">
        <v>100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/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/>
      <c r="BJ1035" s="4">
        <v>16</v>
      </c>
      <c r="BK1035" s="8">
        <v>358.64</v>
      </c>
      <c r="BL1035" s="2" t="s">
        <v>4087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171</v>
      </c>
      <c r="BV1035" s="2" t="s">
        <v>97</v>
      </c>
      <c r="BW1035" s="2" t="s">
        <v>100</v>
      </c>
      <c r="BX1035" s="2" t="s">
        <v>100</v>
      </c>
      <c r="BY1035" s="2" t="s">
        <v>112</v>
      </c>
      <c r="BZ1035" s="2" t="s">
        <v>100</v>
      </c>
    </row>
    <row r="1036">
      <c r="A1036" s="2" t="s">
        <v>4088</v>
      </c>
      <c r="B1036" s="2" t="s">
        <v>4041</v>
      </c>
      <c r="C1036" s="2" t="s">
        <v>4042</v>
      </c>
      <c r="D1036" s="2" t="s">
        <v>4043</v>
      </c>
      <c r="E1036" s="2" t="s">
        <v>4044</v>
      </c>
      <c r="F1036" s="2" t="s">
        <v>4083</v>
      </c>
      <c r="G1036" s="2" t="s">
        <v>4083</v>
      </c>
      <c r="H1036" s="2" t="s">
        <v>4083</v>
      </c>
      <c r="I1036" s="2" t="s">
        <v>4084</v>
      </c>
      <c r="J1036" s="2" t="s">
        <v>95</v>
      </c>
      <c r="K1036" s="2" t="s">
        <v>458</v>
      </c>
      <c r="L1036" s="3">
        <v>21.42</v>
      </c>
      <c r="M1036" s="3">
        <v>22.49</v>
      </c>
      <c r="N1036" s="3">
        <v>44.99</v>
      </c>
      <c r="O1036" s="2" t="s">
        <v>97</v>
      </c>
      <c r="P1036" s="2" t="s">
        <v>707</v>
      </c>
      <c r="Q1036" s="2" t="s">
        <v>99</v>
      </c>
      <c r="R1036" s="2" t="s">
        <v>100</v>
      </c>
      <c r="S1036" s="2" t="s">
        <v>4085</v>
      </c>
      <c r="T1036" s="2" t="s">
        <v>438</v>
      </c>
      <c r="U1036" s="2" t="s">
        <v>1776</v>
      </c>
      <c r="V1036" s="2" t="s">
        <v>461</v>
      </c>
      <c r="W1036" s="2" t="s">
        <v>609</v>
      </c>
      <c r="X1036" s="2" t="s">
        <v>493</v>
      </c>
      <c r="Y1036" s="2" t="s">
        <v>4089</v>
      </c>
      <c r="Z1036" s="4">
        <v>542</v>
      </c>
      <c r="AA1036" s="4">
        <f>=ROUNDDOWN(38.7142857142857,0)</f>
      </c>
      <c r="AB1036" s="5">
        <v>14</v>
      </c>
      <c r="AC1036" s="2" t="s">
        <v>100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100</v>
      </c>
      <c r="AW1036" s="8" t="s">
        <v>100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/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/>
      <c r="BJ1036" s="4">
        <v>52</v>
      </c>
      <c r="BK1036" s="8">
        <v>1268.23</v>
      </c>
      <c r="BL1036" s="2" t="s">
        <v>4090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171</v>
      </c>
      <c r="BV1036" s="2" t="s">
        <v>97</v>
      </c>
      <c r="BW1036" s="2" t="s">
        <v>100</v>
      </c>
      <c r="BX1036" s="2" t="s">
        <v>100</v>
      </c>
      <c r="BY1036" s="2" t="s">
        <v>112</v>
      </c>
      <c r="BZ1036" s="2" t="s">
        <v>100</v>
      </c>
    </row>
    <row r="1037">
      <c r="A1037" s="2" t="s">
        <v>4091</v>
      </c>
      <c r="B1037" s="2" t="s">
        <v>4041</v>
      </c>
      <c r="C1037" s="2" t="s">
        <v>4042</v>
      </c>
      <c r="D1037" s="2" t="s">
        <v>4043</v>
      </c>
      <c r="E1037" s="2" t="s">
        <v>4044</v>
      </c>
      <c r="F1037" s="2" t="s">
        <v>4083</v>
      </c>
      <c r="G1037" s="2" t="s">
        <v>4083</v>
      </c>
      <c r="H1037" s="2" t="s">
        <v>4083</v>
      </c>
      <c r="I1037" s="2" t="s">
        <v>4084</v>
      </c>
      <c r="J1037" s="2" t="s">
        <v>114</v>
      </c>
      <c r="K1037" s="2" t="s">
        <v>458</v>
      </c>
      <c r="L1037" s="3">
        <v>23.8</v>
      </c>
      <c r="M1037" s="3">
        <v>24.99</v>
      </c>
      <c r="N1037" s="3">
        <v>49.99</v>
      </c>
      <c r="O1037" s="2" t="s">
        <v>97</v>
      </c>
      <c r="P1037" s="2" t="s">
        <v>707</v>
      </c>
      <c r="Q1037" s="2" t="s">
        <v>99</v>
      </c>
      <c r="R1037" s="2" t="s">
        <v>100</v>
      </c>
      <c r="S1037" s="2" t="s">
        <v>4085</v>
      </c>
      <c r="T1037" s="2" t="s">
        <v>438</v>
      </c>
      <c r="U1037" s="2" t="s">
        <v>1776</v>
      </c>
      <c r="V1037" s="2" t="s">
        <v>461</v>
      </c>
      <c r="W1037" s="2" t="s">
        <v>609</v>
      </c>
      <c r="X1037" s="2" t="s">
        <v>493</v>
      </c>
      <c r="Y1037" s="2" t="s">
        <v>4086</v>
      </c>
      <c r="Z1037" s="4">
        <v>234</v>
      </c>
      <c r="AA1037" s="4">
        <f>=ROUNDDOWN(26,0)</f>
      </c>
      <c r="AB1037" s="5">
        <v>9</v>
      </c>
      <c r="AC1037" s="2" t="s">
        <v>100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/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/>
      <c r="BJ1037" s="4">
        <v>31</v>
      </c>
      <c r="BK1037" s="8">
        <v>862.2</v>
      </c>
      <c r="BL1037" s="2" t="s">
        <v>4092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171</v>
      </c>
      <c r="BV1037" s="2" t="s">
        <v>97</v>
      </c>
      <c r="BW1037" s="2" t="s">
        <v>100</v>
      </c>
      <c r="BX1037" s="2" t="s">
        <v>100</v>
      </c>
      <c r="BY1037" s="2" t="s">
        <v>112</v>
      </c>
      <c r="BZ1037" s="2" t="s">
        <v>100</v>
      </c>
    </row>
    <row r="1038">
      <c r="A1038" s="2" t="s">
        <v>4093</v>
      </c>
      <c r="B1038" s="2" t="s">
        <v>4041</v>
      </c>
      <c r="C1038" s="2" t="s">
        <v>4042</v>
      </c>
      <c r="D1038" s="2" t="s">
        <v>4043</v>
      </c>
      <c r="E1038" s="2" t="s">
        <v>4044</v>
      </c>
      <c r="F1038" s="2" t="s">
        <v>4094</v>
      </c>
      <c r="G1038" s="2" t="s">
        <v>4094</v>
      </c>
      <c r="H1038" s="2" t="s">
        <v>4094</v>
      </c>
      <c r="I1038" s="2" t="s">
        <v>4095</v>
      </c>
      <c r="J1038" s="2" t="s">
        <v>1806</v>
      </c>
      <c r="K1038" s="2" t="s">
        <v>458</v>
      </c>
      <c r="L1038" s="3">
        <v>21.19</v>
      </c>
      <c r="M1038" s="3">
        <v>22.25</v>
      </c>
      <c r="N1038" s="3">
        <v>39.99</v>
      </c>
      <c r="O1038" s="2" t="s">
        <v>97</v>
      </c>
      <c r="P1038" s="2" t="s">
        <v>98</v>
      </c>
      <c r="Q1038" s="2" t="s">
        <v>99</v>
      </c>
      <c r="R1038" s="2" t="s">
        <v>100</v>
      </c>
      <c r="S1038" s="2" t="s">
        <v>4096</v>
      </c>
      <c r="T1038" s="2" t="s">
        <v>190</v>
      </c>
      <c r="U1038" s="2" t="s">
        <v>1776</v>
      </c>
      <c r="V1038" s="2" t="s">
        <v>461</v>
      </c>
      <c r="W1038" s="2" t="s">
        <v>609</v>
      </c>
      <c r="X1038" s="2" t="s">
        <v>493</v>
      </c>
      <c r="Y1038" s="2" t="s">
        <v>3441</v>
      </c>
      <c r="Z1038" s="4">
        <v>733</v>
      </c>
      <c r="AA1038" s="4">
        <f>=ROUNDDOWN(10.6231884057971,0)</f>
      </c>
      <c r="AB1038" s="5">
        <v>69</v>
      </c>
      <c r="AC1038" s="2" t="s">
        <v>196</v>
      </c>
      <c r="AD1038" s="4">
        <v>400</v>
      </c>
      <c r="AE1038" s="4">
        <v>1600</v>
      </c>
      <c r="AF1038" s="6">
        <v>66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/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/>
      <c r="BJ1038" s="4">
        <v>253</v>
      </c>
      <c r="BK1038" s="8">
        <v>5854.19</v>
      </c>
      <c r="BL1038" s="2" t="s">
        <v>2396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171</v>
      </c>
      <c r="BV1038" s="2" t="s">
        <v>97</v>
      </c>
      <c r="BW1038" s="2" t="s">
        <v>100</v>
      </c>
      <c r="BX1038" s="2" t="s">
        <v>100</v>
      </c>
      <c r="BY1038" s="2" t="s">
        <v>112</v>
      </c>
      <c r="BZ1038" s="2" t="s">
        <v>100</v>
      </c>
    </row>
    <row r="1039">
      <c r="A1039" s="2" t="s">
        <v>4097</v>
      </c>
      <c r="B1039" s="2" t="s">
        <v>4041</v>
      </c>
      <c r="C1039" s="2" t="s">
        <v>4042</v>
      </c>
      <c r="D1039" s="2" t="s">
        <v>4043</v>
      </c>
      <c r="E1039" s="2" t="s">
        <v>4044</v>
      </c>
      <c r="F1039" s="2" t="s">
        <v>4094</v>
      </c>
      <c r="G1039" s="2" t="s">
        <v>4094</v>
      </c>
      <c r="H1039" s="2" t="s">
        <v>4094</v>
      </c>
      <c r="I1039" s="2" t="s">
        <v>4095</v>
      </c>
      <c r="J1039" s="2" t="s">
        <v>490</v>
      </c>
      <c r="K1039" s="2" t="s">
        <v>458</v>
      </c>
      <c r="L1039" s="3">
        <v>23.84</v>
      </c>
      <c r="M1039" s="3">
        <v>25.03</v>
      </c>
      <c r="N1039" s="3">
        <v>44.99</v>
      </c>
      <c r="O1039" s="2" t="s">
        <v>97</v>
      </c>
      <c r="P1039" s="2" t="s">
        <v>123</v>
      </c>
      <c r="Q1039" s="2" t="s">
        <v>99</v>
      </c>
      <c r="R1039" s="2" t="s">
        <v>100</v>
      </c>
      <c r="S1039" s="2" t="s">
        <v>4098</v>
      </c>
      <c r="T1039" s="2" t="s">
        <v>190</v>
      </c>
      <c r="U1039" s="2" t="s">
        <v>100</v>
      </c>
      <c r="V1039" s="2" t="s">
        <v>461</v>
      </c>
      <c r="W1039" s="2" t="s">
        <v>609</v>
      </c>
      <c r="X1039" s="2" t="s">
        <v>100</v>
      </c>
      <c r="Y1039" s="2" t="s">
        <v>144</v>
      </c>
      <c r="Z1039" s="4">
        <v>904</v>
      </c>
      <c r="AA1039" s="4">
        <f>=ROUNDDOWN(11.8947368421053,0)</f>
      </c>
      <c r="AB1039" s="5">
        <v>76</v>
      </c>
      <c r="AC1039" s="2" t="s">
        <v>196</v>
      </c>
      <c r="AD1039" s="4">
        <v>320</v>
      </c>
      <c r="AE1039" s="4">
        <v>1680</v>
      </c>
      <c r="AF1039" s="6">
        <v>66</v>
      </c>
      <c r="AG1039" s="6">
        <v>74</v>
      </c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/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/>
      <c r="BJ1039" s="4">
        <v>290</v>
      </c>
      <c r="BK1039" s="8">
        <v>8716.75</v>
      </c>
      <c r="BL1039" s="2" t="s">
        <v>1332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109</v>
      </c>
      <c r="BV1039" s="2" t="s">
        <v>97</v>
      </c>
      <c r="BW1039" s="2" t="s">
        <v>159</v>
      </c>
      <c r="BX1039" s="2" t="s">
        <v>4099</v>
      </c>
      <c r="BY1039" s="2" t="s">
        <v>112</v>
      </c>
      <c r="BZ1039" s="2" t="s">
        <v>100</v>
      </c>
    </row>
    <row r="1040">
      <c r="A1040" s="2" t="s">
        <v>4100</v>
      </c>
      <c r="B1040" s="2" t="s">
        <v>4041</v>
      </c>
      <c r="C1040" s="2" t="s">
        <v>4042</v>
      </c>
      <c r="D1040" s="2" t="s">
        <v>4043</v>
      </c>
      <c r="E1040" s="2" t="s">
        <v>4101</v>
      </c>
      <c r="F1040" s="2" t="s">
        <v>4102</v>
      </c>
      <c r="G1040" s="2" t="s">
        <v>4102</v>
      </c>
      <c r="H1040" s="2" t="s">
        <v>4102</v>
      </c>
      <c r="I1040" s="2" t="s">
        <v>4103</v>
      </c>
      <c r="J1040" s="2" t="s">
        <v>1443</v>
      </c>
      <c r="K1040" s="2" t="s">
        <v>179</v>
      </c>
      <c r="L1040" s="3">
        <v>25.3</v>
      </c>
      <c r="M1040" s="3">
        <v>26.56</v>
      </c>
      <c r="N1040" s="3">
        <v>54.99</v>
      </c>
      <c r="O1040" s="2" t="s">
        <v>97</v>
      </c>
      <c r="P1040" s="2" t="s">
        <v>98</v>
      </c>
      <c r="Q1040" s="2" t="s">
        <v>99</v>
      </c>
      <c r="R1040" s="2" t="s">
        <v>100</v>
      </c>
      <c r="S1040" s="2" t="s">
        <v>4104</v>
      </c>
      <c r="T1040" s="2" t="s">
        <v>4105</v>
      </c>
      <c r="U1040" s="2" t="s">
        <v>100</v>
      </c>
      <c r="V1040" s="2" t="s">
        <v>461</v>
      </c>
      <c r="W1040" s="2" t="s">
        <v>609</v>
      </c>
      <c r="X1040" s="2" t="s">
        <v>100</v>
      </c>
      <c r="Y1040" s="2" t="s">
        <v>144</v>
      </c>
      <c r="Z1040" s="4">
        <v>273</v>
      </c>
      <c r="AA1040" s="4">
        <f>=ROUNDDOWN(34.125,0)</f>
      </c>
      <c r="AB1040" s="5">
        <v>8</v>
      </c>
      <c r="AC1040" s="2" t="s">
        <v>307</v>
      </c>
      <c r="AD1040" s="4">
        <v>100</v>
      </c>
      <c r="AE1040" s="4">
        <v>100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1</v>
      </c>
      <c r="AQ1040" s="8">
        <v>31.76</v>
      </c>
      <c r="AR1040" s="4"/>
      <c r="AS1040" s="8"/>
      <c r="AT1040" s="7"/>
      <c r="AU1040" s="7"/>
      <c r="AV1040" s="4">
        <v>4</v>
      </c>
      <c r="AW1040" s="8">
        <v>156.71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>
        <v>0.2027</v>
      </c>
      <c r="BC1040" s="4">
        <v>4</v>
      </c>
      <c r="BD1040" s="8">
        <v>156.71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>
        <v>1</v>
      </c>
      <c r="BJ1040" s="4">
        <v>22</v>
      </c>
      <c r="BK1040" s="8">
        <v>622.68</v>
      </c>
      <c r="BL1040" s="2" t="s">
        <v>4106</v>
      </c>
      <c r="BM1040" s="7">
        <v>0.0455</v>
      </c>
      <c r="BN1040" s="7">
        <v>0.051</v>
      </c>
      <c r="BO1040" s="4">
        <v>1</v>
      </c>
      <c r="BP1040" s="8">
        <v>31.76</v>
      </c>
      <c r="BQ1040" s="4"/>
      <c r="BR1040" s="8"/>
      <c r="BS1040" s="7"/>
      <c r="BT1040" s="7"/>
      <c r="BU1040" s="2" t="s">
        <v>109</v>
      </c>
      <c r="BV1040" s="2" t="s">
        <v>97</v>
      </c>
      <c r="BW1040" s="2" t="s">
        <v>4107</v>
      </c>
      <c r="BX1040" s="2" t="s">
        <v>4108</v>
      </c>
      <c r="BY1040" s="2" t="s">
        <v>112</v>
      </c>
      <c r="BZ1040" s="2" t="s">
        <v>100</v>
      </c>
    </row>
    <row r="1041">
      <c r="A1041" s="2" t="s">
        <v>4109</v>
      </c>
      <c r="B1041" s="2" t="s">
        <v>4041</v>
      </c>
      <c r="C1041" s="2" t="s">
        <v>4042</v>
      </c>
      <c r="D1041" s="2" t="s">
        <v>4043</v>
      </c>
      <c r="E1041" s="2" t="s">
        <v>4101</v>
      </c>
      <c r="F1041" s="2" t="s">
        <v>4102</v>
      </c>
      <c r="G1041" s="2" t="s">
        <v>4102</v>
      </c>
      <c r="H1041" s="2" t="s">
        <v>4102</v>
      </c>
      <c r="I1041" s="2" t="s">
        <v>4103</v>
      </c>
      <c r="J1041" s="2" t="s">
        <v>1806</v>
      </c>
      <c r="K1041" s="2" t="s">
        <v>179</v>
      </c>
      <c r="L1041" s="3">
        <v>27.6</v>
      </c>
      <c r="M1041" s="3">
        <v>28.98</v>
      </c>
      <c r="N1041" s="3">
        <v>59.99</v>
      </c>
      <c r="O1041" s="2" t="s">
        <v>97</v>
      </c>
      <c r="P1041" s="2" t="s">
        <v>98</v>
      </c>
      <c r="Q1041" s="2" t="s">
        <v>99</v>
      </c>
      <c r="R1041" s="2" t="s">
        <v>100</v>
      </c>
      <c r="S1041" s="2" t="s">
        <v>4104</v>
      </c>
      <c r="T1041" s="2" t="s">
        <v>4105</v>
      </c>
      <c r="U1041" s="2" t="s">
        <v>100</v>
      </c>
      <c r="V1041" s="2" t="s">
        <v>461</v>
      </c>
      <c r="W1041" s="2" t="s">
        <v>609</v>
      </c>
      <c r="X1041" s="2" t="s">
        <v>100</v>
      </c>
      <c r="Y1041" s="2" t="s">
        <v>144</v>
      </c>
      <c r="Z1041" s="4">
        <v>185</v>
      </c>
      <c r="AA1041" s="4">
        <f>=ROUNDDOWN(16.8181818181818,0)</f>
      </c>
      <c r="AB1041" s="5">
        <v>11</v>
      </c>
      <c r="AC1041" s="2" t="s">
        <v>307</v>
      </c>
      <c r="AD1041" s="4">
        <v>950</v>
      </c>
      <c r="AE1041" s="4">
        <v>950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1</v>
      </c>
      <c r="AQ1041" s="8">
        <v>32.57</v>
      </c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0.2078</v>
      </c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 t="s">
        <v>100</v>
      </c>
      <c r="BJ1041" s="4">
        <v>19</v>
      </c>
      <c r="BK1041" s="8">
        <v>540.38</v>
      </c>
      <c r="BL1041" s="2" t="s">
        <v>4110</v>
      </c>
      <c r="BM1041" s="7">
        <v>0.0526</v>
      </c>
      <c r="BN1041" s="7">
        <v>0.0603</v>
      </c>
      <c r="BO1041" s="4">
        <v>1</v>
      </c>
      <c r="BP1041" s="8">
        <v>32.57</v>
      </c>
      <c r="BQ1041" s="4"/>
      <c r="BR1041" s="8"/>
      <c r="BS1041" s="7"/>
      <c r="BT1041" s="7"/>
      <c r="BU1041" s="2" t="s">
        <v>109</v>
      </c>
      <c r="BV1041" s="2" t="s">
        <v>97</v>
      </c>
      <c r="BW1041" s="2" t="s">
        <v>4107</v>
      </c>
      <c r="BX1041" s="2" t="s">
        <v>4111</v>
      </c>
      <c r="BY1041" s="2" t="s">
        <v>112</v>
      </c>
      <c r="BZ1041" s="2" t="s">
        <v>100</v>
      </c>
    </row>
    <row r="1042">
      <c r="A1042" s="2" t="s">
        <v>4112</v>
      </c>
      <c r="B1042" s="2" t="s">
        <v>4041</v>
      </c>
      <c r="C1042" s="2" t="s">
        <v>4042</v>
      </c>
      <c r="D1042" s="2" t="s">
        <v>4043</v>
      </c>
      <c r="E1042" s="2" t="s">
        <v>4101</v>
      </c>
      <c r="F1042" s="2" t="s">
        <v>4102</v>
      </c>
      <c r="G1042" s="2" t="s">
        <v>4102</v>
      </c>
      <c r="H1042" s="2" t="s">
        <v>4102</v>
      </c>
      <c r="I1042" s="2" t="s">
        <v>4103</v>
      </c>
      <c r="J1042" s="2" t="s">
        <v>490</v>
      </c>
      <c r="K1042" s="2" t="s">
        <v>179</v>
      </c>
      <c r="L1042" s="3">
        <v>32.2</v>
      </c>
      <c r="M1042" s="3">
        <v>33.81</v>
      </c>
      <c r="N1042" s="3">
        <v>69.99</v>
      </c>
      <c r="O1042" s="2" t="s">
        <v>97</v>
      </c>
      <c r="P1042" s="2" t="s">
        <v>98</v>
      </c>
      <c r="Q1042" s="2" t="s">
        <v>99</v>
      </c>
      <c r="R1042" s="2" t="s">
        <v>100</v>
      </c>
      <c r="S1042" s="2" t="s">
        <v>4104</v>
      </c>
      <c r="T1042" s="2" t="s">
        <v>4105</v>
      </c>
      <c r="U1042" s="2" t="s">
        <v>100</v>
      </c>
      <c r="V1042" s="2" t="s">
        <v>461</v>
      </c>
      <c r="W1042" s="2" t="s">
        <v>609</v>
      </c>
      <c r="X1042" s="2" t="s">
        <v>100</v>
      </c>
      <c r="Y1042" s="2" t="s">
        <v>144</v>
      </c>
      <c r="Z1042" s="4">
        <v>218</v>
      </c>
      <c r="AA1042" s="4">
        <f>=ROUNDDOWN(31.1428571428571,0)</f>
      </c>
      <c r="AB1042" s="5">
        <v>7</v>
      </c>
      <c r="AC1042" s="2" t="s">
        <v>307</v>
      </c>
      <c r="AD1042" s="4">
        <v>100</v>
      </c>
      <c r="AE1042" s="4">
        <v>100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/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 t="s">
        <v>100</v>
      </c>
      <c r="BJ1042" s="4">
        <v>14</v>
      </c>
      <c r="BK1042" s="8">
        <v>511.78</v>
      </c>
      <c r="BL1042" s="2" t="s">
        <v>4113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109</v>
      </c>
      <c r="BV1042" s="2" t="s">
        <v>97</v>
      </c>
      <c r="BW1042" s="2" t="s">
        <v>4107</v>
      </c>
      <c r="BX1042" s="2" t="s">
        <v>1892</v>
      </c>
      <c r="BY1042" s="2" t="s">
        <v>112</v>
      </c>
      <c r="BZ1042" s="2" t="s">
        <v>100</v>
      </c>
    </row>
    <row r="1043">
      <c r="A1043" s="2" t="s">
        <v>4114</v>
      </c>
      <c r="B1043" s="2" t="s">
        <v>4041</v>
      </c>
      <c r="C1043" s="2" t="s">
        <v>4042</v>
      </c>
      <c r="D1043" s="2" t="s">
        <v>4043</v>
      </c>
      <c r="E1043" s="2" t="s">
        <v>4101</v>
      </c>
      <c r="F1043" s="2" t="s">
        <v>4102</v>
      </c>
      <c r="G1043" s="2" t="s">
        <v>4102</v>
      </c>
      <c r="H1043" s="2" t="s">
        <v>4102</v>
      </c>
      <c r="I1043" s="2" t="s">
        <v>4103</v>
      </c>
      <c r="J1043" s="2" t="s">
        <v>95</v>
      </c>
      <c r="K1043" s="2" t="s">
        <v>179</v>
      </c>
      <c r="L1043" s="3">
        <v>36.8</v>
      </c>
      <c r="M1043" s="3">
        <v>38.64</v>
      </c>
      <c r="N1043" s="3">
        <v>79.99</v>
      </c>
      <c r="O1043" s="2" t="s">
        <v>97</v>
      </c>
      <c r="P1043" s="2" t="s">
        <v>98</v>
      </c>
      <c r="Q1043" s="2" t="s">
        <v>99</v>
      </c>
      <c r="R1043" s="2" t="s">
        <v>100</v>
      </c>
      <c r="S1043" s="2" t="s">
        <v>4104</v>
      </c>
      <c r="T1043" s="2" t="s">
        <v>4105</v>
      </c>
      <c r="U1043" s="2" t="s">
        <v>100</v>
      </c>
      <c r="V1043" s="2" t="s">
        <v>461</v>
      </c>
      <c r="W1043" s="2" t="s">
        <v>609</v>
      </c>
      <c r="X1043" s="2" t="s">
        <v>100</v>
      </c>
      <c r="Y1043" s="2" t="s">
        <v>144</v>
      </c>
      <c r="Z1043" s="4">
        <v>299</v>
      </c>
      <c r="AA1043" s="4">
        <f>=ROUNDDOWN(17.5882352941176,0)</f>
      </c>
      <c r="AB1043" s="5">
        <v>17</v>
      </c>
      <c r="AC1043" s="2" t="s">
        <v>307</v>
      </c>
      <c r="AD1043" s="4">
        <v>50</v>
      </c>
      <c r="AE1043" s="4">
        <v>230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2</v>
      </c>
      <c r="AQ1043" s="8">
        <v>92.38</v>
      </c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>
        <v>0.5895</v>
      </c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 t="s">
        <v>100</v>
      </c>
      <c r="BJ1043" s="4">
        <v>40</v>
      </c>
      <c r="BK1043" s="8">
        <v>1698.79</v>
      </c>
      <c r="BL1043" s="2" t="s">
        <v>4115</v>
      </c>
      <c r="BM1043" s="7">
        <v>0.05</v>
      </c>
      <c r="BN1043" s="7">
        <v>0.0544</v>
      </c>
      <c r="BO1043" s="4">
        <v>2</v>
      </c>
      <c r="BP1043" s="8">
        <v>92.38</v>
      </c>
      <c r="BQ1043" s="4"/>
      <c r="BR1043" s="8"/>
      <c r="BS1043" s="7"/>
      <c r="BT1043" s="7"/>
      <c r="BU1043" s="2" t="s">
        <v>109</v>
      </c>
      <c r="BV1043" s="2" t="s">
        <v>97</v>
      </c>
      <c r="BW1043" s="2" t="s">
        <v>4107</v>
      </c>
      <c r="BX1043" s="2" t="s">
        <v>1818</v>
      </c>
      <c r="BY1043" s="2" t="s">
        <v>112</v>
      </c>
      <c r="BZ1043" s="2" t="s">
        <v>100</v>
      </c>
    </row>
    <row r="1044">
      <c r="A1044" s="2" t="s">
        <v>4116</v>
      </c>
      <c r="B1044" s="2" t="s">
        <v>4041</v>
      </c>
      <c r="C1044" s="2" t="s">
        <v>4042</v>
      </c>
      <c r="D1044" s="2" t="s">
        <v>4043</v>
      </c>
      <c r="E1044" s="2" t="s">
        <v>4101</v>
      </c>
      <c r="F1044" s="2" t="s">
        <v>4102</v>
      </c>
      <c r="G1044" s="2" t="s">
        <v>4102</v>
      </c>
      <c r="H1044" s="2" t="s">
        <v>4102</v>
      </c>
      <c r="I1044" s="2" t="s">
        <v>4103</v>
      </c>
      <c r="J1044" s="2" t="s">
        <v>114</v>
      </c>
      <c r="K1044" s="2" t="s">
        <v>179</v>
      </c>
      <c r="L1044" s="3">
        <v>46</v>
      </c>
      <c r="M1044" s="3">
        <v>48.3</v>
      </c>
      <c r="N1044" s="3">
        <v>99.99</v>
      </c>
      <c r="O1044" s="2" t="s">
        <v>97</v>
      </c>
      <c r="P1044" s="2" t="s">
        <v>98</v>
      </c>
      <c r="Q1044" s="2" t="s">
        <v>99</v>
      </c>
      <c r="R1044" s="2" t="s">
        <v>100</v>
      </c>
      <c r="S1044" s="2" t="s">
        <v>4104</v>
      </c>
      <c r="T1044" s="2" t="s">
        <v>4105</v>
      </c>
      <c r="U1044" s="2" t="s">
        <v>100</v>
      </c>
      <c r="V1044" s="2" t="s">
        <v>461</v>
      </c>
      <c r="W1044" s="2" t="s">
        <v>609</v>
      </c>
      <c r="X1044" s="2" t="s">
        <v>100</v>
      </c>
      <c r="Y1044" s="2" t="s">
        <v>144</v>
      </c>
      <c r="Z1044" s="4">
        <v>337</v>
      </c>
      <c r="AA1044" s="4">
        <f>=ROUNDDOWN(56.1666666666667,0)</f>
      </c>
      <c r="AB1044" s="5">
        <v>6</v>
      </c>
      <c r="AC1044" s="2" t="s">
        <v>100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/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 t="s">
        <v>100</v>
      </c>
      <c r="BJ1044" s="4">
        <v>30</v>
      </c>
      <c r="BK1044" s="8">
        <v>1563.42</v>
      </c>
      <c r="BL1044" s="2" t="s">
        <v>4117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109</v>
      </c>
      <c r="BV1044" s="2" t="s">
        <v>97</v>
      </c>
      <c r="BW1044" s="2" t="s">
        <v>4107</v>
      </c>
      <c r="BX1044" s="2" t="s">
        <v>1900</v>
      </c>
      <c r="BY1044" s="2" t="s">
        <v>112</v>
      </c>
      <c r="BZ1044" s="2" t="s">
        <v>100</v>
      </c>
    </row>
    <row r="1045">
      <c r="A1045" s="2" t="s">
        <v>4118</v>
      </c>
      <c r="B1045" s="2" t="s">
        <v>4041</v>
      </c>
      <c r="C1045" s="2" t="s">
        <v>4042</v>
      </c>
      <c r="D1045" s="2" t="s">
        <v>4043</v>
      </c>
      <c r="E1045" s="2" t="s">
        <v>4101</v>
      </c>
      <c r="F1045" s="2" t="s">
        <v>4119</v>
      </c>
      <c r="G1045" s="2" t="s">
        <v>4119</v>
      </c>
      <c r="H1045" s="2" t="s">
        <v>4119</v>
      </c>
      <c r="I1045" s="2" t="s">
        <v>4120</v>
      </c>
      <c r="J1045" s="2" t="s">
        <v>1443</v>
      </c>
      <c r="K1045" s="2" t="s">
        <v>179</v>
      </c>
      <c r="L1045" s="3">
        <v>41.4</v>
      </c>
      <c r="M1045" s="3">
        <v>43.47</v>
      </c>
      <c r="N1045" s="3">
        <v>89.99</v>
      </c>
      <c r="O1045" s="2" t="s">
        <v>97</v>
      </c>
      <c r="P1045" s="2" t="s">
        <v>98</v>
      </c>
      <c r="Q1045" s="2" t="s">
        <v>99</v>
      </c>
      <c r="R1045" s="2" t="s">
        <v>100</v>
      </c>
      <c r="S1045" s="2" t="s">
        <v>4121</v>
      </c>
      <c r="T1045" s="2" t="s">
        <v>4105</v>
      </c>
      <c r="U1045" s="2" t="s">
        <v>100</v>
      </c>
      <c r="V1045" s="2" t="s">
        <v>461</v>
      </c>
      <c r="W1045" s="2" t="s">
        <v>609</v>
      </c>
      <c r="X1045" s="2" t="s">
        <v>100</v>
      </c>
      <c r="Y1045" s="2" t="s">
        <v>144</v>
      </c>
      <c r="Z1045" s="4">
        <v>150</v>
      </c>
      <c r="AA1045" s="4">
        <f>=ROUNDDOWN(15,0)</f>
      </c>
      <c r="AB1045" s="5">
        <v>10</v>
      </c>
      <c r="AC1045" s="2" t="s">
        <v>307</v>
      </c>
      <c r="AD1045" s="4">
        <v>160</v>
      </c>
      <c r="AE1045" s="4">
        <v>350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1</v>
      </c>
      <c r="AQ1045" s="8">
        <v>52.66</v>
      </c>
      <c r="AR1045" s="4"/>
      <c r="AS1045" s="8"/>
      <c r="AT1045" s="7"/>
      <c r="AU1045" s="7"/>
      <c r="AV1045" s="4">
        <v>2</v>
      </c>
      <c r="AW1045" s="8">
        <v>130.62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>
        <v>0.4032</v>
      </c>
      <c r="BC1045" s="4">
        <v>2</v>
      </c>
      <c r="BD1045" s="8">
        <v>130.62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>
        <v>1</v>
      </c>
      <c r="BJ1045" s="4">
        <v>28</v>
      </c>
      <c r="BK1045" s="8">
        <v>1295.53</v>
      </c>
      <c r="BL1045" s="2" t="s">
        <v>4122</v>
      </c>
      <c r="BM1045" s="7">
        <v>0.0357</v>
      </c>
      <c r="BN1045" s="7">
        <v>0.0406</v>
      </c>
      <c r="BO1045" s="4">
        <v>1</v>
      </c>
      <c r="BP1045" s="8">
        <v>52.66</v>
      </c>
      <c r="BQ1045" s="4"/>
      <c r="BR1045" s="8"/>
      <c r="BS1045" s="7"/>
      <c r="BT1045" s="7"/>
      <c r="BU1045" s="2" t="s">
        <v>109</v>
      </c>
      <c r="BV1045" s="2" t="s">
        <v>97</v>
      </c>
      <c r="BW1045" s="2" t="s">
        <v>4107</v>
      </c>
      <c r="BX1045" s="2" t="s">
        <v>4123</v>
      </c>
      <c r="BY1045" s="2" t="s">
        <v>112</v>
      </c>
      <c r="BZ1045" s="2" t="s">
        <v>100</v>
      </c>
    </row>
    <row r="1046">
      <c r="A1046" s="2" t="s">
        <v>4124</v>
      </c>
      <c r="B1046" s="2" t="s">
        <v>4041</v>
      </c>
      <c r="C1046" s="2" t="s">
        <v>4042</v>
      </c>
      <c r="D1046" s="2" t="s">
        <v>4043</v>
      </c>
      <c r="E1046" s="2" t="s">
        <v>4101</v>
      </c>
      <c r="F1046" s="2" t="s">
        <v>4119</v>
      </c>
      <c r="G1046" s="2" t="s">
        <v>4119</v>
      </c>
      <c r="H1046" s="2" t="s">
        <v>4119</v>
      </c>
      <c r="I1046" s="2" t="s">
        <v>4120</v>
      </c>
      <c r="J1046" s="2" t="s">
        <v>490</v>
      </c>
      <c r="K1046" s="2" t="s">
        <v>179</v>
      </c>
      <c r="L1046" s="3">
        <v>54</v>
      </c>
      <c r="M1046" s="3">
        <v>56.7</v>
      </c>
      <c r="N1046" s="3">
        <v>119.99</v>
      </c>
      <c r="O1046" s="2" t="s">
        <v>97</v>
      </c>
      <c r="P1046" s="2" t="s">
        <v>98</v>
      </c>
      <c r="Q1046" s="2" t="s">
        <v>99</v>
      </c>
      <c r="R1046" s="2" t="s">
        <v>100</v>
      </c>
      <c r="S1046" s="2" t="s">
        <v>4121</v>
      </c>
      <c r="T1046" s="2" t="s">
        <v>4105</v>
      </c>
      <c r="U1046" s="2" t="s">
        <v>100</v>
      </c>
      <c r="V1046" s="2" t="s">
        <v>461</v>
      </c>
      <c r="W1046" s="2" t="s">
        <v>609</v>
      </c>
      <c r="X1046" s="2" t="s">
        <v>100</v>
      </c>
      <c r="Y1046" s="2" t="s">
        <v>144</v>
      </c>
      <c r="Z1046" s="4">
        <v>272</v>
      </c>
      <c r="AA1046" s="4">
        <f>=ROUNDDOWN(45.3333333333333,0)</f>
      </c>
      <c r="AB1046" s="5">
        <v>6</v>
      </c>
      <c r="AC1046" s="2" t="s">
        <v>958</v>
      </c>
      <c r="AD1046" s="4">
        <v>50</v>
      </c>
      <c r="AE1046" s="4">
        <v>50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/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 t="s">
        <v>100</v>
      </c>
      <c r="BJ1046" s="4">
        <v>17</v>
      </c>
      <c r="BK1046" s="8">
        <v>1031.61</v>
      </c>
      <c r="BL1046" s="2" t="s">
        <v>4125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109</v>
      </c>
      <c r="BV1046" s="2" t="s">
        <v>97</v>
      </c>
      <c r="BW1046" s="2" t="s">
        <v>4107</v>
      </c>
      <c r="BX1046" s="2" t="s">
        <v>4126</v>
      </c>
      <c r="BY1046" s="2" t="s">
        <v>112</v>
      </c>
      <c r="BZ1046" s="2" t="s">
        <v>100</v>
      </c>
    </row>
    <row r="1047">
      <c r="A1047" s="2" t="s">
        <v>4127</v>
      </c>
      <c r="B1047" s="2" t="s">
        <v>4041</v>
      </c>
      <c r="C1047" s="2" t="s">
        <v>4042</v>
      </c>
      <c r="D1047" s="2" t="s">
        <v>4043</v>
      </c>
      <c r="E1047" s="2" t="s">
        <v>4101</v>
      </c>
      <c r="F1047" s="2" t="s">
        <v>4119</v>
      </c>
      <c r="G1047" s="2" t="s">
        <v>4119</v>
      </c>
      <c r="H1047" s="2" t="s">
        <v>4119</v>
      </c>
      <c r="I1047" s="2" t="s">
        <v>4120</v>
      </c>
      <c r="J1047" s="2" t="s">
        <v>95</v>
      </c>
      <c r="K1047" s="2" t="s">
        <v>179</v>
      </c>
      <c r="L1047" s="3">
        <v>62.1</v>
      </c>
      <c r="M1047" s="3">
        <v>65.2</v>
      </c>
      <c r="N1047" s="3">
        <v>134.99</v>
      </c>
      <c r="O1047" s="2" t="s">
        <v>97</v>
      </c>
      <c r="P1047" s="2" t="s">
        <v>123</v>
      </c>
      <c r="Q1047" s="2" t="s">
        <v>99</v>
      </c>
      <c r="R1047" s="2" t="s">
        <v>100</v>
      </c>
      <c r="S1047" s="2" t="s">
        <v>4121</v>
      </c>
      <c r="T1047" s="2" t="s">
        <v>4105</v>
      </c>
      <c r="U1047" s="2" t="s">
        <v>100</v>
      </c>
      <c r="V1047" s="2" t="s">
        <v>461</v>
      </c>
      <c r="W1047" s="2" t="s">
        <v>609</v>
      </c>
      <c r="X1047" s="2" t="s">
        <v>100</v>
      </c>
      <c r="Y1047" s="2" t="s">
        <v>144</v>
      </c>
      <c r="Z1047" s="4">
        <v>311</v>
      </c>
      <c r="AA1047" s="4">
        <f>=ROUNDDOWN(15.55,0)</f>
      </c>
      <c r="AB1047" s="5">
        <v>20</v>
      </c>
      <c r="AC1047" s="2" t="s">
        <v>307</v>
      </c>
      <c r="AD1047" s="4">
        <v>210</v>
      </c>
      <c r="AE1047" s="4">
        <v>300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1</v>
      </c>
      <c r="AQ1047" s="8">
        <v>77.96</v>
      </c>
      <c r="AR1047" s="4"/>
      <c r="AS1047" s="8"/>
      <c r="AT1047" s="7"/>
      <c r="AU1047" s="7"/>
      <c r="AV1047" s="4" t="s">
        <v>100</v>
      </c>
      <c r="AW1047" s="8" t="s">
        <v>100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>
        <v>0.5968</v>
      </c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 t="s">
        <v>100</v>
      </c>
      <c r="BJ1047" s="4">
        <v>54</v>
      </c>
      <c r="BK1047" s="8">
        <v>3752.59</v>
      </c>
      <c r="BL1047" s="2" t="s">
        <v>4128</v>
      </c>
      <c r="BM1047" s="7">
        <v>0.0185</v>
      </c>
      <c r="BN1047" s="7">
        <v>0.0208</v>
      </c>
      <c r="BO1047" s="4">
        <v>1</v>
      </c>
      <c r="BP1047" s="8">
        <v>77.96</v>
      </c>
      <c r="BQ1047" s="4"/>
      <c r="BR1047" s="8"/>
      <c r="BS1047" s="7"/>
      <c r="BT1047" s="7"/>
      <c r="BU1047" s="2" t="s">
        <v>109</v>
      </c>
      <c r="BV1047" s="2" t="s">
        <v>97</v>
      </c>
      <c r="BW1047" s="2" t="s">
        <v>4107</v>
      </c>
      <c r="BX1047" s="2" t="s">
        <v>465</v>
      </c>
      <c r="BY1047" s="2" t="s">
        <v>112</v>
      </c>
      <c r="BZ1047" s="2" t="s">
        <v>100</v>
      </c>
    </row>
    <row r="1048">
      <c r="A1048" s="2" t="s">
        <v>4129</v>
      </c>
      <c r="B1048" s="2" t="s">
        <v>4041</v>
      </c>
      <c r="C1048" s="2" t="s">
        <v>4042</v>
      </c>
      <c r="D1048" s="2" t="s">
        <v>4043</v>
      </c>
      <c r="E1048" s="2" t="s">
        <v>4101</v>
      </c>
      <c r="F1048" s="2" t="s">
        <v>4119</v>
      </c>
      <c r="G1048" s="2" t="s">
        <v>4119</v>
      </c>
      <c r="H1048" s="2" t="s">
        <v>4119</v>
      </c>
      <c r="I1048" s="2" t="s">
        <v>4120</v>
      </c>
      <c r="J1048" s="2" t="s">
        <v>114</v>
      </c>
      <c r="K1048" s="2" t="s">
        <v>179</v>
      </c>
      <c r="L1048" s="3">
        <v>76.8</v>
      </c>
      <c r="M1048" s="3">
        <v>80.64</v>
      </c>
      <c r="N1048" s="3">
        <v>159.99</v>
      </c>
      <c r="O1048" s="2" t="s">
        <v>97</v>
      </c>
      <c r="P1048" s="2" t="s">
        <v>98</v>
      </c>
      <c r="Q1048" s="2" t="s">
        <v>99</v>
      </c>
      <c r="R1048" s="2" t="s">
        <v>100</v>
      </c>
      <c r="S1048" s="2" t="s">
        <v>4121</v>
      </c>
      <c r="T1048" s="2" t="s">
        <v>4105</v>
      </c>
      <c r="U1048" s="2" t="s">
        <v>100</v>
      </c>
      <c r="V1048" s="2" t="s">
        <v>461</v>
      </c>
      <c r="W1048" s="2" t="s">
        <v>609</v>
      </c>
      <c r="X1048" s="2" t="s">
        <v>100</v>
      </c>
      <c r="Y1048" s="2" t="s">
        <v>144</v>
      </c>
      <c r="Z1048" s="4">
        <v>199</v>
      </c>
      <c r="AA1048" s="4">
        <f>=ROUNDDOWN(18.0909090909091,0)</f>
      </c>
      <c r="AB1048" s="5">
        <v>11</v>
      </c>
      <c r="AC1048" s="2" t="s">
        <v>307</v>
      </c>
      <c r="AD1048" s="4">
        <v>110</v>
      </c>
      <c r="AE1048" s="4">
        <v>200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/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 t="s">
        <v>100</v>
      </c>
      <c r="BJ1048" s="4">
        <v>20</v>
      </c>
      <c r="BK1048" s="8">
        <v>1724.13</v>
      </c>
      <c r="BL1048" s="2" t="s">
        <v>4130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109</v>
      </c>
      <c r="BV1048" s="2" t="s">
        <v>97</v>
      </c>
      <c r="BW1048" s="2" t="s">
        <v>4107</v>
      </c>
      <c r="BX1048" s="2" t="s">
        <v>1165</v>
      </c>
      <c r="BY1048" s="2" t="s">
        <v>112</v>
      </c>
      <c r="BZ1048" s="2" t="s">
        <v>100</v>
      </c>
    </row>
    <row r="1049">
      <c r="A1049" s="2" t="s">
        <v>4131</v>
      </c>
      <c r="B1049" s="2" t="s">
        <v>4041</v>
      </c>
      <c r="C1049" s="2" t="s">
        <v>4042</v>
      </c>
      <c r="D1049" s="2" t="s">
        <v>4043</v>
      </c>
      <c r="E1049" s="2" t="s">
        <v>4101</v>
      </c>
      <c r="F1049" s="2" t="s">
        <v>4119</v>
      </c>
      <c r="G1049" s="2" t="s">
        <v>4119</v>
      </c>
      <c r="H1049" s="2" t="s">
        <v>4119</v>
      </c>
      <c r="I1049" s="2" t="s">
        <v>4120</v>
      </c>
      <c r="J1049" s="2" t="s">
        <v>118</v>
      </c>
      <c r="K1049" s="2" t="s">
        <v>179</v>
      </c>
      <c r="L1049" s="3">
        <v>76.8</v>
      </c>
      <c r="M1049" s="3">
        <v>80.64</v>
      </c>
      <c r="N1049" s="3">
        <v>159.99</v>
      </c>
      <c r="O1049" s="2" t="s">
        <v>97</v>
      </c>
      <c r="P1049" s="2" t="s">
        <v>98</v>
      </c>
      <c r="Q1049" s="2" t="s">
        <v>99</v>
      </c>
      <c r="R1049" s="2" t="s">
        <v>100</v>
      </c>
      <c r="S1049" s="2" t="s">
        <v>4121</v>
      </c>
      <c r="T1049" s="2" t="s">
        <v>4105</v>
      </c>
      <c r="U1049" s="2" t="s">
        <v>100</v>
      </c>
      <c r="V1049" s="2" t="s">
        <v>461</v>
      </c>
      <c r="W1049" s="2" t="s">
        <v>609</v>
      </c>
      <c r="X1049" s="2" t="s">
        <v>100</v>
      </c>
      <c r="Y1049" s="2" t="s">
        <v>144</v>
      </c>
      <c r="Z1049" s="4">
        <v>201</v>
      </c>
      <c r="AA1049" s="4">
        <f>=ROUNDDOWN(50.25,0)</f>
      </c>
      <c r="AB1049" s="5">
        <v>4</v>
      </c>
      <c r="AC1049" s="2" t="s">
        <v>100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100</v>
      </c>
      <c r="AW1049" s="8" t="s">
        <v>100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/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 t="s">
        <v>100</v>
      </c>
      <c r="BJ1049" s="4">
        <v>4</v>
      </c>
      <c r="BK1049" s="8">
        <v>346.42</v>
      </c>
      <c r="BL1049" s="2" t="s">
        <v>4132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109</v>
      </c>
      <c r="BV1049" s="2" t="s">
        <v>97</v>
      </c>
      <c r="BW1049" s="2" t="s">
        <v>4107</v>
      </c>
      <c r="BX1049" s="2" t="s">
        <v>371</v>
      </c>
      <c r="BY1049" s="2" t="s">
        <v>112</v>
      </c>
      <c r="BZ1049" s="2" t="s">
        <v>100</v>
      </c>
    </row>
    <row r="1050">
      <c r="A1050" s="2" t="s">
        <v>4133</v>
      </c>
      <c r="B1050" s="2" t="s">
        <v>4041</v>
      </c>
      <c r="C1050" s="2" t="s">
        <v>4042</v>
      </c>
      <c r="D1050" s="2" t="s">
        <v>4043</v>
      </c>
      <c r="E1050" s="2" t="s">
        <v>4101</v>
      </c>
      <c r="F1050" s="2" t="s">
        <v>4134</v>
      </c>
      <c r="G1050" s="2" t="s">
        <v>4134</v>
      </c>
      <c r="H1050" s="2" t="s">
        <v>4134</v>
      </c>
      <c r="I1050" s="2" t="s">
        <v>4135</v>
      </c>
      <c r="J1050" s="2" t="s">
        <v>1443</v>
      </c>
      <c r="K1050" s="2" t="s">
        <v>458</v>
      </c>
      <c r="L1050" s="3">
        <v>58.29</v>
      </c>
      <c r="M1050" s="3">
        <v>61.2</v>
      </c>
      <c r="N1050" s="3">
        <v>109.99</v>
      </c>
      <c r="O1050" s="2" t="s">
        <v>97</v>
      </c>
      <c r="P1050" s="2" t="s">
        <v>98</v>
      </c>
      <c r="Q1050" s="2" t="s">
        <v>99</v>
      </c>
      <c r="R1050" s="2" t="s">
        <v>100</v>
      </c>
      <c r="S1050" s="2" t="s">
        <v>4136</v>
      </c>
      <c r="T1050" s="2" t="s">
        <v>4105</v>
      </c>
      <c r="U1050" s="2" t="s">
        <v>100</v>
      </c>
      <c r="V1050" s="2" t="s">
        <v>461</v>
      </c>
      <c r="W1050" s="2" t="s">
        <v>609</v>
      </c>
      <c r="X1050" s="2" t="s">
        <v>100</v>
      </c>
      <c r="Y1050" s="2" t="s">
        <v>144</v>
      </c>
      <c r="Z1050" s="4">
        <v>191</v>
      </c>
      <c r="AA1050" s="4">
        <f>=ROUNDDOWN(31.8333333333333,0)</f>
      </c>
      <c r="AB1050" s="5">
        <v>6</v>
      </c>
      <c r="AC1050" s="2" t="s">
        <v>307</v>
      </c>
      <c r="AD1050" s="4">
        <v>50</v>
      </c>
      <c r="AE1050" s="4">
        <v>100</v>
      </c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/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/>
      <c r="BJ1050" s="4">
        <v>7</v>
      </c>
      <c r="BK1050" s="8">
        <v>413.6</v>
      </c>
      <c r="BL1050" s="2" t="s">
        <v>4137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109</v>
      </c>
      <c r="BV1050" s="2" t="s">
        <v>97</v>
      </c>
      <c r="BW1050" s="2" t="s">
        <v>4107</v>
      </c>
      <c r="BX1050" s="2" t="s">
        <v>4138</v>
      </c>
      <c r="BY1050" s="2" t="s">
        <v>112</v>
      </c>
      <c r="BZ1050" s="2" t="s">
        <v>100</v>
      </c>
    </row>
    <row r="1051">
      <c r="A1051" s="2" t="s">
        <v>4139</v>
      </c>
      <c r="B1051" s="2" t="s">
        <v>4041</v>
      </c>
      <c r="C1051" s="2" t="s">
        <v>4042</v>
      </c>
      <c r="D1051" s="2" t="s">
        <v>4043</v>
      </c>
      <c r="E1051" s="2" t="s">
        <v>4101</v>
      </c>
      <c r="F1051" s="2" t="s">
        <v>4134</v>
      </c>
      <c r="G1051" s="2" t="s">
        <v>4134</v>
      </c>
      <c r="H1051" s="2" t="s">
        <v>4134</v>
      </c>
      <c r="I1051" s="2" t="s">
        <v>4140</v>
      </c>
      <c r="J1051" s="2" t="s">
        <v>1806</v>
      </c>
      <c r="K1051" s="2" t="s">
        <v>458</v>
      </c>
      <c r="L1051" s="3">
        <v>58.29</v>
      </c>
      <c r="M1051" s="3">
        <v>61.2</v>
      </c>
      <c r="N1051" s="3">
        <v>109.99</v>
      </c>
      <c r="O1051" s="2" t="s">
        <v>97</v>
      </c>
      <c r="P1051" s="2" t="s">
        <v>98</v>
      </c>
      <c r="Q1051" s="2" t="s">
        <v>99</v>
      </c>
      <c r="R1051" s="2" t="s">
        <v>100</v>
      </c>
      <c r="S1051" s="2" t="s">
        <v>4136</v>
      </c>
      <c r="T1051" s="2" t="s">
        <v>100</v>
      </c>
      <c r="U1051" s="2" t="s">
        <v>1776</v>
      </c>
      <c r="V1051" s="2" t="s">
        <v>461</v>
      </c>
      <c r="W1051" s="2" t="s">
        <v>609</v>
      </c>
      <c r="X1051" s="2" t="s">
        <v>100</v>
      </c>
      <c r="Y1051" s="2" t="s">
        <v>4141</v>
      </c>
      <c r="Z1051" s="4">
        <v>275</v>
      </c>
      <c r="AA1051" s="4">
        <f>=ROUNDDOWN(68.75,0)</f>
      </c>
      <c r="AB1051" s="5">
        <v>4</v>
      </c>
      <c r="AC1051" s="2" t="s">
        <v>307</v>
      </c>
      <c r="AD1051" s="4">
        <v>300</v>
      </c>
      <c r="AE1051" s="4">
        <v>300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/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/>
      <c r="BJ1051" s="4">
        <v>4</v>
      </c>
      <c r="BK1051" s="8">
        <v>260.74</v>
      </c>
      <c r="BL1051" s="2" t="s">
        <v>4142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109</v>
      </c>
      <c r="BV1051" s="2" t="s">
        <v>97</v>
      </c>
      <c r="BW1051" s="2" t="s">
        <v>992</v>
      </c>
      <c r="BX1051" s="2" t="s">
        <v>4143</v>
      </c>
      <c r="BY1051" s="2" t="s">
        <v>112</v>
      </c>
      <c r="BZ1051" s="2" t="s">
        <v>100</v>
      </c>
    </row>
    <row r="1052">
      <c r="A1052" s="2" t="s">
        <v>4144</v>
      </c>
      <c r="B1052" s="2" t="s">
        <v>4041</v>
      </c>
      <c r="C1052" s="2" t="s">
        <v>4042</v>
      </c>
      <c r="D1052" s="2" t="s">
        <v>4043</v>
      </c>
      <c r="E1052" s="2" t="s">
        <v>4101</v>
      </c>
      <c r="F1052" s="2" t="s">
        <v>4134</v>
      </c>
      <c r="G1052" s="2" t="s">
        <v>4134</v>
      </c>
      <c r="H1052" s="2" t="s">
        <v>4134</v>
      </c>
      <c r="I1052" s="2" t="s">
        <v>4135</v>
      </c>
      <c r="J1052" s="2" t="s">
        <v>490</v>
      </c>
      <c r="K1052" s="2" t="s">
        <v>458</v>
      </c>
      <c r="L1052" s="3">
        <v>74.19</v>
      </c>
      <c r="M1052" s="3">
        <v>77.9</v>
      </c>
      <c r="N1052" s="3">
        <v>139.99</v>
      </c>
      <c r="O1052" s="2" t="s">
        <v>97</v>
      </c>
      <c r="P1052" s="2" t="s">
        <v>98</v>
      </c>
      <c r="Q1052" s="2" t="s">
        <v>99</v>
      </c>
      <c r="R1052" s="2" t="s">
        <v>100</v>
      </c>
      <c r="S1052" s="2" t="s">
        <v>4136</v>
      </c>
      <c r="T1052" s="2" t="s">
        <v>4105</v>
      </c>
      <c r="U1052" s="2" t="s">
        <v>100</v>
      </c>
      <c r="V1052" s="2" t="s">
        <v>461</v>
      </c>
      <c r="W1052" s="2" t="s">
        <v>609</v>
      </c>
      <c r="X1052" s="2" t="s">
        <v>100</v>
      </c>
      <c r="Y1052" s="2" t="s">
        <v>144</v>
      </c>
      <c r="Z1052" s="4">
        <v>182</v>
      </c>
      <c r="AA1052" s="4">
        <f>=ROUNDDOWN(30.3333333333333,0)</f>
      </c>
      <c r="AB1052" s="5">
        <v>6</v>
      </c>
      <c r="AC1052" s="2" t="s">
        <v>307</v>
      </c>
      <c r="AD1052" s="4">
        <v>100</v>
      </c>
      <c r="AE1052" s="4">
        <v>100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/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/>
      <c r="BJ1052" s="4">
        <v>6</v>
      </c>
      <c r="BK1052" s="8">
        <v>463.77</v>
      </c>
      <c r="BL1052" s="2" t="s">
        <v>4145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109</v>
      </c>
      <c r="BV1052" s="2" t="s">
        <v>97</v>
      </c>
      <c r="BW1052" s="2" t="s">
        <v>4107</v>
      </c>
      <c r="BX1052" s="2" t="s">
        <v>4146</v>
      </c>
      <c r="BY1052" s="2" t="s">
        <v>112</v>
      </c>
      <c r="BZ1052" s="2" t="s">
        <v>100</v>
      </c>
    </row>
    <row r="1053">
      <c r="A1053" s="2" t="s">
        <v>4147</v>
      </c>
      <c r="B1053" s="2" t="s">
        <v>4041</v>
      </c>
      <c r="C1053" s="2" t="s">
        <v>4042</v>
      </c>
      <c r="D1053" s="2" t="s">
        <v>4043</v>
      </c>
      <c r="E1053" s="2" t="s">
        <v>4101</v>
      </c>
      <c r="F1053" s="2" t="s">
        <v>4134</v>
      </c>
      <c r="G1053" s="2" t="s">
        <v>4134</v>
      </c>
      <c r="H1053" s="2" t="s">
        <v>4134</v>
      </c>
      <c r="I1053" s="2" t="s">
        <v>4135</v>
      </c>
      <c r="J1053" s="2" t="s">
        <v>95</v>
      </c>
      <c r="K1053" s="2" t="s">
        <v>458</v>
      </c>
      <c r="L1053" s="3">
        <v>84.79</v>
      </c>
      <c r="M1053" s="3">
        <v>89.03</v>
      </c>
      <c r="N1053" s="3">
        <v>159.99</v>
      </c>
      <c r="O1053" s="2" t="s">
        <v>97</v>
      </c>
      <c r="P1053" s="2" t="s">
        <v>98</v>
      </c>
      <c r="Q1053" s="2" t="s">
        <v>99</v>
      </c>
      <c r="R1053" s="2" t="s">
        <v>100</v>
      </c>
      <c r="S1053" s="2" t="s">
        <v>4136</v>
      </c>
      <c r="T1053" s="2" t="s">
        <v>4105</v>
      </c>
      <c r="U1053" s="2" t="s">
        <v>100</v>
      </c>
      <c r="V1053" s="2" t="s">
        <v>461</v>
      </c>
      <c r="W1053" s="2" t="s">
        <v>609</v>
      </c>
      <c r="X1053" s="2" t="s">
        <v>100</v>
      </c>
      <c r="Y1053" s="2" t="s">
        <v>144</v>
      </c>
      <c r="Z1053" s="4">
        <v>177</v>
      </c>
      <c r="AA1053" s="4">
        <f>=ROUNDDOWN(16.0909090909091,0)</f>
      </c>
      <c r="AB1053" s="5">
        <v>11</v>
      </c>
      <c r="AC1053" s="2" t="s">
        <v>307</v>
      </c>
      <c r="AD1053" s="4">
        <v>70</v>
      </c>
      <c r="AE1053" s="4">
        <v>150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/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/>
      <c r="BJ1053" s="4">
        <v>21</v>
      </c>
      <c r="BK1053" s="8">
        <v>1839.35</v>
      </c>
      <c r="BL1053" s="2" t="s">
        <v>4148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109</v>
      </c>
      <c r="BV1053" s="2" t="s">
        <v>97</v>
      </c>
      <c r="BW1053" s="2" t="s">
        <v>4107</v>
      </c>
      <c r="BX1053" s="2" t="s">
        <v>4149</v>
      </c>
      <c r="BY1053" s="2" t="s">
        <v>112</v>
      </c>
      <c r="BZ1053" s="2" t="s">
        <v>100</v>
      </c>
    </row>
    <row r="1054">
      <c r="A1054" s="2" t="s">
        <v>4150</v>
      </c>
      <c r="B1054" s="2" t="s">
        <v>4041</v>
      </c>
      <c r="C1054" s="2" t="s">
        <v>4042</v>
      </c>
      <c r="D1054" s="2" t="s">
        <v>4043</v>
      </c>
      <c r="E1054" s="2" t="s">
        <v>4101</v>
      </c>
      <c r="F1054" s="2" t="s">
        <v>4134</v>
      </c>
      <c r="G1054" s="2" t="s">
        <v>4134</v>
      </c>
      <c r="H1054" s="2" t="s">
        <v>4134</v>
      </c>
      <c r="I1054" s="2" t="s">
        <v>4135</v>
      </c>
      <c r="J1054" s="2" t="s">
        <v>114</v>
      </c>
      <c r="K1054" s="2" t="s">
        <v>458</v>
      </c>
      <c r="L1054" s="3">
        <v>100.69</v>
      </c>
      <c r="M1054" s="3">
        <v>105.72</v>
      </c>
      <c r="N1054" s="3">
        <v>189.99</v>
      </c>
      <c r="O1054" s="2" t="s">
        <v>97</v>
      </c>
      <c r="P1054" s="2" t="s">
        <v>98</v>
      </c>
      <c r="Q1054" s="2" t="s">
        <v>99</v>
      </c>
      <c r="R1054" s="2" t="s">
        <v>100</v>
      </c>
      <c r="S1054" s="2" t="s">
        <v>4136</v>
      </c>
      <c r="T1054" s="2" t="s">
        <v>4105</v>
      </c>
      <c r="U1054" s="2" t="s">
        <v>100</v>
      </c>
      <c r="V1054" s="2" t="s">
        <v>461</v>
      </c>
      <c r="W1054" s="2" t="s">
        <v>609</v>
      </c>
      <c r="X1054" s="2" t="s">
        <v>100</v>
      </c>
      <c r="Y1054" s="2" t="s">
        <v>144</v>
      </c>
      <c r="Z1054" s="4">
        <v>283</v>
      </c>
      <c r="AA1054" s="4">
        <f>=ROUNDDOWN(40.4285714285714,0)</f>
      </c>
      <c r="AB1054" s="5">
        <v>7</v>
      </c>
      <c r="AC1054" s="2" t="s">
        <v>100</v>
      </c>
      <c r="AD1054" s="4"/>
      <c r="AE1054" s="4"/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/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/>
      <c r="BJ1054" s="4">
        <v>10</v>
      </c>
      <c r="BK1054" s="8">
        <v>1071.85</v>
      </c>
      <c r="BL1054" s="2" t="s">
        <v>4148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109</v>
      </c>
      <c r="BV1054" s="2" t="s">
        <v>97</v>
      </c>
      <c r="BW1054" s="2" t="s">
        <v>4107</v>
      </c>
      <c r="BX1054" s="2" t="s">
        <v>4151</v>
      </c>
      <c r="BY1054" s="2" t="s">
        <v>112</v>
      </c>
      <c r="BZ1054" s="2" t="s">
        <v>100</v>
      </c>
    </row>
    <row r="1055">
      <c r="A1055" s="2" t="s">
        <v>4152</v>
      </c>
      <c r="B1055" s="2" t="s">
        <v>4041</v>
      </c>
      <c r="C1055" s="2" t="s">
        <v>4042</v>
      </c>
      <c r="D1055" s="2" t="s">
        <v>4043</v>
      </c>
      <c r="E1055" s="2" t="s">
        <v>4101</v>
      </c>
      <c r="F1055" s="2" t="s">
        <v>4153</v>
      </c>
      <c r="G1055" s="2" t="s">
        <v>4153</v>
      </c>
      <c r="H1055" s="2" t="s">
        <v>4153</v>
      </c>
      <c r="I1055" s="2" t="s">
        <v>4135</v>
      </c>
      <c r="J1055" s="2" t="s">
        <v>1443</v>
      </c>
      <c r="K1055" s="2" t="s">
        <v>458</v>
      </c>
      <c r="L1055" s="3">
        <v>68.26</v>
      </c>
      <c r="M1055" s="3">
        <v>71.67</v>
      </c>
      <c r="N1055" s="3">
        <v>129.99</v>
      </c>
      <c r="O1055" s="2" t="s">
        <v>97</v>
      </c>
      <c r="P1055" s="2" t="s">
        <v>98</v>
      </c>
      <c r="Q1055" s="2" t="s">
        <v>99</v>
      </c>
      <c r="R1055" s="2" t="s">
        <v>100</v>
      </c>
      <c r="S1055" s="2" t="s">
        <v>4154</v>
      </c>
      <c r="T1055" s="2" t="s">
        <v>4105</v>
      </c>
      <c r="U1055" s="2" t="s">
        <v>100</v>
      </c>
      <c r="V1055" s="2" t="s">
        <v>461</v>
      </c>
      <c r="W1055" s="2" t="s">
        <v>609</v>
      </c>
      <c r="X1055" s="2" t="s">
        <v>100</v>
      </c>
      <c r="Y1055" s="2" t="s">
        <v>144</v>
      </c>
      <c r="Z1055" s="4">
        <v>113</v>
      </c>
      <c r="AA1055" s="4">
        <f>=ROUNDDOWN(28.25,0)</f>
      </c>
      <c r="AB1055" s="5">
        <v>4</v>
      </c>
      <c r="AC1055" s="2" t="s">
        <v>330</v>
      </c>
      <c r="AD1055" s="4">
        <v>120</v>
      </c>
      <c r="AE1055" s="4">
        <v>120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/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/>
      <c r="BJ1055" s="4">
        <v>19</v>
      </c>
      <c r="BK1055" s="8">
        <v>1317.08</v>
      </c>
      <c r="BL1055" s="2" t="s">
        <v>181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109</v>
      </c>
      <c r="BV1055" s="2" t="s">
        <v>97</v>
      </c>
      <c r="BW1055" s="2" t="s">
        <v>4107</v>
      </c>
      <c r="BX1055" s="2" t="s">
        <v>4155</v>
      </c>
      <c r="BY1055" s="2" t="s">
        <v>112</v>
      </c>
      <c r="BZ1055" s="2" t="s">
        <v>100</v>
      </c>
    </row>
    <row r="1056">
      <c r="A1056" s="2" t="s">
        <v>4156</v>
      </c>
      <c r="B1056" s="2" t="s">
        <v>4041</v>
      </c>
      <c r="C1056" s="2" t="s">
        <v>4042</v>
      </c>
      <c r="D1056" s="2" t="s">
        <v>4043</v>
      </c>
      <c r="E1056" s="2" t="s">
        <v>4101</v>
      </c>
      <c r="F1056" s="2" t="s">
        <v>4153</v>
      </c>
      <c r="G1056" s="2" t="s">
        <v>4153</v>
      </c>
      <c r="H1056" s="2" t="s">
        <v>4153</v>
      </c>
      <c r="I1056" s="2" t="s">
        <v>4135</v>
      </c>
      <c r="J1056" s="2" t="s">
        <v>1806</v>
      </c>
      <c r="K1056" s="2" t="s">
        <v>458</v>
      </c>
      <c r="L1056" s="3">
        <v>68.26</v>
      </c>
      <c r="M1056" s="3">
        <v>71.67</v>
      </c>
      <c r="N1056" s="3">
        <v>129.99</v>
      </c>
      <c r="O1056" s="2" t="s">
        <v>97</v>
      </c>
      <c r="P1056" s="2" t="s">
        <v>98</v>
      </c>
      <c r="Q1056" s="2" t="s">
        <v>99</v>
      </c>
      <c r="R1056" s="2" t="s">
        <v>100</v>
      </c>
      <c r="S1056" s="2" t="s">
        <v>4154</v>
      </c>
      <c r="T1056" s="2" t="s">
        <v>4105</v>
      </c>
      <c r="U1056" s="2" t="s">
        <v>100</v>
      </c>
      <c r="V1056" s="2" t="s">
        <v>461</v>
      </c>
      <c r="W1056" s="2" t="s">
        <v>609</v>
      </c>
      <c r="X1056" s="2" t="s">
        <v>100</v>
      </c>
      <c r="Y1056" s="2" t="s">
        <v>144</v>
      </c>
      <c r="Z1056" s="4">
        <v>694</v>
      </c>
      <c r="AA1056" s="4">
        <f>=ROUNDDOWN(99.1428571428571,0)</f>
      </c>
      <c r="AB1056" s="5">
        <v>7</v>
      </c>
      <c r="AC1056" s="2" t="s">
        <v>307</v>
      </c>
      <c r="AD1056" s="4">
        <v>200</v>
      </c>
      <c r="AE1056" s="4">
        <v>200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/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/>
      <c r="BJ1056" s="4">
        <v>14</v>
      </c>
      <c r="BK1056" s="8">
        <v>1005.91</v>
      </c>
      <c r="BL1056" s="2" t="s">
        <v>4157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109</v>
      </c>
      <c r="BV1056" s="2" t="s">
        <v>97</v>
      </c>
      <c r="BW1056" s="2" t="s">
        <v>4158</v>
      </c>
      <c r="BX1056" s="2" t="s">
        <v>4159</v>
      </c>
      <c r="BY1056" s="2" t="s">
        <v>112</v>
      </c>
      <c r="BZ1056" s="2" t="s">
        <v>100</v>
      </c>
    </row>
    <row r="1057">
      <c r="A1057" s="2" t="s">
        <v>4160</v>
      </c>
      <c r="B1057" s="2" t="s">
        <v>4041</v>
      </c>
      <c r="C1057" s="2" t="s">
        <v>4042</v>
      </c>
      <c r="D1057" s="2" t="s">
        <v>4043</v>
      </c>
      <c r="E1057" s="2" t="s">
        <v>4101</v>
      </c>
      <c r="F1057" s="2" t="s">
        <v>4153</v>
      </c>
      <c r="G1057" s="2" t="s">
        <v>4153</v>
      </c>
      <c r="H1057" s="2" t="s">
        <v>4153</v>
      </c>
      <c r="I1057" s="2" t="s">
        <v>4135</v>
      </c>
      <c r="J1057" s="2" t="s">
        <v>490</v>
      </c>
      <c r="K1057" s="2" t="s">
        <v>458</v>
      </c>
      <c r="L1057" s="3">
        <v>87.76</v>
      </c>
      <c r="M1057" s="3">
        <v>92.15</v>
      </c>
      <c r="N1057" s="3">
        <v>169.99</v>
      </c>
      <c r="O1057" s="2" t="s">
        <v>97</v>
      </c>
      <c r="P1057" s="2" t="s">
        <v>98</v>
      </c>
      <c r="Q1057" s="2" t="s">
        <v>99</v>
      </c>
      <c r="R1057" s="2" t="s">
        <v>100</v>
      </c>
      <c r="S1057" s="2" t="s">
        <v>4154</v>
      </c>
      <c r="T1057" s="2" t="s">
        <v>4105</v>
      </c>
      <c r="U1057" s="2" t="s">
        <v>100</v>
      </c>
      <c r="V1057" s="2" t="s">
        <v>461</v>
      </c>
      <c r="W1057" s="2" t="s">
        <v>609</v>
      </c>
      <c r="X1057" s="2" t="s">
        <v>100</v>
      </c>
      <c r="Y1057" s="2" t="s">
        <v>144</v>
      </c>
      <c r="Z1057" s="4">
        <v>81</v>
      </c>
      <c r="AA1057" s="4">
        <f>=ROUNDDOWN(20.25,0)</f>
      </c>
      <c r="AB1057" s="5">
        <v>4</v>
      </c>
      <c r="AC1057" s="2" t="s">
        <v>307</v>
      </c>
      <c r="AD1057" s="4">
        <v>50</v>
      </c>
      <c r="AE1057" s="4">
        <v>110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/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/>
      <c r="BJ1057" s="4">
        <v>15</v>
      </c>
      <c r="BK1057" s="8">
        <v>1435.97</v>
      </c>
      <c r="BL1057" s="2" t="s">
        <v>4161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109</v>
      </c>
      <c r="BV1057" s="2" t="s">
        <v>97</v>
      </c>
      <c r="BW1057" s="2" t="s">
        <v>4107</v>
      </c>
      <c r="BX1057" s="2" t="s">
        <v>1892</v>
      </c>
      <c r="BY1057" s="2" t="s">
        <v>112</v>
      </c>
      <c r="BZ1057" s="2" t="s">
        <v>100</v>
      </c>
    </row>
    <row r="1058">
      <c r="A1058" s="2" t="s">
        <v>4162</v>
      </c>
      <c r="B1058" s="2" t="s">
        <v>4041</v>
      </c>
      <c r="C1058" s="2" t="s">
        <v>4042</v>
      </c>
      <c r="D1058" s="2" t="s">
        <v>4043</v>
      </c>
      <c r="E1058" s="2" t="s">
        <v>4101</v>
      </c>
      <c r="F1058" s="2" t="s">
        <v>4153</v>
      </c>
      <c r="G1058" s="2" t="s">
        <v>4153</v>
      </c>
      <c r="H1058" s="2" t="s">
        <v>4153</v>
      </c>
      <c r="I1058" s="2" t="s">
        <v>4135</v>
      </c>
      <c r="J1058" s="2" t="s">
        <v>95</v>
      </c>
      <c r="K1058" s="2" t="s">
        <v>458</v>
      </c>
      <c r="L1058" s="3">
        <v>97.52</v>
      </c>
      <c r="M1058" s="3">
        <v>102.4</v>
      </c>
      <c r="N1058" s="3">
        <v>189.99</v>
      </c>
      <c r="O1058" s="2" t="s">
        <v>97</v>
      </c>
      <c r="P1058" s="2" t="s">
        <v>123</v>
      </c>
      <c r="Q1058" s="2" t="s">
        <v>99</v>
      </c>
      <c r="R1058" s="2" t="s">
        <v>100</v>
      </c>
      <c r="S1058" s="2" t="s">
        <v>4154</v>
      </c>
      <c r="T1058" s="2" t="s">
        <v>4105</v>
      </c>
      <c r="U1058" s="2" t="s">
        <v>100</v>
      </c>
      <c r="V1058" s="2" t="s">
        <v>461</v>
      </c>
      <c r="W1058" s="2" t="s">
        <v>609</v>
      </c>
      <c r="X1058" s="2" t="s">
        <v>100</v>
      </c>
      <c r="Y1058" s="2" t="s">
        <v>144</v>
      </c>
      <c r="Z1058" s="4">
        <v>226</v>
      </c>
      <c r="AA1058" s="4">
        <f>=ROUNDDOWN(25.1111111111111,0)</f>
      </c>
      <c r="AB1058" s="5">
        <v>9</v>
      </c>
      <c r="AC1058" s="2" t="s">
        <v>307</v>
      </c>
      <c r="AD1058" s="4">
        <v>60</v>
      </c>
      <c r="AE1058" s="4">
        <v>60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/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/>
      <c r="BJ1058" s="4">
        <v>30</v>
      </c>
      <c r="BK1058" s="8">
        <v>3232</v>
      </c>
      <c r="BL1058" s="2" t="s">
        <v>1625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109</v>
      </c>
      <c r="BV1058" s="2" t="s">
        <v>97</v>
      </c>
      <c r="BW1058" s="2" t="s">
        <v>4107</v>
      </c>
      <c r="BX1058" s="2" t="s">
        <v>4163</v>
      </c>
      <c r="BY1058" s="2" t="s">
        <v>112</v>
      </c>
      <c r="BZ1058" s="2" t="s">
        <v>100</v>
      </c>
    </row>
    <row r="1059">
      <c r="A1059" s="2" t="s">
        <v>4164</v>
      </c>
      <c r="B1059" s="2" t="s">
        <v>4041</v>
      </c>
      <c r="C1059" s="2" t="s">
        <v>4042</v>
      </c>
      <c r="D1059" s="2" t="s">
        <v>4043</v>
      </c>
      <c r="E1059" s="2" t="s">
        <v>4101</v>
      </c>
      <c r="F1059" s="2" t="s">
        <v>4153</v>
      </c>
      <c r="G1059" s="2" t="s">
        <v>4153</v>
      </c>
      <c r="H1059" s="2" t="s">
        <v>4153</v>
      </c>
      <c r="I1059" s="2" t="s">
        <v>4135</v>
      </c>
      <c r="J1059" s="2" t="s">
        <v>114</v>
      </c>
      <c r="K1059" s="2" t="s">
        <v>458</v>
      </c>
      <c r="L1059" s="3">
        <v>121.9</v>
      </c>
      <c r="M1059" s="3">
        <v>128</v>
      </c>
      <c r="N1059" s="3">
        <v>239.99</v>
      </c>
      <c r="O1059" s="2" t="s">
        <v>97</v>
      </c>
      <c r="P1059" s="2" t="s">
        <v>98</v>
      </c>
      <c r="Q1059" s="2" t="s">
        <v>99</v>
      </c>
      <c r="R1059" s="2" t="s">
        <v>100</v>
      </c>
      <c r="S1059" s="2" t="s">
        <v>4154</v>
      </c>
      <c r="T1059" s="2" t="s">
        <v>4105</v>
      </c>
      <c r="U1059" s="2" t="s">
        <v>100</v>
      </c>
      <c r="V1059" s="2" t="s">
        <v>461</v>
      </c>
      <c r="W1059" s="2" t="s">
        <v>609</v>
      </c>
      <c r="X1059" s="2" t="s">
        <v>100</v>
      </c>
      <c r="Y1059" s="2" t="s">
        <v>144</v>
      </c>
      <c r="Z1059" s="4">
        <v>126</v>
      </c>
      <c r="AA1059" s="4">
        <f>=ROUNDDOWN(31.5,0)</f>
      </c>
      <c r="AB1059" s="5">
        <v>4</v>
      </c>
      <c r="AC1059" s="2" t="s">
        <v>100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/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/>
      <c r="BJ1059" s="4">
        <v>12</v>
      </c>
      <c r="BK1059" s="8">
        <v>1635.59</v>
      </c>
      <c r="BL1059" s="2" t="s">
        <v>4165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109</v>
      </c>
      <c r="BV1059" s="2" t="s">
        <v>97</v>
      </c>
      <c r="BW1059" s="2" t="s">
        <v>4107</v>
      </c>
      <c r="BX1059" s="2" t="s">
        <v>4166</v>
      </c>
      <c r="BY1059" s="2" t="s">
        <v>112</v>
      </c>
      <c r="BZ1059" s="2" t="s">
        <v>100</v>
      </c>
    </row>
    <row r="1060">
      <c r="A1060" s="2" t="s">
        <v>4167</v>
      </c>
      <c r="B1060" s="2" t="s">
        <v>4041</v>
      </c>
      <c r="C1060" s="2" t="s">
        <v>4042</v>
      </c>
      <c r="D1060" s="2" t="s">
        <v>4043</v>
      </c>
      <c r="E1060" s="2" t="s">
        <v>4101</v>
      </c>
      <c r="F1060" s="2" t="s">
        <v>4168</v>
      </c>
      <c r="G1060" s="2" t="s">
        <v>4169</v>
      </c>
      <c r="H1060" s="2" t="s">
        <v>4168</v>
      </c>
      <c r="I1060" s="2" t="s">
        <v>4170</v>
      </c>
      <c r="J1060" s="2" t="s">
        <v>1443</v>
      </c>
      <c r="K1060" s="2" t="s">
        <v>458</v>
      </c>
      <c r="L1060" s="3">
        <v>79.49</v>
      </c>
      <c r="M1060" s="3">
        <v>83.46</v>
      </c>
      <c r="N1060" s="3">
        <v>149.99</v>
      </c>
      <c r="O1060" s="2" t="s">
        <v>97</v>
      </c>
      <c r="P1060" s="2" t="s">
        <v>98</v>
      </c>
      <c r="Q1060" s="2" t="s">
        <v>99</v>
      </c>
      <c r="R1060" s="2" t="s">
        <v>100</v>
      </c>
      <c r="S1060" s="2" t="s">
        <v>4171</v>
      </c>
      <c r="T1060" s="2" t="s">
        <v>4105</v>
      </c>
      <c r="U1060" s="2" t="s">
        <v>100</v>
      </c>
      <c r="V1060" s="2" t="s">
        <v>461</v>
      </c>
      <c r="W1060" s="2" t="s">
        <v>609</v>
      </c>
      <c r="X1060" s="2" t="s">
        <v>100</v>
      </c>
      <c r="Y1060" s="2" t="s">
        <v>144</v>
      </c>
      <c r="Z1060" s="4">
        <v>270</v>
      </c>
      <c r="AA1060" s="4">
        <f>=ROUNDDOWN(67.5,0)</f>
      </c>
      <c r="AB1060" s="5">
        <v>4</v>
      </c>
      <c r="AC1060" s="2" t="s">
        <v>100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/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/>
      <c r="BJ1060" s="4">
        <v>6</v>
      </c>
      <c r="BK1060" s="8">
        <v>449.61</v>
      </c>
      <c r="BL1060" s="2" t="s">
        <v>4172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109</v>
      </c>
      <c r="BV1060" s="2" t="s">
        <v>97</v>
      </c>
      <c r="BW1060" s="2" t="s">
        <v>4173</v>
      </c>
      <c r="BX1060" s="2" t="s">
        <v>1437</v>
      </c>
      <c r="BY1060" s="2" t="s">
        <v>112</v>
      </c>
      <c r="BZ1060" s="2" t="s">
        <v>100</v>
      </c>
    </row>
    <row r="1061">
      <c r="A1061" s="2" t="s">
        <v>4174</v>
      </c>
      <c r="B1061" s="2" t="s">
        <v>4041</v>
      </c>
      <c r="C1061" s="2" t="s">
        <v>4042</v>
      </c>
      <c r="D1061" s="2" t="s">
        <v>4043</v>
      </c>
      <c r="E1061" s="2" t="s">
        <v>4101</v>
      </c>
      <c r="F1061" s="2" t="s">
        <v>4168</v>
      </c>
      <c r="G1061" s="2" t="s">
        <v>4169</v>
      </c>
      <c r="H1061" s="2" t="s">
        <v>4168</v>
      </c>
      <c r="I1061" s="2" t="s">
        <v>4170</v>
      </c>
      <c r="J1061" s="2" t="s">
        <v>1806</v>
      </c>
      <c r="K1061" s="2" t="s">
        <v>458</v>
      </c>
      <c r="L1061" s="3">
        <v>79.49</v>
      </c>
      <c r="M1061" s="3">
        <v>83.46</v>
      </c>
      <c r="N1061" s="3">
        <v>149.99</v>
      </c>
      <c r="O1061" s="2" t="s">
        <v>97</v>
      </c>
      <c r="P1061" s="2" t="s">
        <v>98</v>
      </c>
      <c r="Q1061" s="2" t="s">
        <v>99</v>
      </c>
      <c r="R1061" s="2" t="s">
        <v>100</v>
      </c>
      <c r="S1061" s="2" t="s">
        <v>4171</v>
      </c>
      <c r="T1061" s="2" t="s">
        <v>4105</v>
      </c>
      <c r="U1061" s="2" t="s">
        <v>100</v>
      </c>
      <c r="V1061" s="2" t="s">
        <v>461</v>
      </c>
      <c r="W1061" s="2" t="s">
        <v>609</v>
      </c>
      <c r="X1061" s="2" t="s">
        <v>100</v>
      </c>
      <c r="Y1061" s="2" t="s">
        <v>144</v>
      </c>
      <c r="Z1061" s="4">
        <v>515</v>
      </c>
      <c r="AA1061" s="4">
        <f>=ROUNDDOWN(64.375,0)</f>
      </c>
      <c r="AB1061" s="5">
        <v>8</v>
      </c>
      <c r="AC1061" s="2" t="s">
        <v>307</v>
      </c>
      <c r="AD1061" s="4">
        <v>100</v>
      </c>
      <c r="AE1061" s="4">
        <v>300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/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/>
      <c r="BJ1061" s="4">
        <v>7</v>
      </c>
      <c r="BK1061" s="8">
        <v>555.15</v>
      </c>
      <c r="BL1061" s="2" t="s">
        <v>4137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109</v>
      </c>
      <c r="BV1061" s="2" t="s">
        <v>97</v>
      </c>
      <c r="BW1061" s="2" t="s">
        <v>4173</v>
      </c>
      <c r="BX1061" s="2" t="s">
        <v>476</v>
      </c>
      <c r="BY1061" s="2" t="s">
        <v>112</v>
      </c>
      <c r="BZ1061" s="2" t="s">
        <v>100</v>
      </c>
    </row>
    <row r="1062">
      <c r="A1062" s="2" t="s">
        <v>4175</v>
      </c>
      <c r="B1062" s="2" t="s">
        <v>4041</v>
      </c>
      <c r="C1062" s="2" t="s">
        <v>4042</v>
      </c>
      <c r="D1062" s="2" t="s">
        <v>4043</v>
      </c>
      <c r="E1062" s="2" t="s">
        <v>4101</v>
      </c>
      <c r="F1062" s="2" t="s">
        <v>4168</v>
      </c>
      <c r="G1062" s="2" t="s">
        <v>4169</v>
      </c>
      <c r="H1062" s="2" t="s">
        <v>4168</v>
      </c>
      <c r="I1062" s="2" t="s">
        <v>4170</v>
      </c>
      <c r="J1062" s="2" t="s">
        <v>490</v>
      </c>
      <c r="K1062" s="2" t="s">
        <v>458</v>
      </c>
      <c r="L1062" s="3">
        <v>100.69</v>
      </c>
      <c r="M1062" s="3">
        <v>105.72</v>
      </c>
      <c r="N1062" s="3">
        <v>189.99</v>
      </c>
      <c r="O1062" s="2" t="s">
        <v>97</v>
      </c>
      <c r="P1062" s="2" t="s">
        <v>98</v>
      </c>
      <c r="Q1062" s="2" t="s">
        <v>99</v>
      </c>
      <c r="R1062" s="2" t="s">
        <v>100</v>
      </c>
      <c r="S1062" s="2" t="s">
        <v>4171</v>
      </c>
      <c r="T1062" s="2" t="s">
        <v>4105</v>
      </c>
      <c r="U1062" s="2" t="s">
        <v>100</v>
      </c>
      <c r="V1062" s="2" t="s">
        <v>461</v>
      </c>
      <c r="W1062" s="2" t="s">
        <v>609</v>
      </c>
      <c r="X1062" s="2" t="s">
        <v>100</v>
      </c>
      <c r="Y1062" s="2" t="s">
        <v>144</v>
      </c>
      <c r="Z1062" s="4">
        <v>174</v>
      </c>
      <c r="AA1062" s="4">
        <f>=ROUNDDOWN(34.8,0)</f>
      </c>
      <c r="AB1062" s="5">
        <v>5</v>
      </c>
      <c r="AC1062" s="2" t="s">
        <v>307</v>
      </c>
      <c r="AD1062" s="4">
        <v>50</v>
      </c>
      <c r="AE1062" s="4">
        <v>150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100</v>
      </c>
      <c r="AW1062" s="8" t="s">
        <v>100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/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/>
      <c r="BJ1062" s="4">
        <v>10</v>
      </c>
      <c r="BK1062" s="8">
        <v>957.7</v>
      </c>
      <c r="BL1062" s="2" t="s">
        <v>4176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109</v>
      </c>
      <c r="BV1062" s="2" t="s">
        <v>97</v>
      </c>
      <c r="BW1062" s="2" t="s">
        <v>4173</v>
      </c>
      <c r="BX1062" s="2" t="s">
        <v>4177</v>
      </c>
      <c r="BY1062" s="2" t="s">
        <v>112</v>
      </c>
      <c r="BZ1062" s="2" t="s">
        <v>100</v>
      </c>
    </row>
    <row r="1063">
      <c r="A1063" s="2" t="s">
        <v>4178</v>
      </c>
      <c r="B1063" s="2" t="s">
        <v>4041</v>
      </c>
      <c r="C1063" s="2" t="s">
        <v>4042</v>
      </c>
      <c r="D1063" s="2" t="s">
        <v>4043</v>
      </c>
      <c r="E1063" s="2" t="s">
        <v>4101</v>
      </c>
      <c r="F1063" s="2" t="s">
        <v>4168</v>
      </c>
      <c r="G1063" s="2" t="s">
        <v>4169</v>
      </c>
      <c r="H1063" s="2" t="s">
        <v>4168</v>
      </c>
      <c r="I1063" s="2" t="s">
        <v>4170</v>
      </c>
      <c r="J1063" s="2" t="s">
        <v>95</v>
      </c>
      <c r="K1063" s="2" t="s">
        <v>458</v>
      </c>
      <c r="L1063" s="3">
        <v>111.29</v>
      </c>
      <c r="M1063" s="3">
        <v>116.85</v>
      </c>
      <c r="N1063" s="3">
        <v>209.99</v>
      </c>
      <c r="O1063" s="2" t="s">
        <v>97</v>
      </c>
      <c r="P1063" s="2" t="s">
        <v>98</v>
      </c>
      <c r="Q1063" s="2" t="s">
        <v>99</v>
      </c>
      <c r="R1063" s="2" t="s">
        <v>100</v>
      </c>
      <c r="S1063" s="2" t="s">
        <v>4171</v>
      </c>
      <c r="T1063" s="2" t="s">
        <v>4105</v>
      </c>
      <c r="U1063" s="2" t="s">
        <v>100</v>
      </c>
      <c r="V1063" s="2" t="s">
        <v>461</v>
      </c>
      <c r="W1063" s="2" t="s">
        <v>609</v>
      </c>
      <c r="X1063" s="2" t="s">
        <v>100</v>
      </c>
      <c r="Y1063" s="2" t="s">
        <v>144</v>
      </c>
      <c r="Z1063" s="4">
        <v>295</v>
      </c>
      <c r="AA1063" s="4">
        <f>=ROUNDDOWN(36.875,0)</f>
      </c>
      <c r="AB1063" s="5">
        <v>8</v>
      </c>
      <c r="AC1063" s="2" t="s">
        <v>100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/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/>
      <c r="BJ1063" s="4">
        <v>13</v>
      </c>
      <c r="BK1063" s="8">
        <v>1476.84</v>
      </c>
      <c r="BL1063" s="2" t="s">
        <v>4179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109</v>
      </c>
      <c r="BV1063" s="2" t="s">
        <v>97</v>
      </c>
      <c r="BW1063" s="2" t="s">
        <v>4173</v>
      </c>
      <c r="BX1063" s="2" t="s">
        <v>4180</v>
      </c>
      <c r="BY1063" s="2" t="s">
        <v>112</v>
      </c>
      <c r="BZ1063" s="2" t="s">
        <v>100</v>
      </c>
    </row>
    <row r="1064">
      <c r="A1064" s="2" t="s">
        <v>4181</v>
      </c>
      <c r="B1064" s="2" t="s">
        <v>4041</v>
      </c>
      <c r="C1064" s="2" t="s">
        <v>4042</v>
      </c>
      <c r="D1064" s="2" t="s">
        <v>4043</v>
      </c>
      <c r="E1064" s="2" t="s">
        <v>4101</v>
      </c>
      <c r="F1064" s="2" t="s">
        <v>4168</v>
      </c>
      <c r="G1064" s="2" t="s">
        <v>4169</v>
      </c>
      <c r="H1064" s="2" t="s">
        <v>4168</v>
      </c>
      <c r="I1064" s="2" t="s">
        <v>4170</v>
      </c>
      <c r="J1064" s="2" t="s">
        <v>114</v>
      </c>
      <c r="K1064" s="2" t="s">
        <v>458</v>
      </c>
      <c r="L1064" s="3">
        <v>137.79</v>
      </c>
      <c r="M1064" s="3">
        <v>144.68</v>
      </c>
      <c r="N1064" s="3">
        <v>259.99</v>
      </c>
      <c r="O1064" s="2" t="s">
        <v>97</v>
      </c>
      <c r="P1064" s="2" t="s">
        <v>98</v>
      </c>
      <c r="Q1064" s="2" t="s">
        <v>99</v>
      </c>
      <c r="R1064" s="2" t="s">
        <v>100</v>
      </c>
      <c r="S1064" s="2" t="s">
        <v>4171</v>
      </c>
      <c r="T1064" s="2" t="s">
        <v>4105</v>
      </c>
      <c r="U1064" s="2" t="s">
        <v>100</v>
      </c>
      <c r="V1064" s="2" t="s">
        <v>461</v>
      </c>
      <c r="W1064" s="2" t="s">
        <v>609</v>
      </c>
      <c r="X1064" s="2" t="s">
        <v>100</v>
      </c>
      <c r="Y1064" s="2" t="s">
        <v>144</v>
      </c>
      <c r="Z1064" s="4">
        <v>233</v>
      </c>
      <c r="AA1064" s="4">
        <f>=ROUNDDOWN(46.6,0)</f>
      </c>
      <c r="AB1064" s="5">
        <v>5</v>
      </c>
      <c r="AC1064" s="2" t="s">
        <v>100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100</v>
      </c>
      <c r="AW1064" s="8" t="s">
        <v>100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/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/>
      <c r="BJ1064" s="4">
        <v>6</v>
      </c>
      <c r="BK1064" s="8">
        <v>864.51</v>
      </c>
      <c r="BL1064" s="2" t="s">
        <v>4182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109</v>
      </c>
      <c r="BV1064" s="2" t="s">
        <v>97</v>
      </c>
      <c r="BW1064" s="2" t="s">
        <v>4173</v>
      </c>
      <c r="BX1064" s="2" t="s">
        <v>1361</v>
      </c>
      <c r="BY1064" s="2" t="s">
        <v>112</v>
      </c>
      <c r="BZ1064" s="2" t="s">
        <v>100</v>
      </c>
    </row>
    <row r="1065">
      <c r="A1065" s="2" t="s">
        <v>4183</v>
      </c>
      <c r="B1065" s="2" t="s">
        <v>4041</v>
      </c>
      <c r="C1065" s="2" t="s">
        <v>4042</v>
      </c>
      <c r="D1065" s="2" t="s">
        <v>4043</v>
      </c>
      <c r="E1065" s="2" t="s">
        <v>4101</v>
      </c>
      <c r="F1065" s="2" t="s">
        <v>4184</v>
      </c>
      <c r="G1065" s="2" t="s">
        <v>4184</v>
      </c>
      <c r="H1065" s="2" t="s">
        <v>4184</v>
      </c>
      <c r="I1065" s="2" t="s">
        <v>4185</v>
      </c>
      <c r="J1065" s="2" t="s">
        <v>1443</v>
      </c>
      <c r="K1065" s="2" t="s">
        <v>458</v>
      </c>
      <c r="L1065" s="3">
        <v>73.14</v>
      </c>
      <c r="M1065" s="3">
        <v>76.8</v>
      </c>
      <c r="N1065" s="3">
        <v>139.99</v>
      </c>
      <c r="O1065" s="2" t="s">
        <v>97</v>
      </c>
      <c r="P1065" s="2" t="s">
        <v>98</v>
      </c>
      <c r="Q1065" s="2" t="s">
        <v>99</v>
      </c>
      <c r="R1065" s="2" t="s">
        <v>100</v>
      </c>
      <c r="S1065" s="2" t="s">
        <v>4186</v>
      </c>
      <c r="T1065" s="2" t="s">
        <v>4105</v>
      </c>
      <c r="U1065" s="2" t="s">
        <v>100</v>
      </c>
      <c r="V1065" s="2" t="s">
        <v>461</v>
      </c>
      <c r="W1065" s="2" t="s">
        <v>609</v>
      </c>
      <c r="X1065" s="2" t="s">
        <v>100</v>
      </c>
      <c r="Y1065" s="2" t="s">
        <v>144</v>
      </c>
      <c r="Z1065" s="4">
        <v>147</v>
      </c>
      <c r="AA1065" s="4">
        <f>=ROUNDDOWN(24.5,0)</f>
      </c>
      <c r="AB1065" s="5">
        <v>6</v>
      </c>
      <c r="AC1065" s="2" t="s">
        <v>307</v>
      </c>
      <c r="AD1065" s="4">
        <v>50</v>
      </c>
      <c r="AE1065" s="4">
        <v>120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100</v>
      </c>
      <c r="AW1065" s="8" t="s">
        <v>100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/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/>
      <c r="BJ1065" s="4">
        <v>22</v>
      </c>
      <c r="BK1065" s="8">
        <v>1805.79</v>
      </c>
      <c r="BL1065" s="2" t="s">
        <v>1179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109</v>
      </c>
      <c r="BV1065" s="2" t="s">
        <v>97</v>
      </c>
      <c r="BW1065" s="2" t="s">
        <v>4187</v>
      </c>
      <c r="BX1065" s="2" t="s">
        <v>873</v>
      </c>
      <c r="BY1065" s="2" t="s">
        <v>112</v>
      </c>
      <c r="BZ1065" s="2" t="s">
        <v>100</v>
      </c>
    </row>
    <row r="1066">
      <c r="A1066" s="2" t="s">
        <v>4188</v>
      </c>
      <c r="B1066" s="2" t="s">
        <v>4041</v>
      </c>
      <c r="C1066" s="2" t="s">
        <v>4042</v>
      </c>
      <c r="D1066" s="2" t="s">
        <v>4043</v>
      </c>
      <c r="E1066" s="2" t="s">
        <v>4101</v>
      </c>
      <c r="F1066" s="2" t="s">
        <v>4184</v>
      </c>
      <c r="G1066" s="2" t="s">
        <v>4184</v>
      </c>
      <c r="H1066" s="2" t="s">
        <v>4184</v>
      </c>
      <c r="I1066" s="2" t="s">
        <v>4185</v>
      </c>
      <c r="J1066" s="2" t="s">
        <v>490</v>
      </c>
      <c r="K1066" s="2" t="s">
        <v>458</v>
      </c>
      <c r="L1066" s="3">
        <v>92.64</v>
      </c>
      <c r="M1066" s="3">
        <v>97.27</v>
      </c>
      <c r="N1066" s="3">
        <v>179.99</v>
      </c>
      <c r="O1066" s="2" t="s">
        <v>97</v>
      </c>
      <c r="P1066" s="2" t="s">
        <v>98</v>
      </c>
      <c r="Q1066" s="2" t="s">
        <v>99</v>
      </c>
      <c r="R1066" s="2" t="s">
        <v>100</v>
      </c>
      <c r="S1066" s="2" t="s">
        <v>4186</v>
      </c>
      <c r="T1066" s="2" t="s">
        <v>4105</v>
      </c>
      <c r="U1066" s="2" t="s">
        <v>100</v>
      </c>
      <c r="V1066" s="2" t="s">
        <v>461</v>
      </c>
      <c r="W1066" s="2" t="s">
        <v>609</v>
      </c>
      <c r="X1066" s="2" t="s">
        <v>100</v>
      </c>
      <c r="Y1066" s="2" t="s">
        <v>144</v>
      </c>
      <c r="Z1066" s="4">
        <v>239</v>
      </c>
      <c r="AA1066" s="4">
        <f>=ROUNDDOWN(45.0943396226415,0)</f>
      </c>
      <c r="AB1066" s="5">
        <v>5.3</v>
      </c>
      <c r="AC1066" s="2" t="s">
        <v>100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100</v>
      </c>
      <c r="AW1066" s="8" t="s">
        <v>100</v>
      </c>
      <c r="AX1066" s="4" t="s">
        <v>100</v>
      </c>
      <c r="AY1066" s="8" t="s">
        <v>100</v>
      </c>
      <c r="AZ1066" s="7" t="s">
        <v>100</v>
      </c>
      <c r="BA1066" s="7" t="s">
        <v>100</v>
      </c>
      <c r="BB1066" s="7"/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/>
      <c r="BJ1066" s="4">
        <v>20</v>
      </c>
      <c r="BK1066" s="8">
        <v>2069.28</v>
      </c>
      <c r="BL1066" s="2" t="s">
        <v>4165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109</v>
      </c>
      <c r="BV1066" s="2" t="s">
        <v>97</v>
      </c>
      <c r="BW1066" s="2" t="s">
        <v>4187</v>
      </c>
      <c r="BX1066" s="2" t="s">
        <v>4189</v>
      </c>
      <c r="BY1066" s="2" t="s">
        <v>112</v>
      </c>
      <c r="BZ1066" s="2" t="s">
        <v>100</v>
      </c>
    </row>
    <row r="1067">
      <c r="A1067" s="2" t="s">
        <v>4190</v>
      </c>
      <c r="B1067" s="2" t="s">
        <v>4041</v>
      </c>
      <c r="C1067" s="2" t="s">
        <v>4042</v>
      </c>
      <c r="D1067" s="2" t="s">
        <v>4043</v>
      </c>
      <c r="E1067" s="2" t="s">
        <v>4101</v>
      </c>
      <c r="F1067" s="2" t="s">
        <v>4184</v>
      </c>
      <c r="G1067" s="2" t="s">
        <v>4184</v>
      </c>
      <c r="H1067" s="2" t="s">
        <v>4184</v>
      </c>
      <c r="I1067" s="2" t="s">
        <v>4185</v>
      </c>
      <c r="J1067" s="2" t="s">
        <v>95</v>
      </c>
      <c r="K1067" s="2" t="s">
        <v>458</v>
      </c>
      <c r="L1067" s="3">
        <v>102.39</v>
      </c>
      <c r="M1067" s="3">
        <v>107.51</v>
      </c>
      <c r="N1067" s="3">
        <v>199.99</v>
      </c>
      <c r="O1067" s="2" t="s">
        <v>97</v>
      </c>
      <c r="P1067" s="2" t="s">
        <v>139</v>
      </c>
      <c r="Q1067" s="2" t="s">
        <v>99</v>
      </c>
      <c r="R1067" s="2" t="s">
        <v>100</v>
      </c>
      <c r="S1067" s="2" t="s">
        <v>4186</v>
      </c>
      <c r="T1067" s="2" t="s">
        <v>4105</v>
      </c>
      <c r="U1067" s="2" t="s">
        <v>100</v>
      </c>
      <c r="V1067" s="2" t="s">
        <v>461</v>
      </c>
      <c r="W1067" s="2" t="s">
        <v>609</v>
      </c>
      <c r="X1067" s="2" t="s">
        <v>100</v>
      </c>
      <c r="Y1067" s="2" t="s">
        <v>1720</v>
      </c>
      <c r="Z1067" s="4">
        <v>507</v>
      </c>
      <c r="AA1067" s="4">
        <f>=ROUNDDOWN(22.0434782608696,0)</f>
      </c>
      <c r="AB1067" s="5">
        <v>23</v>
      </c>
      <c r="AC1067" s="2" t="s">
        <v>307</v>
      </c>
      <c r="AD1067" s="4">
        <v>100</v>
      </c>
      <c r="AE1067" s="4">
        <v>190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100</v>
      </c>
      <c r="AW1067" s="8" t="s">
        <v>100</v>
      </c>
      <c r="AX1067" s="4" t="s">
        <v>100</v>
      </c>
      <c r="AY1067" s="8" t="s">
        <v>100</v>
      </c>
      <c r="AZ1067" s="7" t="s">
        <v>100</v>
      </c>
      <c r="BA1067" s="7" t="s">
        <v>100</v>
      </c>
      <c r="BB1067" s="7"/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/>
      <c r="BJ1067" s="4">
        <v>76</v>
      </c>
      <c r="BK1067" s="8">
        <v>8668.95</v>
      </c>
      <c r="BL1067" s="2" t="s">
        <v>1204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109</v>
      </c>
      <c r="BV1067" s="2" t="s">
        <v>97</v>
      </c>
      <c r="BW1067" s="2" t="s">
        <v>4187</v>
      </c>
      <c r="BX1067" s="2" t="s">
        <v>1892</v>
      </c>
      <c r="BY1067" s="2" t="s">
        <v>112</v>
      </c>
      <c r="BZ1067" s="2" t="s">
        <v>100</v>
      </c>
    </row>
    <row r="1068">
      <c r="A1068" s="2" t="s">
        <v>4191</v>
      </c>
      <c r="B1068" s="2" t="s">
        <v>4041</v>
      </c>
      <c r="C1068" s="2" t="s">
        <v>4042</v>
      </c>
      <c r="D1068" s="2" t="s">
        <v>4043</v>
      </c>
      <c r="E1068" s="2" t="s">
        <v>4101</v>
      </c>
      <c r="F1068" s="2" t="s">
        <v>4184</v>
      </c>
      <c r="G1068" s="2" t="s">
        <v>4184</v>
      </c>
      <c r="H1068" s="2" t="s">
        <v>4184</v>
      </c>
      <c r="I1068" s="2" t="s">
        <v>4185</v>
      </c>
      <c r="J1068" s="2" t="s">
        <v>114</v>
      </c>
      <c r="K1068" s="2" t="s">
        <v>458</v>
      </c>
      <c r="L1068" s="3">
        <v>126.77</v>
      </c>
      <c r="M1068" s="3">
        <v>133.11</v>
      </c>
      <c r="N1068" s="3">
        <v>249.99</v>
      </c>
      <c r="O1068" s="2" t="s">
        <v>97</v>
      </c>
      <c r="P1068" s="2" t="s">
        <v>123</v>
      </c>
      <c r="Q1068" s="2" t="s">
        <v>99</v>
      </c>
      <c r="R1068" s="2" t="s">
        <v>100</v>
      </c>
      <c r="S1068" s="2" t="s">
        <v>4186</v>
      </c>
      <c r="T1068" s="2" t="s">
        <v>4105</v>
      </c>
      <c r="U1068" s="2" t="s">
        <v>100</v>
      </c>
      <c r="V1068" s="2" t="s">
        <v>461</v>
      </c>
      <c r="W1068" s="2" t="s">
        <v>609</v>
      </c>
      <c r="X1068" s="2" t="s">
        <v>100</v>
      </c>
      <c r="Y1068" s="2" t="s">
        <v>144</v>
      </c>
      <c r="Z1068" s="4">
        <v>357</v>
      </c>
      <c r="AA1068" s="4">
        <f>=ROUNDDOWN(32.4545454545455,0)</f>
      </c>
      <c r="AB1068" s="5">
        <v>11</v>
      </c>
      <c r="AC1068" s="2" t="s">
        <v>307</v>
      </c>
      <c r="AD1068" s="4">
        <v>50</v>
      </c>
      <c r="AE1068" s="4">
        <v>50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100</v>
      </c>
      <c r="AW1068" s="8" t="s">
        <v>100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/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/>
      <c r="BJ1068" s="4">
        <v>28</v>
      </c>
      <c r="BK1068" s="8">
        <v>4002.19</v>
      </c>
      <c r="BL1068" s="2" t="s">
        <v>3052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109</v>
      </c>
      <c r="BV1068" s="2" t="s">
        <v>97</v>
      </c>
      <c r="BW1068" s="2" t="s">
        <v>4187</v>
      </c>
      <c r="BX1068" s="2" t="s">
        <v>416</v>
      </c>
      <c r="BY1068" s="2" t="s">
        <v>112</v>
      </c>
      <c r="BZ1068" s="2" t="s">
        <v>100</v>
      </c>
    </row>
    <row r="1069">
      <c r="A1069" s="2" t="s">
        <v>4192</v>
      </c>
      <c r="B1069" s="2" t="s">
        <v>4041</v>
      </c>
      <c r="C1069" s="2" t="s">
        <v>4042</v>
      </c>
      <c r="D1069" s="2" t="s">
        <v>4043</v>
      </c>
      <c r="E1069" s="2" t="s">
        <v>4101</v>
      </c>
      <c r="F1069" s="2" t="s">
        <v>4184</v>
      </c>
      <c r="G1069" s="2" t="s">
        <v>4184</v>
      </c>
      <c r="H1069" s="2" t="s">
        <v>4184</v>
      </c>
      <c r="I1069" s="2" t="s">
        <v>4185</v>
      </c>
      <c r="J1069" s="2" t="s">
        <v>118</v>
      </c>
      <c r="K1069" s="2" t="s">
        <v>458</v>
      </c>
      <c r="L1069" s="3">
        <v>126.77</v>
      </c>
      <c r="M1069" s="3">
        <v>133.11</v>
      </c>
      <c r="N1069" s="3">
        <v>249.99</v>
      </c>
      <c r="O1069" s="2" t="s">
        <v>97</v>
      </c>
      <c r="P1069" s="2" t="s">
        <v>156</v>
      </c>
      <c r="Q1069" s="2" t="s">
        <v>99</v>
      </c>
      <c r="R1069" s="2" t="s">
        <v>100</v>
      </c>
      <c r="S1069" s="2" t="s">
        <v>4186</v>
      </c>
      <c r="T1069" s="2" t="s">
        <v>4105</v>
      </c>
      <c r="U1069" s="2" t="s">
        <v>100</v>
      </c>
      <c r="V1069" s="2" t="s">
        <v>461</v>
      </c>
      <c r="W1069" s="2" t="s">
        <v>609</v>
      </c>
      <c r="X1069" s="2" t="s">
        <v>100</v>
      </c>
      <c r="Y1069" s="2" t="s">
        <v>144</v>
      </c>
      <c r="Z1069" s="4">
        <v>137</v>
      </c>
      <c r="AA1069" s="4">
        <f>=ROUNDDOWN(34.25,0)</f>
      </c>
      <c r="AB1069" s="5">
        <v>4</v>
      </c>
      <c r="AC1069" s="2" t="s">
        <v>307</v>
      </c>
      <c r="AD1069" s="4">
        <v>60</v>
      </c>
      <c r="AE1069" s="4">
        <v>60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/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/>
      <c r="BJ1069" s="4">
        <v>7</v>
      </c>
      <c r="BK1069" s="8">
        <v>984.68</v>
      </c>
      <c r="BL1069" s="2" t="s">
        <v>4193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109</v>
      </c>
      <c r="BV1069" s="2" t="s">
        <v>97</v>
      </c>
      <c r="BW1069" s="2" t="s">
        <v>4187</v>
      </c>
      <c r="BX1069" s="2" t="s">
        <v>4194</v>
      </c>
      <c r="BY1069" s="2" t="s">
        <v>112</v>
      </c>
      <c r="BZ1069" s="2" t="s">
        <v>100</v>
      </c>
    </row>
    <row r="1070">
      <c r="A1070" s="2" t="s">
        <v>4195</v>
      </c>
      <c r="B1070" s="2" t="s">
        <v>4041</v>
      </c>
      <c r="C1070" s="2" t="s">
        <v>4042</v>
      </c>
      <c r="D1070" s="2" t="s">
        <v>2505</v>
      </c>
      <c r="E1070" s="2" t="s">
        <v>4196</v>
      </c>
      <c r="F1070" s="2" t="s">
        <v>4197</v>
      </c>
      <c r="G1070" s="2" t="s">
        <v>4197</v>
      </c>
      <c r="H1070" s="2" t="s">
        <v>4197</v>
      </c>
      <c r="I1070" s="2" t="s">
        <v>4198</v>
      </c>
      <c r="J1070" s="2" t="s">
        <v>4199</v>
      </c>
      <c r="K1070" s="2" t="s">
        <v>458</v>
      </c>
      <c r="L1070" s="3">
        <v>10.8</v>
      </c>
      <c r="M1070" s="3">
        <v>11.34</v>
      </c>
      <c r="N1070" s="3">
        <v>23.99</v>
      </c>
      <c r="O1070" s="2" t="s">
        <v>97</v>
      </c>
      <c r="P1070" s="2" t="s">
        <v>98</v>
      </c>
      <c r="Q1070" s="2" t="s">
        <v>99</v>
      </c>
      <c r="R1070" s="2" t="s">
        <v>100</v>
      </c>
      <c r="S1070" s="2" t="s">
        <v>100</v>
      </c>
      <c r="T1070" s="2" t="s">
        <v>100</v>
      </c>
      <c r="U1070" s="2" t="s">
        <v>100</v>
      </c>
      <c r="V1070" s="2" t="s">
        <v>461</v>
      </c>
      <c r="W1070" s="2" t="s">
        <v>609</v>
      </c>
      <c r="X1070" s="2" t="s">
        <v>100</v>
      </c>
      <c r="Y1070" s="2" t="s">
        <v>1759</v>
      </c>
      <c r="Z1070" s="4">
        <v>761</v>
      </c>
      <c r="AA1070" s="4">
        <f>=ROUNDDOWN(16.1914893617021,0)</f>
      </c>
      <c r="AB1070" s="5">
        <v>47</v>
      </c>
      <c r="AC1070" s="2" t="s">
        <v>3082</v>
      </c>
      <c r="AD1070" s="4">
        <v>500</v>
      </c>
      <c r="AE1070" s="4">
        <v>500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6</v>
      </c>
      <c r="AQ1070" s="8">
        <v>68.04</v>
      </c>
      <c r="AR1070" s="4"/>
      <c r="AS1070" s="8"/>
      <c r="AT1070" s="7"/>
      <c r="AU1070" s="7"/>
      <c r="AV1070" s="4">
        <v>6</v>
      </c>
      <c r="AW1070" s="8">
        <v>68.04</v>
      </c>
      <c r="AX1070" s="4"/>
      <c r="AY1070" s="8"/>
      <c r="AZ1070" s="7"/>
      <c r="BA1070" s="7"/>
      <c r="BB1070" s="7">
        <v>1</v>
      </c>
      <c r="BC1070" s="4">
        <v>6</v>
      </c>
      <c r="BD1070" s="8">
        <v>68.04</v>
      </c>
      <c r="BE1070" s="4"/>
      <c r="BF1070" s="8"/>
      <c r="BG1070" s="7"/>
      <c r="BH1070" s="7"/>
      <c r="BI1070" s="7">
        <v>1</v>
      </c>
      <c r="BJ1070" s="4">
        <v>162</v>
      </c>
      <c r="BK1070" s="8">
        <v>1802.71</v>
      </c>
      <c r="BL1070" s="2" t="s">
        <v>4200</v>
      </c>
      <c r="BM1070" s="7">
        <v>0.037</v>
      </c>
      <c r="BN1070" s="7">
        <v>0.0377</v>
      </c>
      <c r="BO1070" s="4">
        <v>6</v>
      </c>
      <c r="BP1070" s="8">
        <v>68.04</v>
      </c>
      <c r="BQ1070" s="4"/>
      <c r="BR1070" s="8"/>
      <c r="BS1070" s="7"/>
      <c r="BT1070" s="7"/>
      <c r="BU1070" s="2" t="s">
        <v>109</v>
      </c>
      <c r="BV1070" s="2" t="s">
        <v>97</v>
      </c>
      <c r="BW1070" s="2" t="s">
        <v>4201</v>
      </c>
      <c r="BX1070" s="2" t="s">
        <v>4202</v>
      </c>
      <c r="BY1070" s="2" t="s">
        <v>112</v>
      </c>
      <c r="BZ1070" s="2" t="s">
        <v>100</v>
      </c>
    </row>
    <row r="1071">
      <c r="A1071" s="2" t="s">
        <v>4203</v>
      </c>
      <c r="B1071" s="2" t="s">
        <v>4041</v>
      </c>
      <c r="C1071" s="2" t="s">
        <v>4042</v>
      </c>
      <c r="D1071" s="2" t="s">
        <v>2505</v>
      </c>
      <c r="E1071" s="2" t="s">
        <v>4196</v>
      </c>
      <c r="F1071" s="2" t="s">
        <v>4204</v>
      </c>
      <c r="G1071" s="2" t="s">
        <v>4204</v>
      </c>
      <c r="H1071" s="2" t="s">
        <v>4204</v>
      </c>
      <c r="I1071" s="2" t="s">
        <v>4205</v>
      </c>
      <c r="J1071" s="2" t="s">
        <v>95</v>
      </c>
      <c r="K1071" s="2" t="s">
        <v>1373</v>
      </c>
      <c r="L1071" s="3">
        <v>16.2</v>
      </c>
      <c r="M1071" s="3">
        <v>17.01</v>
      </c>
      <c r="N1071" s="3">
        <v>35.99</v>
      </c>
      <c r="O1071" s="2" t="s">
        <v>97</v>
      </c>
      <c r="P1071" s="2" t="s">
        <v>98</v>
      </c>
      <c r="Q1071" s="2" t="s">
        <v>99</v>
      </c>
      <c r="R1071" s="2" t="s">
        <v>100</v>
      </c>
      <c r="S1071" s="2" t="s">
        <v>4206</v>
      </c>
      <c r="T1071" s="2" t="s">
        <v>100</v>
      </c>
      <c r="U1071" s="2" t="s">
        <v>100</v>
      </c>
      <c r="V1071" s="2" t="s">
        <v>461</v>
      </c>
      <c r="W1071" s="2" t="s">
        <v>4207</v>
      </c>
      <c r="X1071" s="2" t="s">
        <v>100</v>
      </c>
      <c r="Y1071" s="2" t="s">
        <v>1759</v>
      </c>
      <c r="Z1071" s="4">
        <v>227</v>
      </c>
      <c r="AA1071" s="4">
        <f>=ROUNDDOWN(25.2222222222222,0)</f>
      </c>
      <c r="AB1071" s="5">
        <v>9</v>
      </c>
      <c r="AC1071" s="2" t="s">
        <v>173</v>
      </c>
      <c r="AD1071" s="4">
        <v>50</v>
      </c>
      <c r="AE1071" s="4">
        <v>150</v>
      </c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/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/>
      <c r="BJ1071" s="4">
        <v>31</v>
      </c>
      <c r="BK1071" s="8">
        <v>549.3</v>
      </c>
      <c r="BL1071" s="2" t="s">
        <v>4208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109</v>
      </c>
      <c r="BV1071" s="2" t="s">
        <v>97</v>
      </c>
      <c r="BW1071" s="2" t="s">
        <v>1834</v>
      </c>
      <c r="BX1071" s="2" t="s">
        <v>4209</v>
      </c>
      <c r="BY1071" s="2" t="s">
        <v>112</v>
      </c>
      <c r="BZ1071" s="2" t="s">
        <v>100</v>
      </c>
    </row>
    <row r="1072">
      <c r="A1072" s="2" t="s">
        <v>4210</v>
      </c>
      <c r="B1072" s="2" t="s">
        <v>4041</v>
      </c>
      <c r="C1072" s="2" t="s">
        <v>4042</v>
      </c>
      <c r="D1072" s="2" t="s">
        <v>2505</v>
      </c>
      <c r="E1072" s="2" t="s">
        <v>4196</v>
      </c>
      <c r="F1072" s="2" t="s">
        <v>4204</v>
      </c>
      <c r="G1072" s="2" t="s">
        <v>4204</v>
      </c>
      <c r="H1072" s="2" t="s">
        <v>4204</v>
      </c>
      <c r="I1072" s="2" t="s">
        <v>4205</v>
      </c>
      <c r="J1072" s="2" t="s">
        <v>114</v>
      </c>
      <c r="K1072" s="2" t="s">
        <v>1373</v>
      </c>
      <c r="L1072" s="3">
        <v>18.4</v>
      </c>
      <c r="M1072" s="3">
        <v>19.32</v>
      </c>
      <c r="N1072" s="3">
        <v>39.99</v>
      </c>
      <c r="O1072" s="2" t="s">
        <v>97</v>
      </c>
      <c r="P1072" s="2" t="s">
        <v>98</v>
      </c>
      <c r="Q1072" s="2" t="s">
        <v>99</v>
      </c>
      <c r="R1072" s="2" t="s">
        <v>100</v>
      </c>
      <c r="S1072" s="2" t="s">
        <v>4206</v>
      </c>
      <c r="T1072" s="2" t="s">
        <v>100</v>
      </c>
      <c r="U1072" s="2" t="s">
        <v>100</v>
      </c>
      <c r="V1072" s="2" t="s">
        <v>461</v>
      </c>
      <c r="W1072" s="2" t="s">
        <v>4207</v>
      </c>
      <c r="X1072" s="2" t="s">
        <v>100</v>
      </c>
      <c r="Y1072" s="2" t="s">
        <v>1759</v>
      </c>
      <c r="Z1072" s="4">
        <v>304</v>
      </c>
      <c r="AA1072" s="4">
        <f>=ROUNDDOWN(21.7142857142857,0)</f>
      </c>
      <c r="AB1072" s="5">
        <v>14</v>
      </c>
      <c r="AC1072" s="2" t="s">
        <v>173</v>
      </c>
      <c r="AD1072" s="4">
        <v>70</v>
      </c>
      <c r="AE1072" s="4">
        <v>100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100</v>
      </c>
      <c r="AW1072" s="8" t="s">
        <v>100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/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/>
      <c r="BJ1072" s="4">
        <v>44</v>
      </c>
      <c r="BK1072" s="8">
        <v>879.13</v>
      </c>
      <c r="BL1072" s="2" t="s">
        <v>4211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109</v>
      </c>
      <c r="BV1072" s="2" t="s">
        <v>97</v>
      </c>
      <c r="BW1072" s="2" t="s">
        <v>1834</v>
      </c>
      <c r="BX1072" s="2" t="s">
        <v>1924</v>
      </c>
      <c r="BY1072" s="2" t="s">
        <v>112</v>
      </c>
      <c r="BZ1072" s="2" t="s">
        <v>100</v>
      </c>
    </row>
    <row r="1073">
      <c r="A1073" s="2" t="s">
        <v>4212</v>
      </c>
      <c r="B1073" s="2" t="s">
        <v>4041</v>
      </c>
      <c r="C1073" s="2" t="s">
        <v>4042</v>
      </c>
      <c r="D1073" s="2" t="s">
        <v>2505</v>
      </c>
      <c r="E1073" s="2" t="s">
        <v>4196</v>
      </c>
      <c r="F1073" s="2" t="s">
        <v>4204</v>
      </c>
      <c r="G1073" s="2" t="s">
        <v>4204</v>
      </c>
      <c r="H1073" s="2" t="s">
        <v>4204</v>
      </c>
      <c r="I1073" s="2" t="s">
        <v>4205</v>
      </c>
      <c r="J1073" s="2" t="s">
        <v>4213</v>
      </c>
      <c r="K1073" s="2" t="s">
        <v>1373</v>
      </c>
      <c r="L1073" s="3">
        <v>25.3</v>
      </c>
      <c r="M1073" s="3">
        <v>26.56</v>
      </c>
      <c r="N1073" s="3">
        <v>54.99</v>
      </c>
      <c r="O1073" s="2" t="s">
        <v>97</v>
      </c>
      <c r="P1073" s="2" t="s">
        <v>98</v>
      </c>
      <c r="Q1073" s="2" t="s">
        <v>99</v>
      </c>
      <c r="R1073" s="2" t="s">
        <v>100</v>
      </c>
      <c r="S1073" s="2" t="s">
        <v>4206</v>
      </c>
      <c r="T1073" s="2" t="s">
        <v>100</v>
      </c>
      <c r="U1073" s="2" t="s">
        <v>100</v>
      </c>
      <c r="V1073" s="2" t="s">
        <v>461</v>
      </c>
      <c r="W1073" s="2" t="s">
        <v>4207</v>
      </c>
      <c r="X1073" s="2" t="s">
        <v>100</v>
      </c>
      <c r="Y1073" s="2" t="s">
        <v>1759</v>
      </c>
      <c r="Z1073" s="4">
        <v>258</v>
      </c>
      <c r="AA1073" s="4">
        <f>=ROUNDDOWN(16.2264150943396,0)</f>
      </c>
      <c r="AB1073" s="5">
        <v>15.9</v>
      </c>
      <c r="AC1073" s="2" t="s">
        <v>173</v>
      </c>
      <c r="AD1073" s="4">
        <v>100</v>
      </c>
      <c r="AE1073" s="4">
        <v>470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/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/>
      <c r="BJ1073" s="4">
        <v>66</v>
      </c>
      <c r="BK1073" s="8">
        <v>1732.95</v>
      </c>
      <c r="BL1073" s="2" t="s">
        <v>4214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109</v>
      </c>
      <c r="BV1073" s="2" t="s">
        <v>97</v>
      </c>
      <c r="BW1073" s="2" t="s">
        <v>1834</v>
      </c>
      <c r="BX1073" s="2" t="s">
        <v>1328</v>
      </c>
      <c r="BY1073" s="2" t="s">
        <v>112</v>
      </c>
      <c r="BZ1073" s="2" t="s">
        <v>100</v>
      </c>
    </row>
    <row r="1074">
      <c r="A1074" s="2" t="s">
        <v>4215</v>
      </c>
      <c r="B1074" s="2" t="s">
        <v>4041</v>
      </c>
      <c r="C1074" s="2" t="s">
        <v>4042</v>
      </c>
      <c r="D1074" s="2" t="s">
        <v>4216</v>
      </c>
      <c r="E1074" s="2" t="s">
        <v>4217</v>
      </c>
      <c r="F1074" s="2" t="s">
        <v>4218</v>
      </c>
      <c r="G1074" s="2" t="s">
        <v>100</v>
      </c>
      <c r="H1074" s="2" t="s">
        <v>100</v>
      </c>
      <c r="I1074" s="2" t="s">
        <v>4219</v>
      </c>
      <c r="J1074" s="2" t="s">
        <v>1443</v>
      </c>
      <c r="K1074" s="2" t="s">
        <v>458</v>
      </c>
      <c r="L1074" s="3">
        <v>36.8</v>
      </c>
      <c r="M1074" s="3">
        <v>38.64</v>
      </c>
      <c r="N1074" s="3">
        <v>79.99</v>
      </c>
      <c r="O1074" s="2" t="s">
        <v>97</v>
      </c>
      <c r="P1074" s="2" t="s">
        <v>98</v>
      </c>
      <c r="Q1074" s="2" t="s">
        <v>99</v>
      </c>
      <c r="R1074" s="2" t="s">
        <v>100</v>
      </c>
      <c r="S1074" s="2" t="s">
        <v>4220</v>
      </c>
      <c r="T1074" s="2" t="s">
        <v>4221</v>
      </c>
      <c r="U1074" s="2" t="s">
        <v>100</v>
      </c>
      <c r="V1074" s="2" t="s">
        <v>461</v>
      </c>
      <c r="W1074" s="2" t="s">
        <v>609</v>
      </c>
      <c r="X1074" s="2" t="s">
        <v>100</v>
      </c>
      <c r="Y1074" s="2" t="s">
        <v>144</v>
      </c>
      <c r="Z1074" s="4">
        <v>53</v>
      </c>
      <c r="AA1074" s="4">
        <f>=ROUNDDOWN(8.83333333333333,0)</f>
      </c>
      <c r="AB1074" s="5">
        <v>6</v>
      </c>
      <c r="AC1074" s="2" t="s">
        <v>725</v>
      </c>
      <c r="AD1074" s="4">
        <v>150</v>
      </c>
      <c r="AE1074" s="4">
        <v>250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>
        <v>1</v>
      </c>
      <c r="AW1074" s="8">
        <v>43.54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/>
      <c r="BC1074" s="4">
        <v>1</v>
      </c>
      <c r="BD1074" s="8">
        <v>43.54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>
        <v>1</v>
      </c>
      <c r="BJ1074" s="4">
        <v>6</v>
      </c>
      <c r="BK1074" s="8">
        <v>237.92</v>
      </c>
      <c r="BL1074" s="2" t="s">
        <v>4222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109</v>
      </c>
      <c r="BV1074" s="2" t="s">
        <v>97</v>
      </c>
      <c r="BW1074" s="2" t="s">
        <v>1824</v>
      </c>
      <c r="BX1074" s="2" t="s">
        <v>2430</v>
      </c>
      <c r="BY1074" s="2" t="s">
        <v>112</v>
      </c>
      <c r="BZ1074" s="2" t="s">
        <v>100</v>
      </c>
    </row>
    <row r="1075">
      <c r="A1075" s="2" t="s">
        <v>4223</v>
      </c>
      <c r="B1075" s="2" t="s">
        <v>4041</v>
      </c>
      <c r="C1075" s="2" t="s">
        <v>4042</v>
      </c>
      <c r="D1075" s="2" t="s">
        <v>4216</v>
      </c>
      <c r="E1075" s="2" t="s">
        <v>4217</v>
      </c>
      <c r="F1075" s="2" t="s">
        <v>4218</v>
      </c>
      <c r="G1075" s="2" t="s">
        <v>100</v>
      </c>
      <c r="H1075" s="2" t="s">
        <v>100</v>
      </c>
      <c r="I1075" s="2" t="s">
        <v>4219</v>
      </c>
      <c r="J1075" s="2" t="s">
        <v>522</v>
      </c>
      <c r="K1075" s="2" t="s">
        <v>458</v>
      </c>
      <c r="L1075" s="3">
        <v>41.4</v>
      </c>
      <c r="M1075" s="3">
        <v>43.47</v>
      </c>
      <c r="N1075" s="3">
        <v>89.99</v>
      </c>
      <c r="O1075" s="2" t="s">
        <v>97</v>
      </c>
      <c r="P1075" s="2" t="s">
        <v>98</v>
      </c>
      <c r="Q1075" s="2" t="s">
        <v>99</v>
      </c>
      <c r="R1075" s="2" t="s">
        <v>100</v>
      </c>
      <c r="S1075" s="2" t="s">
        <v>4220</v>
      </c>
      <c r="T1075" s="2" t="s">
        <v>4221</v>
      </c>
      <c r="U1075" s="2" t="s">
        <v>100</v>
      </c>
      <c r="V1075" s="2" t="s">
        <v>461</v>
      </c>
      <c r="W1075" s="2" t="s">
        <v>609</v>
      </c>
      <c r="X1075" s="2" t="s">
        <v>100</v>
      </c>
      <c r="Y1075" s="2" t="s">
        <v>144</v>
      </c>
      <c r="Z1075" s="4">
        <v>154</v>
      </c>
      <c r="AA1075" s="4">
        <f>=ROUNDDOWN(14,0)</f>
      </c>
      <c r="AB1075" s="5">
        <v>11</v>
      </c>
      <c r="AC1075" s="2" t="s">
        <v>725</v>
      </c>
      <c r="AD1075" s="4">
        <v>150</v>
      </c>
      <c r="AE1075" s="4">
        <v>430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1</v>
      </c>
      <c r="AQ1075" s="8">
        <v>43.54</v>
      </c>
      <c r="AR1075" s="4"/>
      <c r="AS1075" s="8"/>
      <c r="AT1075" s="7"/>
      <c r="AU1075" s="7"/>
      <c r="AV1075" s="4" t="s">
        <v>100</v>
      </c>
      <c r="AW1075" s="8" t="s">
        <v>100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>
        <v>1</v>
      </c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 t="s">
        <v>100</v>
      </c>
      <c r="BJ1075" s="4">
        <v>25</v>
      </c>
      <c r="BK1075" s="8">
        <v>1127.52</v>
      </c>
      <c r="BL1075" s="2" t="s">
        <v>4224</v>
      </c>
      <c r="BM1075" s="7">
        <v>0.04</v>
      </c>
      <c r="BN1075" s="7">
        <v>0.0386</v>
      </c>
      <c r="BO1075" s="4">
        <v>1</v>
      </c>
      <c r="BP1075" s="8">
        <v>43.54</v>
      </c>
      <c r="BQ1075" s="4"/>
      <c r="BR1075" s="8"/>
      <c r="BS1075" s="7"/>
      <c r="BT1075" s="7"/>
      <c r="BU1075" s="2" t="s">
        <v>109</v>
      </c>
      <c r="BV1075" s="2" t="s">
        <v>97</v>
      </c>
      <c r="BW1075" s="2" t="s">
        <v>1824</v>
      </c>
      <c r="BX1075" s="2" t="s">
        <v>3191</v>
      </c>
      <c r="BY1075" s="2" t="s">
        <v>112</v>
      </c>
      <c r="BZ1075" s="2" t="s">
        <v>100</v>
      </c>
    </row>
    <row r="1076">
      <c r="A1076" s="2" t="s">
        <v>4225</v>
      </c>
      <c r="B1076" s="2" t="s">
        <v>4041</v>
      </c>
      <c r="C1076" s="2" t="s">
        <v>4042</v>
      </c>
      <c r="D1076" s="2" t="s">
        <v>89</v>
      </c>
      <c r="E1076" s="2" t="s">
        <v>4226</v>
      </c>
      <c r="F1076" s="2" t="s">
        <v>4227</v>
      </c>
      <c r="G1076" s="2" t="s">
        <v>4227</v>
      </c>
      <c r="H1076" s="2" t="s">
        <v>4227</v>
      </c>
      <c r="I1076" s="2" t="s">
        <v>4228</v>
      </c>
      <c r="J1076" s="2" t="s">
        <v>114</v>
      </c>
      <c r="K1076" s="2" t="s">
        <v>458</v>
      </c>
      <c r="L1076" s="3">
        <v>21.6</v>
      </c>
      <c r="M1076" s="3">
        <v>22.68</v>
      </c>
      <c r="N1076" s="3">
        <v>44.99</v>
      </c>
      <c r="O1076" s="2" t="s">
        <v>97</v>
      </c>
      <c r="P1076" s="2" t="s">
        <v>156</v>
      </c>
      <c r="Q1076" s="2" t="s">
        <v>99</v>
      </c>
      <c r="R1076" s="2" t="s">
        <v>100</v>
      </c>
      <c r="S1076" s="2" t="s">
        <v>4229</v>
      </c>
      <c r="T1076" s="2" t="s">
        <v>438</v>
      </c>
      <c r="U1076" s="2" t="s">
        <v>100</v>
      </c>
      <c r="V1076" s="2" t="s">
        <v>461</v>
      </c>
      <c r="W1076" s="2" t="s">
        <v>609</v>
      </c>
      <c r="X1076" s="2" t="s">
        <v>100</v>
      </c>
      <c r="Y1076" s="2" t="s">
        <v>144</v>
      </c>
      <c r="Z1076" s="4">
        <v>539</v>
      </c>
      <c r="AA1076" s="4">
        <f>=ROUNDDOWN(17.3870967741935,0)</f>
      </c>
      <c r="AB1076" s="5">
        <v>31</v>
      </c>
      <c r="AC1076" s="2" t="s">
        <v>629</v>
      </c>
      <c r="AD1076" s="4">
        <v>152</v>
      </c>
      <c r="AE1076" s="4">
        <v>284</v>
      </c>
      <c r="AF1076" s="6">
        <v>65</v>
      </c>
      <c r="AG1076" s="6">
        <v>48</v>
      </c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1</v>
      </c>
      <c r="AQ1076" s="8">
        <v>26.24</v>
      </c>
      <c r="AR1076" s="4"/>
      <c r="AS1076" s="8"/>
      <c r="AT1076" s="7"/>
      <c r="AU1076" s="7"/>
      <c r="AV1076" s="4">
        <v>1</v>
      </c>
      <c r="AW1076" s="8">
        <v>26.24</v>
      </c>
      <c r="AX1076" s="4"/>
      <c r="AY1076" s="8"/>
      <c r="AZ1076" s="7"/>
      <c r="BA1076" s="7"/>
      <c r="BB1076" s="7">
        <v>1</v>
      </c>
      <c r="BC1076" s="4">
        <v>1</v>
      </c>
      <c r="BD1076" s="8">
        <v>26.24</v>
      </c>
      <c r="BE1076" s="4"/>
      <c r="BF1076" s="8"/>
      <c r="BG1076" s="7"/>
      <c r="BH1076" s="7"/>
      <c r="BI1076" s="7">
        <v>1</v>
      </c>
      <c r="BJ1076" s="4">
        <v>71</v>
      </c>
      <c r="BK1076" s="8">
        <v>1689.56</v>
      </c>
      <c r="BL1076" s="2" t="s">
        <v>4230</v>
      </c>
      <c r="BM1076" s="7">
        <v>0.0141</v>
      </c>
      <c r="BN1076" s="7">
        <v>0.0155</v>
      </c>
      <c r="BO1076" s="4">
        <v>1</v>
      </c>
      <c r="BP1076" s="8">
        <v>26.24</v>
      </c>
      <c r="BQ1076" s="4"/>
      <c r="BR1076" s="8"/>
      <c r="BS1076" s="7"/>
      <c r="BT1076" s="7"/>
      <c r="BU1076" s="2" t="s">
        <v>109</v>
      </c>
      <c r="BV1076" s="2" t="s">
        <v>97</v>
      </c>
      <c r="BW1076" s="2" t="s">
        <v>159</v>
      </c>
      <c r="BX1076" s="2" t="s">
        <v>4231</v>
      </c>
      <c r="BY1076" s="2" t="s">
        <v>112</v>
      </c>
      <c r="BZ1076" s="2" t="s">
        <v>100</v>
      </c>
    </row>
    <row r="1077">
      <c r="A1077" s="2" t="s">
        <v>4232</v>
      </c>
      <c r="B1077" s="2" t="s">
        <v>4041</v>
      </c>
      <c r="C1077" s="2" t="s">
        <v>4042</v>
      </c>
      <c r="D1077" s="2" t="s">
        <v>89</v>
      </c>
      <c r="E1077" s="2" t="s">
        <v>4233</v>
      </c>
      <c r="F1077" s="2" t="s">
        <v>4234</v>
      </c>
      <c r="G1077" s="2" t="s">
        <v>4235</v>
      </c>
      <c r="H1077" s="2" t="s">
        <v>4235</v>
      </c>
      <c r="I1077" s="2" t="s">
        <v>4236</v>
      </c>
      <c r="J1077" s="2" t="s">
        <v>1443</v>
      </c>
      <c r="K1077" s="2" t="s">
        <v>458</v>
      </c>
      <c r="L1077" s="3">
        <v>24</v>
      </c>
      <c r="M1077" s="3">
        <v>25.2</v>
      </c>
      <c r="N1077" s="3">
        <v>49.99</v>
      </c>
      <c r="O1077" s="2" t="s">
        <v>97</v>
      </c>
      <c r="P1077" s="2" t="s">
        <v>98</v>
      </c>
      <c r="Q1077" s="2" t="s">
        <v>99</v>
      </c>
      <c r="R1077" s="2" t="s">
        <v>100</v>
      </c>
      <c r="S1077" s="2" t="s">
        <v>4237</v>
      </c>
      <c r="T1077" s="2" t="s">
        <v>438</v>
      </c>
      <c r="U1077" s="2" t="s">
        <v>100</v>
      </c>
      <c r="V1077" s="2" t="s">
        <v>461</v>
      </c>
      <c r="W1077" s="2" t="s">
        <v>609</v>
      </c>
      <c r="X1077" s="2" t="s">
        <v>100</v>
      </c>
      <c r="Y1077" s="2" t="s">
        <v>144</v>
      </c>
      <c r="Z1077" s="4">
        <v>185</v>
      </c>
      <c r="AA1077" s="4">
        <f>=ROUNDDOWN(61.6666666666667,0)</f>
      </c>
      <c r="AB1077" s="5">
        <v>3</v>
      </c>
      <c r="AC1077" s="2" t="s">
        <v>100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100</v>
      </c>
      <c r="AW1077" s="8" t="s">
        <v>100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/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/>
      <c r="BJ1077" s="4">
        <v>6</v>
      </c>
      <c r="BK1077" s="8">
        <v>165.32</v>
      </c>
      <c r="BL1077" s="2" t="s">
        <v>4238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109</v>
      </c>
      <c r="BV1077" s="2" t="s">
        <v>97</v>
      </c>
      <c r="BW1077" s="2" t="s">
        <v>159</v>
      </c>
      <c r="BX1077" s="2" t="s">
        <v>4239</v>
      </c>
      <c r="BY1077" s="2" t="s">
        <v>112</v>
      </c>
      <c r="BZ1077" s="2" t="s">
        <v>100</v>
      </c>
    </row>
    <row r="1078">
      <c r="A1078" s="2" t="s">
        <v>4240</v>
      </c>
      <c r="B1078" s="2" t="s">
        <v>4041</v>
      </c>
      <c r="C1078" s="2" t="s">
        <v>4042</v>
      </c>
      <c r="D1078" s="2" t="s">
        <v>89</v>
      </c>
      <c r="E1078" s="2" t="s">
        <v>4233</v>
      </c>
      <c r="F1078" s="2" t="s">
        <v>4234</v>
      </c>
      <c r="G1078" s="2" t="s">
        <v>4235</v>
      </c>
      <c r="H1078" s="2" t="s">
        <v>4235</v>
      </c>
      <c r="I1078" s="2" t="s">
        <v>4236</v>
      </c>
      <c r="J1078" s="2" t="s">
        <v>522</v>
      </c>
      <c r="K1078" s="2" t="s">
        <v>458</v>
      </c>
      <c r="L1078" s="3">
        <v>32.5</v>
      </c>
      <c r="M1078" s="3">
        <v>34.12</v>
      </c>
      <c r="N1078" s="3">
        <v>64.99</v>
      </c>
      <c r="O1078" s="2" t="s">
        <v>97</v>
      </c>
      <c r="P1078" s="2" t="s">
        <v>98</v>
      </c>
      <c r="Q1078" s="2" t="s">
        <v>99</v>
      </c>
      <c r="R1078" s="2" t="s">
        <v>100</v>
      </c>
      <c r="S1078" s="2" t="s">
        <v>4237</v>
      </c>
      <c r="T1078" s="2" t="s">
        <v>438</v>
      </c>
      <c r="U1078" s="2" t="s">
        <v>100</v>
      </c>
      <c r="V1078" s="2" t="s">
        <v>461</v>
      </c>
      <c r="W1078" s="2" t="s">
        <v>609</v>
      </c>
      <c r="X1078" s="2" t="s">
        <v>100</v>
      </c>
      <c r="Y1078" s="2" t="s">
        <v>144</v>
      </c>
      <c r="Z1078" s="4">
        <v>405</v>
      </c>
      <c r="AA1078" s="4">
        <f>=ROUNDDOWN(40.5,0)</f>
      </c>
      <c r="AB1078" s="5">
        <v>10</v>
      </c>
      <c r="AC1078" s="2" t="s">
        <v>100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/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/>
      <c r="BJ1078" s="4">
        <v>63</v>
      </c>
      <c r="BK1078" s="8">
        <v>2196.43</v>
      </c>
      <c r="BL1078" s="2" t="s">
        <v>1181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109</v>
      </c>
      <c r="BV1078" s="2" t="s">
        <v>97</v>
      </c>
      <c r="BW1078" s="2" t="s">
        <v>159</v>
      </c>
      <c r="BX1078" s="2" t="s">
        <v>4241</v>
      </c>
      <c r="BY1078" s="2" t="s">
        <v>112</v>
      </c>
      <c r="BZ1078" s="2" t="s">
        <v>100</v>
      </c>
    </row>
    <row r="1079">
      <c r="A1079" s="2" t="s">
        <v>4242</v>
      </c>
      <c r="B1079" s="2" t="s">
        <v>4041</v>
      </c>
      <c r="C1079" s="2" t="s">
        <v>4042</v>
      </c>
      <c r="D1079" s="2" t="s">
        <v>89</v>
      </c>
      <c r="E1079" s="2" t="s">
        <v>4233</v>
      </c>
      <c r="F1079" s="2" t="s">
        <v>4234</v>
      </c>
      <c r="G1079" s="2" t="s">
        <v>4235</v>
      </c>
      <c r="H1079" s="2" t="s">
        <v>4235</v>
      </c>
      <c r="I1079" s="2" t="s">
        <v>4236</v>
      </c>
      <c r="J1079" s="2" t="s">
        <v>529</v>
      </c>
      <c r="K1079" s="2" t="s">
        <v>458</v>
      </c>
      <c r="L1079" s="3">
        <v>37.5</v>
      </c>
      <c r="M1079" s="3">
        <v>39.38</v>
      </c>
      <c r="N1079" s="3">
        <v>74.99</v>
      </c>
      <c r="O1079" s="2" t="s">
        <v>97</v>
      </c>
      <c r="P1079" s="2" t="s">
        <v>98</v>
      </c>
      <c r="Q1079" s="2" t="s">
        <v>99</v>
      </c>
      <c r="R1079" s="2" t="s">
        <v>100</v>
      </c>
      <c r="S1079" s="2" t="s">
        <v>4237</v>
      </c>
      <c r="T1079" s="2" t="s">
        <v>438</v>
      </c>
      <c r="U1079" s="2" t="s">
        <v>100</v>
      </c>
      <c r="V1079" s="2" t="s">
        <v>461</v>
      </c>
      <c r="W1079" s="2" t="s">
        <v>609</v>
      </c>
      <c r="X1079" s="2" t="s">
        <v>100</v>
      </c>
      <c r="Y1079" s="2" t="s">
        <v>371</v>
      </c>
      <c r="Z1079" s="4">
        <v>457</v>
      </c>
      <c r="AA1079" s="4">
        <f>=ROUNDDOWN(45.7,0)</f>
      </c>
      <c r="AB1079" s="5">
        <v>10</v>
      </c>
      <c r="AC1079" s="2" t="s">
        <v>100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100</v>
      </c>
      <c r="AW1079" s="8" t="s">
        <v>100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/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/>
      <c r="BJ1079" s="4">
        <v>47</v>
      </c>
      <c r="BK1079" s="8">
        <v>1959.71</v>
      </c>
      <c r="BL1079" s="2" t="s">
        <v>4243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109</v>
      </c>
      <c r="BV1079" s="2" t="s">
        <v>97</v>
      </c>
      <c r="BW1079" s="2" t="s">
        <v>159</v>
      </c>
      <c r="BX1079" s="2" t="s">
        <v>4244</v>
      </c>
      <c r="BY1079" s="2" t="s">
        <v>112</v>
      </c>
      <c r="BZ1079" s="2" t="s">
        <v>100</v>
      </c>
    </row>
    <row r="1080">
      <c r="A1080" s="2" t="s">
        <v>4245</v>
      </c>
      <c r="B1080" s="2" t="s">
        <v>4041</v>
      </c>
      <c r="C1080" s="2" t="s">
        <v>4042</v>
      </c>
      <c r="D1080" s="2" t="s">
        <v>89</v>
      </c>
      <c r="E1080" s="2" t="s">
        <v>4233</v>
      </c>
      <c r="F1080" s="2" t="s">
        <v>4246</v>
      </c>
      <c r="G1080" s="2" t="s">
        <v>4246</v>
      </c>
      <c r="H1080" s="2" t="s">
        <v>4246</v>
      </c>
      <c r="I1080" s="2" t="s">
        <v>4247</v>
      </c>
      <c r="J1080" s="2" t="s">
        <v>352</v>
      </c>
      <c r="K1080" s="2" t="s">
        <v>458</v>
      </c>
      <c r="L1080" s="3">
        <v>28.57</v>
      </c>
      <c r="M1080" s="3">
        <v>30</v>
      </c>
      <c r="N1080" s="3">
        <v>59.99</v>
      </c>
      <c r="O1080" s="2" t="s">
        <v>97</v>
      </c>
      <c r="P1080" s="2" t="s">
        <v>98</v>
      </c>
      <c r="Q1080" s="2" t="s">
        <v>99</v>
      </c>
      <c r="R1080" s="2" t="s">
        <v>100</v>
      </c>
      <c r="S1080" s="2" t="s">
        <v>4248</v>
      </c>
      <c r="T1080" s="2" t="s">
        <v>100</v>
      </c>
      <c r="U1080" s="2" t="s">
        <v>1776</v>
      </c>
      <c r="V1080" s="2" t="s">
        <v>461</v>
      </c>
      <c r="W1080" s="2" t="s">
        <v>493</v>
      </c>
      <c r="X1080" s="2" t="s">
        <v>100</v>
      </c>
      <c r="Y1080" s="2" t="s">
        <v>4249</v>
      </c>
      <c r="Z1080" s="4">
        <v>191</v>
      </c>
      <c r="AA1080" s="4">
        <f>=ROUNDDOWN(63.6666666666667,0)</f>
      </c>
      <c r="AB1080" s="5">
        <v>3</v>
      </c>
      <c r="AC1080" s="2" t="s">
        <v>100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/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/>
      <c r="BJ1080" s="4">
        <v>8</v>
      </c>
      <c r="BK1080" s="8">
        <v>253.8</v>
      </c>
      <c r="BL1080" s="2" t="s">
        <v>4250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171</v>
      </c>
      <c r="BV1080" s="2" t="s">
        <v>97</v>
      </c>
      <c r="BW1080" s="2" t="s">
        <v>100</v>
      </c>
      <c r="BX1080" s="2" t="s">
        <v>100</v>
      </c>
      <c r="BY1080" s="2" t="s">
        <v>112</v>
      </c>
      <c r="BZ1080" s="2" t="s">
        <v>100</v>
      </c>
    </row>
    <row r="1081">
      <c r="A1081" s="2" t="s">
        <v>4251</v>
      </c>
      <c r="B1081" s="2" t="s">
        <v>4041</v>
      </c>
      <c r="C1081" s="2" t="s">
        <v>4042</v>
      </c>
      <c r="D1081" s="2" t="s">
        <v>89</v>
      </c>
      <c r="E1081" s="2" t="s">
        <v>4233</v>
      </c>
      <c r="F1081" s="2" t="s">
        <v>4246</v>
      </c>
      <c r="G1081" s="2" t="s">
        <v>4246</v>
      </c>
      <c r="H1081" s="2" t="s">
        <v>4246</v>
      </c>
      <c r="I1081" s="2" t="s">
        <v>4247</v>
      </c>
      <c r="J1081" s="2" t="s">
        <v>522</v>
      </c>
      <c r="K1081" s="2" t="s">
        <v>458</v>
      </c>
      <c r="L1081" s="3">
        <v>33.33</v>
      </c>
      <c r="M1081" s="3">
        <v>35</v>
      </c>
      <c r="N1081" s="3">
        <v>69.99</v>
      </c>
      <c r="O1081" s="2" t="s">
        <v>97</v>
      </c>
      <c r="P1081" s="2" t="s">
        <v>98</v>
      </c>
      <c r="Q1081" s="2" t="s">
        <v>99</v>
      </c>
      <c r="R1081" s="2" t="s">
        <v>100</v>
      </c>
      <c r="S1081" s="2" t="s">
        <v>4248</v>
      </c>
      <c r="T1081" s="2" t="s">
        <v>100</v>
      </c>
      <c r="U1081" s="2" t="s">
        <v>1776</v>
      </c>
      <c r="V1081" s="2" t="s">
        <v>461</v>
      </c>
      <c r="W1081" s="2" t="s">
        <v>493</v>
      </c>
      <c r="X1081" s="2" t="s">
        <v>100</v>
      </c>
      <c r="Y1081" s="2" t="s">
        <v>4249</v>
      </c>
      <c r="Z1081" s="4">
        <v>230</v>
      </c>
      <c r="AA1081" s="4">
        <f>=ROUNDDOWN(115,0)</f>
      </c>
      <c r="AB1081" s="5">
        <v>2</v>
      </c>
      <c r="AC1081" s="2" t="s">
        <v>100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/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/>
      <c r="BJ1081" s="4">
        <v>15</v>
      </c>
      <c r="BK1081" s="8">
        <v>557.55</v>
      </c>
      <c r="BL1081" s="2" t="s">
        <v>4252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171</v>
      </c>
      <c r="BV1081" s="2" t="s">
        <v>97</v>
      </c>
      <c r="BW1081" s="2" t="s">
        <v>100</v>
      </c>
      <c r="BX1081" s="2" t="s">
        <v>100</v>
      </c>
      <c r="BY1081" s="2" t="s">
        <v>112</v>
      </c>
      <c r="BZ1081" s="2" t="s">
        <v>100</v>
      </c>
    </row>
    <row r="1082">
      <c r="A1082" s="2" t="s">
        <v>4253</v>
      </c>
      <c r="B1082" s="2" t="s">
        <v>4041</v>
      </c>
      <c r="C1082" s="2" t="s">
        <v>4042</v>
      </c>
      <c r="D1082" s="2" t="s">
        <v>89</v>
      </c>
      <c r="E1082" s="2" t="s">
        <v>4233</v>
      </c>
      <c r="F1082" s="2" t="s">
        <v>4246</v>
      </c>
      <c r="G1082" s="2" t="s">
        <v>4246</v>
      </c>
      <c r="H1082" s="2" t="s">
        <v>4246</v>
      </c>
      <c r="I1082" s="2" t="s">
        <v>4247</v>
      </c>
      <c r="J1082" s="2" t="s">
        <v>529</v>
      </c>
      <c r="K1082" s="2" t="s">
        <v>458</v>
      </c>
      <c r="L1082" s="3">
        <v>38.09</v>
      </c>
      <c r="M1082" s="3">
        <v>39.99</v>
      </c>
      <c r="N1082" s="3">
        <v>79.99</v>
      </c>
      <c r="O1082" s="2" t="s">
        <v>97</v>
      </c>
      <c r="P1082" s="2" t="s">
        <v>98</v>
      </c>
      <c r="Q1082" s="2" t="s">
        <v>99</v>
      </c>
      <c r="R1082" s="2" t="s">
        <v>100</v>
      </c>
      <c r="S1082" s="2" t="s">
        <v>4248</v>
      </c>
      <c r="T1082" s="2" t="s">
        <v>100</v>
      </c>
      <c r="U1082" s="2" t="s">
        <v>1776</v>
      </c>
      <c r="V1082" s="2" t="s">
        <v>461</v>
      </c>
      <c r="W1082" s="2" t="s">
        <v>493</v>
      </c>
      <c r="X1082" s="2" t="s">
        <v>100</v>
      </c>
      <c r="Y1082" s="2" t="s">
        <v>4249</v>
      </c>
      <c r="Z1082" s="4">
        <v>299</v>
      </c>
      <c r="AA1082" s="4">
        <f>=ROUNDDOWN(59.8,0)</f>
      </c>
      <c r="AB1082" s="5">
        <v>5</v>
      </c>
      <c r="AC1082" s="2" t="s">
        <v>100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/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/>
      <c r="BJ1082" s="4">
        <v>13</v>
      </c>
      <c r="BK1082" s="8">
        <v>555.07</v>
      </c>
      <c r="BL1082" s="2" t="s">
        <v>4254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171</v>
      </c>
      <c r="BV1082" s="2" t="s">
        <v>97</v>
      </c>
      <c r="BW1082" s="2" t="s">
        <v>100</v>
      </c>
      <c r="BX1082" s="2" t="s">
        <v>100</v>
      </c>
      <c r="BY1082" s="2" t="s">
        <v>112</v>
      </c>
      <c r="BZ1082" s="2" t="s">
        <v>100</v>
      </c>
    </row>
    <row r="1083">
      <c r="A1083" s="2" t="s">
        <v>4255</v>
      </c>
      <c r="B1083" s="2" t="s">
        <v>4041</v>
      </c>
      <c r="C1083" s="2" t="s">
        <v>4042</v>
      </c>
      <c r="D1083" s="2" t="s">
        <v>89</v>
      </c>
      <c r="E1083" s="2" t="s">
        <v>4233</v>
      </c>
      <c r="F1083" s="2" t="s">
        <v>4256</v>
      </c>
      <c r="G1083" s="2" t="s">
        <v>4256</v>
      </c>
      <c r="H1083" s="2" t="s">
        <v>4256</v>
      </c>
      <c r="I1083" s="2" t="s">
        <v>4257</v>
      </c>
      <c r="J1083" s="2" t="s">
        <v>522</v>
      </c>
      <c r="K1083" s="2" t="s">
        <v>458</v>
      </c>
      <c r="L1083" s="3">
        <v>55</v>
      </c>
      <c r="M1083" s="3">
        <v>57.75</v>
      </c>
      <c r="N1083" s="3">
        <v>109.99</v>
      </c>
      <c r="O1083" s="2" t="s">
        <v>97</v>
      </c>
      <c r="P1083" s="2" t="s">
        <v>98</v>
      </c>
      <c r="Q1083" s="2" t="s">
        <v>99</v>
      </c>
      <c r="R1083" s="2" t="s">
        <v>100</v>
      </c>
      <c r="S1083" s="2" t="s">
        <v>4258</v>
      </c>
      <c r="T1083" s="2" t="s">
        <v>190</v>
      </c>
      <c r="U1083" s="2" t="s">
        <v>100</v>
      </c>
      <c r="V1083" s="2" t="s">
        <v>461</v>
      </c>
      <c r="W1083" s="2" t="s">
        <v>609</v>
      </c>
      <c r="X1083" s="2" t="s">
        <v>100</v>
      </c>
      <c r="Y1083" s="2" t="s">
        <v>144</v>
      </c>
      <c r="Z1083" s="4">
        <v>162</v>
      </c>
      <c r="AA1083" s="4">
        <f>=ROUNDDOWN(23.1428571428571,0)</f>
      </c>
      <c r="AB1083" s="5">
        <v>7</v>
      </c>
      <c r="AC1083" s="2" t="s">
        <v>196</v>
      </c>
      <c r="AD1083" s="4">
        <v>110</v>
      </c>
      <c r="AE1083" s="4">
        <v>140</v>
      </c>
      <c r="AF1083" s="6">
        <v>66</v>
      </c>
      <c r="AG1083" s="6"/>
      <c r="AH1083" s="7">
        <v>0.5484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/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/>
      <c r="BJ1083" s="4">
        <v>10</v>
      </c>
      <c r="BK1083" s="8">
        <v>594.3</v>
      </c>
      <c r="BL1083" s="2" t="s">
        <v>4259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109</v>
      </c>
      <c r="BV1083" s="2" t="s">
        <v>97</v>
      </c>
      <c r="BW1083" s="2" t="s">
        <v>159</v>
      </c>
      <c r="BX1083" s="2" t="s">
        <v>4260</v>
      </c>
      <c r="BY1083" s="2" t="s">
        <v>112</v>
      </c>
      <c r="BZ1083" s="2" t="s">
        <v>100</v>
      </c>
    </row>
    <row r="1084">
      <c r="A1084" s="2" t="s">
        <v>4261</v>
      </c>
      <c r="B1084" s="2" t="s">
        <v>4041</v>
      </c>
      <c r="C1084" s="2" t="s">
        <v>4042</v>
      </c>
      <c r="D1084" s="2" t="s">
        <v>89</v>
      </c>
      <c r="E1084" s="2" t="s">
        <v>4233</v>
      </c>
      <c r="F1084" s="2" t="s">
        <v>4256</v>
      </c>
      <c r="G1084" s="2" t="s">
        <v>4256</v>
      </c>
      <c r="H1084" s="2" t="s">
        <v>4256</v>
      </c>
      <c r="I1084" s="2" t="s">
        <v>4257</v>
      </c>
      <c r="J1084" s="2" t="s">
        <v>114</v>
      </c>
      <c r="K1084" s="2" t="s">
        <v>458</v>
      </c>
      <c r="L1084" s="3">
        <v>65</v>
      </c>
      <c r="M1084" s="3">
        <v>68.25</v>
      </c>
      <c r="N1084" s="3">
        <v>129.99</v>
      </c>
      <c r="O1084" s="2" t="s">
        <v>97</v>
      </c>
      <c r="P1084" s="2" t="s">
        <v>98</v>
      </c>
      <c r="Q1084" s="2" t="s">
        <v>99</v>
      </c>
      <c r="R1084" s="2" t="s">
        <v>100</v>
      </c>
      <c r="S1084" s="2" t="s">
        <v>4258</v>
      </c>
      <c r="T1084" s="2" t="s">
        <v>190</v>
      </c>
      <c r="U1084" s="2" t="s">
        <v>100</v>
      </c>
      <c r="V1084" s="2" t="s">
        <v>461</v>
      </c>
      <c r="W1084" s="2" t="s">
        <v>609</v>
      </c>
      <c r="X1084" s="2" t="s">
        <v>100</v>
      </c>
      <c r="Y1084" s="2" t="s">
        <v>144</v>
      </c>
      <c r="Z1084" s="4">
        <v>149</v>
      </c>
      <c r="AA1084" s="4">
        <f>=ROUNDDOWN(24.8333333333333,0)</f>
      </c>
      <c r="AB1084" s="5">
        <v>6</v>
      </c>
      <c r="AC1084" s="2" t="s">
        <v>196</v>
      </c>
      <c r="AD1084" s="4">
        <v>70</v>
      </c>
      <c r="AE1084" s="4">
        <v>100</v>
      </c>
      <c r="AF1084" s="6">
        <v>66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/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/>
      <c r="BJ1084" s="4">
        <v>6</v>
      </c>
      <c r="BK1084" s="8">
        <v>401.64</v>
      </c>
      <c r="BL1084" s="2" t="s">
        <v>4262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109</v>
      </c>
      <c r="BV1084" s="2" t="s">
        <v>97</v>
      </c>
      <c r="BW1084" s="2" t="s">
        <v>159</v>
      </c>
      <c r="BX1084" s="2" t="s">
        <v>4263</v>
      </c>
      <c r="BY1084" s="2" t="s">
        <v>112</v>
      </c>
      <c r="BZ1084" s="2" t="s">
        <v>100</v>
      </c>
    </row>
    <row r="1085">
      <c r="A1085" s="2" t="s">
        <v>4264</v>
      </c>
      <c r="B1085" s="2" t="s">
        <v>4041</v>
      </c>
      <c r="C1085" s="2" t="s">
        <v>4042</v>
      </c>
      <c r="D1085" s="2" t="s">
        <v>89</v>
      </c>
      <c r="E1085" s="2" t="s">
        <v>4233</v>
      </c>
      <c r="F1085" s="2" t="s">
        <v>4265</v>
      </c>
      <c r="G1085" s="2" t="s">
        <v>4265</v>
      </c>
      <c r="H1085" s="2" t="s">
        <v>4265</v>
      </c>
      <c r="I1085" s="2" t="s">
        <v>4266</v>
      </c>
      <c r="J1085" s="2" t="s">
        <v>352</v>
      </c>
      <c r="K1085" s="2" t="s">
        <v>458</v>
      </c>
      <c r="L1085" s="3">
        <v>21.42</v>
      </c>
      <c r="M1085" s="3">
        <v>22.5</v>
      </c>
      <c r="N1085" s="3">
        <v>49.99</v>
      </c>
      <c r="O1085" s="2" t="s">
        <v>97</v>
      </c>
      <c r="P1085" s="2" t="s">
        <v>98</v>
      </c>
      <c r="Q1085" s="2" t="s">
        <v>99</v>
      </c>
      <c r="R1085" s="2" t="s">
        <v>100</v>
      </c>
      <c r="S1085" s="2" t="s">
        <v>4267</v>
      </c>
      <c r="T1085" s="2" t="s">
        <v>100</v>
      </c>
      <c r="U1085" s="2" t="s">
        <v>1776</v>
      </c>
      <c r="V1085" s="2" t="s">
        <v>461</v>
      </c>
      <c r="W1085" s="2" t="s">
        <v>609</v>
      </c>
      <c r="X1085" s="2" t="s">
        <v>100</v>
      </c>
      <c r="Y1085" s="2" t="s">
        <v>4268</v>
      </c>
      <c r="Z1085" s="4">
        <v>285</v>
      </c>
      <c r="AA1085" s="4">
        <f>=ROUNDDOWN(31.6666666666667,0)</f>
      </c>
      <c r="AB1085" s="5">
        <v>9</v>
      </c>
      <c r="AC1085" s="2" t="s">
        <v>173</v>
      </c>
      <c r="AD1085" s="4">
        <v>30</v>
      </c>
      <c r="AE1085" s="4">
        <v>30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/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/>
      <c r="BJ1085" s="4">
        <v>20</v>
      </c>
      <c r="BK1085" s="8">
        <v>475.08</v>
      </c>
      <c r="BL1085" s="2" t="s">
        <v>4269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171</v>
      </c>
      <c r="BV1085" s="2" t="s">
        <v>97</v>
      </c>
      <c r="BW1085" s="2" t="s">
        <v>100</v>
      </c>
      <c r="BX1085" s="2" t="s">
        <v>100</v>
      </c>
      <c r="BY1085" s="2" t="s">
        <v>112</v>
      </c>
      <c r="BZ1085" s="2" t="s">
        <v>100</v>
      </c>
    </row>
    <row r="1086">
      <c r="A1086" s="2" t="s">
        <v>4270</v>
      </c>
      <c r="B1086" s="2" t="s">
        <v>4041</v>
      </c>
      <c r="C1086" s="2" t="s">
        <v>4042</v>
      </c>
      <c r="D1086" s="2" t="s">
        <v>89</v>
      </c>
      <c r="E1086" s="2" t="s">
        <v>4233</v>
      </c>
      <c r="F1086" s="2" t="s">
        <v>4265</v>
      </c>
      <c r="G1086" s="2" t="s">
        <v>4265</v>
      </c>
      <c r="H1086" s="2" t="s">
        <v>4265</v>
      </c>
      <c r="I1086" s="2" t="s">
        <v>4266</v>
      </c>
      <c r="J1086" s="2" t="s">
        <v>522</v>
      </c>
      <c r="K1086" s="2" t="s">
        <v>458</v>
      </c>
      <c r="L1086" s="3">
        <v>25.14</v>
      </c>
      <c r="M1086" s="3">
        <v>26.4</v>
      </c>
      <c r="N1086" s="3">
        <v>54.99</v>
      </c>
      <c r="O1086" s="2" t="s">
        <v>97</v>
      </c>
      <c r="P1086" s="2" t="s">
        <v>98</v>
      </c>
      <c r="Q1086" s="2" t="s">
        <v>99</v>
      </c>
      <c r="R1086" s="2" t="s">
        <v>100</v>
      </c>
      <c r="S1086" s="2" t="s">
        <v>4267</v>
      </c>
      <c r="T1086" s="2" t="s">
        <v>100</v>
      </c>
      <c r="U1086" s="2" t="s">
        <v>1776</v>
      </c>
      <c r="V1086" s="2" t="s">
        <v>461</v>
      </c>
      <c r="W1086" s="2" t="s">
        <v>609</v>
      </c>
      <c r="X1086" s="2" t="s">
        <v>100</v>
      </c>
      <c r="Y1086" s="2" t="s">
        <v>4268</v>
      </c>
      <c r="Z1086" s="4">
        <v>204</v>
      </c>
      <c r="AA1086" s="4">
        <f>=ROUNDDOWN(20.4,0)</f>
      </c>
      <c r="AB1086" s="5">
        <v>10</v>
      </c>
      <c r="AC1086" s="2" t="s">
        <v>201</v>
      </c>
      <c r="AD1086" s="4">
        <v>200</v>
      </c>
      <c r="AE1086" s="4">
        <v>240</v>
      </c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100</v>
      </c>
      <c r="AW1086" s="8" t="s">
        <v>100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/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/>
      <c r="BJ1086" s="4">
        <v>35</v>
      </c>
      <c r="BK1086" s="8">
        <v>980.07</v>
      </c>
      <c r="BL1086" s="2" t="s">
        <v>4271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171</v>
      </c>
      <c r="BV1086" s="2" t="s">
        <v>97</v>
      </c>
      <c r="BW1086" s="2" t="s">
        <v>100</v>
      </c>
      <c r="BX1086" s="2" t="s">
        <v>100</v>
      </c>
      <c r="BY1086" s="2" t="s">
        <v>112</v>
      </c>
      <c r="BZ1086" s="2" t="s">
        <v>100</v>
      </c>
    </row>
    <row r="1087">
      <c r="A1087" s="2" t="s">
        <v>4272</v>
      </c>
      <c r="B1087" s="2" t="s">
        <v>4041</v>
      </c>
      <c r="C1087" s="2" t="s">
        <v>4042</v>
      </c>
      <c r="D1087" s="2" t="s">
        <v>89</v>
      </c>
      <c r="E1087" s="2" t="s">
        <v>4233</v>
      </c>
      <c r="F1087" s="2" t="s">
        <v>4265</v>
      </c>
      <c r="G1087" s="2" t="s">
        <v>4265</v>
      </c>
      <c r="H1087" s="2" t="s">
        <v>4265</v>
      </c>
      <c r="I1087" s="2" t="s">
        <v>4266</v>
      </c>
      <c r="J1087" s="2" t="s">
        <v>529</v>
      </c>
      <c r="K1087" s="2" t="s">
        <v>458</v>
      </c>
      <c r="L1087" s="3">
        <v>28.57</v>
      </c>
      <c r="M1087" s="3">
        <v>30</v>
      </c>
      <c r="N1087" s="3">
        <v>59.99</v>
      </c>
      <c r="O1087" s="2" t="s">
        <v>97</v>
      </c>
      <c r="P1087" s="2" t="s">
        <v>98</v>
      </c>
      <c r="Q1087" s="2" t="s">
        <v>99</v>
      </c>
      <c r="R1087" s="2" t="s">
        <v>100</v>
      </c>
      <c r="S1087" s="2" t="s">
        <v>4267</v>
      </c>
      <c r="T1087" s="2" t="s">
        <v>100</v>
      </c>
      <c r="U1087" s="2" t="s">
        <v>1776</v>
      </c>
      <c r="V1087" s="2" t="s">
        <v>461</v>
      </c>
      <c r="W1087" s="2" t="s">
        <v>609</v>
      </c>
      <c r="X1087" s="2" t="s">
        <v>100</v>
      </c>
      <c r="Y1087" s="2" t="s">
        <v>4268</v>
      </c>
      <c r="Z1087" s="4">
        <v>169</v>
      </c>
      <c r="AA1087" s="4">
        <f>=ROUNDDOWN(13,0)</f>
      </c>
      <c r="AB1087" s="5">
        <v>13</v>
      </c>
      <c r="AC1087" s="2" t="s">
        <v>201</v>
      </c>
      <c r="AD1087" s="4">
        <v>80</v>
      </c>
      <c r="AE1087" s="4">
        <v>230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/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/>
      <c r="BJ1087" s="4">
        <v>58</v>
      </c>
      <c r="BK1087" s="8">
        <v>1843.36</v>
      </c>
      <c r="BL1087" s="2" t="s">
        <v>4271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171</v>
      </c>
      <c r="BV1087" s="2" t="s">
        <v>97</v>
      </c>
      <c r="BW1087" s="2" t="s">
        <v>100</v>
      </c>
      <c r="BX1087" s="2" t="s">
        <v>100</v>
      </c>
      <c r="BY1087" s="2" t="s">
        <v>112</v>
      </c>
      <c r="BZ1087" s="2" t="s">
        <v>100</v>
      </c>
    </row>
    <row r="1088">
      <c r="A1088" s="2" t="s">
        <v>4273</v>
      </c>
      <c r="B1088" s="2" t="s">
        <v>4041</v>
      </c>
      <c r="C1088" s="2" t="s">
        <v>4042</v>
      </c>
      <c r="D1088" s="2" t="s">
        <v>89</v>
      </c>
      <c r="E1088" s="2" t="s">
        <v>4233</v>
      </c>
      <c r="F1088" s="2" t="s">
        <v>4274</v>
      </c>
      <c r="G1088" s="2" t="s">
        <v>4274</v>
      </c>
      <c r="H1088" s="2" t="s">
        <v>4274</v>
      </c>
      <c r="I1088" s="2" t="s">
        <v>4257</v>
      </c>
      <c r="J1088" s="2" t="s">
        <v>1443</v>
      </c>
      <c r="K1088" s="2" t="s">
        <v>458</v>
      </c>
      <c r="L1088" s="3">
        <v>38.4</v>
      </c>
      <c r="M1088" s="3">
        <v>40.32</v>
      </c>
      <c r="N1088" s="3">
        <v>79.99</v>
      </c>
      <c r="O1088" s="2" t="s">
        <v>97</v>
      </c>
      <c r="P1088" s="2" t="s">
        <v>98</v>
      </c>
      <c r="Q1088" s="2" t="s">
        <v>99</v>
      </c>
      <c r="R1088" s="2" t="s">
        <v>100</v>
      </c>
      <c r="S1088" s="2" t="s">
        <v>4258</v>
      </c>
      <c r="T1088" s="2" t="s">
        <v>190</v>
      </c>
      <c r="U1088" s="2" t="s">
        <v>100</v>
      </c>
      <c r="V1088" s="2" t="s">
        <v>461</v>
      </c>
      <c r="W1088" s="2" t="s">
        <v>609</v>
      </c>
      <c r="X1088" s="2" t="s">
        <v>100</v>
      </c>
      <c r="Y1088" s="2" t="s">
        <v>144</v>
      </c>
      <c r="Z1088" s="4">
        <v>76</v>
      </c>
      <c r="AA1088" s="4">
        <f>=ROUNDDOWN(38,0)</f>
      </c>
      <c r="AB1088" s="5">
        <v>2</v>
      </c>
      <c r="AC1088" s="2" t="s">
        <v>958</v>
      </c>
      <c r="AD1088" s="4">
        <v>30</v>
      </c>
      <c r="AE1088" s="4">
        <v>30</v>
      </c>
      <c r="AF1088" s="6">
        <v>66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/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/>
      <c r="BJ1088" s="4">
        <v>6</v>
      </c>
      <c r="BK1088" s="8">
        <v>253.05</v>
      </c>
      <c r="BL1088" s="2" t="s">
        <v>1380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109</v>
      </c>
      <c r="BV1088" s="2" t="s">
        <v>97</v>
      </c>
      <c r="BW1088" s="2" t="s">
        <v>159</v>
      </c>
      <c r="BX1088" s="2" t="s">
        <v>4275</v>
      </c>
      <c r="BY1088" s="2" t="s">
        <v>112</v>
      </c>
      <c r="BZ1088" s="2" t="s">
        <v>100</v>
      </c>
    </row>
    <row r="1089">
      <c r="A1089" s="2" t="s">
        <v>4276</v>
      </c>
      <c r="B1089" s="2" t="s">
        <v>4041</v>
      </c>
      <c r="C1089" s="2" t="s">
        <v>4042</v>
      </c>
      <c r="D1089" s="2" t="s">
        <v>89</v>
      </c>
      <c r="E1089" s="2" t="s">
        <v>4233</v>
      </c>
      <c r="F1089" s="2" t="s">
        <v>4274</v>
      </c>
      <c r="G1089" s="2" t="s">
        <v>4274</v>
      </c>
      <c r="H1089" s="2" t="s">
        <v>4274</v>
      </c>
      <c r="I1089" s="2" t="s">
        <v>4257</v>
      </c>
      <c r="J1089" s="2" t="s">
        <v>522</v>
      </c>
      <c r="K1089" s="2" t="s">
        <v>458</v>
      </c>
      <c r="L1089" s="3">
        <v>49</v>
      </c>
      <c r="M1089" s="3">
        <v>51.45</v>
      </c>
      <c r="N1089" s="3">
        <v>99.99</v>
      </c>
      <c r="O1089" s="2" t="s">
        <v>97</v>
      </c>
      <c r="P1089" s="2" t="s">
        <v>98</v>
      </c>
      <c r="Q1089" s="2" t="s">
        <v>99</v>
      </c>
      <c r="R1089" s="2" t="s">
        <v>100</v>
      </c>
      <c r="S1089" s="2" t="s">
        <v>4258</v>
      </c>
      <c r="T1089" s="2" t="s">
        <v>190</v>
      </c>
      <c r="U1089" s="2" t="s">
        <v>100</v>
      </c>
      <c r="V1089" s="2" t="s">
        <v>461</v>
      </c>
      <c r="W1089" s="2" t="s">
        <v>609</v>
      </c>
      <c r="X1089" s="2" t="s">
        <v>100</v>
      </c>
      <c r="Y1089" s="2" t="s">
        <v>144</v>
      </c>
      <c r="Z1089" s="4">
        <v>80</v>
      </c>
      <c r="AA1089" s="4">
        <f>=ROUNDDOWN(10,0)</f>
      </c>
      <c r="AB1089" s="5">
        <v>8</v>
      </c>
      <c r="AC1089" s="2" t="s">
        <v>196</v>
      </c>
      <c r="AD1089" s="4">
        <v>60</v>
      </c>
      <c r="AE1089" s="4">
        <v>180</v>
      </c>
      <c r="AF1089" s="6">
        <v>66</v>
      </c>
      <c r="AG1089" s="6"/>
      <c r="AH1089" s="7">
        <v>0.5484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/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/>
      <c r="BJ1089" s="4">
        <v>6</v>
      </c>
      <c r="BK1089" s="8">
        <v>334.33</v>
      </c>
      <c r="BL1089" s="2" t="s">
        <v>4277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109</v>
      </c>
      <c r="BV1089" s="2" t="s">
        <v>97</v>
      </c>
      <c r="BW1089" s="2" t="s">
        <v>159</v>
      </c>
      <c r="BX1089" s="2" t="s">
        <v>4278</v>
      </c>
      <c r="BY1089" s="2" t="s">
        <v>112</v>
      </c>
      <c r="BZ1089" s="2" t="s">
        <v>100</v>
      </c>
    </row>
    <row r="1090">
      <c r="A1090" s="2" t="s">
        <v>4279</v>
      </c>
      <c r="B1090" s="2" t="s">
        <v>4041</v>
      </c>
      <c r="C1090" s="2" t="s">
        <v>4042</v>
      </c>
      <c r="D1090" s="2" t="s">
        <v>89</v>
      </c>
      <c r="E1090" s="2" t="s">
        <v>4233</v>
      </c>
      <c r="F1090" s="2" t="s">
        <v>4274</v>
      </c>
      <c r="G1090" s="2" t="s">
        <v>4274</v>
      </c>
      <c r="H1090" s="2" t="s">
        <v>4274</v>
      </c>
      <c r="I1090" s="2" t="s">
        <v>4257</v>
      </c>
      <c r="J1090" s="2" t="s">
        <v>114</v>
      </c>
      <c r="K1090" s="2" t="s">
        <v>458</v>
      </c>
      <c r="L1090" s="3">
        <v>60</v>
      </c>
      <c r="M1090" s="3">
        <v>63</v>
      </c>
      <c r="N1090" s="3">
        <v>119.99</v>
      </c>
      <c r="O1090" s="2" t="s">
        <v>97</v>
      </c>
      <c r="P1090" s="2" t="s">
        <v>98</v>
      </c>
      <c r="Q1090" s="2" t="s">
        <v>99</v>
      </c>
      <c r="R1090" s="2" t="s">
        <v>100</v>
      </c>
      <c r="S1090" s="2" t="s">
        <v>4258</v>
      </c>
      <c r="T1090" s="2" t="s">
        <v>190</v>
      </c>
      <c r="U1090" s="2" t="s">
        <v>100</v>
      </c>
      <c r="V1090" s="2" t="s">
        <v>461</v>
      </c>
      <c r="W1090" s="2" t="s">
        <v>609</v>
      </c>
      <c r="X1090" s="2" t="s">
        <v>100</v>
      </c>
      <c r="Y1090" s="2" t="s">
        <v>144</v>
      </c>
      <c r="Z1090" s="4">
        <v>104</v>
      </c>
      <c r="AA1090" s="4">
        <f>=ROUNDDOWN(14.8571428571429,0)</f>
      </c>
      <c r="AB1090" s="5">
        <v>7</v>
      </c>
      <c r="AC1090" s="2" t="s">
        <v>196</v>
      </c>
      <c r="AD1090" s="4">
        <v>40</v>
      </c>
      <c r="AE1090" s="4">
        <v>90</v>
      </c>
      <c r="AF1090" s="6">
        <v>66</v>
      </c>
      <c r="AG1090" s="6"/>
      <c r="AH1090" s="7">
        <v>0.5484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/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/>
      <c r="BJ1090" s="4">
        <v>5</v>
      </c>
      <c r="BK1090" s="8">
        <v>340.64</v>
      </c>
      <c r="BL1090" s="2" t="s">
        <v>4280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109</v>
      </c>
      <c r="BV1090" s="2" t="s">
        <v>97</v>
      </c>
      <c r="BW1090" s="2" t="s">
        <v>159</v>
      </c>
      <c r="BX1090" s="2" t="s">
        <v>4281</v>
      </c>
      <c r="BY1090" s="2" t="s">
        <v>112</v>
      </c>
      <c r="BZ1090" s="2" t="s">
        <v>100</v>
      </c>
    </row>
    <row r="1091">
      <c r="A1091" s="2" t="s">
        <v>4282</v>
      </c>
      <c r="B1091" s="2" t="s">
        <v>4041</v>
      </c>
      <c r="C1091" s="2" t="s">
        <v>4042</v>
      </c>
      <c r="D1091" s="2" t="s">
        <v>89</v>
      </c>
      <c r="E1091" s="2" t="s">
        <v>4233</v>
      </c>
      <c r="F1091" s="2" t="s">
        <v>4283</v>
      </c>
      <c r="G1091" s="2" t="s">
        <v>4283</v>
      </c>
      <c r="H1091" s="2" t="s">
        <v>4283</v>
      </c>
      <c r="I1091" s="2" t="s">
        <v>4257</v>
      </c>
      <c r="J1091" s="2" t="s">
        <v>1443</v>
      </c>
      <c r="K1091" s="2" t="s">
        <v>458</v>
      </c>
      <c r="L1091" s="3">
        <v>32.9</v>
      </c>
      <c r="M1091" s="3">
        <v>34.54</v>
      </c>
      <c r="N1091" s="3">
        <v>69.99</v>
      </c>
      <c r="O1091" s="2" t="s">
        <v>97</v>
      </c>
      <c r="P1091" s="2" t="s">
        <v>98</v>
      </c>
      <c r="Q1091" s="2" t="s">
        <v>99</v>
      </c>
      <c r="R1091" s="2" t="s">
        <v>100</v>
      </c>
      <c r="S1091" s="2" t="s">
        <v>4258</v>
      </c>
      <c r="T1091" s="2" t="s">
        <v>190</v>
      </c>
      <c r="U1091" s="2" t="s">
        <v>100</v>
      </c>
      <c r="V1091" s="2" t="s">
        <v>461</v>
      </c>
      <c r="W1091" s="2" t="s">
        <v>609</v>
      </c>
      <c r="X1091" s="2" t="s">
        <v>100</v>
      </c>
      <c r="Y1091" s="2" t="s">
        <v>144</v>
      </c>
      <c r="Z1091" s="4">
        <v>54</v>
      </c>
      <c r="AA1091" s="4">
        <f>=ROUNDDOWN(18,0)</f>
      </c>
      <c r="AB1091" s="5">
        <v>3</v>
      </c>
      <c r="AC1091" s="2" t="s">
        <v>196</v>
      </c>
      <c r="AD1091" s="4">
        <v>60</v>
      </c>
      <c r="AE1091" s="4">
        <v>140</v>
      </c>
      <c r="AF1091" s="6">
        <v>66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/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/>
      <c r="BJ1091" s="4">
        <v>13</v>
      </c>
      <c r="BK1091" s="8">
        <v>448.74</v>
      </c>
      <c r="BL1091" s="2" t="s">
        <v>1823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109</v>
      </c>
      <c r="BV1091" s="2" t="s">
        <v>97</v>
      </c>
      <c r="BW1091" s="2" t="s">
        <v>159</v>
      </c>
      <c r="BX1091" s="2" t="s">
        <v>4284</v>
      </c>
      <c r="BY1091" s="2" t="s">
        <v>112</v>
      </c>
      <c r="BZ1091" s="2" t="s">
        <v>100</v>
      </c>
    </row>
    <row r="1092">
      <c r="A1092" s="2" t="s">
        <v>4285</v>
      </c>
      <c r="B1092" s="2" t="s">
        <v>4041</v>
      </c>
      <c r="C1092" s="2" t="s">
        <v>4042</v>
      </c>
      <c r="D1092" s="2" t="s">
        <v>89</v>
      </c>
      <c r="E1092" s="2" t="s">
        <v>4233</v>
      </c>
      <c r="F1092" s="2" t="s">
        <v>4283</v>
      </c>
      <c r="G1092" s="2" t="s">
        <v>4283</v>
      </c>
      <c r="H1092" s="2" t="s">
        <v>4283</v>
      </c>
      <c r="I1092" s="2" t="s">
        <v>4257</v>
      </c>
      <c r="J1092" s="2" t="s">
        <v>522</v>
      </c>
      <c r="K1092" s="2" t="s">
        <v>458</v>
      </c>
      <c r="L1092" s="3">
        <v>43.2</v>
      </c>
      <c r="M1092" s="3">
        <v>45.36</v>
      </c>
      <c r="N1092" s="3">
        <v>89.99</v>
      </c>
      <c r="O1092" s="2" t="s">
        <v>97</v>
      </c>
      <c r="P1092" s="2" t="s">
        <v>98</v>
      </c>
      <c r="Q1092" s="2" t="s">
        <v>99</v>
      </c>
      <c r="R1092" s="2" t="s">
        <v>100</v>
      </c>
      <c r="S1092" s="2" t="s">
        <v>4258</v>
      </c>
      <c r="T1092" s="2" t="s">
        <v>190</v>
      </c>
      <c r="U1092" s="2" t="s">
        <v>100</v>
      </c>
      <c r="V1092" s="2" t="s">
        <v>461</v>
      </c>
      <c r="W1092" s="2" t="s">
        <v>609</v>
      </c>
      <c r="X1092" s="2" t="s">
        <v>100</v>
      </c>
      <c r="Y1092" s="2" t="s">
        <v>144</v>
      </c>
      <c r="Z1092" s="4">
        <v>79</v>
      </c>
      <c r="AA1092" s="4">
        <f>=ROUNDDOWN(13.1666666666667,0)</f>
      </c>
      <c r="AB1092" s="5">
        <v>6</v>
      </c>
      <c r="AC1092" s="2" t="s">
        <v>196</v>
      </c>
      <c r="AD1092" s="4">
        <v>100</v>
      </c>
      <c r="AE1092" s="4">
        <v>190</v>
      </c>
      <c r="AF1092" s="6">
        <v>66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100</v>
      </c>
      <c r="AW1092" s="8" t="s">
        <v>100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/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/>
      <c r="BJ1092" s="4">
        <v>26</v>
      </c>
      <c r="BK1092" s="8">
        <v>1205.32</v>
      </c>
      <c r="BL1092" s="2" t="s">
        <v>4286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109</v>
      </c>
      <c r="BV1092" s="2" t="s">
        <v>97</v>
      </c>
      <c r="BW1092" s="2" t="s">
        <v>159</v>
      </c>
      <c r="BX1092" s="2" t="s">
        <v>4287</v>
      </c>
      <c r="BY1092" s="2" t="s">
        <v>112</v>
      </c>
      <c r="BZ1092" s="2" t="s">
        <v>100</v>
      </c>
    </row>
    <row r="1093">
      <c r="A1093" s="2" t="s">
        <v>4288</v>
      </c>
      <c r="B1093" s="2" t="s">
        <v>4041</v>
      </c>
      <c r="C1093" s="2" t="s">
        <v>4042</v>
      </c>
      <c r="D1093" s="2" t="s">
        <v>89</v>
      </c>
      <c r="E1093" s="2" t="s">
        <v>4233</v>
      </c>
      <c r="F1093" s="2" t="s">
        <v>4283</v>
      </c>
      <c r="G1093" s="2" t="s">
        <v>4283</v>
      </c>
      <c r="H1093" s="2" t="s">
        <v>4283</v>
      </c>
      <c r="I1093" s="2" t="s">
        <v>4257</v>
      </c>
      <c r="J1093" s="2" t="s">
        <v>114</v>
      </c>
      <c r="K1093" s="2" t="s">
        <v>458</v>
      </c>
      <c r="L1093" s="3">
        <v>55</v>
      </c>
      <c r="M1093" s="3">
        <v>57.75</v>
      </c>
      <c r="N1093" s="3">
        <v>109.99</v>
      </c>
      <c r="O1093" s="2" t="s">
        <v>97</v>
      </c>
      <c r="P1093" s="2" t="s">
        <v>98</v>
      </c>
      <c r="Q1093" s="2" t="s">
        <v>99</v>
      </c>
      <c r="R1093" s="2" t="s">
        <v>100</v>
      </c>
      <c r="S1093" s="2" t="s">
        <v>4258</v>
      </c>
      <c r="T1093" s="2" t="s">
        <v>190</v>
      </c>
      <c r="U1093" s="2" t="s">
        <v>100</v>
      </c>
      <c r="V1093" s="2" t="s">
        <v>461</v>
      </c>
      <c r="W1093" s="2" t="s">
        <v>609</v>
      </c>
      <c r="X1093" s="2" t="s">
        <v>100</v>
      </c>
      <c r="Y1093" s="2" t="s">
        <v>144</v>
      </c>
      <c r="Z1093" s="4">
        <v>46</v>
      </c>
      <c r="AA1093" s="4">
        <f>=ROUNDDOWN(6.57142857142857,0)</f>
      </c>
      <c r="AB1093" s="5">
        <v>7</v>
      </c>
      <c r="AC1093" s="2" t="s">
        <v>196</v>
      </c>
      <c r="AD1093" s="4">
        <v>120</v>
      </c>
      <c r="AE1093" s="4">
        <v>210</v>
      </c>
      <c r="AF1093" s="6">
        <v>66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/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/>
      <c r="BJ1093" s="4">
        <v>26</v>
      </c>
      <c r="BK1093" s="8">
        <v>1477.29</v>
      </c>
      <c r="BL1093" s="2" t="s">
        <v>4289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109</v>
      </c>
      <c r="BV1093" s="2" t="s">
        <v>97</v>
      </c>
      <c r="BW1093" s="2" t="s">
        <v>159</v>
      </c>
      <c r="BX1093" s="2" t="s">
        <v>4290</v>
      </c>
      <c r="BY1093" s="2" t="s">
        <v>112</v>
      </c>
      <c r="BZ1093" s="2" t="s">
        <v>100</v>
      </c>
    </row>
    <row r="1094">
      <c r="A1094" s="2" t="s">
        <v>4291</v>
      </c>
      <c r="B1094" s="2" t="s">
        <v>4041</v>
      </c>
      <c r="C1094" s="2" t="s">
        <v>88</v>
      </c>
      <c r="D1094" s="2" t="s">
        <v>4043</v>
      </c>
      <c r="E1094" s="2" t="s">
        <v>4044</v>
      </c>
      <c r="F1094" s="2" t="s">
        <v>4292</v>
      </c>
      <c r="G1094" s="2" t="s">
        <v>4293</v>
      </c>
      <c r="H1094" s="2" t="s">
        <v>4293</v>
      </c>
      <c r="I1094" s="2" t="s">
        <v>4294</v>
      </c>
      <c r="J1094" s="2" t="s">
        <v>1443</v>
      </c>
      <c r="K1094" s="2" t="s">
        <v>458</v>
      </c>
      <c r="L1094" s="3">
        <v>17.76</v>
      </c>
      <c r="M1094" s="3">
        <v>18.65</v>
      </c>
      <c r="N1094" s="3">
        <v>37.99</v>
      </c>
      <c r="O1094" s="2" t="s">
        <v>97</v>
      </c>
      <c r="P1094" s="2" t="s">
        <v>139</v>
      </c>
      <c r="Q1094" s="2" t="s">
        <v>99</v>
      </c>
      <c r="R1094" s="2" t="s">
        <v>100</v>
      </c>
      <c r="S1094" s="2" t="s">
        <v>4295</v>
      </c>
      <c r="T1094" s="2" t="s">
        <v>4296</v>
      </c>
      <c r="U1094" s="2" t="s">
        <v>100</v>
      </c>
      <c r="V1094" s="2" t="s">
        <v>461</v>
      </c>
      <c r="W1094" s="2" t="s">
        <v>609</v>
      </c>
      <c r="X1094" s="2" t="s">
        <v>100</v>
      </c>
      <c r="Y1094" s="2" t="s">
        <v>144</v>
      </c>
      <c r="Z1094" s="4">
        <v>2494</v>
      </c>
      <c r="AA1094" s="4">
        <f>=ROUNDDOWN(20.9579831932773,0)</f>
      </c>
      <c r="AB1094" s="5">
        <v>119</v>
      </c>
      <c r="AC1094" s="2" t="s">
        <v>1238</v>
      </c>
      <c r="AD1094" s="4">
        <v>700</v>
      </c>
      <c r="AE1094" s="4">
        <v>1450</v>
      </c>
      <c r="AF1094" s="6">
        <v>65</v>
      </c>
      <c r="AG1094" s="6">
        <v>48</v>
      </c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11</v>
      </c>
      <c r="AQ1094" s="8">
        <v>190.41</v>
      </c>
      <c r="AR1094" s="4"/>
      <c r="AS1094" s="8"/>
      <c r="AT1094" s="7"/>
      <c r="AU1094" s="7"/>
      <c r="AV1094" s="4">
        <v>22</v>
      </c>
      <c r="AW1094" s="8">
        <v>467.54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>
        <v>0.4073</v>
      </c>
      <c r="BC1094" s="4">
        <v>22</v>
      </c>
      <c r="BD1094" s="8">
        <v>467.54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>
        <v>1</v>
      </c>
      <c r="BJ1094" s="4">
        <v>360</v>
      </c>
      <c r="BK1094" s="8">
        <v>6494.41</v>
      </c>
      <c r="BL1094" s="2" t="s">
        <v>4297</v>
      </c>
      <c r="BM1094" s="7">
        <v>0.0306</v>
      </c>
      <c r="BN1094" s="7">
        <v>0.0293</v>
      </c>
      <c r="BO1094" s="4">
        <v>11</v>
      </c>
      <c r="BP1094" s="8">
        <v>190.41</v>
      </c>
      <c r="BQ1094" s="4"/>
      <c r="BR1094" s="8"/>
      <c r="BS1094" s="7"/>
      <c r="BT1094" s="7"/>
      <c r="BU1094" s="2" t="s">
        <v>109</v>
      </c>
      <c r="BV1094" s="2" t="s">
        <v>97</v>
      </c>
      <c r="BW1094" s="2" t="s">
        <v>4107</v>
      </c>
      <c r="BX1094" s="2" t="s">
        <v>4298</v>
      </c>
      <c r="BY1094" s="2" t="s">
        <v>112</v>
      </c>
      <c r="BZ1094" s="2" t="s">
        <v>100</v>
      </c>
    </row>
    <row r="1095">
      <c r="A1095" s="2" t="s">
        <v>4299</v>
      </c>
      <c r="B1095" s="2" t="s">
        <v>4041</v>
      </c>
      <c r="C1095" s="2" t="s">
        <v>88</v>
      </c>
      <c r="D1095" s="2" t="s">
        <v>4043</v>
      </c>
      <c r="E1095" s="2" t="s">
        <v>4044</v>
      </c>
      <c r="F1095" s="2" t="s">
        <v>4292</v>
      </c>
      <c r="G1095" s="2" t="s">
        <v>4293</v>
      </c>
      <c r="H1095" s="2" t="s">
        <v>4293</v>
      </c>
      <c r="I1095" s="2" t="s">
        <v>4294</v>
      </c>
      <c r="J1095" s="2" t="s">
        <v>1806</v>
      </c>
      <c r="K1095" s="2" t="s">
        <v>458</v>
      </c>
      <c r="L1095" s="3">
        <v>18.87</v>
      </c>
      <c r="M1095" s="3">
        <v>19.81</v>
      </c>
      <c r="N1095" s="3">
        <v>39.99</v>
      </c>
      <c r="O1095" s="2" t="s">
        <v>97</v>
      </c>
      <c r="P1095" s="2" t="s">
        <v>123</v>
      </c>
      <c r="Q1095" s="2" t="s">
        <v>99</v>
      </c>
      <c r="R1095" s="2" t="s">
        <v>100</v>
      </c>
      <c r="S1095" s="2" t="s">
        <v>4295</v>
      </c>
      <c r="T1095" s="2" t="s">
        <v>4296</v>
      </c>
      <c r="U1095" s="2" t="s">
        <v>100</v>
      </c>
      <c r="V1095" s="2" t="s">
        <v>461</v>
      </c>
      <c r="W1095" s="2" t="s">
        <v>609</v>
      </c>
      <c r="X1095" s="2" t="s">
        <v>100</v>
      </c>
      <c r="Y1095" s="2" t="s">
        <v>144</v>
      </c>
      <c r="Z1095" s="4">
        <v>2577</v>
      </c>
      <c r="AA1095" s="4">
        <f>=ROUNDDOWN(31.0481927710843,0)</f>
      </c>
      <c r="AB1095" s="5">
        <v>83</v>
      </c>
      <c r="AC1095" s="2" t="s">
        <v>130</v>
      </c>
      <c r="AD1095" s="4">
        <v>300</v>
      </c>
      <c r="AE1095" s="4">
        <v>1390</v>
      </c>
      <c r="AF1095" s="6">
        <v>65</v>
      </c>
      <c r="AG1095" s="6">
        <v>48</v>
      </c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/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 t="s">
        <v>100</v>
      </c>
      <c r="BJ1095" s="4">
        <v>171</v>
      </c>
      <c r="BK1095" s="8">
        <v>3459.13</v>
      </c>
      <c r="BL1095" s="2" t="s">
        <v>4300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109</v>
      </c>
      <c r="BV1095" s="2" t="s">
        <v>97</v>
      </c>
      <c r="BW1095" s="2" t="s">
        <v>4107</v>
      </c>
      <c r="BX1095" s="2" t="s">
        <v>1108</v>
      </c>
      <c r="BY1095" s="2" t="s">
        <v>112</v>
      </c>
      <c r="BZ1095" s="2" t="s">
        <v>100</v>
      </c>
    </row>
    <row r="1096">
      <c r="A1096" s="2" t="s">
        <v>4301</v>
      </c>
      <c r="B1096" s="2" t="s">
        <v>4041</v>
      </c>
      <c r="C1096" s="2" t="s">
        <v>88</v>
      </c>
      <c r="D1096" s="2" t="s">
        <v>4043</v>
      </c>
      <c r="E1096" s="2" t="s">
        <v>4044</v>
      </c>
      <c r="F1096" s="2" t="s">
        <v>4292</v>
      </c>
      <c r="G1096" s="2" t="s">
        <v>4293</v>
      </c>
      <c r="H1096" s="2" t="s">
        <v>4293</v>
      </c>
      <c r="I1096" s="2" t="s">
        <v>4294</v>
      </c>
      <c r="J1096" s="2" t="s">
        <v>490</v>
      </c>
      <c r="K1096" s="2" t="s">
        <v>458</v>
      </c>
      <c r="L1096" s="3">
        <v>22.35</v>
      </c>
      <c r="M1096" s="3">
        <v>23.47</v>
      </c>
      <c r="N1096" s="3">
        <v>47.99</v>
      </c>
      <c r="O1096" s="2" t="s">
        <v>97</v>
      </c>
      <c r="P1096" s="2" t="s">
        <v>139</v>
      </c>
      <c r="Q1096" s="2" t="s">
        <v>99</v>
      </c>
      <c r="R1096" s="2" t="s">
        <v>100</v>
      </c>
      <c r="S1096" s="2" t="s">
        <v>4295</v>
      </c>
      <c r="T1096" s="2" t="s">
        <v>4296</v>
      </c>
      <c r="U1096" s="2" t="s">
        <v>100</v>
      </c>
      <c r="V1096" s="2" t="s">
        <v>461</v>
      </c>
      <c r="W1096" s="2" t="s">
        <v>609</v>
      </c>
      <c r="X1096" s="2" t="s">
        <v>100</v>
      </c>
      <c r="Y1096" s="2" t="s">
        <v>144</v>
      </c>
      <c r="Z1096" s="4">
        <v>2285</v>
      </c>
      <c r="AA1096" s="4">
        <f>=ROUNDDOWN(20.9633027522936,0)</f>
      </c>
      <c r="AB1096" s="5">
        <v>109</v>
      </c>
      <c r="AC1096" s="2" t="s">
        <v>130</v>
      </c>
      <c r="AD1096" s="4">
        <v>370</v>
      </c>
      <c r="AE1096" s="4">
        <v>1870</v>
      </c>
      <c r="AF1096" s="6">
        <v>65</v>
      </c>
      <c r="AG1096" s="6">
        <v>48</v>
      </c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4</v>
      </c>
      <c r="AQ1096" s="8">
        <v>86.84</v>
      </c>
      <c r="AR1096" s="4"/>
      <c r="AS1096" s="8"/>
      <c r="AT1096" s="7"/>
      <c r="AU1096" s="7"/>
      <c r="AV1096" s="4" t="s">
        <v>100</v>
      </c>
      <c r="AW1096" s="8" t="s">
        <v>100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>
        <v>0.1857</v>
      </c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 t="s">
        <v>100</v>
      </c>
      <c r="BJ1096" s="4">
        <v>353</v>
      </c>
      <c r="BK1096" s="8">
        <v>8278.49</v>
      </c>
      <c r="BL1096" s="2" t="s">
        <v>4302</v>
      </c>
      <c r="BM1096" s="7">
        <v>0.0113</v>
      </c>
      <c r="BN1096" s="7">
        <v>0.0105</v>
      </c>
      <c r="BO1096" s="4">
        <v>4</v>
      </c>
      <c r="BP1096" s="8">
        <v>86.84</v>
      </c>
      <c r="BQ1096" s="4"/>
      <c r="BR1096" s="8"/>
      <c r="BS1096" s="7"/>
      <c r="BT1096" s="7"/>
      <c r="BU1096" s="2" t="s">
        <v>109</v>
      </c>
      <c r="BV1096" s="2" t="s">
        <v>97</v>
      </c>
      <c r="BW1096" s="2" t="s">
        <v>4107</v>
      </c>
      <c r="BX1096" s="2" t="s">
        <v>4177</v>
      </c>
      <c r="BY1096" s="2" t="s">
        <v>112</v>
      </c>
      <c r="BZ1096" s="2" t="s">
        <v>100</v>
      </c>
    </row>
    <row r="1097">
      <c r="A1097" s="2" t="s">
        <v>4303</v>
      </c>
      <c r="B1097" s="2" t="s">
        <v>4041</v>
      </c>
      <c r="C1097" s="2" t="s">
        <v>88</v>
      </c>
      <c r="D1097" s="2" t="s">
        <v>4043</v>
      </c>
      <c r="E1097" s="2" t="s">
        <v>4044</v>
      </c>
      <c r="F1097" s="2" t="s">
        <v>4292</v>
      </c>
      <c r="G1097" s="2" t="s">
        <v>4293</v>
      </c>
      <c r="H1097" s="2" t="s">
        <v>4293</v>
      </c>
      <c r="I1097" s="2" t="s">
        <v>4294</v>
      </c>
      <c r="J1097" s="2" t="s">
        <v>95</v>
      </c>
      <c r="K1097" s="2" t="s">
        <v>458</v>
      </c>
      <c r="L1097" s="3">
        <v>25.91</v>
      </c>
      <c r="M1097" s="3">
        <v>27.21</v>
      </c>
      <c r="N1097" s="3">
        <v>52.99</v>
      </c>
      <c r="O1097" s="2" t="s">
        <v>97</v>
      </c>
      <c r="P1097" s="2" t="s">
        <v>317</v>
      </c>
      <c r="Q1097" s="2" t="s">
        <v>99</v>
      </c>
      <c r="R1097" s="2" t="s">
        <v>100</v>
      </c>
      <c r="S1097" s="2" t="s">
        <v>4295</v>
      </c>
      <c r="T1097" s="2" t="s">
        <v>4296</v>
      </c>
      <c r="U1097" s="2" t="s">
        <v>100</v>
      </c>
      <c r="V1097" s="2" t="s">
        <v>461</v>
      </c>
      <c r="W1097" s="2" t="s">
        <v>609</v>
      </c>
      <c r="X1097" s="2" t="s">
        <v>100</v>
      </c>
      <c r="Y1097" s="2" t="s">
        <v>144</v>
      </c>
      <c r="Z1097" s="4">
        <v>3472</v>
      </c>
      <c r="AA1097" s="4">
        <f>=ROUNDDOWN(16,0)</f>
      </c>
      <c r="AB1097" s="5">
        <v>217</v>
      </c>
      <c r="AC1097" s="2" t="s">
        <v>130</v>
      </c>
      <c r="AD1097" s="4">
        <v>300</v>
      </c>
      <c r="AE1097" s="4">
        <v>3850</v>
      </c>
      <c r="AF1097" s="6">
        <v>65</v>
      </c>
      <c r="AG1097" s="6">
        <v>48</v>
      </c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3</v>
      </c>
      <c r="AQ1097" s="8">
        <v>74.85</v>
      </c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>
        <v>0.1601</v>
      </c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 t="s">
        <v>100</v>
      </c>
      <c r="BJ1097" s="4">
        <v>749</v>
      </c>
      <c r="BK1097" s="8">
        <v>20345.46</v>
      </c>
      <c r="BL1097" s="2" t="s">
        <v>4304</v>
      </c>
      <c r="BM1097" s="7">
        <v>0.004</v>
      </c>
      <c r="BN1097" s="7">
        <v>0.0037</v>
      </c>
      <c r="BO1097" s="4">
        <v>3</v>
      </c>
      <c r="BP1097" s="8">
        <v>74.85</v>
      </c>
      <c r="BQ1097" s="4"/>
      <c r="BR1097" s="8"/>
      <c r="BS1097" s="7"/>
      <c r="BT1097" s="7"/>
      <c r="BU1097" s="2" t="s">
        <v>109</v>
      </c>
      <c r="BV1097" s="2" t="s">
        <v>97</v>
      </c>
      <c r="BW1097" s="2" t="s">
        <v>4107</v>
      </c>
      <c r="BX1097" s="2" t="s">
        <v>4305</v>
      </c>
      <c r="BY1097" s="2" t="s">
        <v>112</v>
      </c>
      <c r="BZ1097" s="2" t="s">
        <v>100</v>
      </c>
    </row>
    <row r="1098">
      <c r="A1098" s="2" t="s">
        <v>4306</v>
      </c>
      <c r="B1098" s="2" t="s">
        <v>4041</v>
      </c>
      <c r="C1098" s="2" t="s">
        <v>88</v>
      </c>
      <c r="D1098" s="2" t="s">
        <v>4043</v>
      </c>
      <c r="E1098" s="2" t="s">
        <v>4044</v>
      </c>
      <c r="F1098" s="2" t="s">
        <v>4292</v>
      </c>
      <c r="G1098" s="2" t="s">
        <v>4293</v>
      </c>
      <c r="H1098" s="2" t="s">
        <v>4293</v>
      </c>
      <c r="I1098" s="2" t="s">
        <v>4294</v>
      </c>
      <c r="J1098" s="2" t="s">
        <v>114</v>
      </c>
      <c r="K1098" s="2" t="s">
        <v>458</v>
      </c>
      <c r="L1098" s="3">
        <v>29.69</v>
      </c>
      <c r="M1098" s="3">
        <v>31.17</v>
      </c>
      <c r="N1098" s="3">
        <v>59.99</v>
      </c>
      <c r="O1098" s="2" t="s">
        <v>97</v>
      </c>
      <c r="P1098" s="2" t="s">
        <v>317</v>
      </c>
      <c r="Q1098" s="2" t="s">
        <v>99</v>
      </c>
      <c r="R1098" s="2" t="s">
        <v>100</v>
      </c>
      <c r="S1098" s="2" t="s">
        <v>4295</v>
      </c>
      <c r="T1098" s="2" t="s">
        <v>4296</v>
      </c>
      <c r="U1098" s="2" t="s">
        <v>100</v>
      </c>
      <c r="V1098" s="2" t="s">
        <v>461</v>
      </c>
      <c r="W1098" s="2" t="s">
        <v>609</v>
      </c>
      <c r="X1098" s="2" t="s">
        <v>100</v>
      </c>
      <c r="Y1098" s="2" t="s">
        <v>144</v>
      </c>
      <c r="Z1098" s="4">
        <v>1554</v>
      </c>
      <c r="AA1098" s="4">
        <f>=ROUNDDOWN(13.7522123893805,0)</f>
      </c>
      <c r="AB1098" s="5">
        <v>113</v>
      </c>
      <c r="AC1098" s="2" t="s">
        <v>130</v>
      </c>
      <c r="AD1098" s="4">
        <v>200</v>
      </c>
      <c r="AE1098" s="4">
        <v>1890</v>
      </c>
      <c r="AF1098" s="6">
        <v>65</v>
      </c>
      <c r="AG1098" s="6">
        <v>48</v>
      </c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2</v>
      </c>
      <c r="AQ1098" s="8">
        <v>57.72</v>
      </c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0.1235</v>
      </c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 t="s">
        <v>100</v>
      </c>
      <c r="BJ1098" s="4">
        <v>404</v>
      </c>
      <c r="BK1098" s="8">
        <v>12602.43</v>
      </c>
      <c r="BL1098" s="2" t="s">
        <v>4307</v>
      </c>
      <c r="BM1098" s="7">
        <v>0.005</v>
      </c>
      <c r="BN1098" s="7">
        <v>0.0046</v>
      </c>
      <c r="BO1098" s="4">
        <v>2</v>
      </c>
      <c r="BP1098" s="8">
        <v>57.72</v>
      </c>
      <c r="BQ1098" s="4"/>
      <c r="BR1098" s="8"/>
      <c r="BS1098" s="7"/>
      <c r="BT1098" s="7"/>
      <c r="BU1098" s="2" t="s">
        <v>109</v>
      </c>
      <c r="BV1098" s="2" t="s">
        <v>97</v>
      </c>
      <c r="BW1098" s="2" t="s">
        <v>4107</v>
      </c>
      <c r="BX1098" s="2" t="s">
        <v>4308</v>
      </c>
      <c r="BY1098" s="2" t="s">
        <v>112</v>
      </c>
      <c r="BZ1098" s="2" t="s">
        <v>100</v>
      </c>
    </row>
    <row r="1099">
      <c r="A1099" s="2" t="s">
        <v>4309</v>
      </c>
      <c r="B1099" s="2" t="s">
        <v>4041</v>
      </c>
      <c r="C1099" s="2" t="s">
        <v>88</v>
      </c>
      <c r="D1099" s="2" t="s">
        <v>4043</v>
      </c>
      <c r="E1099" s="2" t="s">
        <v>4044</v>
      </c>
      <c r="F1099" s="2" t="s">
        <v>4292</v>
      </c>
      <c r="G1099" s="2" t="s">
        <v>4293</v>
      </c>
      <c r="H1099" s="2" t="s">
        <v>4293</v>
      </c>
      <c r="I1099" s="2" t="s">
        <v>4294</v>
      </c>
      <c r="J1099" s="2" t="s">
        <v>118</v>
      </c>
      <c r="K1099" s="2" t="s">
        <v>458</v>
      </c>
      <c r="L1099" s="3">
        <v>29.69</v>
      </c>
      <c r="M1099" s="3">
        <v>31.17</v>
      </c>
      <c r="N1099" s="3">
        <v>59.99</v>
      </c>
      <c r="O1099" s="2" t="s">
        <v>97</v>
      </c>
      <c r="P1099" s="2" t="s">
        <v>123</v>
      </c>
      <c r="Q1099" s="2" t="s">
        <v>99</v>
      </c>
      <c r="R1099" s="2" t="s">
        <v>100</v>
      </c>
      <c r="S1099" s="2" t="s">
        <v>4295</v>
      </c>
      <c r="T1099" s="2" t="s">
        <v>4296</v>
      </c>
      <c r="U1099" s="2" t="s">
        <v>100</v>
      </c>
      <c r="V1099" s="2" t="s">
        <v>461</v>
      </c>
      <c r="W1099" s="2" t="s">
        <v>609</v>
      </c>
      <c r="X1099" s="2" t="s">
        <v>100</v>
      </c>
      <c r="Y1099" s="2" t="s">
        <v>144</v>
      </c>
      <c r="Z1099" s="4">
        <v>627</v>
      </c>
      <c r="AA1099" s="4">
        <f>=ROUNDDOWN(17.4166666666667,0)</f>
      </c>
      <c r="AB1099" s="5">
        <v>36</v>
      </c>
      <c r="AC1099" s="2" t="s">
        <v>130</v>
      </c>
      <c r="AD1099" s="4">
        <v>150</v>
      </c>
      <c r="AE1099" s="4">
        <v>580</v>
      </c>
      <c r="AF1099" s="6">
        <v>65</v>
      </c>
      <c r="AG1099" s="6">
        <v>48</v>
      </c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2</v>
      </c>
      <c r="AQ1099" s="8">
        <v>57.72</v>
      </c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0.1235</v>
      </c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 t="s">
        <v>100</v>
      </c>
      <c r="BJ1099" s="4">
        <v>126</v>
      </c>
      <c r="BK1099" s="8">
        <v>4040.56</v>
      </c>
      <c r="BL1099" s="2" t="s">
        <v>4310</v>
      </c>
      <c r="BM1099" s="7">
        <v>0.0159</v>
      </c>
      <c r="BN1099" s="7">
        <v>0.0143</v>
      </c>
      <c r="BO1099" s="4">
        <v>2</v>
      </c>
      <c r="BP1099" s="8">
        <v>57.72</v>
      </c>
      <c r="BQ1099" s="4"/>
      <c r="BR1099" s="8"/>
      <c r="BS1099" s="7"/>
      <c r="BT1099" s="7"/>
      <c r="BU1099" s="2" t="s">
        <v>109</v>
      </c>
      <c r="BV1099" s="2" t="s">
        <v>97</v>
      </c>
      <c r="BW1099" s="2" t="s">
        <v>4107</v>
      </c>
      <c r="BX1099" s="2" t="s">
        <v>4311</v>
      </c>
      <c r="BY1099" s="2" t="s">
        <v>112</v>
      </c>
      <c r="BZ1099" s="2" t="s">
        <v>100</v>
      </c>
    </row>
    <row r="1100">
      <c r="A1100" s="2" t="s">
        <v>4312</v>
      </c>
      <c r="B1100" s="2" t="s">
        <v>4041</v>
      </c>
      <c r="C1100" s="2" t="s">
        <v>88</v>
      </c>
      <c r="D1100" s="2" t="s">
        <v>4043</v>
      </c>
      <c r="E1100" s="2" t="s">
        <v>4044</v>
      </c>
      <c r="F1100" s="2" t="s">
        <v>4313</v>
      </c>
      <c r="G1100" s="2" t="s">
        <v>4314</v>
      </c>
      <c r="H1100" s="2" t="s">
        <v>4314</v>
      </c>
      <c r="I1100" s="2" t="s">
        <v>4315</v>
      </c>
      <c r="J1100" s="2" t="s">
        <v>1443</v>
      </c>
      <c r="K1100" s="2" t="s">
        <v>458</v>
      </c>
      <c r="L1100" s="3">
        <v>17.01</v>
      </c>
      <c r="M1100" s="3">
        <v>17.86</v>
      </c>
      <c r="N1100" s="3">
        <v>37.99</v>
      </c>
      <c r="O1100" s="2" t="s">
        <v>97</v>
      </c>
      <c r="P1100" s="2" t="s">
        <v>98</v>
      </c>
      <c r="Q1100" s="2" t="s">
        <v>99</v>
      </c>
      <c r="R1100" s="2" t="s">
        <v>100</v>
      </c>
      <c r="S1100" s="2" t="s">
        <v>4316</v>
      </c>
      <c r="T1100" s="2" t="s">
        <v>190</v>
      </c>
      <c r="U1100" s="2" t="s">
        <v>100</v>
      </c>
      <c r="V1100" s="2" t="s">
        <v>461</v>
      </c>
      <c r="W1100" s="2" t="s">
        <v>609</v>
      </c>
      <c r="X1100" s="2" t="s">
        <v>100</v>
      </c>
      <c r="Y1100" s="2" t="s">
        <v>144</v>
      </c>
      <c r="Z1100" s="4">
        <v>380</v>
      </c>
      <c r="AA1100" s="4">
        <f>=ROUNDDOWN(38,0)</f>
      </c>
      <c r="AB1100" s="5">
        <v>10</v>
      </c>
      <c r="AC1100" s="2" t="s">
        <v>100</v>
      </c>
      <c r="AD1100" s="4"/>
      <c r="AE1100" s="4"/>
      <c r="AF1100" s="6">
        <v>65</v>
      </c>
      <c r="AG1100" s="6">
        <v>73</v>
      </c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>
        <v>5</v>
      </c>
      <c r="AW1100" s="8">
        <v>111.51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/>
      <c r="BC1100" s="4">
        <v>5</v>
      </c>
      <c r="BD1100" s="8">
        <v>111.51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>
        <v>1</v>
      </c>
      <c r="BJ1100" s="4">
        <v>34</v>
      </c>
      <c r="BK1100" s="8">
        <v>719.78</v>
      </c>
      <c r="BL1100" s="2" t="s">
        <v>4317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109</v>
      </c>
      <c r="BV1100" s="2" t="s">
        <v>97</v>
      </c>
      <c r="BW1100" s="2" t="s">
        <v>159</v>
      </c>
      <c r="BX1100" s="2" t="s">
        <v>163</v>
      </c>
      <c r="BY1100" s="2" t="s">
        <v>112</v>
      </c>
      <c r="BZ1100" s="2" t="s">
        <v>100</v>
      </c>
    </row>
    <row r="1101">
      <c r="A1101" s="2" t="s">
        <v>4318</v>
      </c>
      <c r="B1101" s="2" t="s">
        <v>4041</v>
      </c>
      <c r="C1101" s="2" t="s">
        <v>88</v>
      </c>
      <c r="D1101" s="2" t="s">
        <v>4043</v>
      </c>
      <c r="E1101" s="2" t="s">
        <v>4044</v>
      </c>
      <c r="F1101" s="2" t="s">
        <v>4313</v>
      </c>
      <c r="G1101" s="2" t="s">
        <v>4314</v>
      </c>
      <c r="H1101" s="2" t="s">
        <v>4314</v>
      </c>
      <c r="I1101" s="2" t="s">
        <v>4315</v>
      </c>
      <c r="J1101" s="2" t="s">
        <v>1806</v>
      </c>
      <c r="K1101" s="2" t="s">
        <v>458</v>
      </c>
      <c r="L1101" s="3">
        <v>17.23</v>
      </c>
      <c r="M1101" s="3">
        <v>18.09</v>
      </c>
      <c r="N1101" s="3">
        <v>39.99</v>
      </c>
      <c r="O1101" s="2" t="s">
        <v>97</v>
      </c>
      <c r="P1101" s="2" t="s">
        <v>98</v>
      </c>
      <c r="Q1101" s="2" t="s">
        <v>99</v>
      </c>
      <c r="R1101" s="2" t="s">
        <v>100</v>
      </c>
      <c r="S1101" s="2" t="s">
        <v>4316</v>
      </c>
      <c r="T1101" s="2" t="s">
        <v>190</v>
      </c>
      <c r="U1101" s="2" t="s">
        <v>100</v>
      </c>
      <c r="V1101" s="2" t="s">
        <v>461</v>
      </c>
      <c r="W1101" s="2" t="s">
        <v>609</v>
      </c>
      <c r="X1101" s="2" t="s">
        <v>100</v>
      </c>
      <c r="Y1101" s="2" t="s">
        <v>144</v>
      </c>
      <c r="Z1101" s="4">
        <v>384</v>
      </c>
      <c r="AA1101" s="4">
        <f>=ROUNDDOWN(24,0)</f>
      </c>
      <c r="AB1101" s="5">
        <v>16</v>
      </c>
      <c r="AC1101" s="2" t="s">
        <v>196</v>
      </c>
      <c r="AD1101" s="4">
        <v>100</v>
      </c>
      <c r="AE1101" s="4">
        <v>500</v>
      </c>
      <c r="AF1101" s="6">
        <v>65</v>
      </c>
      <c r="AG1101" s="6">
        <v>73</v>
      </c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/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 t="s">
        <v>100</v>
      </c>
      <c r="BJ1101" s="4">
        <v>30</v>
      </c>
      <c r="BK1101" s="8">
        <v>570.33</v>
      </c>
      <c r="BL1101" s="2" t="s">
        <v>4319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159</v>
      </c>
      <c r="BX1101" s="2" t="s">
        <v>160</v>
      </c>
      <c r="BY1101" s="2" t="s">
        <v>112</v>
      </c>
      <c r="BZ1101" s="2" t="s">
        <v>100</v>
      </c>
    </row>
    <row r="1102">
      <c r="A1102" s="2" t="s">
        <v>4320</v>
      </c>
      <c r="B1102" s="2" t="s">
        <v>4041</v>
      </c>
      <c r="C1102" s="2" t="s">
        <v>88</v>
      </c>
      <c r="D1102" s="2" t="s">
        <v>4043</v>
      </c>
      <c r="E1102" s="2" t="s">
        <v>4044</v>
      </c>
      <c r="F1102" s="2" t="s">
        <v>4313</v>
      </c>
      <c r="G1102" s="2" t="s">
        <v>4314</v>
      </c>
      <c r="H1102" s="2" t="s">
        <v>4314</v>
      </c>
      <c r="I1102" s="2" t="s">
        <v>4315</v>
      </c>
      <c r="J1102" s="2" t="s">
        <v>490</v>
      </c>
      <c r="K1102" s="2" t="s">
        <v>458</v>
      </c>
      <c r="L1102" s="3">
        <v>20.41</v>
      </c>
      <c r="M1102" s="3">
        <v>21.43</v>
      </c>
      <c r="N1102" s="3">
        <v>49.99</v>
      </c>
      <c r="O1102" s="2" t="s">
        <v>97</v>
      </c>
      <c r="P1102" s="2" t="s">
        <v>98</v>
      </c>
      <c r="Q1102" s="2" t="s">
        <v>99</v>
      </c>
      <c r="R1102" s="2" t="s">
        <v>100</v>
      </c>
      <c r="S1102" s="2" t="s">
        <v>4316</v>
      </c>
      <c r="T1102" s="2" t="s">
        <v>190</v>
      </c>
      <c r="U1102" s="2" t="s">
        <v>100</v>
      </c>
      <c r="V1102" s="2" t="s">
        <v>461</v>
      </c>
      <c r="W1102" s="2" t="s">
        <v>609</v>
      </c>
      <c r="X1102" s="2" t="s">
        <v>100</v>
      </c>
      <c r="Y1102" s="2" t="s">
        <v>144</v>
      </c>
      <c r="Z1102" s="4">
        <v>290</v>
      </c>
      <c r="AA1102" s="4">
        <f>=ROUNDDOWN(24.1666666666667,0)</f>
      </c>
      <c r="AB1102" s="5">
        <v>12</v>
      </c>
      <c r="AC1102" s="2" t="s">
        <v>725</v>
      </c>
      <c r="AD1102" s="4">
        <v>260</v>
      </c>
      <c r="AE1102" s="4">
        <v>260</v>
      </c>
      <c r="AF1102" s="6">
        <v>65</v>
      </c>
      <c r="AG1102" s="6">
        <v>73</v>
      </c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3</v>
      </c>
      <c r="AQ1102" s="8">
        <v>59.55</v>
      </c>
      <c r="AR1102" s="4"/>
      <c r="AS1102" s="8"/>
      <c r="AT1102" s="7"/>
      <c r="AU1102" s="7"/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0.534</v>
      </c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 t="s">
        <v>100</v>
      </c>
      <c r="BJ1102" s="4">
        <v>43</v>
      </c>
      <c r="BK1102" s="8">
        <v>918.3</v>
      </c>
      <c r="BL1102" s="2" t="s">
        <v>4321</v>
      </c>
      <c r="BM1102" s="7">
        <v>0.0698</v>
      </c>
      <c r="BN1102" s="7">
        <v>0.0648</v>
      </c>
      <c r="BO1102" s="4">
        <v>3</v>
      </c>
      <c r="BP1102" s="8">
        <v>59.55</v>
      </c>
      <c r="BQ1102" s="4"/>
      <c r="BR1102" s="8"/>
      <c r="BS1102" s="7"/>
      <c r="BT1102" s="7"/>
      <c r="BU1102" s="2" t="s">
        <v>109</v>
      </c>
      <c r="BV1102" s="2" t="s">
        <v>97</v>
      </c>
      <c r="BW1102" s="2" t="s">
        <v>159</v>
      </c>
      <c r="BX1102" s="2" t="s">
        <v>4322</v>
      </c>
      <c r="BY1102" s="2" t="s">
        <v>112</v>
      </c>
      <c r="BZ1102" s="2" t="s">
        <v>100</v>
      </c>
    </row>
    <row r="1103">
      <c r="A1103" s="2" t="s">
        <v>4323</v>
      </c>
      <c r="B1103" s="2" t="s">
        <v>4041</v>
      </c>
      <c r="C1103" s="2" t="s">
        <v>88</v>
      </c>
      <c r="D1103" s="2" t="s">
        <v>4043</v>
      </c>
      <c r="E1103" s="2" t="s">
        <v>4044</v>
      </c>
      <c r="F1103" s="2" t="s">
        <v>4313</v>
      </c>
      <c r="G1103" s="2" t="s">
        <v>4314</v>
      </c>
      <c r="H1103" s="2" t="s">
        <v>4314</v>
      </c>
      <c r="I1103" s="2" t="s">
        <v>4315</v>
      </c>
      <c r="J1103" s="2" t="s">
        <v>95</v>
      </c>
      <c r="K1103" s="2" t="s">
        <v>458</v>
      </c>
      <c r="L1103" s="3">
        <v>23.22</v>
      </c>
      <c r="M1103" s="3">
        <v>24.38</v>
      </c>
      <c r="N1103" s="3">
        <v>54.99</v>
      </c>
      <c r="O1103" s="2" t="s">
        <v>97</v>
      </c>
      <c r="P1103" s="2" t="s">
        <v>156</v>
      </c>
      <c r="Q1103" s="2" t="s">
        <v>99</v>
      </c>
      <c r="R1103" s="2" t="s">
        <v>100</v>
      </c>
      <c r="S1103" s="2" t="s">
        <v>4316</v>
      </c>
      <c r="T1103" s="2" t="s">
        <v>190</v>
      </c>
      <c r="U1103" s="2" t="s">
        <v>100</v>
      </c>
      <c r="V1103" s="2" t="s">
        <v>461</v>
      </c>
      <c r="W1103" s="2" t="s">
        <v>609</v>
      </c>
      <c r="X1103" s="2" t="s">
        <v>100</v>
      </c>
      <c r="Y1103" s="2" t="s">
        <v>144</v>
      </c>
      <c r="Z1103" s="4">
        <v>773</v>
      </c>
      <c r="AA1103" s="4">
        <f>=ROUNDDOWN(26.6551724137931,0)</f>
      </c>
      <c r="AB1103" s="5">
        <v>29</v>
      </c>
      <c r="AC1103" s="2" t="s">
        <v>725</v>
      </c>
      <c r="AD1103" s="4">
        <v>280</v>
      </c>
      <c r="AE1103" s="4">
        <v>280</v>
      </c>
      <c r="AF1103" s="6">
        <v>65</v>
      </c>
      <c r="AG1103" s="6">
        <v>73</v>
      </c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1</v>
      </c>
      <c r="AQ1103" s="8">
        <v>25.98</v>
      </c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0.233</v>
      </c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 t="s">
        <v>100</v>
      </c>
      <c r="BJ1103" s="4">
        <v>88</v>
      </c>
      <c r="BK1103" s="8">
        <v>2253.87</v>
      </c>
      <c r="BL1103" s="2" t="s">
        <v>4324</v>
      </c>
      <c r="BM1103" s="7">
        <v>0.0114</v>
      </c>
      <c r="BN1103" s="7">
        <v>0.0115</v>
      </c>
      <c r="BO1103" s="4">
        <v>1</v>
      </c>
      <c r="BP1103" s="8">
        <v>25.98</v>
      </c>
      <c r="BQ1103" s="4"/>
      <c r="BR1103" s="8"/>
      <c r="BS1103" s="7"/>
      <c r="BT1103" s="7"/>
      <c r="BU1103" s="2" t="s">
        <v>109</v>
      </c>
      <c r="BV1103" s="2" t="s">
        <v>97</v>
      </c>
      <c r="BW1103" s="2" t="s">
        <v>159</v>
      </c>
      <c r="BX1103" s="2" t="s">
        <v>160</v>
      </c>
      <c r="BY1103" s="2" t="s">
        <v>112</v>
      </c>
      <c r="BZ1103" s="2" t="s">
        <v>100</v>
      </c>
    </row>
    <row r="1104">
      <c r="A1104" s="2" t="s">
        <v>4325</v>
      </c>
      <c r="B1104" s="2" t="s">
        <v>4041</v>
      </c>
      <c r="C1104" s="2" t="s">
        <v>88</v>
      </c>
      <c r="D1104" s="2" t="s">
        <v>4043</v>
      </c>
      <c r="E1104" s="2" t="s">
        <v>4044</v>
      </c>
      <c r="F1104" s="2" t="s">
        <v>4313</v>
      </c>
      <c r="G1104" s="2" t="s">
        <v>4314</v>
      </c>
      <c r="H1104" s="2" t="s">
        <v>4314</v>
      </c>
      <c r="I1104" s="2" t="s">
        <v>4315</v>
      </c>
      <c r="J1104" s="2" t="s">
        <v>114</v>
      </c>
      <c r="K1104" s="2" t="s">
        <v>458</v>
      </c>
      <c r="L1104" s="3">
        <v>27.32</v>
      </c>
      <c r="M1104" s="3">
        <v>28.69</v>
      </c>
      <c r="N1104" s="3">
        <v>59.99</v>
      </c>
      <c r="O1104" s="2" t="s">
        <v>97</v>
      </c>
      <c r="P1104" s="2" t="s">
        <v>98</v>
      </c>
      <c r="Q1104" s="2" t="s">
        <v>99</v>
      </c>
      <c r="R1104" s="2" t="s">
        <v>100</v>
      </c>
      <c r="S1104" s="2" t="s">
        <v>4316</v>
      </c>
      <c r="T1104" s="2" t="s">
        <v>190</v>
      </c>
      <c r="U1104" s="2" t="s">
        <v>100</v>
      </c>
      <c r="V1104" s="2" t="s">
        <v>461</v>
      </c>
      <c r="W1104" s="2" t="s">
        <v>609</v>
      </c>
      <c r="X1104" s="2" t="s">
        <v>100</v>
      </c>
      <c r="Y1104" s="2" t="s">
        <v>144</v>
      </c>
      <c r="Z1104" s="4">
        <v>232</v>
      </c>
      <c r="AA1104" s="4">
        <f>=ROUNDDOWN(13.6470588235294,0)</f>
      </c>
      <c r="AB1104" s="5">
        <v>17</v>
      </c>
      <c r="AC1104" s="2" t="s">
        <v>725</v>
      </c>
      <c r="AD1104" s="4">
        <v>120</v>
      </c>
      <c r="AE1104" s="4">
        <v>120</v>
      </c>
      <c r="AF1104" s="6">
        <v>65</v>
      </c>
      <c r="AG1104" s="6">
        <v>73</v>
      </c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1</v>
      </c>
      <c r="AQ1104" s="8">
        <v>25.98</v>
      </c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0.233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 t="s">
        <v>100</v>
      </c>
      <c r="BJ1104" s="4">
        <v>47</v>
      </c>
      <c r="BK1104" s="8">
        <v>1391.92</v>
      </c>
      <c r="BL1104" s="2" t="s">
        <v>4326</v>
      </c>
      <c r="BM1104" s="7">
        <v>0.0213</v>
      </c>
      <c r="BN1104" s="7">
        <v>0.0187</v>
      </c>
      <c r="BO1104" s="4">
        <v>1</v>
      </c>
      <c r="BP1104" s="8">
        <v>25.98</v>
      </c>
      <c r="BQ1104" s="4"/>
      <c r="BR1104" s="8"/>
      <c r="BS1104" s="7"/>
      <c r="BT1104" s="7"/>
      <c r="BU1104" s="2" t="s">
        <v>109</v>
      </c>
      <c r="BV1104" s="2" t="s">
        <v>97</v>
      </c>
      <c r="BW1104" s="2" t="s">
        <v>159</v>
      </c>
      <c r="BX1104" s="2" t="s">
        <v>160</v>
      </c>
      <c r="BY1104" s="2" t="s">
        <v>112</v>
      </c>
      <c r="BZ1104" s="2" t="s">
        <v>100</v>
      </c>
    </row>
    <row r="1105">
      <c r="A1105" s="2" t="s">
        <v>4327</v>
      </c>
      <c r="B1105" s="2" t="s">
        <v>4041</v>
      </c>
      <c r="C1105" s="2" t="s">
        <v>88</v>
      </c>
      <c r="D1105" s="2" t="s">
        <v>4216</v>
      </c>
      <c r="E1105" s="2" t="s">
        <v>4217</v>
      </c>
      <c r="F1105" s="2" t="s">
        <v>4328</v>
      </c>
      <c r="G1105" s="2" t="s">
        <v>4329</v>
      </c>
      <c r="H1105" s="2" t="s">
        <v>4329</v>
      </c>
      <c r="I1105" s="2" t="s">
        <v>4330</v>
      </c>
      <c r="J1105" s="2" t="s">
        <v>1443</v>
      </c>
      <c r="K1105" s="2" t="s">
        <v>179</v>
      </c>
      <c r="L1105" s="3">
        <v>16.45</v>
      </c>
      <c r="M1105" s="3">
        <v>17.27</v>
      </c>
      <c r="N1105" s="3">
        <v>34.99</v>
      </c>
      <c r="O1105" s="2" t="s">
        <v>97</v>
      </c>
      <c r="P1105" s="2" t="s">
        <v>98</v>
      </c>
      <c r="Q1105" s="2" t="s">
        <v>99</v>
      </c>
      <c r="R1105" s="2" t="s">
        <v>100</v>
      </c>
      <c r="S1105" s="2" t="s">
        <v>4331</v>
      </c>
      <c r="T1105" s="2" t="s">
        <v>438</v>
      </c>
      <c r="U1105" s="2" t="s">
        <v>100</v>
      </c>
      <c r="V1105" s="2" t="s">
        <v>461</v>
      </c>
      <c r="W1105" s="2" t="s">
        <v>609</v>
      </c>
      <c r="X1105" s="2" t="s">
        <v>100</v>
      </c>
      <c r="Y1105" s="2" t="s">
        <v>144</v>
      </c>
      <c r="Z1105" s="4">
        <v>93</v>
      </c>
      <c r="AA1105" s="4">
        <f>=ROUNDDOWN(3,0)</f>
      </c>
      <c r="AB1105" s="5">
        <v>31</v>
      </c>
      <c r="AC1105" s="2" t="s">
        <v>2709</v>
      </c>
      <c r="AD1105" s="4">
        <v>100</v>
      </c>
      <c r="AE1105" s="4">
        <v>1390</v>
      </c>
      <c r="AF1105" s="6">
        <v>65</v>
      </c>
      <c r="AG1105" s="6"/>
      <c r="AH1105" s="7">
        <v>0.5484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3</v>
      </c>
      <c r="AQ1105" s="8">
        <v>48.99</v>
      </c>
      <c r="AR1105" s="4"/>
      <c r="AS1105" s="8"/>
      <c r="AT1105" s="7"/>
      <c r="AU1105" s="7"/>
      <c r="AV1105" s="4">
        <v>7</v>
      </c>
      <c r="AW1105" s="8">
        <v>157.87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0.3103</v>
      </c>
      <c r="BC1105" s="4">
        <v>20</v>
      </c>
      <c r="BD1105" s="8">
        <v>443.37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>
        <v>0.3561</v>
      </c>
      <c r="BJ1105" s="4">
        <v>153</v>
      </c>
      <c r="BK1105" s="8">
        <v>2578.82</v>
      </c>
      <c r="BL1105" s="2" t="s">
        <v>1942</v>
      </c>
      <c r="BM1105" s="7">
        <v>0.0196</v>
      </c>
      <c r="BN1105" s="7">
        <v>0.019</v>
      </c>
      <c r="BO1105" s="4">
        <v>3</v>
      </c>
      <c r="BP1105" s="8">
        <v>48.99</v>
      </c>
      <c r="BQ1105" s="4"/>
      <c r="BR1105" s="8"/>
      <c r="BS1105" s="7"/>
      <c r="BT1105" s="7"/>
      <c r="BU1105" s="2" t="s">
        <v>109</v>
      </c>
      <c r="BV1105" s="2" t="s">
        <v>97</v>
      </c>
      <c r="BW1105" s="2" t="s">
        <v>159</v>
      </c>
      <c r="BX1105" s="2" t="s">
        <v>4332</v>
      </c>
      <c r="BY1105" s="2" t="s">
        <v>112</v>
      </c>
      <c r="BZ1105" s="2" t="s">
        <v>100</v>
      </c>
    </row>
    <row r="1106">
      <c r="A1106" s="2" t="s">
        <v>4333</v>
      </c>
      <c r="B1106" s="2" t="s">
        <v>4041</v>
      </c>
      <c r="C1106" s="2" t="s">
        <v>88</v>
      </c>
      <c r="D1106" s="2" t="s">
        <v>4216</v>
      </c>
      <c r="E1106" s="2" t="s">
        <v>4217</v>
      </c>
      <c r="F1106" s="2" t="s">
        <v>4328</v>
      </c>
      <c r="G1106" s="2" t="s">
        <v>4329</v>
      </c>
      <c r="H1106" s="2" t="s">
        <v>4329</v>
      </c>
      <c r="I1106" s="2" t="s">
        <v>4330</v>
      </c>
      <c r="J1106" s="2" t="s">
        <v>114</v>
      </c>
      <c r="K1106" s="2" t="s">
        <v>179</v>
      </c>
      <c r="L1106" s="3">
        <v>27.5</v>
      </c>
      <c r="M1106" s="3">
        <v>28.88</v>
      </c>
      <c r="N1106" s="3">
        <v>54.99</v>
      </c>
      <c r="O1106" s="2" t="s">
        <v>97</v>
      </c>
      <c r="P1106" s="2" t="s">
        <v>123</v>
      </c>
      <c r="Q1106" s="2" t="s">
        <v>99</v>
      </c>
      <c r="R1106" s="2" t="s">
        <v>100</v>
      </c>
      <c r="S1106" s="2" t="s">
        <v>4331</v>
      </c>
      <c r="T1106" s="2" t="s">
        <v>438</v>
      </c>
      <c r="U1106" s="2" t="s">
        <v>100</v>
      </c>
      <c r="V1106" s="2" t="s">
        <v>461</v>
      </c>
      <c r="W1106" s="2" t="s">
        <v>609</v>
      </c>
      <c r="X1106" s="2" t="s">
        <v>100</v>
      </c>
      <c r="Y1106" s="2" t="s">
        <v>144</v>
      </c>
      <c r="Z1106" s="4">
        <v>346</v>
      </c>
      <c r="AA1106" s="4">
        <f>=ROUNDDOWN(10.4848484848485,0)</f>
      </c>
      <c r="AB1106" s="5">
        <v>33</v>
      </c>
      <c r="AC1106" s="2" t="s">
        <v>2709</v>
      </c>
      <c r="AD1106" s="4">
        <v>100</v>
      </c>
      <c r="AE1106" s="4">
        <v>1280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4</v>
      </c>
      <c r="AQ1106" s="8">
        <v>108.88</v>
      </c>
      <c r="AR1106" s="4"/>
      <c r="AS1106" s="8"/>
      <c r="AT1106" s="7"/>
      <c r="AU1106" s="7"/>
      <c r="AV1106" s="4" t="s">
        <v>100</v>
      </c>
      <c r="AW1106" s="8" t="s">
        <v>100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>
        <v>0.6897</v>
      </c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 t="s">
        <v>100</v>
      </c>
      <c r="BJ1106" s="4">
        <v>173</v>
      </c>
      <c r="BK1106" s="8">
        <v>4775.11</v>
      </c>
      <c r="BL1106" s="2" t="s">
        <v>197</v>
      </c>
      <c r="BM1106" s="7">
        <v>0.0231</v>
      </c>
      <c r="BN1106" s="7">
        <v>0.0228</v>
      </c>
      <c r="BO1106" s="4">
        <v>4</v>
      </c>
      <c r="BP1106" s="8">
        <v>108.88</v>
      </c>
      <c r="BQ1106" s="4"/>
      <c r="BR1106" s="8"/>
      <c r="BS1106" s="7"/>
      <c r="BT1106" s="7"/>
      <c r="BU1106" s="2" t="s">
        <v>109</v>
      </c>
      <c r="BV1106" s="2" t="s">
        <v>97</v>
      </c>
      <c r="BW1106" s="2" t="s">
        <v>159</v>
      </c>
      <c r="BX1106" s="2" t="s">
        <v>4334</v>
      </c>
      <c r="BY1106" s="2" t="s">
        <v>112</v>
      </c>
      <c r="BZ1106" s="2" t="s">
        <v>100</v>
      </c>
    </row>
    <row r="1107">
      <c r="A1107" s="2" t="s">
        <v>4335</v>
      </c>
      <c r="B1107" s="2" t="s">
        <v>4041</v>
      </c>
      <c r="C1107" s="2" t="s">
        <v>88</v>
      </c>
      <c r="D1107" s="2" t="s">
        <v>4216</v>
      </c>
      <c r="E1107" s="2" t="s">
        <v>4217</v>
      </c>
      <c r="F1107" s="2" t="s">
        <v>4328</v>
      </c>
      <c r="G1107" s="2" t="s">
        <v>4329</v>
      </c>
      <c r="H1107" s="2" t="s">
        <v>4329</v>
      </c>
      <c r="I1107" s="2" t="s">
        <v>4330</v>
      </c>
      <c r="J1107" s="2" t="s">
        <v>1443</v>
      </c>
      <c r="K1107" s="2" t="s">
        <v>223</v>
      </c>
      <c r="L1107" s="3">
        <v>16.45</v>
      </c>
      <c r="M1107" s="3">
        <v>17.27</v>
      </c>
      <c r="N1107" s="3">
        <v>34.99</v>
      </c>
      <c r="O1107" s="2" t="s">
        <v>97</v>
      </c>
      <c r="P1107" s="2" t="s">
        <v>98</v>
      </c>
      <c r="Q1107" s="2" t="s">
        <v>99</v>
      </c>
      <c r="R1107" s="2" t="s">
        <v>100</v>
      </c>
      <c r="S1107" s="2" t="s">
        <v>4336</v>
      </c>
      <c r="T1107" s="2" t="s">
        <v>438</v>
      </c>
      <c r="U1107" s="2" t="s">
        <v>1776</v>
      </c>
      <c r="V1107" s="2" t="s">
        <v>461</v>
      </c>
      <c r="W1107" s="2" t="s">
        <v>609</v>
      </c>
      <c r="X1107" s="2" t="s">
        <v>142</v>
      </c>
      <c r="Y1107" s="2" t="s">
        <v>4337</v>
      </c>
      <c r="Z1107" s="4">
        <v>211</v>
      </c>
      <c r="AA1107" s="4">
        <f>=ROUNDDOWN(8.79166666666667,0)</f>
      </c>
      <c r="AB1107" s="5">
        <v>24</v>
      </c>
      <c r="AC1107" s="2" t="s">
        <v>629</v>
      </c>
      <c r="AD1107" s="4">
        <v>140</v>
      </c>
      <c r="AE1107" s="4">
        <v>920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4</v>
      </c>
      <c r="AQ1107" s="8">
        <v>69.08</v>
      </c>
      <c r="AR1107" s="4"/>
      <c r="AS1107" s="8"/>
      <c r="AT1107" s="7"/>
      <c r="AU1107" s="7"/>
      <c r="AV1107" s="4">
        <v>7</v>
      </c>
      <c r="AW1107" s="8">
        <v>138.53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0.4987</v>
      </c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>
        <v>0.3124</v>
      </c>
      <c r="BJ1107" s="4">
        <v>76</v>
      </c>
      <c r="BK1107" s="8">
        <v>1375.59</v>
      </c>
      <c r="BL1107" s="2" t="s">
        <v>4338</v>
      </c>
      <c r="BM1107" s="7">
        <v>0.0526</v>
      </c>
      <c r="BN1107" s="7">
        <v>0.0502</v>
      </c>
      <c r="BO1107" s="4">
        <v>4</v>
      </c>
      <c r="BP1107" s="8">
        <v>69.08</v>
      </c>
      <c r="BQ1107" s="4"/>
      <c r="BR1107" s="8"/>
      <c r="BS1107" s="7"/>
      <c r="BT1107" s="7"/>
      <c r="BU1107" s="2" t="s">
        <v>109</v>
      </c>
      <c r="BV1107" s="2" t="s">
        <v>97</v>
      </c>
      <c r="BW1107" s="2" t="s">
        <v>4201</v>
      </c>
      <c r="BX1107" s="2" t="s">
        <v>4339</v>
      </c>
      <c r="BY1107" s="2" t="s">
        <v>112</v>
      </c>
      <c r="BZ1107" s="2" t="s">
        <v>100</v>
      </c>
    </row>
    <row r="1108">
      <c r="A1108" s="2" t="s">
        <v>4340</v>
      </c>
      <c r="B1108" s="2" t="s">
        <v>4041</v>
      </c>
      <c r="C1108" s="2" t="s">
        <v>88</v>
      </c>
      <c r="D1108" s="2" t="s">
        <v>4216</v>
      </c>
      <c r="E1108" s="2" t="s">
        <v>4217</v>
      </c>
      <c r="F1108" s="2" t="s">
        <v>4328</v>
      </c>
      <c r="G1108" s="2" t="s">
        <v>4329</v>
      </c>
      <c r="H1108" s="2" t="s">
        <v>4329</v>
      </c>
      <c r="I1108" s="2" t="s">
        <v>4330</v>
      </c>
      <c r="J1108" s="2" t="s">
        <v>522</v>
      </c>
      <c r="K1108" s="2" t="s">
        <v>223</v>
      </c>
      <c r="L1108" s="3">
        <v>22.05</v>
      </c>
      <c r="M1108" s="3">
        <v>23.15</v>
      </c>
      <c r="N1108" s="3">
        <v>44.99</v>
      </c>
      <c r="O1108" s="2" t="s">
        <v>97</v>
      </c>
      <c r="P1108" s="2" t="s">
        <v>123</v>
      </c>
      <c r="Q1108" s="2" t="s">
        <v>99</v>
      </c>
      <c r="R1108" s="2" t="s">
        <v>100</v>
      </c>
      <c r="S1108" s="2" t="s">
        <v>4336</v>
      </c>
      <c r="T1108" s="2" t="s">
        <v>438</v>
      </c>
      <c r="U1108" s="2" t="s">
        <v>1776</v>
      </c>
      <c r="V1108" s="2" t="s">
        <v>461</v>
      </c>
      <c r="W1108" s="2" t="s">
        <v>609</v>
      </c>
      <c r="X1108" s="2" t="s">
        <v>142</v>
      </c>
      <c r="Y1108" s="2" t="s">
        <v>4337</v>
      </c>
      <c r="Z1108" s="4">
        <v>332</v>
      </c>
      <c r="AA1108" s="4">
        <f>=ROUNDDOWN(8.3,0)</f>
      </c>
      <c r="AB1108" s="5">
        <v>40</v>
      </c>
      <c r="AC1108" s="2" t="s">
        <v>629</v>
      </c>
      <c r="AD1108" s="4">
        <v>250</v>
      </c>
      <c r="AE1108" s="4">
        <v>1040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3</v>
      </c>
      <c r="AQ1108" s="8">
        <v>69.45</v>
      </c>
      <c r="AR1108" s="4"/>
      <c r="AS1108" s="8"/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0.5013</v>
      </c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 t="s">
        <v>100</v>
      </c>
      <c r="BJ1108" s="4">
        <v>109</v>
      </c>
      <c r="BK1108" s="8">
        <v>2538.46</v>
      </c>
      <c r="BL1108" s="2" t="s">
        <v>1942</v>
      </c>
      <c r="BM1108" s="7">
        <v>0.0275</v>
      </c>
      <c r="BN1108" s="7">
        <v>0.0274</v>
      </c>
      <c r="BO1108" s="4">
        <v>3</v>
      </c>
      <c r="BP1108" s="8">
        <v>69.45</v>
      </c>
      <c r="BQ1108" s="4"/>
      <c r="BR1108" s="8"/>
      <c r="BS1108" s="7"/>
      <c r="BT1108" s="7"/>
      <c r="BU1108" s="2" t="s">
        <v>109</v>
      </c>
      <c r="BV1108" s="2" t="s">
        <v>97</v>
      </c>
      <c r="BW1108" s="2" t="s">
        <v>4201</v>
      </c>
      <c r="BX1108" s="2" t="s">
        <v>4341</v>
      </c>
      <c r="BY1108" s="2" t="s">
        <v>112</v>
      </c>
      <c r="BZ1108" s="2" t="s">
        <v>100</v>
      </c>
    </row>
    <row r="1109">
      <c r="A1109" s="2" t="s">
        <v>4342</v>
      </c>
      <c r="B1109" s="2" t="s">
        <v>4041</v>
      </c>
      <c r="C1109" s="2" t="s">
        <v>88</v>
      </c>
      <c r="D1109" s="2" t="s">
        <v>4216</v>
      </c>
      <c r="E1109" s="2" t="s">
        <v>4217</v>
      </c>
      <c r="F1109" s="2" t="s">
        <v>4328</v>
      </c>
      <c r="G1109" s="2" t="s">
        <v>4329</v>
      </c>
      <c r="H1109" s="2" t="s">
        <v>4329</v>
      </c>
      <c r="I1109" s="2" t="s">
        <v>4330</v>
      </c>
      <c r="J1109" s="2" t="s">
        <v>114</v>
      </c>
      <c r="K1109" s="2" t="s">
        <v>138</v>
      </c>
      <c r="L1109" s="3">
        <v>27.5</v>
      </c>
      <c r="M1109" s="3">
        <v>28.88</v>
      </c>
      <c r="N1109" s="3">
        <v>54.99</v>
      </c>
      <c r="O1109" s="2" t="s">
        <v>97</v>
      </c>
      <c r="P1109" s="2" t="s">
        <v>123</v>
      </c>
      <c r="Q1109" s="2" t="s">
        <v>99</v>
      </c>
      <c r="R1109" s="2" t="s">
        <v>100</v>
      </c>
      <c r="S1109" s="2" t="s">
        <v>4343</v>
      </c>
      <c r="T1109" s="2" t="s">
        <v>438</v>
      </c>
      <c r="U1109" s="2" t="s">
        <v>100</v>
      </c>
      <c r="V1109" s="2" t="s">
        <v>461</v>
      </c>
      <c r="W1109" s="2" t="s">
        <v>609</v>
      </c>
      <c r="X1109" s="2" t="s">
        <v>100</v>
      </c>
      <c r="Y1109" s="2" t="s">
        <v>144</v>
      </c>
      <c r="Z1109" s="4">
        <v>443</v>
      </c>
      <c r="AA1109" s="4">
        <f>=ROUNDDOWN(14.7666666666667,0)</f>
      </c>
      <c r="AB1109" s="5">
        <v>30</v>
      </c>
      <c r="AC1109" s="2" t="s">
        <v>629</v>
      </c>
      <c r="AD1109" s="4">
        <v>80</v>
      </c>
      <c r="AE1109" s="4">
        <v>550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3</v>
      </c>
      <c r="AQ1109" s="8">
        <v>81.66</v>
      </c>
      <c r="AR1109" s="4"/>
      <c r="AS1109" s="8"/>
      <c r="AT1109" s="7"/>
      <c r="AU1109" s="7"/>
      <c r="AV1109" s="4">
        <v>3</v>
      </c>
      <c r="AW1109" s="8">
        <v>81.66</v>
      </c>
      <c r="AX1109" s="4"/>
      <c r="AY1109" s="8"/>
      <c r="AZ1109" s="7"/>
      <c r="BA1109" s="7"/>
      <c r="BB1109" s="7">
        <v>1</v>
      </c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>
        <v>0.1842</v>
      </c>
      <c r="BJ1109" s="4">
        <v>117</v>
      </c>
      <c r="BK1109" s="8">
        <v>3268.3</v>
      </c>
      <c r="BL1109" s="2" t="s">
        <v>4344</v>
      </c>
      <c r="BM1109" s="7">
        <v>0.0256</v>
      </c>
      <c r="BN1109" s="7">
        <v>0.025</v>
      </c>
      <c r="BO1109" s="4">
        <v>3</v>
      </c>
      <c r="BP1109" s="8">
        <v>81.66</v>
      </c>
      <c r="BQ1109" s="4"/>
      <c r="BR1109" s="8"/>
      <c r="BS1109" s="7"/>
      <c r="BT1109" s="7"/>
      <c r="BU1109" s="2" t="s">
        <v>109</v>
      </c>
      <c r="BV1109" s="2" t="s">
        <v>97</v>
      </c>
      <c r="BW1109" s="2" t="s">
        <v>159</v>
      </c>
      <c r="BX1109" s="2" t="s">
        <v>4345</v>
      </c>
      <c r="BY1109" s="2" t="s">
        <v>112</v>
      </c>
      <c r="BZ1109" s="2" t="s">
        <v>100</v>
      </c>
    </row>
    <row r="1110">
      <c r="A1110" s="2" t="s">
        <v>4346</v>
      </c>
      <c r="B1110" s="2" t="s">
        <v>4041</v>
      </c>
      <c r="C1110" s="2" t="s">
        <v>88</v>
      </c>
      <c r="D1110" s="2" t="s">
        <v>4216</v>
      </c>
      <c r="E1110" s="2" t="s">
        <v>4217</v>
      </c>
      <c r="F1110" s="2" t="s">
        <v>4328</v>
      </c>
      <c r="G1110" s="2" t="s">
        <v>4329</v>
      </c>
      <c r="H1110" s="2" t="s">
        <v>4329</v>
      </c>
      <c r="I1110" s="2" t="s">
        <v>4330</v>
      </c>
      <c r="J1110" s="2" t="s">
        <v>522</v>
      </c>
      <c r="K1110" s="2" t="s">
        <v>1173</v>
      </c>
      <c r="L1110" s="3">
        <v>22.05</v>
      </c>
      <c r="M1110" s="3">
        <v>23.15</v>
      </c>
      <c r="N1110" s="3">
        <v>44.99</v>
      </c>
      <c r="O1110" s="2" t="s">
        <v>97</v>
      </c>
      <c r="P1110" s="2" t="s">
        <v>123</v>
      </c>
      <c r="Q1110" s="2" t="s">
        <v>99</v>
      </c>
      <c r="R1110" s="2" t="s">
        <v>100</v>
      </c>
      <c r="S1110" s="2" t="s">
        <v>100</v>
      </c>
      <c r="T1110" s="2" t="s">
        <v>438</v>
      </c>
      <c r="U1110" s="2" t="s">
        <v>100</v>
      </c>
      <c r="V1110" s="2" t="s">
        <v>461</v>
      </c>
      <c r="W1110" s="2" t="s">
        <v>609</v>
      </c>
      <c r="X1110" s="2" t="s">
        <v>100</v>
      </c>
      <c r="Y1110" s="2" t="s">
        <v>1935</v>
      </c>
      <c r="Z1110" s="4">
        <v>172</v>
      </c>
      <c r="AA1110" s="4">
        <f>=ROUNDDOWN(4.0952380952381,0)</f>
      </c>
      <c r="AB1110" s="5">
        <v>42</v>
      </c>
      <c r="AC1110" s="2" t="s">
        <v>629</v>
      </c>
      <c r="AD1110" s="4">
        <v>320</v>
      </c>
      <c r="AE1110" s="4">
        <v>1150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3</v>
      </c>
      <c r="AQ1110" s="8">
        <v>65.31</v>
      </c>
      <c r="AR1110" s="4"/>
      <c r="AS1110" s="8"/>
      <c r="AT1110" s="7"/>
      <c r="AU1110" s="7"/>
      <c r="AV1110" s="4">
        <v>3</v>
      </c>
      <c r="AW1110" s="8">
        <v>65.31</v>
      </c>
      <c r="AX1110" s="4"/>
      <c r="AY1110" s="8"/>
      <c r="AZ1110" s="7"/>
      <c r="BA1110" s="7"/>
      <c r="BB1110" s="7">
        <v>1</v>
      </c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>
        <v>0.1473</v>
      </c>
      <c r="BJ1110" s="4">
        <v>124</v>
      </c>
      <c r="BK1110" s="8">
        <v>2769.24</v>
      </c>
      <c r="BL1110" s="2" t="s">
        <v>4347</v>
      </c>
      <c r="BM1110" s="7">
        <v>0.0242</v>
      </c>
      <c r="BN1110" s="7">
        <v>0.0236</v>
      </c>
      <c r="BO1110" s="4">
        <v>3</v>
      </c>
      <c r="BP1110" s="8">
        <v>65.31</v>
      </c>
      <c r="BQ1110" s="4"/>
      <c r="BR1110" s="8"/>
      <c r="BS1110" s="7"/>
      <c r="BT1110" s="7"/>
      <c r="BU1110" s="2" t="s">
        <v>109</v>
      </c>
      <c r="BV1110" s="2" t="s">
        <v>97</v>
      </c>
      <c r="BW1110" s="2" t="s">
        <v>127</v>
      </c>
      <c r="BX1110" s="2" t="s">
        <v>4348</v>
      </c>
      <c r="BY1110" s="2" t="s">
        <v>112</v>
      </c>
      <c r="BZ1110" s="2" t="s">
        <v>100</v>
      </c>
    </row>
    <row r="1111">
      <c r="A1111" s="2" t="s">
        <v>4349</v>
      </c>
      <c r="B1111" s="2" t="s">
        <v>4041</v>
      </c>
      <c r="C1111" s="2" t="s">
        <v>88</v>
      </c>
      <c r="D1111" s="2" t="s">
        <v>4216</v>
      </c>
      <c r="E1111" s="2" t="s">
        <v>4217</v>
      </c>
      <c r="F1111" s="2" t="s">
        <v>4328</v>
      </c>
      <c r="G1111" s="2" t="s">
        <v>4329</v>
      </c>
      <c r="H1111" s="2" t="s">
        <v>4329</v>
      </c>
      <c r="I1111" s="2" t="s">
        <v>4330</v>
      </c>
      <c r="J1111" s="2" t="s">
        <v>1443</v>
      </c>
      <c r="K1111" s="2" t="s">
        <v>188</v>
      </c>
      <c r="L1111" s="3">
        <v>16.45</v>
      </c>
      <c r="M1111" s="3">
        <v>17.27</v>
      </c>
      <c r="N1111" s="3">
        <v>34.99</v>
      </c>
      <c r="O1111" s="2" t="s">
        <v>97</v>
      </c>
      <c r="P1111" s="2" t="s">
        <v>98</v>
      </c>
      <c r="Q1111" s="2" t="s">
        <v>99</v>
      </c>
      <c r="R1111" s="2" t="s">
        <v>100</v>
      </c>
      <c r="S1111" s="2" t="s">
        <v>100</v>
      </c>
      <c r="T1111" s="2" t="s">
        <v>438</v>
      </c>
      <c r="U1111" s="2" t="s">
        <v>100</v>
      </c>
      <c r="V1111" s="2" t="s">
        <v>461</v>
      </c>
      <c r="W1111" s="2" t="s">
        <v>609</v>
      </c>
      <c r="X1111" s="2" t="s">
        <v>100</v>
      </c>
      <c r="Y1111" s="2" t="s">
        <v>1935</v>
      </c>
      <c r="Z1111" s="4">
        <v>226</v>
      </c>
      <c r="AA1111" s="4">
        <f>=ROUNDDOWN(10.2727272727273,0)</f>
      </c>
      <c r="AB1111" s="5">
        <v>22</v>
      </c>
      <c r="AC1111" s="2" t="s">
        <v>3277</v>
      </c>
      <c r="AD1111" s="4">
        <v>90</v>
      </c>
      <c r="AE1111" s="4">
        <v>560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/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 t="s">
        <v>100</v>
      </c>
      <c r="BJ1111" s="4">
        <v>40</v>
      </c>
      <c r="BK1111" s="8">
        <v>672.71</v>
      </c>
      <c r="BL1111" s="2" t="s">
        <v>4350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109</v>
      </c>
      <c r="BV1111" s="2" t="s">
        <v>97</v>
      </c>
      <c r="BW1111" s="2" t="s">
        <v>127</v>
      </c>
      <c r="BX1111" s="2" t="s">
        <v>1013</v>
      </c>
      <c r="BY1111" s="2" t="s">
        <v>112</v>
      </c>
      <c r="BZ1111" s="2" t="s">
        <v>100</v>
      </c>
    </row>
    <row r="1112">
      <c r="A1112" s="2" t="s">
        <v>4351</v>
      </c>
      <c r="B1112" s="2" t="s">
        <v>4041</v>
      </c>
      <c r="C1112" s="2" t="s">
        <v>88</v>
      </c>
      <c r="D1112" s="2" t="s">
        <v>4216</v>
      </c>
      <c r="E1112" s="2" t="s">
        <v>4217</v>
      </c>
      <c r="F1112" s="2" t="s">
        <v>4328</v>
      </c>
      <c r="G1112" s="2" t="s">
        <v>4329</v>
      </c>
      <c r="H1112" s="2" t="s">
        <v>4329</v>
      </c>
      <c r="I1112" s="2" t="s">
        <v>4330</v>
      </c>
      <c r="J1112" s="2" t="s">
        <v>114</v>
      </c>
      <c r="K1112" s="2" t="s">
        <v>188</v>
      </c>
      <c r="L1112" s="3">
        <v>27.5</v>
      </c>
      <c r="M1112" s="3">
        <v>28.88</v>
      </c>
      <c r="N1112" s="3">
        <v>54.99</v>
      </c>
      <c r="O1112" s="2" t="s">
        <v>97</v>
      </c>
      <c r="P1112" s="2" t="s">
        <v>98</v>
      </c>
      <c r="Q1112" s="2" t="s">
        <v>99</v>
      </c>
      <c r="R1112" s="2" t="s">
        <v>100</v>
      </c>
      <c r="S1112" s="2" t="s">
        <v>100</v>
      </c>
      <c r="T1112" s="2" t="s">
        <v>438</v>
      </c>
      <c r="U1112" s="2" t="s">
        <v>100</v>
      </c>
      <c r="V1112" s="2" t="s">
        <v>461</v>
      </c>
      <c r="W1112" s="2" t="s">
        <v>609</v>
      </c>
      <c r="X1112" s="2" t="s">
        <v>100</v>
      </c>
      <c r="Y1112" s="2" t="s">
        <v>1935</v>
      </c>
      <c r="Z1112" s="4">
        <v>259</v>
      </c>
      <c r="AA1112" s="4">
        <f>=ROUNDDOWN(12.95,0)</f>
      </c>
      <c r="AB1112" s="5">
        <v>20</v>
      </c>
      <c r="AC1112" s="2" t="s">
        <v>3277</v>
      </c>
      <c r="AD1112" s="4">
        <v>80</v>
      </c>
      <c r="AE1112" s="4">
        <v>580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/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 t="s">
        <v>100</v>
      </c>
      <c r="BJ1112" s="4">
        <v>53</v>
      </c>
      <c r="BK1112" s="8">
        <v>1498.52</v>
      </c>
      <c r="BL1112" s="2" t="s">
        <v>4352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109</v>
      </c>
      <c r="BV1112" s="2" t="s">
        <v>97</v>
      </c>
      <c r="BW1112" s="2" t="s">
        <v>127</v>
      </c>
      <c r="BX1112" s="2" t="s">
        <v>4353</v>
      </c>
      <c r="BY1112" s="2" t="s">
        <v>112</v>
      </c>
      <c r="BZ1112" s="2" t="s">
        <v>100</v>
      </c>
    </row>
    <row r="1113">
      <c r="A1113" s="2" t="s">
        <v>4354</v>
      </c>
      <c r="B1113" s="2" t="s">
        <v>4041</v>
      </c>
      <c r="C1113" s="2" t="s">
        <v>88</v>
      </c>
      <c r="D1113" s="2" t="s">
        <v>4216</v>
      </c>
      <c r="E1113" s="2" t="s">
        <v>4217</v>
      </c>
      <c r="F1113" s="2" t="s">
        <v>4328</v>
      </c>
      <c r="G1113" s="2" t="s">
        <v>4329</v>
      </c>
      <c r="H1113" s="2" t="s">
        <v>4329</v>
      </c>
      <c r="I1113" s="2" t="s">
        <v>4330</v>
      </c>
      <c r="J1113" s="2" t="s">
        <v>1443</v>
      </c>
      <c r="K1113" s="2" t="s">
        <v>1460</v>
      </c>
      <c r="L1113" s="3">
        <v>16.45</v>
      </c>
      <c r="M1113" s="3">
        <v>17.27</v>
      </c>
      <c r="N1113" s="3">
        <v>34.99</v>
      </c>
      <c r="O1113" s="2" t="s">
        <v>97</v>
      </c>
      <c r="P1113" s="2" t="s">
        <v>98</v>
      </c>
      <c r="Q1113" s="2" t="s">
        <v>99</v>
      </c>
      <c r="R1113" s="2" t="s">
        <v>100</v>
      </c>
      <c r="S1113" s="2" t="s">
        <v>4355</v>
      </c>
      <c r="T1113" s="2" t="s">
        <v>438</v>
      </c>
      <c r="U1113" s="2" t="s">
        <v>100</v>
      </c>
      <c r="V1113" s="2" t="s">
        <v>461</v>
      </c>
      <c r="W1113" s="2" t="s">
        <v>609</v>
      </c>
      <c r="X1113" s="2" t="s">
        <v>100</v>
      </c>
      <c r="Y1113" s="2" t="s">
        <v>4356</v>
      </c>
      <c r="Z1113" s="4">
        <v>143</v>
      </c>
      <c r="AA1113" s="4">
        <f>=ROUNDDOWN(23.8333333333333,0)</f>
      </c>
      <c r="AB1113" s="5">
        <v>6</v>
      </c>
      <c r="AC1113" s="2" t="s">
        <v>3277</v>
      </c>
      <c r="AD1113" s="4">
        <v>110</v>
      </c>
      <c r="AE1113" s="4">
        <v>110</v>
      </c>
      <c r="AF1113" s="6">
        <v>65</v>
      </c>
      <c r="AG1113" s="6"/>
      <c r="AH1113" s="7">
        <v>0.3871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/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 t="s">
        <v>100</v>
      </c>
      <c r="BJ1113" s="4">
        <v>8</v>
      </c>
      <c r="BK1113" s="8">
        <v>179.69</v>
      </c>
      <c r="BL1113" s="2" t="s">
        <v>4357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171</v>
      </c>
      <c r="BV1113" s="2" t="s">
        <v>97</v>
      </c>
      <c r="BW1113" s="2" t="s">
        <v>100</v>
      </c>
      <c r="BX1113" s="2" t="s">
        <v>100</v>
      </c>
      <c r="BY1113" s="2" t="s">
        <v>112</v>
      </c>
      <c r="BZ1113" s="2" t="s">
        <v>100</v>
      </c>
    </row>
    <row r="1114">
      <c r="A1114" s="2" t="s">
        <v>4358</v>
      </c>
      <c r="B1114" s="2" t="s">
        <v>4041</v>
      </c>
      <c r="C1114" s="2" t="s">
        <v>88</v>
      </c>
      <c r="D1114" s="2" t="s">
        <v>4216</v>
      </c>
      <c r="E1114" s="2" t="s">
        <v>4217</v>
      </c>
      <c r="F1114" s="2" t="s">
        <v>4328</v>
      </c>
      <c r="G1114" s="2" t="s">
        <v>4329</v>
      </c>
      <c r="H1114" s="2" t="s">
        <v>4329</v>
      </c>
      <c r="I1114" s="2" t="s">
        <v>4330</v>
      </c>
      <c r="J1114" s="2" t="s">
        <v>522</v>
      </c>
      <c r="K1114" s="2" t="s">
        <v>1460</v>
      </c>
      <c r="L1114" s="3">
        <v>22.05</v>
      </c>
      <c r="M1114" s="3">
        <v>23.15</v>
      </c>
      <c r="N1114" s="3">
        <v>44.99</v>
      </c>
      <c r="O1114" s="2" t="s">
        <v>97</v>
      </c>
      <c r="P1114" s="2" t="s">
        <v>98</v>
      </c>
      <c r="Q1114" s="2" t="s">
        <v>99</v>
      </c>
      <c r="R1114" s="2" t="s">
        <v>100</v>
      </c>
      <c r="S1114" s="2" t="s">
        <v>4355</v>
      </c>
      <c r="T1114" s="2" t="s">
        <v>438</v>
      </c>
      <c r="U1114" s="2" t="s">
        <v>100</v>
      </c>
      <c r="V1114" s="2" t="s">
        <v>461</v>
      </c>
      <c r="W1114" s="2" t="s">
        <v>609</v>
      </c>
      <c r="X1114" s="2" t="s">
        <v>100</v>
      </c>
      <c r="Y1114" s="2" t="s">
        <v>4356</v>
      </c>
      <c r="Z1114" s="4">
        <v>298</v>
      </c>
      <c r="AA1114" s="4">
        <f>=ROUNDDOWN(24.8333333333333,0)</f>
      </c>
      <c r="AB1114" s="5">
        <v>12</v>
      </c>
      <c r="AC1114" s="2" t="s">
        <v>3277</v>
      </c>
      <c r="AD1114" s="4">
        <v>200</v>
      </c>
      <c r="AE1114" s="4">
        <v>200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/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 t="s">
        <v>100</v>
      </c>
      <c r="BJ1114" s="4">
        <v>47</v>
      </c>
      <c r="BK1114" s="8">
        <v>1097.78</v>
      </c>
      <c r="BL1114" s="2" t="s">
        <v>1988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171</v>
      </c>
      <c r="BV1114" s="2" t="s">
        <v>97</v>
      </c>
      <c r="BW1114" s="2" t="s">
        <v>100</v>
      </c>
      <c r="BX1114" s="2" t="s">
        <v>100</v>
      </c>
      <c r="BY1114" s="2" t="s">
        <v>112</v>
      </c>
      <c r="BZ1114" s="2" t="s">
        <v>100</v>
      </c>
    </row>
    <row r="1115">
      <c r="A1115" s="2" t="s">
        <v>4359</v>
      </c>
      <c r="B1115" s="2" t="s">
        <v>4041</v>
      </c>
      <c r="C1115" s="2" t="s">
        <v>88</v>
      </c>
      <c r="D1115" s="2" t="s">
        <v>4216</v>
      </c>
      <c r="E1115" s="2" t="s">
        <v>4217</v>
      </c>
      <c r="F1115" s="2" t="s">
        <v>4328</v>
      </c>
      <c r="G1115" s="2" t="s">
        <v>4329</v>
      </c>
      <c r="H1115" s="2" t="s">
        <v>4329</v>
      </c>
      <c r="I1115" s="2" t="s">
        <v>4330</v>
      </c>
      <c r="J1115" s="2" t="s">
        <v>114</v>
      </c>
      <c r="K1115" s="2" t="s">
        <v>1460</v>
      </c>
      <c r="L1115" s="3">
        <v>27.5</v>
      </c>
      <c r="M1115" s="3">
        <v>28.88</v>
      </c>
      <c r="N1115" s="3">
        <v>54.99</v>
      </c>
      <c r="O1115" s="2" t="s">
        <v>97</v>
      </c>
      <c r="P1115" s="2" t="s">
        <v>98</v>
      </c>
      <c r="Q1115" s="2" t="s">
        <v>99</v>
      </c>
      <c r="R1115" s="2" t="s">
        <v>100</v>
      </c>
      <c r="S1115" s="2" t="s">
        <v>4355</v>
      </c>
      <c r="T1115" s="2" t="s">
        <v>438</v>
      </c>
      <c r="U1115" s="2" t="s">
        <v>100</v>
      </c>
      <c r="V1115" s="2" t="s">
        <v>461</v>
      </c>
      <c r="W1115" s="2" t="s">
        <v>609</v>
      </c>
      <c r="X1115" s="2" t="s">
        <v>100</v>
      </c>
      <c r="Y1115" s="2" t="s">
        <v>4356</v>
      </c>
      <c r="Z1115" s="4">
        <v>252</v>
      </c>
      <c r="AA1115" s="4">
        <f>=ROUNDDOWN(25.2,0)</f>
      </c>
      <c r="AB1115" s="5">
        <v>10</v>
      </c>
      <c r="AC1115" s="2" t="s">
        <v>3277</v>
      </c>
      <c r="AD1115" s="4">
        <v>160</v>
      </c>
      <c r="AE1115" s="4">
        <v>160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/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 t="s">
        <v>100</v>
      </c>
      <c r="BJ1115" s="4">
        <v>24</v>
      </c>
      <c r="BK1115" s="8">
        <v>687.33</v>
      </c>
      <c r="BL1115" s="2" t="s">
        <v>4360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171</v>
      </c>
      <c r="BV1115" s="2" t="s">
        <v>97</v>
      </c>
      <c r="BW1115" s="2" t="s">
        <v>100</v>
      </c>
      <c r="BX1115" s="2" t="s">
        <v>100</v>
      </c>
      <c r="BY1115" s="2" t="s">
        <v>112</v>
      </c>
      <c r="BZ1115" s="2" t="s">
        <v>100</v>
      </c>
    </row>
    <row r="1116">
      <c r="A1116" s="2" t="s">
        <v>4361</v>
      </c>
      <c r="B1116" s="2" t="s">
        <v>4041</v>
      </c>
      <c r="C1116" s="2" t="s">
        <v>88</v>
      </c>
      <c r="D1116" s="2" t="s">
        <v>4216</v>
      </c>
      <c r="E1116" s="2" t="s">
        <v>4217</v>
      </c>
      <c r="F1116" s="2" t="s">
        <v>4328</v>
      </c>
      <c r="G1116" s="2" t="s">
        <v>4329</v>
      </c>
      <c r="H1116" s="2" t="s">
        <v>4329</v>
      </c>
      <c r="I1116" s="2" t="s">
        <v>4330</v>
      </c>
      <c r="J1116" s="2" t="s">
        <v>1443</v>
      </c>
      <c r="K1116" s="2" t="s">
        <v>4362</v>
      </c>
      <c r="L1116" s="3">
        <v>16.45</v>
      </c>
      <c r="M1116" s="3">
        <v>17.27</v>
      </c>
      <c r="N1116" s="3">
        <v>34.99</v>
      </c>
      <c r="O1116" s="2" t="s">
        <v>97</v>
      </c>
      <c r="P1116" s="2" t="s">
        <v>98</v>
      </c>
      <c r="Q1116" s="2" t="s">
        <v>99</v>
      </c>
      <c r="R1116" s="2" t="s">
        <v>100</v>
      </c>
      <c r="S1116" s="2" t="s">
        <v>100</v>
      </c>
      <c r="T1116" s="2" t="s">
        <v>438</v>
      </c>
      <c r="U1116" s="2" t="s">
        <v>100</v>
      </c>
      <c r="V1116" s="2" t="s">
        <v>461</v>
      </c>
      <c r="W1116" s="2" t="s">
        <v>609</v>
      </c>
      <c r="X1116" s="2" t="s">
        <v>100</v>
      </c>
      <c r="Y1116" s="2" t="s">
        <v>1935</v>
      </c>
      <c r="Z1116" s="4">
        <v>398</v>
      </c>
      <c r="AA1116" s="4">
        <f>=ROUNDDOWN(14.7407407407407,0)</f>
      </c>
      <c r="AB1116" s="5">
        <v>27</v>
      </c>
      <c r="AC1116" s="2" t="s">
        <v>2709</v>
      </c>
      <c r="AD1116" s="4">
        <v>100</v>
      </c>
      <c r="AE1116" s="4">
        <v>490</v>
      </c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/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 t="s">
        <v>100</v>
      </c>
      <c r="BJ1116" s="4">
        <v>64</v>
      </c>
      <c r="BK1116" s="8">
        <v>1071.25</v>
      </c>
      <c r="BL1116" s="2" t="s">
        <v>4363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109</v>
      </c>
      <c r="BV1116" s="2" t="s">
        <v>97</v>
      </c>
      <c r="BW1116" s="2" t="s">
        <v>127</v>
      </c>
      <c r="BX1116" s="2" t="s">
        <v>2233</v>
      </c>
      <c r="BY1116" s="2" t="s">
        <v>112</v>
      </c>
      <c r="BZ1116" s="2" t="s">
        <v>100</v>
      </c>
    </row>
    <row r="1117">
      <c r="A1117" s="2" t="s">
        <v>4364</v>
      </c>
      <c r="B1117" s="2" t="s">
        <v>4041</v>
      </c>
      <c r="C1117" s="2" t="s">
        <v>88</v>
      </c>
      <c r="D1117" s="2" t="s">
        <v>4216</v>
      </c>
      <c r="E1117" s="2" t="s">
        <v>4217</v>
      </c>
      <c r="F1117" s="2" t="s">
        <v>4328</v>
      </c>
      <c r="G1117" s="2" t="s">
        <v>4329</v>
      </c>
      <c r="H1117" s="2" t="s">
        <v>4329</v>
      </c>
      <c r="I1117" s="2" t="s">
        <v>4330</v>
      </c>
      <c r="J1117" s="2" t="s">
        <v>114</v>
      </c>
      <c r="K1117" s="2" t="s">
        <v>4362</v>
      </c>
      <c r="L1117" s="3">
        <v>27.5</v>
      </c>
      <c r="M1117" s="3">
        <v>28.88</v>
      </c>
      <c r="N1117" s="3">
        <v>54.99</v>
      </c>
      <c r="O1117" s="2" t="s">
        <v>97</v>
      </c>
      <c r="P1117" s="2" t="s">
        <v>123</v>
      </c>
      <c r="Q1117" s="2" t="s">
        <v>99</v>
      </c>
      <c r="R1117" s="2" t="s">
        <v>100</v>
      </c>
      <c r="S1117" s="2" t="s">
        <v>100</v>
      </c>
      <c r="T1117" s="2" t="s">
        <v>438</v>
      </c>
      <c r="U1117" s="2" t="s">
        <v>100</v>
      </c>
      <c r="V1117" s="2" t="s">
        <v>461</v>
      </c>
      <c r="W1117" s="2" t="s">
        <v>609</v>
      </c>
      <c r="X1117" s="2" t="s">
        <v>100</v>
      </c>
      <c r="Y1117" s="2" t="s">
        <v>1935</v>
      </c>
      <c r="Z1117" s="4">
        <v>592</v>
      </c>
      <c r="AA1117" s="4">
        <f>=ROUNDDOWN(16.9142857142857,0)</f>
      </c>
      <c r="AB1117" s="5">
        <v>35</v>
      </c>
      <c r="AC1117" s="2" t="s">
        <v>2709</v>
      </c>
      <c r="AD1117" s="4">
        <v>100</v>
      </c>
      <c r="AE1117" s="4">
        <v>600</v>
      </c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/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 t="s">
        <v>100</v>
      </c>
      <c r="BJ1117" s="4">
        <v>109</v>
      </c>
      <c r="BK1117" s="8">
        <v>2949.88</v>
      </c>
      <c r="BL1117" s="2" t="s">
        <v>4365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109</v>
      </c>
      <c r="BV1117" s="2" t="s">
        <v>97</v>
      </c>
      <c r="BW1117" s="2" t="s">
        <v>127</v>
      </c>
      <c r="BX1117" s="2" t="s">
        <v>2598</v>
      </c>
      <c r="BY1117" s="2" t="s">
        <v>112</v>
      </c>
      <c r="BZ1117" s="2" t="s">
        <v>100</v>
      </c>
    </row>
    <row r="1118">
      <c r="A1118" s="2" t="s">
        <v>4366</v>
      </c>
      <c r="B1118" s="2" t="s">
        <v>4041</v>
      </c>
      <c r="C1118" s="2" t="s">
        <v>88</v>
      </c>
      <c r="D1118" s="2" t="s">
        <v>4216</v>
      </c>
      <c r="E1118" s="2" t="s">
        <v>4217</v>
      </c>
      <c r="F1118" s="2" t="s">
        <v>4328</v>
      </c>
      <c r="G1118" s="2" t="s">
        <v>4329</v>
      </c>
      <c r="H1118" s="2" t="s">
        <v>4329</v>
      </c>
      <c r="I1118" s="2" t="s">
        <v>4330</v>
      </c>
      <c r="J1118" s="2" t="s">
        <v>1443</v>
      </c>
      <c r="K1118" s="2" t="s">
        <v>96</v>
      </c>
      <c r="L1118" s="3">
        <v>16.45</v>
      </c>
      <c r="M1118" s="3">
        <v>17.27</v>
      </c>
      <c r="N1118" s="3">
        <v>34.99</v>
      </c>
      <c r="O1118" s="2" t="s">
        <v>97</v>
      </c>
      <c r="P1118" s="2" t="s">
        <v>98</v>
      </c>
      <c r="Q1118" s="2" t="s">
        <v>99</v>
      </c>
      <c r="R1118" s="2" t="s">
        <v>100</v>
      </c>
      <c r="S1118" s="2" t="s">
        <v>4367</v>
      </c>
      <c r="T1118" s="2" t="s">
        <v>438</v>
      </c>
      <c r="U1118" s="2" t="s">
        <v>100</v>
      </c>
      <c r="V1118" s="2" t="s">
        <v>461</v>
      </c>
      <c r="W1118" s="2" t="s">
        <v>609</v>
      </c>
      <c r="X1118" s="2" t="s">
        <v>100</v>
      </c>
      <c r="Y1118" s="2" t="s">
        <v>144</v>
      </c>
      <c r="Z1118" s="4">
        <v>257</v>
      </c>
      <c r="AA1118" s="4">
        <f>=ROUNDDOWN(11.6818181818182,0)</f>
      </c>
      <c r="AB1118" s="5">
        <v>22</v>
      </c>
      <c r="AC1118" s="2" t="s">
        <v>3277</v>
      </c>
      <c r="AD1118" s="4">
        <v>50</v>
      </c>
      <c r="AE1118" s="4">
        <v>550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/>
      <c r="BJ1118" s="4">
        <v>50</v>
      </c>
      <c r="BK1118" s="8">
        <v>864.26</v>
      </c>
      <c r="BL1118" s="2" t="s">
        <v>1366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109</v>
      </c>
      <c r="BV1118" s="2" t="s">
        <v>97</v>
      </c>
      <c r="BW1118" s="2" t="s">
        <v>1824</v>
      </c>
      <c r="BX1118" s="2" t="s">
        <v>4368</v>
      </c>
      <c r="BY1118" s="2" t="s">
        <v>112</v>
      </c>
      <c r="BZ1118" s="2" t="s">
        <v>100</v>
      </c>
    </row>
    <row r="1119">
      <c r="A1119" s="2" t="s">
        <v>4369</v>
      </c>
      <c r="B1119" s="2" t="s">
        <v>4041</v>
      </c>
      <c r="C1119" s="2" t="s">
        <v>88</v>
      </c>
      <c r="D1119" s="2" t="s">
        <v>4216</v>
      </c>
      <c r="E1119" s="2" t="s">
        <v>4217</v>
      </c>
      <c r="F1119" s="2" t="s">
        <v>4328</v>
      </c>
      <c r="G1119" s="2" t="s">
        <v>4329</v>
      </c>
      <c r="H1119" s="2" t="s">
        <v>4329</v>
      </c>
      <c r="I1119" s="2" t="s">
        <v>4330</v>
      </c>
      <c r="J1119" s="2" t="s">
        <v>1443</v>
      </c>
      <c r="K1119" s="2" t="s">
        <v>842</v>
      </c>
      <c r="L1119" s="3">
        <v>16.45</v>
      </c>
      <c r="M1119" s="3">
        <v>17.27</v>
      </c>
      <c r="N1119" s="3">
        <v>34.99</v>
      </c>
      <c r="O1119" s="2" t="s">
        <v>97</v>
      </c>
      <c r="P1119" s="2" t="s">
        <v>98</v>
      </c>
      <c r="Q1119" s="2" t="s">
        <v>99</v>
      </c>
      <c r="R1119" s="2" t="s">
        <v>100</v>
      </c>
      <c r="S1119" s="2" t="s">
        <v>4370</v>
      </c>
      <c r="T1119" s="2" t="s">
        <v>438</v>
      </c>
      <c r="U1119" s="2" t="s">
        <v>100</v>
      </c>
      <c r="V1119" s="2" t="s">
        <v>461</v>
      </c>
      <c r="W1119" s="2" t="s">
        <v>609</v>
      </c>
      <c r="X1119" s="2" t="s">
        <v>100</v>
      </c>
      <c r="Y1119" s="2" t="s">
        <v>4371</v>
      </c>
      <c r="Z1119" s="4">
        <v>111</v>
      </c>
      <c r="AA1119" s="4">
        <f>=ROUNDDOWN(7.4,0)</f>
      </c>
      <c r="AB1119" s="5">
        <v>15</v>
      </c>
      <c r="AC1119" s="2" t="s">
        <v>629</v>
      </c>
      <c r="AD1119" s="4">
        <v>70</v>
      </c>
      <c r="AE1119" s="4">
        <v>360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/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 t="s">
        <v>100</v>
      </c>
      <c r="BJ1119" s="4">
        <v>51</v>
      </c>
      <c r="BK1119" s="8">
        <v>935.04</v>
      </c>
      <c r="BL1119" s="2" t="s">
        <v>4372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171</v>
      </c>
      <c r="BV1119" s="2" t="s">
        <v>97</v>
      </c>
      <c r="BW1119" s="2" t="s">
        <v>100</v>
      </c>
      <c r="BX1119" s="2" t="s">
        <v>100</v>
      </c>
      <c r="BY1119" s="2" t="s">
        <v>112</v>
      </c>
      <c r="BZ1119" s="2" t="s">
        <v>100</v>
      </c>
    </row>
    <row r="1120">
      <c r="A1120" s="2" t="s">
        <v>4373</v>
      </c>
      <c r="B1120" s="2" t="s">
        <v>4041</v>
      </c>
      <c r="C1120" s="2" t="s">
        <v>88</v>
      </c>
      <c r="D1120" s="2" t="s">
        <v>4216</v>
      </c>
      <c r="E1120" s="2" t="s">
        <v>4217</v>
      </c>
      <c r="F1120" s="2" t="s">
        <v>4328</v>
      </c>
      <c r="G1120" s="2" t="s">
        <v>4329</v>
      </c>
      <c r="H1120" s="2" t="s">
        <v>4329</v>
      </c>
      <c r="I1120" s="2" t="s">
        <v>4330</v>
      </c>
      <c r="J1120" s="2" t="s">
        <v>522</v>
      </c>
      <c r="K1120" s="2" t="s">
        <v>842</v>
      </c>
      <c r="L1120" s="3">
        <v>22.05</v>
      </c>
      <c r="M1120" s="3">
        <v>23.15</v>
      </c>
      <c r="N1120" s="3">
        <v>44.99</v>
      </c>
      <c r="O1120" s="2" t="s">
        <v>97</v>
      </c>
      <c r="P1120" s="2" t="s">
        <v>156</v>
      </c>
      <c r="Q1120" s="2" t="s">
        <v>99</v>
      </c>
      <c r="R1120" s="2" t="s">
        <v>100</v>
      </c>
      <c r="S1120" s="2" t="s">
        <v>4370</v>
      </c>
      <c r="T1120" s="2" t="s">
        <v>438</v>
      </c>
      <c r="U1120" s="2" t="s">
        <v>100</v>
      </c>
      <c r="V1120" s="2" t="s">
        <v>461</v>
      </c>
      <c r="W1120" s="2" t="s">
        <v>609</v>
      </c>
      <c r="X1120" s="2" t="s">
        <v>100</v>
      </c>
      <c r="Y1120" s="2" t="s">
        <v>4371</v>
      </c>
      <c r="Z1120" s="4">
        <v>301</v>
      </c>
      <c r="AA1120" s="4">
        <f>=ROUNDDOWN(11.1481481481481,0)</f>
      </c>
      <c r="AB1120" s="5">
        <v>27</v>
      </c>
      <c r="AC1120" s="2" t="s">
        <v>629</v>
      </c>
      <c r="AD1120" s="4">
        <v>130</v>
      </c>
      <c r="AE1120" s="4">
        <v>560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/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 t="s">
        <v>100</v>
      </c>
      <c r="BJ1120" s="4">
        <v>65</v>
      </c>
      <c r="BK1120" s="8">
        <v>1551.15</v>
      </c>
      <c r="BL1120" s="2" t="s">
        <v>4374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171</v>
      </c>
      <c r="BV1120" s="2" t="s">
        <v>97</v>
      </c>
      <c r="BW1120" s="2" t="s">
        <v>100</v>
      </c>
      <c r="BX1120" s="2" t="s">
        <v>100</v>
      </c>
      <c r="BY1120" s="2" t="s">
        <v>112</v>
      </c>
      <c r="BZ1120" s="2" t="s">
        <v>100</v>
      </c>
    </row>
    <row r="1121">
      <c r="A1121" s="2" t="s">
        <v>4375</v>
      </c>
      <c r="B1121" s="2" t="s">
        <v>4041</v>
      </c>
      <c r="C1121" s="2" t="s">
        <v>88</v>
      </c>
      <c r="D1121" s="2" t="s">
        <v>4216</v>
      </c>
      <c r="E1121" s="2" t="s">
        <v>4217</v>
      </c>
      <c r="F1121" s="2" t="s">
        <v>4328</v>
      </c>
      <c r="G1121" s="2" t="s">
        <v>4329</v>
      </c>
      <c r="H1121" s="2" t="s">
        <v>4329</v>
      </c>
      <c r="I1121" s="2" t="s">
        <v>4330</v>
      </c>
      <c r="J1121" s="2" t="s">
        <v>114</v>
      </c>
      <c r="K1121" s="2" t="s">
        <v>842</v>
      </c>
      <c r="L1121" s="3">
        <v>27.5</v>
      </c>
      <c r="M1121" s="3">
        <v>28.88</v>
      </c>
      <c r="N1121" s="3">
        <v>54.99</v>
      </c>
      <c r="O1121" s="2" t="s">
        <v>97</v>
      </c>
      <c r="P1121" s="2" t="s">
        <v>98</v>
      </c>
      <c r="Q1121" s="2" t="s">
        <v>99</v>
      </c>
      <c r="R1121" s="2" t="s">
        <v>100</v>
      </c>
      <c r="S1121" s="2" t="s">
        <v>4370</v>
      </c>
      <c r="T1121" s="2" t="s">
        <v>438</v>
      </c>
      <c r="U1121" s="2" t="s">
        <v>100</v>
      </c>
      <c r="V1121" s="2" t="s">
        <v>461</v>
      </c>
      <c r="W1121" s="2" t="s">
        <v>609</v>
      </c>
      <c r="X1121" s="2" t="s">
        <v>100</v>
      </c>
      <c r="Y1121" s="2" t="s">
        <v>4371</v>
      </c>
      <c r="Z1121" s="4">
        <v>269</v>
      </c>
      <c r="AA1121" s="4">
        <f>=ROUNDDOWN(12.8095238095238,0)</f>
      </c>
      <c r="AB1121" s="5">
        <v>21</v>
      </c>
      <c r="AC1121" s="2" t="s">
        <v>629</v>
      </c>
      <c r="AD1121" s="4">
        <v>120</v>
      </c>
      <c r="AE1121" s="4">
        <v>400</v>
      </c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100</v>
      </c>
      <c r="AW1121" s="8" t="s">
        <v>100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/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 t="s">
        <v>100</v>
      </c>
      <c r="BJ1121" s="4">
        <v>34</v>
      </c>
      <c r="BK1121" s="8">
        <v>938.07</v>
      </c>
      <c r="BL1121" s="2" t="s">
        <v>1494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171</v>
      </c>
      <c r="BV1121" s="2" t="s">
        <v>97</v>
      </c>
      <c r="BW1121" s="2" t="s">
        <v>100</v>
      </c>
      <c r="BX1121" s="2" t="s">
        <v>100</v>
      </c>
      <c r="BY1121" s="2" t="s">
        <v>112</v>
      </c>
      <c r="BZ1121" s="2" t="s">
        <v>100</v>
      </c>
    </row>
    <row r="1122">
      <c r="A1122" s="2" t="s">
        <v>4376</v>
      </c>
      <c r="B1122" s="2" t="s">
        <v>4041</v>
      </c>
      <c r="C1122" s="2" t="s">
        <v>88</v>
      </c>
      <c r="D1122" s="2" t="s">
        <v>4216</v>
      </c>
      <c r="E1122" s="2" t="s">
        <v>4217</v>
      </c>
      <c r="F1122" s="2" t="s">
        <v>4377</v>
      </c>
      <c r="G1122" s="2" t="s">
        <v>4378</v>
      </c>
      <c r="H1122" s="2" t="s">
        <v>4378</v>
      </c>
      <c r="I1122" s="2" t="s">
        <v>4379</v>
      </c>
      <c r="J1122" s="2" t="s">
        <v>522</v>
      </c>
      <c r="K1122" s="2" t="s">
        <v>673</v>
      </c>
      <c r="L1122" s="3">
        <v>25.67</v>
      </c>
      <c r="M1122" s="3">
        <v>26.95</v>
      </c>
      <c r="N1122" s="3">
        <v>54.99</v>
      </c>
      <c r="O1122" s="2" t="s">
        <v>97</v>
      </c>
      <c r="P1122" s="2" t="s">
        <v>98</v>
      </c>
      <c r="Q1122" s="2" t="s">
        <v>99</v>
      </c>
      <c r="R1122" s="2" t="s">
        <v>100</v>
      </c>
      <c r="S1122" s="2" t="s">
        <v>4380</v>
      </c>
      <c r="T1122" s="2" t="s">
        <v>438</v>
      </c>
      <c r="U1122" s="2" t="s">
        <v>100</v>
      </c>
      <c r="V1122" s="2" t="s">
        <v>461</v>
      </c>
      <c r="W1122" s="2" t="s">
        <v>609</v>
      </c>
      <c r="X1122" s="2" t="s">
        <v>100</v>
      </c>
      <c r="Y1122" s="2" t="s">
        <v>144</v>
      </c>
      <c r="Z1122" s="4">
        <v>329</v>
      </c>
      <c r="AA1122" s="4">
        <f>=ROUNDDOWN(32.9,0)</f>
      </c>
      <c r="AB1122" s="5">
        <v>10</v>
      </c>
      <c r="AC1122" s="2" t="s">
        <v>2604</v>
      </c>
      <c r="AD1122" s="4">
        <v>180</v>
      </c>
      <c r="AE1122" s="4">
        <v>180</v>
      </c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2</v>
      </c>
      <c r="AQ1122" s="8">
        <v>58.06</v>
      </c>
      <c r="AR1122" s="4"/>
      <c r="AS1122" s="8"/>
      <c r="AT1122" s="7"/>
      <c r="AU1122" s="7"/>
      <c r="AV1122" s="4">
        <v>2</v>
      </c>
      <c r="AW1122" s="8">
        <v>58.06</v>
      </c>
      <c r="AX1122" s="4"/>
      <c r="AY1122" s="8"/>
      <c r="AZ1122" s="7"/>
      <c r="BA1122" s="7"/>
      <c r="BB1122" s="7">
        <v>1</v>
      </c>
      <c r="BC1122" s="4">
        <v>2</v>
      </c>
      <c r="BD1122" s="8">
        <v>58.06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>
        <v>1</v>
      </c>
      <c r="BJ1122" s="4">
        <v>28</v>
      </c>
      <c r="BK1122" s="8">
        <v>777.86</v>
      </c>
      <c r="BL1122" s="2" t="s">
        <v>4381</v>
      </c>
      <c r="BM1122" s="7">
        <v>0.0714</v>
      </c>
      <c r="BN1122" s="7">
        <v>0.0746</v>
      </c>
      <c r="BO1122" s="4">
        <v>2</v>
      </c>
      <c r="BP1122" s="8">
        <v>58.06</v>
      </c>
      <c r="BQ1122" s="4"/>
      <c r="BR1122" s="8"/>
      <c r="BS1122" s="7"/>
      <c r="BT1122" s="7"/>
      <c r="BU1122" s="2" t="s">
        <v>109</v>
      </c>
      <c r="BV1122" s="2" t="s">
        <v>97</v>
      </c>
      <c r="BW1122" s="2" t="s">
        <v>4187</v>
      </c>
      <c r="BX1122" s="2" t="s">
        <v>1892</v>
      </c>
      <c r="BY1122" s="2" t="s">
        <v>112</v>
      </c>
      <c r="BZ1122" s="2" t="s">
        <v>100</v>
      </c>
    </row>
    <row r="1123">
      <c r="A1123" s="2" t="s">
        <v>4382</v>
      </c>
      <c r="B1123" s="2" t="s">
        <v>4041</v>
      </c>
      <c r="C1123" s="2" t="s">
        <v>88</v>
      </c>
      <c r="D1123" s="2" t="s">
        <v>4216</v>
      </c>
      <c r="E1123" s="2" t="s">
        <v>4217</v>
      </c>
      <c r="F1123" s="2" t="s">
        <v>4377</v>
      </c>
      <c r="G1123" s="2" t="s">
        <v>4378</v>
      </c>
      <c r="H1123" s="2" t="s">
        <v>4378</v>
      </c>
      <c r="I1123" s="2" t="s">
        <v>4379</v>
      </c>
      <c r="J1123" s="2" t="s">
        <v>522</v>
      </c>
      <c r="K1123" s="2" t="s">
        <v>4362</v>
      </c>
      <c r="L1123" s="3">
        <v>25.67</v>
      </c>
      <c r="M1123" s="3">
        <v>26.95</v>
      </c>
      <c r="N1123" s="3">
        <v>54.99</v>
      </c>
      <c r="O1123" s="2" t="s">
        <v>97</v>
      </c>
      <c r="P1123" s="2" t="s">
        <v>98</v>
      </c>
      <c r="Q1123" s="2" t="s">
        <v>99</v>
      </c>
      <c r="R1123" s="2" t="s">
        <v>100</v>
      </c>
      <c r="S1123" s="2" t="s">
        <v>4383</v>
      </c>
      <c r="T1123" s="2" t="s">
        <v>438</v>
      </c>
      <c r="U1123" s="2" t="s">
        <v>1776</v>
      </c>
      <c r="V1123" s="2" t="s">
        <v>461</v>
      </c>
      <c r="W1123" s="2" t="s">
        <v>609</v>
      </c>
      <c r="X1123" s="2" t="s">
        <v>100</v>
      </c>
      <c r="Y1123" s="2" t="s">
        <v>4384</v>
      </c>
      <c r="Z1123" s="4">
        <v>336</v>
      </c>
      <c r="AA1123" s="4">
        <f>=ROUNDDOWN(30.5454545454545,0)</f>
      </c>
      <c r="AB1123" s="5">
        <v>11</v>
      </c>
      <c r="AC1123" s="2" t="s">
        <v>1452</v>
      </c>
      <c r="AD1123" s="4">
        <v>30</v>
      </c>
      <c r="AE1123" s="4">
        <v>30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/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 t="s">
        <v>100</v>
      </c>
      <c r="BJ1123" s="4">
        <v>34</v>
      </c>
      <c r="BK1123" s="8">
        <v>929.48</v>
      </c>
      <c r="BL1123" s="2" t="s">
        <v>2993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171</v>
      </c>
      <c r="BV1123" s="2" t="s">
        <v>97</v>
      </c>
      <c r="BW1123" s="2" t="s">
        <v>100</v>
      </c>
      <c r="BX1123" s="2" t="s">
        <v>100</v>
      </c>
      <c r="BY1123" s="2" t="s">
        <v>112</v>
      </c>
      <c r="BZ1123" s="2" t="s">
        <v>100</v>
      </c>
    </row>
    <row r="1124">
      <c r="A1124" s="2" t="s">
        <v>4385</v>
      </c>
      <c r="B1124" s="2" t="s">
        <v>4041</v>
      </c>
      <c r="C1124" s="2" t="s">
        <v>88</v>
      </c>
      <c r="D1124" s="2" t="s">
        <v>4216</v>
      </c>
      <c r="E1124" s="2" t="s">
        <v>4217</v>
      </c>
      <c r="F1124" s="2" t="s">
        <v>4377</v>
      </c>
      <c r="G1124" s="2" t="s">
        <v>4378</v>
      </c>
      <c r="H1124" s="2" t="s">
        <v>4378</v>
      </c>
      <c r="I1124" s="2" t="s">
        <v>4379</v>
      </c>
      <c r="J1124" s="2" t="s">
        <v>114</v>
      </c>
      <c r="K1124" s="2" t="s">
        <v>4362</v>
      </c>
      <c r="L1124" s="3">
        <v>28.98</v>
      </c>
      <c r="M1124" s="3">
        <v>30.43</v>
      </c>
      <c r="N1124" s="3">
        <v>64.99</v>
      </c>
      <c r="O1124" s="2" t="s">
        <v>97</v>
      </c>
      <c r="P1124" s="2" t="s">
        <v>98</v>
      </c>
      <c r="Q1124" s="2" t="s">
        <v>99</v>
      </c>
      <c r="R1124" s="2" t="s">
        <v>100</v>
      </c>
      <c r="S1124" s="2" t="s">
        <v>4383</v>
      </c>
      <c r="T1124" s="2" t="s">
        <v>438</v>
      </c>
      <c r="U1124" s="2" t="s">
        <v>1776</v>
      </c>
      <c r="V1124" s="2" t="s">
        <v>461</v>
      </c>
      <c r="W1124" s="2" t="s">
        <v>609</v>
      </c>
      <c r="X1124" s="2" t="s">
        <v>100</v>
      </c>
      <c r="Y1124" s="2" t="s">
        <v>4384</v>
      </c>
      <c r="Z1124" s="4">
        <v>256</v>
      </c>
      <c r="AA1124" s="4">
        <f>=ROUNDDOWN(14.2222222222222,0)</f>
      </c>
      <c r="AB1124" s="5">
        <v>18</v>
      </c>
      <c r="AC1124" s="2" t="s">
        <v>1452</v>
      </c>
      <c r="AD1124" s="4">
        <v>230</v>
      </c>
      <c r="AE1124" s="4">
        <v>230</v>
      </c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100</v>
      </c>
      <c r="AW1124" s="8" t="s">
        <v>100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/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 t="s">
        <v>100</v>
      </c>
      <c r="BJ1124" s="4">
        <v>42</v>
      </c>
      <c r="BK1124" s="8">
        <v>1290.7</v>
      </c>
      <c r="BL1124" s="2" t="s">
        <v>4386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171</v>
      </c>
      <c r="BV1124" s="2" t="s">
        <v>97</v>
      </c>
      <c r="BW1124" s="2" t="s">
        <v>100</v>
      </c>
      <c r="BX1124" s="2" t="s">
        <v>100</v>
      </c>
      <c r="BY1124" s="2" t="s">
        <v>112</v>
      </c>
      <c r="BZ1124" s="2" t="s">
        <v>100</v>
      </c>
    </row>
    <row r="1125">
      <c r="A1125" s="2" t="s">
        <v>4387</v>
      </c>
      <c r="B1125" s="2" t="s">
        <v>4041</v>
      </c>
      <c r="C1125" s="2" t="s">
        <v>88</v>
      </c>
      <c r="D1125" s="2" t="s">
        <v>4216</v>
      </c>
      <c r="E1125" s="2" t="s">
        <v>4217</v>
      </c>
      <c r="F1125" s="2" t="s">
        <v>4377</v>
      </c>
      <c r="G1125" s="2" t="s">
        <v>4378</v>
      </c>
      <c r="H1125" s="2" t="s">
        <v>4378</v>
      </c>
      <c r="I1125" s="2" t="s">
        <v>4379</v>
      </c>
      <c r="J1125" s="2" t="s">
        <v>522</v>
      </c>
      <c r="K1125" s="2" t="s">
        <v>1373</v>
      </c>
      <c r="L1125" s="3">
        <v>25.67</v>
      </c>
      <c r="M1125" s="3">
        <v>26.95</v>
      </c>
      <c r="N1125" s="3">
        <v>54.99</v>
      </c>
      <c r="O1125" s="2" t="s">
        <v>97</v>
      </c>
      <c r="P1125" s="2" t="s">
        <v>98</v>
      </c>
      <c r="Q1125" s="2" t="s">
        <v>99</v>
      </c>
      <c r="R1125" s="2" t="s">
        <v>100</v>
      </c>
      <c r="S1125" s="2" t="s">
        <v>4388</v>
      </c>
      <c r="T1125" s="2" t="s">
        <v>438</v>
      </c>
      <c r="U1125" s="2" t="s">
        <v>100</v>
      </c>
      <c r="V1125" s="2" t="s">
        <v>461</v>
      </c>
      <c r="W1125" s="2" t="s">
        <v>609</v>
      </c>
      <c r="X1125" s="2" t="s">
        <v>100</v>
      </c>
      <c r="Y1125" s="2" t="s">
        <v>144</v>
      </c>
      <c r="Z1125" s="4">
        <v>277</v>
      </c>
      <c r="AA1125" s="4">
        <f>=ROUNDDOWN(13.1904761904762,0)</f>
      </c>
      <c r="AB1125" s="5">
        <v>21</v>
      </c>
      <c r="AC1125" s="2" t="s">
        <v>145</v>
      </c>
      <c r="AD1125" s="4">
        <v>80</v>
      </c>
      <c r="AE1125" s="4">
        <v>330</v>
      </c>
      <c r="AF1125" s="6">
        <v>65</v>
      </c>
      <c r="AG1125" s="6">
        <v>48</v>
      </c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/>
      <c r="BJ1125" s="4">
        <v>56</v>
      </c>
      <c r="BK1125" s="8">
        <v>1537.39</v>
      </c>
      <c r="BL1125" s="2" t="s">
        <v>1494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109</v>
      </c>
      <c r="BV1125" s="2" t="s">
        <v>97</v>
      </c>
      <c r="BW1125" s="2" t="s">
        <v>4187</v>
      </c>
      <c r="BX1125" s="2" t="s">
        <v>4389</v>
      </c>
      <c r="BY1125" s="2" t="s">
        <v>112</v>
      </c>
      <c r="BZ1125" s="2" t="s">
        <v>100</v>
      </c>
    </row>
    <row r="1126">
      <c r="A1126" s="2" t="s">
        <v>4390</v>
      </c>
      <c r="B1126" s="2" t="s">
        <v>4041</v>
      </c>
      <c r="C1126" s="2" t="s">
        <v>88</v>
      </c>
      <c r="D1126" s="2" t="s">
        <v>4216</v>
      </c>
      <c r="E1126" s="2" t="s">
        <v>4217</v>
      </c>
      <c r="F1126" s="2" t="s">
        <v>4377</v>
      </c>
      <c r="G1126" s="2" t="s">
        <v>4378</v>
      </c>
      <c r="H1126" s="2" t="s">
        <v>4378</v>
      </c>
      <c r="I1126" s="2" t="s">
        <v>4379</v>
      </c>
      <c r="J1126" s="2" t="s">
        <v>522</v>
      </c>
      <c r="K1126" s="2" t="s">
        <v>4391</v>
      </c>
      <c r="L1126" s="3">
        <v>25.67</v>
      </c>
      <c r="M1126" s="3">
        <v>26.95</v>
      </c>
      <c r="N1126" s="3">
        <v>54.99</v>
      </c>
      <c r="O1126" s="2" t="s">
        <v>97</v>
      </c>
      <c r="P1126" s="2" t="s">
        <v>98</v>
      </c>
      <c r="Q1126" s="2" t="s">
        <v>99</v>
      </c>
      <c r="R1126" s="2" t="s">
        <v>100</v>
      </c>
      <c r="S1126" s="2" t="s">
        <v>4392</v>
      </c>
      <c r="T1126" s="2" t="s">
        <v>438</v>
      </c>
      <c r="U1126" s="2" t="s">
        <v>1776</v>
      </c>
      <c r="V1126" s="2" t="s">
        <v>461</v>
      </c>
      <c r="W1126" s="2" t="s">
        <v>609</v>
      </c>
      <c r="X1126" s="2" t="s">
        <v>100</v>
      </c>
      <c r="Y1126" s="2" t="s">
        <v>4393</v>
      </c>
      <c r="Z1126" s="4">
        <v>247</v>
      </c>
      <c r="AA1126" s="4">
        <f>=ROUNDDOWN(17.6428571428571,0)</f>
      </c>
      <c r="AB1126" s="5">
        <v>14</v>
      </c>
      <c r="AC1126" s="2" t="s">
        <v>3200</v>
      </c>
      <c r="AD1126" s="4">
        <v>150</v>
      </c>
      <c r="AE1126" s="4">
        <v>150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100</v>
      </c>
      <c r="AW1126" s="8" t="s">
        <v>100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/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 t="s">
        <v>100</v>
      </c>
      <c r="BJ1126" s="4">
        <v>42</v>
      </c>
      <c r="BK1126" s="8">
        <v>1160.07</v>
      </c>
      <c r="BL1126" s="2" t="s">
        <v>2844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171</v>
      </c>
      <c r="BV1126" s="2" t="s">
        <v>97</v>
      </c>
      <c r="BW1126" s="2" t="s">
        <v>100</v>
      </c>
      <c r="BX1126" s="2" t="s">
        <v>100</v>
      </c>
      <c r="BY1126" s="2" t="s">
        <v>112</v>
      </c>
      <c r="BZ1126" s="2" t="s">
        <v>100</v>
      </c>
    </row>
    <row r="1127">
      <c r="A1127" s="2" t="s">
        <v>4394</v>
      </c>
      <c r="B1127" s="2" t="s">
        <v>4041</v>
      </c>
      <c r="C1127" s="2" t="s">
        <v>88</v>
      </c>
      <c r="D1127" s="2" t="s">
        <v>4216</v>
      </c>
      <c r="E1127" s="2" t="s">
        <v>4217</v>
      </c>
      <c r="F1127" s="2" t="s">
        <v>4377</v>
      </c>
      <c r="G1127" s="2" t="s">
        <v>4378</v>
      </c>
      <c r="H1127" s="2" t="s">
        <v>4378</v>
      </c>
      <c r="I1127" s="2" t="s">
        <v>4379</v>
      </c>
      <c r="J1127" s="2" t="s">
        <v>114</v>
      </c>
      <c r="K1127" s="2" t="s">
        <v>4391</v>
      </c>
      <c r="L1127" s="3">
        <v>28.98</v>
      </c>
      <c r="M1127" s="3">
        <v>30.43</v>
      </c>
      <c r="N1127" s="3">
        <v>64.99</v>
      </c>
      <c r="O1127" s="2" t="s">
        <v>97</v>
      </c>
      <c r="P1127" s="2" t="s">
        <v>98</v>
      </c>
      <c r="Q1127" s="2" t="s">
        <v>99</v>
      </c>
      <c r="R1127" s="2" t="s">
        <v>100</v>
      </c>
      <c r="S1127" s="2" t="s">
        <v>4392</v>
      </c>
      <c r="T1127" s="2" t="s">
        <v>438</v>
      </c>
      <c r="U1127" s="2" t="s">
        <v>1776</v>
      </c>
      <c r="V1127" s="2" t="s">
        <v>461</v>
      </c>
      <c r="W1127" s="2" t="s">
        <v>609</v>
      </c>
      <c r="X1127" s="2" t="s">
        <v>100</v>
      </c>
      <c r="Y1127" s="2" t="s">
        <v>4393</v>
      </c>
      <c r="Z1127" s="4">
        <v>242</v>
      </c>
      <c r="AA1127" s="4">
        <f>=ROUNDDOWN(14.2352941176471,0)</f>
      </c>
      <c r="AB1127" s="5">
        <v>17</v>
      </c>
      <c r="AC1127" s="2" t="s">
        <v>3200</v>
      </c>
      <c r="AD1127" s="4">
        <v>240</v>
      </c>
      <c r="AE1127" s="4">
        <v>240</v>
      </c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100</v>
      </c>
      <c r="AW1127" s="8" t="s">
        <v>100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/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 t="s">
        <v>100</v>
      </c>
      <c r="BJ1127" s="4">
        <v>31</v>
      </c>
      <c r="BK1127" s="8">
        <v>964.45</v>
      </c>
      <c r="BL1127" s="2" t="s">
        <v>4395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171</v>
      </c>
      <c r="BV1127" s="2" t="s">
        <v>97</v>
      </c>
      <c r="BW1127" s="2" t="s">
        <v>100</v>
      </c>
      <c r="BX1127" s="2" t="s">
        <v>100</v>
      </c>
      <c r="BY1127" s="2" t="s">
        <v>112</v>
      </c>
      <c r="BZ1127" s="2" t="s">
        <v>100</v>
      </c>
    </row>
    <row r="1128">
      <c r="A1128" s="2" t="s">
        <v>4396</v>
      </c>
      <c r="B1128" s="2" t="s">
        <v>4041</v>
      </c>
      <c r="C1128" s="2" t="s">
        <v>88</v>
      </c>
      <c r="D1128" s="2" t="s">
        <v>4216</v>
      </c>
      <c r="E1128" s="2" t="s">
        <v>4217</v>
      </c>
      <c r="F1128" s="2" t="s">
        <v>4397</v>
      </c>
      <c r="G1128" s="2" t="s">
        <v>4398</v>
      </c>
      <c r="H1128" s="2" t="s">
        <v>4398</v>
      </c>
      <c r="I1128" s="2" t="s">
        <v>4399</v>
      </c>
      <c r="J1128" s="2" t="s">
        <v>352</v>
      </c>
      <c r="K1128" s="2" t="s">
        <v>1373</v>
      </c>
      <c r="L1128" s="3">
        <v>20.47</v>
      </c>
      <c r="M1128" s="3">
        <v>21.49</v>
      </c>
      <c r="N1128" s="3">
        <v>44.99</v>
      </c>
      <c r="O1128" s="2" t="s">
        <v>97</v>
      </c>
      <c r="P1128" s="2" t="s">
        <v>98</v>
      </c>
      <c r="Q1128" s="2" t="s">
        <v>99</v>
      </c>
      <c r="R1128" s="2" t="s">
        <v>100</v>
      </c>
      <c r="S1128" s="2" t="s">
        <v>4400</v>
      </c>
      <c r="T1128" s="2" t="s">
        <v>4296</v>
      </c>
      <c r="U1128" s="2" t="s">
        <v>1776</v>
      </c>
      <c r="V1128" s="2" t="s">
        <v>461</v>
      </c>
      <c r="W1128" s="2" t="s">
        <v>609</v>
      </c>
      <c r="X1128" s="2" t="s">
        <v>525</v>
      </c>
      <c r="Y1128" s="2" t="s">
        <v>4401</v>
      </c>
      <c r="Z1128" s="4">
        <v>293</v>
      </c>
      <c r="AA1128" s="4">
        <f>=ROUNDDOWN(24.4166666666667,0)</f>
      </c>
      <c r="AB1128" s="5">
        <v>12</v>
      </c>
      <c r="AC1128" s="2" t="s">
        <v>875</v>
      </c>
      <c r="AD1128" s="4">
        <v>150</v>
      </c>
      <c r="AE1128" s="4">
        <v>150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1</v>
      </c>
      <c r="AQ1128" s="8">
        <v>22.86</v>
      </c>
      <c r="AR1128" s="4"/>
      <c r="AS1128" s="8"/>
      <c r="AT1128" s="7"/>
      <c r="AU1128" s="7"/>
      <c r="AV1128" s="4">
        <v>1</v>
      </c>
      <c r="AW1128" s="8">
        <v>22.86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>
        <v>1</v>
      </c>
      <c r="BC1128" s="4">
        <v>1</v>
      </c>
      <c r="BD1128" s="8">
        <v>22.86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>
        <v>1</v>
      </c>
      <c r="BJ1128" s="4">
        <v>42</v>
      </c>
      <c r="BK1128" s="8">
        <v>888.32</v>
      </c>
      <c r="BL1128" s="2" t="s">
        <v>1522</v>
      </c>
      <c r="BM1128" s="7">
        <v>0.0238</v>
      </c>
      <c r="BN1128" s="7">
        <v>0.0257</v>
      </c>
      <c r="BO1128" s="4">
        <v>1</v>
      </c>
      <c r="BP1128" s="8">
        <v>22.86</v>
      </c>
      <c r="BQ1128" s="4"/>
      <c r="BR1128" s="8"/>
      <c r="BS1128" s="7"/>
      <c r="BT1128" s="7"/>
      <c r="BU1128" s="2" t="s">
        <v>109</v>
      </c>
      <c r="BV1128" s="2" t="s">
        <v>97</v>
      </c>
      <c r="BW1128" s="2" t="s">
        <v>4402</v>
      </c>
      <c r="BX1128" s="2" t="s">
        <v>1535</v>
      </c>
      <c r="BY1128" s="2" t="s">
        <v>112</v>
      </c>
      <c r="BZ1128" s="2" t="s">
        <v>100</v>
      </c>
    </row>
    <row r="1129">
      <c r="A1129" s="2" t="s">
        <v>4403</v>
      </c>
      <c r="B1129" s="2" t="s">
        <v>4041</v>
      </c>
      <c r="C1129" s="2" t="s">
        <v>88</v>
      </c>
      <c r="D1129" s="2" t="s">
        <v>4216</v>
      </c>
      <c r="E1129" s="2" t="s">
        <v>4217</v>
      </c>
      <c r="F1129" s="2" t="s">
        <v>4397</v>
      </c>
      <c r="G1129" s="2" t="s">
        <v>4398</v>
      </c>
      <c r="H1129" s="2" t="s">
        <v>4398</v>
      </c>
      <c r="I1129" s="2" t="s">
        <v>4399</v>
      </c>
      <c r="J1129" s="2" t="s">
        <v>522</v>
      </c>
      <c r="K1129" s="2" t="s">
        <v>1373</v>
      </c>
      <c r="L1129" s="3">
        <v>25.39</v>
      </c>
      <c r="M1129" s="3">
        <v>26.66</v>
      </c>
      <c r="N1129" s="3">
        <v>54.99</v>
      </c>
      <c r="O1129" s="2" t="s">
        <v>97</v>
      </c>
      <c r="P1129" s="2" t="s">
        <v>156</v>
      </c>
      <c r="Q1129" s="2" t="s">
        <v>99</v>
      </c>
      <c r="R1129" s="2" t="s">
        <v>100</v>
      </c>
      <c r="S1129" s="2" t="s">
        <v>4400</v>
      </c>
      <c r="T1129" s="2" t="s">
        <v>4296</v>
      </c>
      <c r="U1129" s="2" t="s">
        <v>1776</v>
      </c>
      <c r="V1129" s="2" t="s">
        <v>461</v>
      </c>
      <c r="W1129" s="2" t="s">
        <v>609</v>
      </c>
      <c r="X1129" s="2" t="s">
        <v>525</v>
      </c>
      <c r="Y1129" s="2" t="s">
        <v>4401</v>
      </c>
      <c r="Z1129" s="4">
        <v>242</v>
      </c>
      <c r="AA1129" s="4">
        <f>=ROUNDDOWN(12.7368421052632,0)</f>
      </c>
      <c r="AB1129" s="5">
        <v>19</v>
      </c>
      <c r="AC1129" s="2" t="s">
        <v>875</v>
      </c>
      <c r="AD1129" s="4">
        <v>250</v>
      </c>
      <c r="AE1129" s="4">
        <v>250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/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 t="s">
        <v>100</v>
      </c>
      <c r="BJ1129" s="4">
        <v>32</v>
      </c>
      <c r="BK1129" s="8">
        <v>850.27</v>
      </c>
      <c r="BL1129" s="2" t="s">
        <v>3052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109</v>
      </c>
      <c r="BV1129" s="2" t="s">
        <v>97</v>
      </c>
      <c r="BW1129" s="2" t="s">
        <v>4402</v>
      </c>
      <c r="BX1129" s="2" t="s">
        <v>4404</v>
      </c>
      <c r="BY1129" s="2" t="s">
        <v>112</v>
      </c>
      <c r="BZ1129" s="2" t="s">
        <v>100</v>
      </c>
    </row>
    <row r="1130">
      <c r="A1130" s="2" t="s">
        <v>4405</v>
      </c>
      <c r="B1130" s="2" t="s">
        <v>4041</v>
      </c>
      <c r="C1130" s="2" t="s">
        <v>88</v>
      </c>
      <c r="D1130" s="2" t="s">
        <v>4216</v>
      </c>
      <c r="E1130" s="2" t="s">
        <v>4217</v>
      </c>
      <c r="F1130" s="2" t="s">
        <v>4397</v>
      </c>
      <c r="G1130" s="2" t="s">
        <v>4398</v>
      </c>
      <c r="H1130" s="2" t="s">
        <v>4398</v>
      </c>
      <c r="I1130" s="2" t="s">
        <v>4399</v>
      </c>
      <c r="J1130" s="2" t="s">
        <v>114</v>
      </c>
      <c r="K1130" s="2" t="s">
        <v>1373</v>
      </c>
      <c r="L1130" s="3">
        <v>28.11</v>
      </c>
      <c r="M1130" s="3">
        <v>29.52</v>
      </c>
      <c r="N1130" s="3">
        <v>64.99</v>
      </c>
      <c r="O1130" s="2" t="s">
        <v>97</v>
      </c>
      <c r="P1130" s="2" t="s">
        <v>123</v>
      </c>
      <c r="Q1130" s="2" t="s">
        <v>99</v>
      </c>
      <c r="R1130" s="2" t="s">
        <v>100</v>
      </c>
      <c r="S1130" s="2" t="s">
        <v>4400</v>
      </c>
      <c r="T1130" s="2" t="s">
        <v>4296</v>
      </c>
      <c r="U1130" s="2" t="s">
        <v>1776</v>
      </c>
      <c r="V1130" s="2" t="s">
        <v>461</v>
      </c>
      <c r="W1130" s="2" t="s">
        <v>609</v>
      </c>
      <c r="X1130" s="2" t="s">
        <v>525</v>
      </c>
      <c r="Y1130" s="2" t="s">
        <v>4401</v>
      </c>
      <c r="Z1130" s="4">
        <v>313</v>
      </c>
      <c r="AA1130" s="4">
        <f>=ROUNDDOWN(18.1976744186046,0)</f>
      </c>
      <c r="AB1130" s="5">
        <v>17.2</v>
      </c>
      <c r="AC1130" s="2" t="s">
        <v>875</v>
      </c>
      <c r="AD1130" s="4">
        <v>200</v>
      </c>
      <c r="AE1130" s="4">
        <v>200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100</v>
      </c>
      <c r="AW1130" s="8" t="s">
        <v>100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/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 t="s">
        <v>100</v>
      </c>
      <c r="BJ1130" s="4">
        <v>52</v>
      </c>
      <c r="BK1130" s="8">
        <v>1529.75</v>
      </c>
      <c r="BL1130" s="2" t="s">
        <v>1494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109</v>
      </c>
      <c r="BV1130" s="2" t="s">
        <v>97</v>
      </c>
      <c r="BW1130" s="2" t="s">
        <v>4402</v>
      </c>
      <c r="BX1130" s="2" t="s">
        <v>1555</v>
      </c>
      <c r="BY1130" s="2" t="s">
        <v>112</v>
      </c>
      <c r="BZ1130" s="2" t="s">
        <v>100</v>
      </c>
    </row>
    <row r="1131">
      <c r="A1131" s="2" t="s">
        <v>4406</v>
      </c>
      <c r="B1131" s="2" t="s">
        <v>4041</v>
      </c>
      <c r="C1131" s="2" t="s">
        <v>88</v>
      </c>
      <c r="D1131" s="2" t="s">
        <v>4216</v>
      </c>
      <c r="E1131" s="2" t="s">
        <v>4217</v>
      </c>
      <c r="F1131" s="2" t="s">
        <v>4397</v>
      </c>
      <c r="G1131" s="2" t="s">
        <v>4398</v>
      </c>
      <c r="H1131" s="2" t="s">
        <v>4398</v>
      </c>
      <c r="I1131" s="2" t="s">
        <v>4399</v>
      </c>
      <c r="J1131" s="2" t="s">
        <v>352</v>
      </c>
      <c r="K1131" s="2" t="s">
        <v>165</v>
      </c>
      <c r="L1131" s="3">
        <v>20.47</v>
      </c>
      <c r="M1131" s="3">
        <v>21.49</v>
      </c>
      <c r="N1131" s="3">
        <v>44.99</v>
      </c>
      <c r="O1131" s="2" t="s">
        <v>97</v>
      </c>
      <c r="P1131" s="2" t="s">
        <v>98</v>
      </c>
      <c r="Q1131" s="2" t="s">
        <v>99</v>
      </c>
      <c r="R1131" s="2" t="s">
        <v>100</v>
      </c>
      <c r="S1131" s="2" t="s">
        <v>4407</v>
      </c>
      <c r="T1131" s="2" t="s">
        <v>438</v>
      </c>
      <c r="U1131" s="2" t="s">
        <v>1776</v>
      </c>
      <c r="V1131" s="2" t="s">
        <v>461</v>
      </c>
      <c r="W1131" s="2" t="s">
        <v>609</v>
      </c>
      <c r="X1131" s="2" t="s">
        <v>525</v>
      </c>
      <c r="Y1131" s="2" t="s">
        <v>2700</v>
      </c>
      <c r="Z1131" s="4">
        <v>105</v>
      </c>
      <c r="AA1131" s="4">
        <f>=ROUNDDOWN(17.5,0)</f>
      </c>
      <c r="AB1131" s="5">
        <v>6</v>
      </c>
      <c r="AC1131" s="2" t="s">
        <v>875</v>
      </c>
      <c r="AD1131" s="4">
        <v>60</v>
      </c>
      <c r="AE1131" s="4">
        <v>60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100</v>
      </c>
      <c r="AW1131" s="8" t="s">
        <v>100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/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 t="s">
        <v>100</v>
      </c>
      <c r="BJ1131" s="4">
        <v>18</v>
      </c>
      <c r="BK1131" s="8">
        <v>392.6</v>
      </c>
      <c r="BL1131" s="2" t="s">
        <v>4408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171</v>
      </c>
      <c r="BV1131" s="2" t="s">
        <v>97</v>
      </c>
      <c r="BW1131" s="2" t="s">
        <v>100</v>
      </c>
      <c r="BX1131" s="2" t="s">
        <v>100</v>
      </c>
      <c r="BY1131" s="2" t="s">
        <v>112</v>
      </c>
      <c r="BZ1131" s="2" t="s">
        <v>100</v>
      </c>
    </row>
    <row r="1132">
      <c r="A1132" s="2" t="s">
        <v>4409</v>
      </c>
      <c r="B1132" s="2" t="s">
        <v>4041</v>
      </c>
      <c r="C1132" s="2" t="s">
        <v>88</v>
      </c>
      <c r="D1132" s="2" t="s">
        <v>4216</v>
      </c>
      <c r="E1132" s="2" t="s">
        <v>4217</v>
      </c>
      <c r="F1132" s="2" t="s">
        <v>4397</v>
      </c>
      <c r="G1132" s="2" t="s">
        <v>4398</v>
      </c>
      <c r="H1132" s="2" t="s">
        <v>4398</v>
      </c>
      <c r="I1132" s="2" t="s">
        <v>4399</v>
      </c>
      <c r="J1132" s="2" t="s">
        <v>522</v>
      </c>
      <c r="K1132" s="2" t="s">
        <v>165</v>
      </c>
      <c r="L1132" s="3">
        <v>25.39</v>
      </c>
      <c r="M1132" s="3">
        <v>26.66</v>
      </c>
      <c r="N1132" s="3">
        <v>54.99</v>
      </c>
      <c r="O1132" s="2" t="s">
        <v>97</v>
      </c>
      <c r="P1132" s="2" t="s">
        <v>98</v>
      </c>
      <c r="Q1132" s="2" t="s">
        <v>99</v>
      </c>
      <c r="R1132" s="2" t="s">
        <v>100</v>
      </c>
      <c r="S1132" s="2" t="s">
        <v>4407</v>
      </c>
      <c r="T1132" s="2" t="s">
        <v>438</v>
      </c>
      <c r="U1132" s="2" t="s">
        <v>1776</v>
      </c>
      <c r="V1132" s="2" t="s">
        <v>461</v>
      </c>
      <c r="W1132" s="2" t="s">
        <v>609</v>
      </c>
      <c r="X1132" s="2" t="s">
        <v>525</v>
      </c>
      <c r="Y1132" s="2" t="s">
        <v>2700</v>
      </c>
      <c r="Z1132" s="4">
        <v>165</v>
      </c>
      <c r="AA1132" s="4">
        <f>=ROUNDDOWN(18.3333333333333,0)</f>
      </c>
      <c r="AB1132" s="5">
        <v>9</v>
      </c>
      <c r="AC1132" s="2" t="s">
        <v>875</v>
      </c>
      <c r="AD1132" s="4">
        <v>100</v>
      </c>
      <c r="AE1132" s="4">
        <v>100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/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 t="s">
        <v>100</v>
      </c>
      <c r="BJ1132" s="4">
        <v>34</v>
      </c>
      <c r="BK1132" s="8">
        <v>951.79</v>
      </c>
      <c r="BL1132" s="2" t="s">
        <v>4410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171</v>
      </c>
      <c r="BV1132" s="2" t="s">
        <v>97</v>
      </c>
      <c r="BW1132" s="2" t="s">
        <v>100</v>
      </c>
      <c r="BX1132" s="2" t="s">
        <v>100</v>
      </c>
      <c r="BY1132" s="2" t="s">
        <v>112</v>
      </c>
      <c r="BZ1132" s="2" t="s">
        <v>100</v>
      </c>
    </row>
    <row r="1133">
      <c r="A1133" s="2" t="s">
        <v>4411</v>
      </c>
      <c r="B1133" s="2" t="s">
        <v>4041</v>
      </c>
      <c r="C1133" s="2" t="s">
        <v>88</v>
      </c>
      <c r="D1133" s="2" t="s">
        <v>4216</v>
      </c>
      <c r="E1133" s="2" t="s">
        <v>4217</v>
      </c>
      <c r="F1133" s="2" t="s">
        <v>4397</v>
      </c>
      <c r="G1133" s="2" t="s">
        <v>4398</v>
      </c>
      <c r="H1133" s="2" t="s">
        <v>4398</v>
      </c>
      <c r="I1133" s="2" t="s">
        <v>4399</v>
      </c>
      <c r="J1133" s="2" t="s">
        <v>114</v>
      </c>
      <c r="K1133" s="2" t="s">
        <v>165</v>
      </c>
      <c r="L1133" s="3">
        <v>28.11</v>
      </c>
      <c r="M1133" s="3">
        <v>29.52</v>
      </c>
      <c r="N1133" s="3">
        <v>64.99</v>
      </c>
      <c r="O1133" s="2" t="s">
        <v>97</v>
      </c>
      <c r="P1133" s="2" t="s">
        <v>98</v>
      </c>
      <c r="Q1133" s="2" t="s">
        <v>99</v>
      </c>
      <c r="R1133" s="2" t="s">
        <v>100</v>
      </c>
      <c r="S1133" s="2" t="s">
        <v>4407</v>
      </c>
      <c r="T1133" s="2" t="s">
        <v>438</v>
      </c>
      <c r="U1133" s="2" t="s">
        <v>1776</v>
      </c>
      <c r="V1133" s="2" t="s">
        <v>461</v>
      </c>
      <c r="W1133" s="2" t="s">
        <v>609</v>
      </c>
      <c r="X1133" s="2" t="s">
        <v>525</v>
      </c>
      <c r="Y1133" s="2" t="s">
        <v>2700</v>
      </c>
      <c r="Z1133" s="4">
        <v>128</v>
      </c>
      <c r="AA1133" s="4">
        <f>=ROUNDDOWN(21.3333333333333,0)</f>
      </c>
      <c r="AB1133" s="5">
        <v>6</v>
      </c>
      <c r="AC1133" s="2" t="s">
        <v>875</v>
      </c>
      <c r="AD1133" s="4">
        <v>90</v>
      </c>
      <c r="AE1133" s="4">
        <v>90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100</v>
      </c>
      <c r="AW1133" s="8" t="s">
        <v>100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/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 t="s">
        <v>100</v>
      </c>
      <c r="BJ1133" s="4">
        <v>18</v>
      </c>
      <c r="BK1133" s="8">
        <v>525.58</v>
      </c>
      <c r="BL1133" s="2" t="s">
        <v>4412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171</v>
      </c>
      <c r="BV1133" s="2" t="s">
        <v>97</v>
      </c>
      <c r="BW1133" s="2" t="s">
        <v>100</v>
      </c>
      <c r="BX1133" s="2" t="s">
        <v>100</v>
      </c>
      <c r="BY1133" s="2" t="s">
        <v>112</v>
      </c>
      <c r="BZ1133" s="2" t="s">
        <v>100</v>
      </c>
    </row>
    <row r="1134">
      <c r="A1134" s="2" t="s">
        <v>4413</v>
      </c>
      <c r="B1134" s="2" t="s">
        <v>4041</v>
      </c>
      <c r="C1134" s="2" t="s">
        <v>88</v>
      </c>
      <c r="D1134" s="2" t="s">
        <v>4216</v>
      </c>
      <c r="E1134" s="2" t="s">
        <v>4217</v>
      </c>
      <c r="F1134" s="2" t="s">
        <v>4397</v>
      </c>
      <c r="G1134" s="2" t="s">
        <v>4398</v>
      </c>
      <c r="H1134" s="2" t="s">
        <v>4398</v>
      </c>
      <c r="I1134" s="2" t="s">
        <v>4399</v>
      </c>
      <c r="J1134" s="2" t="s">
        <v>352</v>
      </c>
      <c r="K1134" s="2" t="s">
        <v>1460</v>
      </c>
      <c r="L1134" s="3">
        <v>20.47</v>
      </c>
      <c r="M1134" s="3">
        <v>21.49</v>
      </c>
      <c r="N1134" s="3">
        <v>44.99</v>
      </c>
      <c r="O1134" s="2" t="s">
        <v>97</v>
      </c>
      <c r="P1134" s="2" t="s">
        <v>98</v>
      </c>
      <c r="Q1134" s="2" t="s">
        <v>99</v>
      </c>
      <c r="R1134" s="2" t="s">
        <v>100</v>
      </c>
      <c r="S1134" s="2" t="s">
        <v>4414</v>
      </c>
      <c r="T1134" s="2" t="s">
        <v>4296</v>
      </c>
      <c r="U1134" s="2" t="s">
        <v>1776</v>
      </c>
      <c r="V1134" s="2" t="s">
        <v>461</v>
      </c>
      <c r="W1134" s="2" t="s">
        <v>609</v>
      </c>
      <c r="X1134" s="2" t="s">
        <v>525</v>
      </c>
      <c r="Y1134" s="2" t="s">
        <v>4415</v>
      </c>
      <c r="Z1134" s="4">
        <v>200</v>
      </c>
      <c r="AA1134" s="4">
        <f>=ROUNDDOWN(50,0)</f>
      </c>
      <c r="AB1134" s="5">
        <v>4</v>
      </c>
      <c r="AC1134" s="2" t="s">
        <v>100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/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 t="s">
        <v>100</v>
      </c>
      <c r="BJ1134" s="4">
        <v>6</v>
      </c>
      <c r="BK1134" s="8">
        <v>131.68</v>
      </c>
      <c r="BL1134" s="2" t="s">
        <v>4416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171</v>
      </c>
      <c r="BV1134" s="2" t="s">
        <v>97</v>
      </c>
      <c r="BW1134" s="2" t="s">
        <v>100</v>
      </c>
      <c r="BX1134" s="2" t="s">
        <v>100</v>
      </c>
      <c r="BY1134" s="2" t="s">
        <v>112</v>
      </c>
      <c r="BZ1134" s="2" t="s">
        <v>100</v>
      </c>
    </row>
    <row r="1135">
      <c r="A1135" s="2" t="s">
        <v>4417</v>
      </c>
      <c r="B1135" s="2" t="s">
        <v>4041</v>
      </c>
      <c r="C1135" s="2" t="s">
        <v>88</v>
      </c>
      <c r="D1135" s="2" t="s">
        <v>4216</v>
      </c>
      <c r="E1135" s="2" t="s">
        <v>4217</v>
      </c>
      <c r="F1135" s="2" t="s">
        <v>4397</v>
      </c>
      <c r="G1135" s="2" t="s">
        <v>4398</v>
      </c>
      <c r="H1135" s="2" t="s">
        <v>4398</v>
      </c>
      <c r="I1135" s="2" t="s">
        <v>4399</v>
      </c>
      <c r="J1135" s="2" t="s">
        <v>522</v>
      </c>
      <c r="K1135" s="2" t="s">
        <v>1460</v>
      </c>
      <c r="L1135" s="3">
        <v>25.39</v>
      </c>
      <c r="M1135" s="3">
        <v>26.66</v>
      </c>
      <c r="N1135" s="3">
        <v>54.99</v>
      </c>
      <c r="O1135" s="2" t="s">
        <v>97</v>
      </c>
      <c r="P1135" s="2" t="s">
        <v>98</v>
      </c>
      <c r="Q1135" s="2" t="s">
        <v>99</v>
      </c>
      <c r="R1135" s="2" t="s">
        <v>100</v>
      </c>
      <c r="S1135" s="2" t="s">
        <v>4414</v>
      </c>
      <c r="T1135" s="2" t="s">
        <v>4296</v>
      </c>
      <c r="U1135" s="2" t="s">
        <v>1776</v>
      </c>
      <c r="V1135" s="2" t="s">
        <v>461</v>
      </c>
      <c r="W1135" s="2" t="s">
        <v>609</v>
      </c>
      <c r="X1135" s="2" t="s">
        <v>525</v>
      </c>
      <c r="Y1135" s="2" t="s">
        <v>4415</v>
      </c>
      <c r="Z1135" s="4">
        <v>164</v>
      </c>
      <c r="AA1135" s="4">
        <f>=ROUNDDOWN(41,0)</f>
      </c>
      <c r="AB1135" s="5">
        <v>4</v>
      </c>
      <c r="AC1135" s="2" t="s">
        <v>330</v>
      </c>
      <c r="AD1135" s="4">
        <v>30</v>
      </c>
      <c r="AE1135" s="4">
        <v>30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/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 t="s">
        <v>100</v>
      </c>
      <c r="BJ1135" s="4">
        <v>6</v>
      </c>
      <c r="BK1135" s="8">
        <v>157.24</v>
      </c>
      <c r="BL1135" s="2" t="s">
        <v>4412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171</v>
      </c>
      <c r="BV1135" s="2" t="s">
        <v>97</v>
      </c>
      <c r="BW1135" s="2" t="s">
        <v>100</v>
      </c>
      <c r="BX1135" s="2" t="s">
        <v>100</v>
      </c>
      <c r="BY1135" s="2" t="s">
        <v>112</v>
      </c>
      <c r="BZ1135" s="2" t="s">
        <v>100</v>
      </c>
    </row>
    <row r="1136">
      <c r="A1136" s="2" t="s">
        <v>4418</v>
      </c>
      <c r="B1136" s="2" t="s">
        <v>4041</v>
      </c>
      <c r="C1136" s="2" t="s">
        <v>88</v>
      </c>
      <c r="D1136" s="2" t="s">
        <v>4216</v>
      </c>
      <c r="E1136" s="2" t="s">
        <v>4217</v>
      </c>
      <c r="F1136" s="2" t="s">
        <v>4397</v>
      </c>
      <c r="G1136" s="2" t="s">
        <v>4398</v>
      </c>
      <c r="H1136" s="2" t="s">
        <v>4398</v>
      </c>
      <c r="I1136" s="2" t="s">
        <v>4399</v>
      </c>
      <c r="J1136" s="2" t="s">
        <v>114</v>
      </c>
      <c r="K1136" s="2" t="s">
        <v>1460</v>
      </c>
      <c r="L1136" s="3">
        <v>28.11</v>
      </c>
      <c r="M1136" s="3">
        <v>29.52</v>
      </c>
      <c r="N1136" s="3">
        <v>64.99</v>
      </c>
      <c r="O1136" s="2" t="s">
        <v>97</v>
      </c>
      <c r="P1136" s="2" t="s">
        <v>98</v>
      </c>
      <c r="Q1136" s="2" t="s">
        <v>99</v>
      </c>
      <c r="R1136" s="2" t="s">
        <v>100</v>
      </c>
      <c r="S1136" s="2" t="s">
        <v>4414</v>
      </c>
      <c r="T1136" s="2" t="s">
        <v>4296</v>
      </c>
      <c r="U1136" s="2" t="s">
        <v>1776</v>
      </c>
      <c r="V1136" s="2" t="s">
        <v>461</v>
      </c>
      <c r="W1136" s="2" t="s">
        <v>609</v>
      </c>
      <c r="X1136" s="2" t="s">
        <v>525</v>
      </c>
      <c r="Y1136" s="2" t="s">
        <v>4415</v>
      </c>
      <c r="Z1136" s="4">
        <v>152</v>
      </c>
      <c r="AA1136" s="4">
        <f>=ROUNDDOWN(30.4,0)</f>
      </c>
      <c r="AB1136" s="5">
        <v>5</v>
      </c>
      <c r="AC1136" s="2" t="s">
        <v>330</v>
      </c>
      <c r="AD1136" s="4">
        <v>50</v>
      </c>
      <c r="AE1136" s="4">
        <v>50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/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 t="s">
        <v>100</v>
      </c>
      <c r="BJ1136" s="4">
        <v>12</v>
      </c>
      <c r="BK1136" s="8">
        <v>361.75</v>
      </c>
      <c r="BL1136" s="2" t="s">
        <v>632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171</v>
      </c>
      <c r="BV1136" s="2" t="s">
        <v>97</v>
      </c>
      <c r="BW1136" s="2" t="s">
        <v>100</v>
      </c>
      <c r="BX1136" s="2" t="s">
        <v>100</v>
      </c>
      <c r="BY1136" s="2" t="s">
        <v>112</v>
      </c>
      <c r="BZ1136" s="2" t="s">
        <v>100</v>
      </c>
    </row>
    <row r="1137">
      <c r="A1137" s="2" t="s">
        <v>4419</v>
      </c>
      <c r="B1137" s="2" t="s">
        <v>4041</v>
      </c>
      <c r="C1137" s="2" t="s">
        <v>88</v>
      </c>
      <c r="D1137" s="2" t="s">
        <v>4216</v>
      </c>
      <c r="E1137" s="2" t="s">
        <v>4217</v>
      </c>
      <c r="F1137" s="2" t="s">
        <v>4397</v>
      </c>
      <c r="G1137" s="2" t="s">
        <v>4398</v>
      </c>
      <c r="H1137" s="2" t="s">
        <v>4398</v>
      </c>
      <c r="I1137" s="2" t="s">
        <v>4399</v>
      </c>
      <c r="J1137" s="2" t="s">
        <v>352</v>
      </c>
      <c r="K1137" s="2" t="s">
        <v>96</v>
      </c>
      <c r="L1137" s="3">
        <v>20.47</v>
      </c>
      <c r="M1137" s="3">
        <v>21.49</v>
      </c>
      <c r="N1137" s="3">
        <v>44.99</v>
      </c>
      <c r="O1137" s="2" t="s">
        <v>97</v>
      </c>
      <c r="P1137" s="2" t="s">
        <v>98</v>
      </c>
      <c r="Q1137" s="2" t="s">
        <v>99</v>
      </c>
      <c r="R1137" s="2" t="s">
        <v>100</v>
      </c>
      <c r="S1137" s="2" t="s">
        <v>4420</v>
      </c>
      <c r="T1137" s="2" t="s">
        <v>4296</v>
      </c>
      <c r="U1137" s="2" t="s">
        <v>1776</v>
      </c>
      <c r="V1137" s="2" t="s">
        <v>461</v>
      </c>
      <c r="W1137" s="2" t="s">
        <v>609</v>
      </c>
      <c r="X1137" s="2" t="s">
        <v>525</v>
      </c>
      <c r="Y1137" s="2" t="s">
        <v>2383</v>
      </c>
      <c r="Z1137" s="4">
        <v>202</v>
      </c>
      <c r="AA1137" s="4">
        <f>=ROUNDDOWN(12.625,0)</f>
      </c>
      <c r="AB1137" s="5">
        <v>16</v>
      </c>
      <c r="AC1137" s="2" t="s">
        <v>2604</v>
      </c>
      <c r="AD1137" s="4">
        <v>100</v>
      </c>
      <c r="AE1137" s="4">
        <v>260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100</v>
      </c>
      <c r="AW1137" s="8" t="s">
        <v>100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/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 t="s">
        <v>100</v>
      </c>
      <c r="BJ1137" s="4">
        <v>44</v>
      </c>
      <c r="BK1137" s="8">
        <v>986.87</v>
      </c>
      <c r="BL1137" s="2" t="s">
        <v>4421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109</v>
      </c>
      <c r="BV1137" s="2" t="s">
        <v>97</v>
      </c>
      <c r="BW1137" s="2" t="s">
        <v>4402</v>
      </c>
      <c r="BX1137" s="2" t="s">
        <v>4422</v>
      </c>
      <c r="BY1137" s="2" t="s">
        <v>112</v>
      </c>
      <c r="BZ1137" s="2" t="s">
        <v>100</v>
      </c>
    </row>
    <row r="1138">
      <c r="A1138" s="2" t="s">
        <v>4423</v>
      </c>
      <c r="B1138" s="2" t="s">
        <v>4041</v>
      </c>
      <c r="C1138" s="2" t="s">
        <v>88</v>
      </c>
      <c r="D1138" s="2" t="s">
        <v>4216</v>
      </c>
      <c r="E1138" s="2" t="s">
        <v>4217</v>
      </c>
      <c r="F1138" s="2" t="s">
        <v>4397</v>
      </c>
      <c r="G1138" s="2" t="s">
        <v>4398</v>
      </c>
      <c r="H1138" s="2" t="s">
        <v>4398</v>
      </c>
      <c r="I1138" s="2" t="s">
        <v>4399</v>
      </c>
      <c r="J1138" s="2" t="s">
        <v>522</v>
      </c>
      <c r="K1138" s="2" t="s">
        <v>96</v>
      </c>
      <c r="L1138" s="3">
        <v>25.39</v>
      </c>
      <c r="M1138" s="3">
        <v>26.66</v>
      </c>
      <c r="N1138" s="3">
        <v>54.99</v>
      </c>
      <c r="O1138" s="2" t="s">
        <v>97</v>
      </c>
      <c r="P1138" s="2" t="s">
        <v>123</v>
      </c>
      <c r="Q1138" s="2" t="s">
        <v>99</v>
      </c>
      <c r="R1138" s="2" t="s">
        <v>100</v>
      </c>
      <c r="S1138" s="2" t="s">
        <v>4420</v>
      </c>
      <c r="T1138" s="2" t="s">
        <v>4296</v>
      </c>
      <c r="U1138" s="2" t="s">
        <v>1776</v>
      </c>
      <c r="V1138" s="2" t="s">
        <v>461</v>
      </c>
      <c r="W1138" s="2" t="s">
        <v>609</v>
      </c>
      <c r="X1138" s="2" t="s">
        <v>525</v>
      </c>
      <c r="Y1138" s="2" t="s">
        <v>2383</v>
      </c>
      <c r="Z1138" s="4">
        <v>232</v>
      </c>
      <c r="AA1138" s="4">
        <f>=ROUNDDOWN(12.2105263157895,0)</f>
      </c>
      <c r="AB1138" s="5">
        <v>19</v>
      </c>
      <c r="AC1138" s="2" t="s">
        <v>2604</v>
      </c>
      <c r="AD1138" s="4">
        <v>100</v>
      </c>
      <c r="AE1138" s="4">
        <v>390</v>
      </c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/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 t="s">
        <v>100</v>
      </c>
      <c r="BJ1138" s="4">
        <v>44</v>
      </c>
      <c r="BK1138" s="8">
        <v>1192.22</v>
      </c>
      <c r="BL1138" s="2" t="s">
        <v>384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109</v>
      </c>
      <c r="BV1138" s="2" t="s">
        <v>97</v>
      </c>
      <c r="BW1138" s="2" t="s">
        <v>4402</v>
      </c>
      <c r="BX1138" s="2" t="s">
        <v>1954</v>
      </c>
      <c r="BY1138" s="2" t="s">
        <v>112</v>
      </c>
      <c r="BZ1138" s="2" t="s">
        <v>100</v>
      </c>
    </row>
    <row r="1139">
      <c r="A1139" s="2" t="s">
        <v>4424</v>
      </c>
      <c r="B1139" s="2" t="s">
        <v>4041</v>
      </c>
      <c r="C1139" s="2" t="s">
        <v>88</v>
      </c>
      <c r="D1139" s="2" t="s">
        <v>4216</v>
      </c>
      <c r="E1139" s="2" t="s">
        <v>4217</v>
      </c>
      <c r="F1139" s="2" t="s">
        <v>4397</v>
      </c>
      <c r="G1139" s="2" t="s">
        <v>4398</v>
      </c>
      <c r="H1139" s="2" t="s">
        <v>4398</v>
      </c>
      <c r="I1139" s="2" t="s">
        <v>4399</v>
      </c>
      <c r="J1139" s="2" t="s">
        <v>114</v>
      </c>
      <c r="K1139" s="2" t="s">
        <v>96</v>
      </c>
      <c r="L1139" s="3">
        <v>28.11</v>
      </c>
      <c r="M1139" s="3">
        <v>29.52</v>
      </c>
      <c r="N1139" s="3">
        <v>64.99</v>
      </c>
      <c r="O1139" s="2" t="s">
        <v>97</v>
      </c>
      <c r="P1139" s="2" t="s">
        <v>123</v>
      </c>
      <c r="Q1139" s="2" t="s">
        <v>99</v>
      </c>
      <c r="R1139" s="2" t="s">
        <v>100</v>
      </c>
      <c r="S1139" s="2" t="s">
        <v>4420</v>
      </c>
      <c r="T1139" s="2" t="s">
        <v>4296</v>
      </c>
      <c r="U1139" s="2" t="s">
        <v>1776</v>
      </c>
      <c r="V1139" s="2" t="s">
        <v>461</v>
      </c>
      <c r="W1139" s="2" t="s">
        <v>609</v>
      </c>
      <c r="X1139" s="2" t="s">
        <v>525</v>
      </c>
      <c r="Y1139" s="2" t="s">
        <v>2383</v>
      </c>
      <c r="Z1139" s="4">
        <v>242</v>
      </c>
      <c r="AA1139" s="4">
        <f>=ROUNDDOWN(14.2352941176471,0)</f>
      </c>
      <c r="AB1139" s="5">
        <v>17</v>
      </c>
      <c r="AC1139" s="2" t="s">
        <v>2604</v>
      </c>
      <c r="AD1139" s="4">
        <v>130</v>
      </c>
      <c r="AE1139" s="4">
        <v>270</v>
      </c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100</v>
      </c>
      <c r="AW1139" s="8" t="s">
        <v>100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/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 t="s">
        <v>100</v>
      </c>
      <c r="BJ1139" s="4">
        <v>46</v>
      </c>
      <c r="BK1139" s="8">
        <v>1367.31</v>
      </c>
      <c r="BL1139" s="2" t="s">
        <v>384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109</v>
      </c>
      <c r="BV1139" s="2" t="s">
        <v>97</v>
      </c>
      <c r="BW1139" s="2" t="s">
        <v>4402</v>
      </c>
      <c r="BX1139" s="2" t="s">
        <v>3572</v>
      </c>
      <c r="BY1139" s="2" t="s">
        <v>112</v>
      </c>
      <c r="BZ1139" s="2" t="s">
        <v>100</v>
      </c>
    </row>
    <row r="1140">
      <c r="A1140" s="2" t="s">
        <v>4425</v>
      </c>
      <c r="B1140" s="2" t="s">
        <v>4041</v>
      </c>
      <c r="C1140" s="2" t="s">
        <v>88</v>
      </c>
      <c r="D1140" s="2" t="s">
        <v>4216</v>
      </c>
      <c r="E1140" s="2" t="s">
        <v>4217</v>
      </c>
      <c r="F1140" s="2" t="s">
        <v>4397</v>
      </c>
      <c r="G1140" s="2" t="s">
        <v>4398</v>
      </c>
      <c r="H1140" s="2" t="s">
        <v>4398</v>
      </c>
      <c r="I1140" s="2" t="s">
        <v>4399</v>
      </c>
      <c r="J1140" s="2" t="s">
        <v>352</v>
      </c>
      <c r="K1140" s="2" t="s">
        <v>223</v>
      </c>
      <c r="L1140" s="3">
        <v>20.47</v>
      </c>
      <c r="M1140" s="3">
        <v>21.49</v>
      </c>
      <c r="N1140" s="3">
        <v>44.99</v>
      </c>
      <c r="O1140" s="2" t="s">
        <v>97</v>
      </c>
      <c r="P1140" s="2" t="s">
        <v>98</v>
      </c>
      <c r="Q1140" s="2" t="s">
        <v>99</v>
      </c>
      <c r="R1140" s="2" t="s">
        <v>100</v>
      </c>
      <c r="S1140" s="2" t="s">
        <v>4426</v>
      </c>
      <c r="T1140" s="2" t="s">
        <v>4296</v>
      </c>
      <c r="U1140" s="2" t="s">
        <v>1776</v>
      </c>
      <c r="V1140" s="2" t="s">
        <v>461</v>
      </c>
      <c r="W1140" s="2" t="s">
        <v>609</v>
      </c>
      <c r="X1140" s="2" t="s">
        <v>525</v>
      </c>
      <c r="Y1140" s="2" t="s">
        <v>4401</v>
      </c>
      <c r="Z1140" s="4">
        <v>255</v>
      </c>
      <c r="AA1140" s="4">
        <f>=ROUNDDOWN(23.1818181818182,0)</f>
      </c>
      <c r="AB1140" s="5">
        <v>11</v>
      </c>
      <c r="AC1140" s="2" t="s">
        <v>875</v>
      </c>
      <c r="AD1140" s="4">
        <v>180</v>
      </c>
      <c r="AE1140" s="4">
        <v>180</v>
      </c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/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 t="s">
        <v>100</v>
      </c>
      <c r="BJ1140" s="4">
        <v>18</v>
      </c>
      <c r="BK1140" s="8">
        <v>389.36</v>
      </c>
      <c r="BL1140" s="2" t="s">
        <v>527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109</v>
      </c>
      <c r="BV1140" s="2" t="s">
        <v>97</v>
      </c>
      <c r="BW1140" s="2" t="s">
        <v>4402</v>
      </c>
      <c r="BX1140" s="2" t="s">
        <v>4427</v>
      </c>
      <c r="BY1140" s="2" t="s">
        <v>112</v>
      </c>
      <c r="BZ1140" s="2" t="s">
        <v>100</v>
      </c>
    </row>
    <row r="1141">
      <c r="A1141" s="2" t="s">
        <v>4428</v>
      </c>
      <c r="B1141" s="2" t="s">
        <v>4041</v>
      </c>
      <c r="C1141" s="2" t="s">
        <v>88</v>
      </c>
      <c r="D1141" s="2" t="s">
        <v>4216</v>
      </c>
      <c r="E1141" s="2" t="s">
        <v>4217</v>
      </c>
      <c r="F1141" s="2" t="s">
        <v>4397</v>
      </c>
      <c r="G1141" s="2" t="s">
        <v>4398</v>
      </c>
      <c r="H1141" s="2" t="s">
        <v>4398</v>
      </c>
      <c r="I1141" s="2" t="s">
        <v>4399</v>
      </c>
      <c r="J1141" s="2" t="s">
        <v>522</v>
      </c>
      <c r="K1141" s="2" t="s">
        <v>223</v>
      </c>
      <c r="L1141" s="3">
        <v>25.39</v>
      </c>
      <c r="M1141" s="3">
        <v>26.66</v>
      </c>
      <c r="N1141" s="3">
        <v>54.99</v>
      </c>
      <c r="O1141" s="2" t="s">
        <v>97</v>
      </c>
      <c r="P1141" s="2" t="s">
        <v>98</v>
      </c>
      <c r="Q1141" s="2" t="s">
        <v>99</v>
      </c>
      <c r="R1141" s="2" t="s">
        <v>100</v>
      </c>
      <c r="S1141" s="2" t="s">
        <v>4426</v>
      </c>
      <c r="T1141" s="2" t="s">
        <v>4296</v>
      </c>
      <c r="U1141" s="2" t="s">
        <v>1776</v>
      </c>
      <c r="V1141" s="2" t="s">
        <v>461</v>
      </c>
      <c r="W1141" s="2" t="s">
        <v>609</v>
      </c>
      <c r="X1141" s="2" t="s">
        <v>525</v>
      </c>
      <c r="Y1141" s="2" t="s">
        <v>4401</v>
      </c>
      <c r="Z1141" s="4">
        <v>182</v>
      </c>
      <c r="AA1141" s="4">
        <f>=ROUNDDOWN(15.1666666666667,0)</f>
      </c>
      <c r="AB1141" s="5">
        <v>12</v>
      </c>
      <c r="AC1141" s="2" t="s">
        <v>875</v>
      </c>
      <c r="AD1141" s="4">
        <v>130</v>
      </c>
      <c r="AE1141" s="4">
        <v>220</v>
      </c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/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 t="s">
        <v>100</v>
      </c>
      <c r="BJ1141" s="4">
        <v>33</v>
      </c>
      <c r="BK1141" s="8">
        <v>884.25</v>
      </c>
      <c r="BL1141" s="2" t="s">
        <v>4429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109</v>
      </c>
      <c r="BV1141" s="2" t="s">
        <v>97</v>
      </c>
      <c r="BW1141" s="2" t="s">
        <v>4402</v>
      </c>
      <c r="BX1141" s="2" t="s">
        <v>4430</v>
      </c>
      <c r="BY1141" s="2" t="s">
        <v>112</v>
      </c>
      <c r="BZ1141" s="2" t="s">
        <v>100</v>
      </c>
    </row>
    <row r="1142">
      <c r="A1142" s="2" t="s">
        <v>4431</v>
      </c>
      <c r="B1142" s="2" t="s">
        <v>4041</v>
      </c>
      <c r="C1142" s="2" t="s">
        <v>88</v>
      </c>
      <c r="D1142" s="2" t="s">
        <v>4216</v>
      </c>
      <c r="E1142" s="2" t="s">
        <v>4217</v>
      </c>
      <c r="F1142" s="2" t="s">
        <v>4397</v>
      </c>
      <c r="G1142" s="2" t="s">
        <v>4398</v>
      </c>
      <c r="H1142" s="2" t="s">
        <v>4398</v>
      </c>
      <c r="I1142" s="2" t="s">
        <v>4399</v>
      </c>
      <c r="J1142" s="2" t="s">
        <v>114</v>
      </c>
      <c r="K1142" s="2" t="s">
        <v>223</v>
      </c>
      <c r="L1142" s="3">
        <v>28.11</v>
      </c>
      <c r="M1142" s="3">
        <v>29.52</v>
      </c>
      <c r="N1142" s="3">
        <v>64.99</v>
      </c>
      <c r="O1142" s="2" t="s">
        <v>97</v>
      </c>
      <c r="P1142" s="2" t="s">
        <v>98</v>
      </c>
      <c r="Q1142" s="2" t="s">
        <v>99</v>
      </c>
      <c r="R1142" s="2" t="s">
        <v>100</v>
      </c>
      <c r="S1142" s="2" t="s">
        <v>4426</v>
      </c>
      <c r="T1142" s="2" t="s">
        <v>4296</v>
      </c>
      <c r="U1142" s="2" t="s">
        <v>1776</v>
      </c>
      <c r="V1142" s="2" t="s">
        <v>461</v>
      </c>
      <c r="W1142" s="2" t="s">
        <v>609</v>
      </c>
      <c r="X1142" s="2" t="s">
        <v>525</v>
      </c>
      <c r="Y1142" s="2" t="s">
        <v>4401</v>
      </c>
      <c r="Z1142" s="4">
        <v>198</v>
      </c>
      <c r="AA1142" s="4">
        <f>=ROUNDDOWN(18,0)</f>
      </c>
      <c r="AB1142" s="5">
        <v>11</v>
      </c>
      <c r="AC1142" s="2" t="s">
        <v>875</v>
      </c>
      <c r="AD1142" s="4">
        <v>80</v>
      </c>
      <c r="AE1142" s="4">
        <v>180</v>
      </c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/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 t="s">
        <v>100</v>
      </c>
      <c r="BJ1142" s="4">
        <v>24</v>
      </c>
      <c r="BK1142" s="8">
        <v>727.63</v>
      </c>
      <c r="BL1142" s="2" t="s">
        <v>4432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109</v>
      </c>
      <c r="BV1142" s="2" t="s">
        <v>97</v>
      </c>
      <c r="BW1142" s="2" t="s">
        <v>4402</v>
      </c>
      <c r="BX1142" s="2" t="s">
        <v>4433</v>
      </c>
      <c r="BY1142" s="2" t="s">
        <v>112</v>
      </c>
      <c r="BZ1142" s="2" t="s">
        <v>100</v>
      </c>
    </row>
    <row r="1143">
      <c r="A1143" s="2" t="s">
        <v>4434</v>
      </c>
      <c r="B1143" s="2" t="s">
        <v>4041</v>
      </c>
      <c r="C1143" s="2" t="s">
        <v>88</v>
      </c>
      <c r="D1143" s="2" t="s">
        <v>89</v>
      </c>
      <c r="E1143" s="2" t="s">
        <v>4233</v>
      </c>
      <c r="F1143" s="2" t="s">
        <v>4435</v>
      </c>
      <c r="G1143" s="2" t="s">
        <v>4436</v>
      </c>
      <c r="H1143" s="2" t="s">
        <v>4436</v>
      </c>
      <c r="I1143" s="2" t="s">
        <v>4437</v>
      </c>
      <c r="J1143" s="2" t="s">
        <v>352</v>
      </c>
      <c r="K1143" s="2" t="s">
        <v>458</v>
      </c>
      <c r="L1143" s="3">
        <v>26.5</v>
      </c>
      <c r="M1143" s="3">
        <v>27.82</v>
      </c>
      <c r="N1143" s="3">
        <v>52.99</v>
      </c>
      <c r="O1143" s="2" t="s">
        <v>97</v>
      </c>
      <c r="P1143" s="2" t="s">
        <v>123</v>
      </c>
      <c r="Q1143" s="2" t="s">
        <v>99</v>
      </c>
      <c r="R1143" s="2" t="s">
        <v>100</v>
      </c>
      <c r="S1143" s="2" t="s">
        <v>4438</v>
      </c>
      <c r="T1143" s="2" t="s">
        <v>190</v>
      </c>
      <c r="U1143" s="2" t="s">
        <v>1776</v>
      </c>
      <c r="V1143" s="2" t="s">
        <v>461</v>
      </c>
      <c r="W1143" s="2" t="s">
        <v>609</v>
      </c>
      <c r="X1143" s="2" t="s">
        <v>1136</v>
      </c>
      <c r="Y1143" s="2" t="s">
        <v>144</v>
      </c>
      <c r="Z1143" s="4">
        <v>537</v>
      </c>
      <c r="AA1143" s="4">
        <f>=ROUNDDOWN(33.5625,0)</f>
      </c>
      <c r="AB1143" s="5">
        <v>16</v>
      </c>
      <c r="AC1143" s="2" t="s">
        <v>582</v>
      </c>
      <c r="AD1143" s="4">
        <v>200</v>
      </c>
      <c r="AE1143" s="4">
        <v>650</v>
      </c>
      <c r="AF1143" s="6">
        <v>68</v>
      </c>
      <c r="AG1143" s="6">
        <v>76</v>
      </c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>
        <v>1</v>
      </c>
      <c r="AW1143" s="8">
        <v>41.99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/>
      <c r="BC1143" s="4">
        <v>1</v>
      </c>
      <c r="BD1143" s="8">
        <v>41.99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>
        <v>1</v>
      </c>
      <c r="BJ1143" s="4">
        <v>48</v>
      </c>
      <c r="BK1143" s="8">
        <v>1457.76</v>
      </c>
      <c r="BL1143" s="2" t="s">
        <v>4439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109</v>
      </c>
      <c r="BV1143" s="2" t="s">
        <v>97</v>
      </c>
      <c r="BW1143" s="2" t="s">
        <v>159</v>
      </c>
      <c r="BX1143" s="2" t="s">
        <v>4440</v>
      </c>
      <c r="BY1143" s="2" t="s">
        <v>112</v>
      </c>
      <c r="BZ1143" s="2" t="s">
        <v>100</v>
      </c>
    </row>
    <row r="1144">
      <c r="A1144" s="2" t="s">
        <v>4441</v>
      </c>
      <c r="B1144" s="2" t="s">
        <v>4041</v>
      </c>
      <c r="C1144" s="2" t="s">
        <v>88</v>
      </c>
      <c r="D1144" s="2" t="s">
        <v>89</v>
      </c>
      <c r="E1144" s="2" t="s">
        <v>4233</v>
      </c>
      <c r="F1144" s="2" t="s">
        <v>4435</v>
      </c>
      <c r="G1144" s="2" t="s">
        <v>4436</v>
      </c>
      <c r="H1144" s="2" t="s">
        <v>4436</v>
      </c>
      <c r="I1144" s="2" t="s">
        <v>4437</v>
      </c>
      <c r="J1144" s="2" t="s">
        <v>522</v>
      </c>
      <c r="K1144" s="2" t="s">
        <v>458</v>
      </c>
      <c r="L1144" s="3">
        <v>37.5</v>
      </c>
      <c r="M1144" s="3">
        <v>39.38</v>
      </c>
      <c r="N1144" s="3">
        <v>74.99</v>
      </c>
      <c r="O1144" s="2" t="s">
        <v>97</v>
      </c>
      <c r="P1144" s="2" t="s">
        <v>123</v>
      </c>
      <c r="Q1144" s="2" t="s">
        <v>99</v>
      </c>
      <c r="R1144" s="2" t="s">
        <v>100</v>
      </c>
      <c r="S1144" s="2" t="s">
        <v>4438</v>
      </c>
      <c r="T1144" s="2" t="s">
        <v>190</v>
      </c>
      <c r="U1144" s="2" t="s">
        <v>1776</v>
      </c>
      <c r="V1144" s="2" t="s">
        <v>461</v>
      </c>
      <c r="W1144" s="2" t="s">
        <v>609</v>
      </c>
      <c r="X1144" s="2" t="s">
        <v>1136</v>
      </c>
      <c r="Y1144" s="2" t="s">
        <v>144</v>
      </c>
      <c r="Z1144" s="4">
        <v>602</v>
      </c>
      <c r="AA1144" s="4">
        <f>=ROUNDDOWN(26.1739130434783,0)</f>
      </c>
      <c r="AB1144" s="5">
        <v>23</v>
      </c>
      <c r="AC1144" s="2" t="s">
        <v>582</v>
      </c>
      <c r="AD1144" s="4">
        <v>130</v>
      </c>
      <c r="AE1144" s="4">
        <v>320</v>
      </c>
      <c r="AF1144" s="6">
        <v>68</v>
      </c>
      <c r="AG1144" s="6">
        <v>76</v>
      </c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1</v>
      </c>
      <c r="AQ1144" s="8">
        <v>41.99</v>
      </c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>
        <v>1</v>
      </c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 t="s">
        <v>100</v>
      </c>
      <c r="BJ1144" s="4">
        <v>79</v>
      </c>
      <c r="BK1144" s="8">
        <v>3233.01</v>
      </c>
      <c r="BL1144" s="2" t="s">
        <v>4442</v>
      </c>
      <c r="BM1144" s="7">
        <v>0.0127</v>
      </c>
      <c r="BN1144" s="7">
        <v>0.013</v>
      </c>
      <c r="BO1144" s="4">
        <v>1</v>
      </c>
      <c r="BP1144" s="8">
        <v>41.99</v>
      </c>
      <c r="BQ1144" s="4"/>
      <c r="BR1144" s="8"/>
      <c r="BS1144" s="7"/>
      <c r="BT1144" s="7"/>
      <c r="BU1144" s="2" t="s">
        <v>109</v>
      </c>
      <c r="BV1144" s="2" t="s">
        <v>97</v>
      </c>
      <c r="BW1144" s="2" t="s">
        <v>159</v>
      </c>
      <c r="BX1144" s="2" t="s">
        <v>4443</v>
      </c>
      <c r="BY1144" s="2" t="s">
        <v>112</v>
      </c>
      <c r="BZ1144" s="2" t="s">
        <v>100</v>
      </c>
    </row>
    <row r="1145">
      <c r="A1145" s="2" t="s">
        <v>4444</v>
      </c>
      <c r="B1145" s="2" t="s">
        <v>4041</v>
      </c>
      <c r="C1145" s="2" t="s">
        <v>88</v>
      </c>
      <c r="D1145" s="2" t="s">
        <v>89</v>
      </c>
      <c r="E1145" s="2" t="s">
        <v>4233</v>
      </c>
      <c r="F1145" s="2" t="s">
        <v>4445</v>
      </c>
      <c r="G1145" s="2" t="s">
        <v>4445</v>
      </c>
      <c r="H1145" s="2" t="s">
        <v>4445</v>
      </c>
      <c r="I1145" s="2" t="s">
        <v>4446</v>
      </c>
      <c r="J1145" s="2" t="s">
        <v>352</v>
      </c>
      <c r="K1145" s="2" t="s">
        <v>458</v>
      </c>
      <c r="L1145" s="3">
        <v>18.28</v>
      </c>
      <c r="M1145" s="3">
        <v>19.19</v>
      </c>
      <c r="N1145" s="3">
        <v>39.99</v>
      </c>
      <c r="O1145" s="2" t="s">
        <v>97</v>
      </c>
      <c r="P1145" s="2" t="s">
        <v>98</v>
      </c>
      <c r="Q1145" s="2" t="s">
        <v>99</v>
      </c>
      <c r="R1145" s="2" t="s">
        <v>100</v>
      </c>
      <c r="S1145" s="2" t="s">
        <v>4447</v>
      </c>
      <c r="T1145" s="2" t="s">
        <v>438</v>
      </c>
      <c r="U1145" s="2" t="s">
        <v>1776</v>
      </c>
      <c r="V1145" s="2" t="s">
        <v>473</v>
      </c>
      <c r="W1145" s="2" t="s">
        <v>609</v>
      </c>
      <c r="X1145" s="2" t="s">
        <v>493</v>
      </c>
      <c r="Y1145" s="2" t="s">
        <v>4448</v>
      </c>
      <c r="Z1145" s="4">
        <v>113</v>
      </c>
      <c r="AA1145" s="4">
        <f>=ROUNDDOWN(28.25,0)</f>
      </c>
      <c r="AB1145" s="5">
        <v>4</v>
      </c>
      <c r="AC1145" s="2" t="s">
        <v>173</v>
      </c>
      <c r="AD1145" s="4">
        <v>40</v>
      </c>
      <c r="AE1145" s="4">
        <v>40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/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/>
      <c r="BJ1145" s="4">
        <v>9</v>
      </c>
      <c r="BK1145" s="8">
        <v>184.25</v>
      </c>
      <c r="BL1145" s="2" t="s">
        <v>4449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171</v>
      </c>
      <c r="BV1145" s="2" t="s">
        <v>97</v>
      </c>
      <c r="BW1145" s="2" t="s">
        <v>100</v>
      </c>
      <c r="BX1145" s="2" t="s">
        <v>100</v>
      </c>
      <c r="BY1145" s="2" t="s">
        <v>112</v>
      </c>
      <c r="BZ1145" s="2" t="s">
        <v>100</v>
      </c>
    </row>
    <row r="1146">
      <c r="A1146" s="2" t="s">
        <v>4450</v>
      </c>
      <c r="B1146" s="2" t="s">
        <v>4041</v>
      </c>
      <c r="C1146" s="2" t="s">
        <v>88</v>
      </c>
      <c r="D1146" s="2" t="s">
        <v>89</v>
      </c>
      <c r="E1146" s="2" t="s">
        <v>4233</v>
      </c>
      <c r="F1146" s="2" t="s">
        <v>4445</v>
      </c>
      <c r="G1146" s="2" t="s">
        <v>4445</v>
      </c>
      <c r="H1146" s="2" t="s">
        <v>4445</v>
      </c>
      <c r="I1146" s="2" t="s">
        <v>4446</v>
      </c>
      <c r="J1146" s="2" t="s">
        <v>522</v>
      </c>
      <c r="K1146" s="2" t="s">
        <v>458</v>
      </c>
      <c r="L1146" s="3">
        <v>22.85</v>
      </c>
      <c r="M1146" s="3">
        <v>23.99</v>
      </c>
      <c r="N1146" s="3">
        <v>49.99</v>
      </c>
      <c r="O1146" s="2" t="s">
        <v>97</v>
      </c>
      <c r="P1146" s="2" t="s">
        <v>98</v>
      </c>
      <c r="Q1146" s="2" t="s">
        <v>99</v>
      </c>
      <c r="R1146" s="2" t="s">
        <v>100</v>
      </c>
      <c r="S1146" s="2" t="s">
        <v>4447</v>
      </c>
      <c r="T1146" s="2" t="s">
        <v>438</v>
      </c>
      <c r="U1146" s="2" t="s">
        <v>1776</v>
      </c>
      <c r="V1146" s="2" t="s">
        <v>473</v>
      </c>
      <c r="W1146" s="2" t="s">
        <v>609</v>
      </c>
      <c r="X1146" s="2" t="s">
        <v>493</v>
      </c>
      <c r="Y1146" s="2" t="s">
        <v>4089</v>
      </c>
      <c r="Z1146" s="4">
        <v>4</v>
      </c>
      <c r="AA1146" s="4">
        <f>=ROUNDDOWN(0.333333333333333,0)</f>
      </c>
      <c r="AB1146" s="5">
        <v>12</v>
      </c>
      <c r="AC1146" s="2" t="s">
        <v>173</v>
      </c>
      <c r="AD1146" s="4">
        <v>190</v>
      </c>
      <c r="AE1146" s="4">
        <v>190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/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/>
      <c r="BJ1146" s="4">
        <v>53</v>
      </c>
      <c r="BK1146" s="8">
        <v>1335.07</v>
      </c>
      <c r="BL1146" s="2" t="s">
        <v>4451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171</v>
      </c>
      <c r="BV1146" s="2" t="s">
        <v>97</v>
      </c>
      <c r="BW1146" s="2" t="s">
        <v>100</v>
      </c>
      <c r="BX1146" s="2" t="s">
        <v>100</v>
      </c>
      <c r="BY1146" s="2" t="s">
        <v>112</v>
      </c>
      <c r="BZ1146" s="2" t="s">
        <v>100</v>
      </c>
    </row>
    <row r="1147">
      <c r="A1147" s="2" t="s">
        <v>4452</v>
      </c>
      <c r="B1147" s="2" t="s">
        <v>4041</v>
      </c>
      <c r="C1147" s="2" t="s">
        <v>88</v>
      </c>
      <c r="D1147" s="2" t="s">
        <v>89</v>
      </c>
      <c r="E1147" s="2" t="s">
        <v>4233</v>
      </c>
      <c r="F1147" s="2" t="s">
        <v>4453</v>
      </c>
      <c r="G1147" s="2" t="s">
        <v>4453</v>
      </c>
      <c r="H1147" s="2" t="s">
        <v>4453</v>
      </c>
      <c r="I1147" s="2" t="s">
        <v>4454</v>
      </c>
      <c r="J1147" s="2" t="s">
        <v>522</v>
      </c>
      <c r="K1147" s="2" t="s">
        <v>458</v>
      </c>
      <c r="L1147" s="3">
        <v>54.47</v>
      </c>
      <c r="M1147" s="3">
        <v>57.19</v>
      </c>
      <c r="N1147" s="3">
        <v>109.99</v>
      </c>
      <c r="O1147" s="2" t="s">
        <v>97</v>
      </c>
      <c r="P1147" s="2" t="s">
        <v>98</v>
      </c>
      <c r="Q1147" s="2" t="s">
        <v>99</v>
      </c>
      <c r="R1147" s="2" t="s">
        <v>100</v>
      </c>
      <c r="S1147" s="2" t="s">
        <v>4455</v>
      </c>
      <c r="T1147" s="2" t="s">
        <v>438</v>
      </c>
      <c r="U1147" s="2" t="s">
        <v>1776</v>
      </c>
      <c r="V1147" s="2" t="s">
        <v>461</v>
      </c>
      <c r="W1147" s="2" t="s">
        <v>609</v>
      </c>
      <c r="X1147" s="2" t="s">
        <v>1136</v>
      </c>
      <c r="Y1147" s="2" t="s">
        <v>4089</v>
      </c>
      <c r="Z1147" s="4">
        <v>392</v>
      </c>
      <c r="AA1147" s="4">
        <f>=ROUNDDOWN(36.2962962962963,0)</f>
      </c>
      <c r="AB1147" s="5">
        <v>10.8</v>
      </c>
      <c r="AC1147" s="2" t="s">
        <v>100</v>
      </c>
      <c r="AD1147" s="4"/>
      <c r="AE1147" s="4"/>
      <c r="AF1147" s="6">
        <v>65</v>
      </c>
      <c r="AG1147" s="6"/>
      <c r="AH1147" s="7">
        <v>0.0645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100</v>
      </c>
      <c r="AW1147" s="8" t="s">
        <v>100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/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/>
      <c r="BJ1147" s="4">
        <v>18</v>
      </c>
      <c r="BK1147" s="8">
        <v>1093.27</v>
      </c>
      <c r="BL1147" s="2" t="s">
        <v>357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171</v>
      </c>
      <c r="BV1147" s="2" t="s">
        <v>97</v>
      </c>
      <c r="BW1147" s="2" t="s">
        <v>100</v>
      </c>
      <c r="BX1147" s="2" t="s">
        <v>100</v>
      </c>
      <c r="BY1147" s="2" t="s">
        <v>112</v>
      </c>
      <c r="BZ1147" s="2" t="s">
        <v>100</v>
      </c>
    </row>
    <row r="1148">
      <c r="A1148" s="2" t="s">
        <v>4456</v>
      </c>
      <c r="B1148" s="2" t="s">
        <v>4041</v>
      </c>
      <c r="C1148" s="2" t="s">
        <v>88</v>
      </c>
      <c r="D1148" s="2" t="s">
        <v>89</v>
      </c>
      <c r="E1148" s="2" t="s">
        <v>4233</v>
      </c>
      <c r="F1148" s="2" t="s">
        <v>4453</v>
      </c>
      <c r="G1148" s="2" t="s">
        <v>4453</v>
      </c>
      <c r="H1148" s="2" t="s">
        <v>4453</v>
      </c>
      <c r="I1148" s="2" t="s">
        <v>4454</v>
      </c>
      <c r="J1148" s="2" t="s">
        <v>529</v>
      </c>
      <c r="K1148" s="2" t="s">
        <v>458</v>
      </c>
      <c r="L1148" s="3">
        <v>64.38</v>
      </c>
      <c r="M1148" s="3">
        <v>67.6</v>
      </c>
      <c r="N1148" s="3">
        <v>129.99</v>
      </c>
      <c r="O1148" s="2" t="s">
        <v>97</v>
      </c>
      <c r="P1148" s="2" t="s">
        <v>123</v>
      </c>
      <c r="Q1148" s="2" t="s">
        <v>99</v>
      </c>
      <c r="R1148" s="2" t="s">
        <v>100</v>
      </c>
      <c r="S1148" s="2" t="s">
        <v>4455</v>
      </c>
      <c r="T1148" s="2" t="s">
        <v>438</v>
      </c>
      <c r="U1148" s="2" t="s">
        <v>1776</v>
      </c>
      <c r="V1148" s="2" t="s">
        <v>461</v>
      </c>
      <c r="W1148" s="2" t="s">
        <v>609</v>
      </c>
      <c r="X1148" s="2" t="s">
        <v>1136</v>
      </c>
      <c r="Y1148" s="2" t="s">
        <v>4457</v>
      </c>
      <c r="Z1148" s="4">
        <v>386</v>
      </c>
      <c r="AA1148" s="4">
        <f>=ROUNDDOWN(64.3333333333333,0)</f>
      </c>
      <c r="AB1148" s="5">
        <v>6</v>
      </c>
      <c r="AC1148" s="2" t="s">
        <v>100</v>
      </c>
      <c r="AD1148" s="4"/>
      <c r="AE1148" s="4"/>
      <c r="AF1148" s="6">
        <v>65</v>
      </c>
      <c r="AG1148" s="6"/>
      <c r="AH1148" s="7">
        <v>0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/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/>
      <c r="BJ1148" s="4"/>
      <c r="BK1148" s="8"/>
      <c r="BL1148" s="2" t="s">
        <v>100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171</v>
      </c>
      <c r="BV1148" s="2" t="s">
        <v>97</v>
      </c>
      <c r="BW1148" s="2" t="s">
        <v>100</v>
      </c>
      <c r="BX1148" s="2" t="s">
        <v>100</v>
      </c>
      <c r="BY1148" s="2" t="s">
        <v>112</v>
      </c>
      <c r="BZ1148" s="2" t="s">
        <v>100</v>
      </c>
    </row>
    <row r="1149">
      <c r="A1149" s="2" t="s">
        <v>4458</v>
      </c>
      <c r="B1149" s="2" t="s">
        <v>4041</v>
      </c>
      <c r="C1149" s="2" t="s">
        <v>88</v>
      </c>
      <c r="D1149" s="2" t="s">
        <v>4459</v>
      </c>
      <c r="E1149" s="2" t="s">
        <v>4196</v>
      </c>
      <c r="F1149" s="2" t="s">
        <v>4453</v>
      </c>
      <c r="G1149" s="2" t="s">
        <v>4453</v>
      </c>
      <c r="H1149" s="2" t="s">
        <v>4453</v>
      </c>
      <c r="I1149" s="2" t="s">
        <v>4460</v>
      </c>
      <c r="J1149" s="2" t="s">
        <v>114</v>
      </c>
      <c r="K1149" s="2" t="s">
        <v>458</v>
      </c>
      <c r="L1149" s="3">
        <v>15</v>
      </c>
      <c r="M1149" s="3">
        <v>15.75</v>
      </c>
      <c r="N1149" s="3">
        <v>34.99</v>
      </c>
      <c r="O1149" s="2" t="s">
        <v>97</v>
      </c>
      <c r="P1149" s="2" t="s">
        <v>98</v>
      </c>
      <c r="Q1149" s="2" t="s">
        <v>99</v>
      </c>
      <c r="R1149" s="2" t="s">
        <v>100</v>
      </c>
      <c r="S1149" s="2" t="s">
        <v>4461</v>
      </c>
      <c r="T1149" s="2" t="s">
        <v>438</v>
      </c>
      <c r="U1149" s="2" t="s">
        <v>1776</v>
      </c>
      <c r="V1149" s="2" t="s">
        <v>461</v>
      </c>
      <c r="W1149" s="2" t="s">
        <v>609</v>
      </c>
      <c r="X1149" s="2" t="s">
        <v>1136</v>
      </c>
      <c r="Y1149" s="2" t="s">
        <v>4457</v>
      </c>
      <c r="Z1149" s="4">
        <v>365</v>
      </c>
      <c r="AA1149" s="4">
        <f>=ROUNDDOWN(40.5555555555556,0)</f>
      </c>
      <c r="AB1149" s="5">
        <v>9</v>
      </c>
      <c r="AC1149" s="2" t="s">
        <v>100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/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/>
      <c r="BJ1149" s="4">
        <v>18</v>
      </c>
      <c r="BK1149" s="8">
        <v>299.14</v>
      </c>
      <c r="BL1149" s="2" t="s">
        <v>4462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171</v>
      </c>
      <c r="BV1149" s="2" t="s">
        <v>97</v>
      </c>
      <c r="BW1149" s="2" t="s">
        <v>100</v>
      </c>
      <c r="BX1149" s="2" t="s">
        <v>100</v>
      </c>
      <c r="BY1149" s="2" t="s">
        <v>112</v>
      </c>
      <c r="BZ1149" s="2" t="s">
        <v>100</v>
      </c>
    </row>
    <row r="1150">
      <c r="A1150" s="2" t="s">
        <v>4463</v>
      </c>
      <c r="B1150" s="2" t="s">
        <v>4041</v>
      </c>
      <c r="C1150" s="2" t="s">
        <v>88</v>
      </c>
      <c r="D1150" s="2" t="s">
        <v>4459</v>
      </c>
      <c r="E1150" s="2" t="s">
        <v>4196</v>
      </c>
      <c r="F1150" s="2" t="s">
        <v>4453</v>
      </c>
      <c r="G1150" s="2" t="s">
        <v>4453</v>
      </c>
      <c r="H1150" s="2" t="s">
        <v>4453</v>
      </c>
      <c r="I1150" s="2" t="s">
        <v>4460</v>
      </c>
      <c r="J1150" s="2" t="s">
        <v>4199</v>
      </c>
      <c r="K1150" s="2" t="s">
        <v>458</v>
      </c>
      <c r="L1150" s="3">
        <v>13.71</v>
      </c>
      <c r="M1150" s="3">
        <v>14.4</v>
      </c>
      <c r="N1150" s="3">
        <v>31.99</v>
      </c>
      <c r="O1150" s="2" t="s">
        <v>97</v>
      </c>
      <c r="P1150" s="2" t="s">
        <v>98</v>
      </c>
      <c r="Q1150" s="2" t="s">
        <v>99</v>
      </c>
      <c r="R1150" s="2" t="s">
        <v>100</v>
      </c>
      <c r="S1150" s="2" t="s">
        <v>4461</v>
      </c>
      <c r="T1150" s="2" t="s">
        <v>438</v>
      </c>
      <c r="U1150" s="2" t="s">
        <v>1776</v>
      </c>
      <c r="V1150" s="2" t="s">
        <v>461</v>
      </c>
      <c r="W1150" s="2" t="s">
        <v>609</v>
      </c>
      <c r="X1150" s="2" t="s">
        <v>1136</v>
      </c>
      <c r="Y1150" s="2" t="s">
        <v>4089</v>
      </c>
      <c r="Z1150" s="4">
        <v>476</v>
      </c>
      <c r="AA1150" s="4">
        <f>=ROUNDDOWN(43.6697247706422,0)</f>
      </c>
      <c r="AB1150" s="5">
        <v>10.9</v>
      </c>
      <c r="AC1150" s="2" t="s">
        <v>100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/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/>
      <c r="BJ1150" s="4">
        <v>21</v>
      </c>
      <c r="BK1150" s="8">
        <v>324.87</v>
      </c>
      <c r="BL1150" s="2" t="s">
        <v>4464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171</v>
      </c>
      <c r="BV1150" s="2" t="s">
        <v>97</v>
      </c>
      <c r="BW1150" s="2" t="s">
        <v>100</v>
      </c>
      <c r="BX1150" s="2" t="s">
        <v>100</v>
      </c>
      <c r="BY1150" s="2" t="s">
        <v>112</v>
      </c>
      <c r="BZ1150" s="2" t="s">
        <v>100</v>
      </c>
    </row>
    <row r="1151">
      <c r="A1151" s="2" t="s">
        <v>4465</v>
      </c>
      <c r="B1151" s="2" t="s">
        <v>4041</v>
      </c>
      <c r="C1151" s="2" t="s">
        <v>4466</v>
      </c>
      <c r="D1151" s="2" t="s">
        <v>89</v>
      </c>
      <c r="E1151" s="2" t="s">
        <v>4467</v>
      </c>
      <c r="F1151" s="2" t="s">
        <v>4468</v>
      </c>
      <c r="G1151" s="2" t="s">
        <v>4468</v>
      </c>
      <c r="H1151" s="2" t="s">
        <v>4468</v>
      </c>
      <c r="I1151" s="2" t="s">
        <v>4469</v>
      </c>
      <c r="J1151" s="2" t="s">
        <v>1443</v>
      </c>
      <c r="K1151" s="2" t="s">
        <v>458</v>
      </c>
      <c r="L1151" s="3">
        <v>55.36</v>
      </c>
      <c r="M1151" s="3">
        <v>58.13</v>
      </c>
      <c r="N1151" s="3">
        <v>117.99</v>
      </c>
      <c r="O1151" s="2" t="s">
        <v>97</v>
      </c>
      <c r="P1151" s="2" t="s">
        <v>98</v>
      </c>
      <c r="Q1151" s="2" t="s">
        <v>99</v>
      </c>
      <c r="R1151" s="2" t="s">
        <v>100</v>
      </c>
      <c r="S1151" s="2" t="s">
        <v>4470</v>
      </c>
      <c r="T1151" s="2" t="s">
        <v>100</v>
      </c>
      <c r="U1151" s="2" t="s">
        <v>100</v>
      </c>
      <c r="V1151" s="2" t="s">
        <v>461</v>
      </c>
      <c r="W1151" s="2" t="s">
        <v>4207</v>
      </c>
      <c r="X1151" s="2" t="s">
        <v>100</v>
      </c>
      <c r="Y1151" s="2" t="s">
        <v>1943</v>
      </c>
      <c r="Z1151" s="4">
        <v>77</v>
      </c>
      <c r="AA1151" s="4">
        <f>=ROUNDDOWN(38.5,0)</f>
      </c>
      <c r="AB1151" s="5">
        <v>2</v>
      </c>
      <c r="AC1151" s="2" t="s">
        <v>206</v>
      </c>
      <c r="AD1151" s="4">
        <v>60</v>
      </c>
      <c r="AE1151" s="4">
        <v>60</v>
      </c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>
        <v>1</v>
      </c>
      <c r="AW1151" s="8">
        <v>99.05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/>
      <c r="BC1151" s="4">
        <v>1</v>
      </c>
      <c r="BD1151" s="8">
        <v>99.05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>
        <v>1</v>
      </c>
      <c r="BJ1151" s="4">
        <v>2</v>
      </c>
      <c r="BK1151" s="8">
        <v>116.8</v>
      </c>
      <c r="BL1151" s="2" t="s">
        <v>1655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109</v>
      </c>
      <c r="BV1151" s="2" t="s">
        <v>97</v>
      </c>
      <c r="BW1151" s="2" t="s">
        <v>4201</v>
      </c>
      <c r="BX1151" s="2" t="s">
        <v>4471</v>
      </c>
      <c r="BY1151" s="2" t="s">
        <v>112</v>
      </c>
      <c r="BZ1151" s="2" t="s">
        <v>100</v>
      </c>
    </row>
    <row r="1152">
      <c r="A1152" s="2" t="s">
        <v>4472</v>
      </c>
      <c r="B1152" s="2" t="s">
        <v>4041</v>
      </c>
      <c r="C1152" s="2" t="s">
        <v>4466</v>
      </c>
      <c r="D1152" s="2" t="s">
        <v>89</v>
      </c>
      <c r="E1152" s="2" t="s">
        <v>4467</v>
      </c>
      <c r="F1152" s="2" t="s">
        <v>4468</v>
      </c>
      <c r="G1152" s="2" t="s">
        <v>4468</v>
      </c>
      <c r="H1152" s="2" t="s">
        <v>4468</v>
      </c>
      <c r="I1152" s="2" t="s">
        <v>4469</v>
      </c>
      <c r="J1152" s="2" t="s">
        <v>522</v>
      </c>
      <c r="K1152" s="2" t="s">
        <v>458</v>
      </c>
      <c r="L1152" s="3">
        <v>70.79</v>
      </c>
      <c r="M1152" s="3">
        <v>74.33</v>
      </c>
      <c r="N1152" s="3">
        <v>147.99</v>
      </c>
      <c r="O1152" s="2" t="s">
        <v>97</v>
      </c>
      <c r="P1152" s="2" t="s">
        <v>123</v>
      </c>
      <c r="Q1152" s="2" t="s">
        <v>99</v>
      </c>
      <c r="R1152" s="2" t="s">
        <v>100</v>
      </c>
      <c r="S1152" s="2" t="s">
        <v>4470</v>
      </c>
      <c r="T1152" s="2" t="s">
        <v>100</v>
      </c>
      <c r="U1152" s="2" t="s">
        <v>100</v>
      </c>
      <c r="V1152" s="2" t="s">
        <v>461</v>
      </c>
      <c r="W1152" s="2" t="s">
        <v>4207</v>
      </c>
      <c r="X1152" s="2" t="s">
        <v>100</v>
      </c>
      <c r="Y1152" s="2" t="s">
        <v>4473</v>
      </c>
      <c r="Z1152" s="4">
        <v>260</v>
      </c>
      <c r="AA1152" s="4">
        <f>=ROUNDDOWN(32.5,0)</f>
      </c>
      <c r="AB1152" s="5">
        <v>8</v>
      </c>
      <c r="AC1152" s="2" t="s">
        <v>206</v>
      </c>
      <c r="AD1152" s="4">
        <v>230</v>
      </c>
      <c r="AE1152" s="4">
        <v>230</v>
      </c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100</v>
      </c>
      <c r="AW1152" s="8" t="s">
        <v>100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/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 t="s">
        <v>100</v>
      </c>
      <c r="BJ1152" s="4">
        <v>23</v>
      </c>
      <c r="BK1152" s="8">
        <v>1794.84</v>
      </c>
      <c r="BL1152" s="2" t="s">
        <v>1119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109</v>
      </c>
      <c r="BV1152" s="2" t="s">
        <v>97</v>
      </c>
      <c r="BW1152" s="2" t="s">
        <v>4201</v>
      </c>
      <c r="BX1152" s="2" t="s">
        <v>4474</v>
      </c>
      <c r="BY1152" s="2" t="s">
        <v>112</v>
      </c>
      <c r="BZ1152" s="2" t="s">
        <v>100</v>
      </c>
    </row>
    <row r="1153">
      <c r="A1153" s="2" t="s">
        <v>4475</v>
      </c>
      <c r="B1153" s="2" t="s">
        <v>4041</v>
      </c>
      <c r="C1153" s="2" t="s">
        <v>4466</v>
      </c>
      <c r="D1153" s="2" t="s">
        <v>89</v>
      </c>
      <c r="E1153" s="2" t="s">
        <v>4467</v>
      </c>
      <c r="F1153" s="2" t="s">
        <v>4468</v>
      </c>
      <c r="G1153" s="2" t="s">
        <v>4468</v>
      </c>
      <c r="H1153" s="2" t="s">
        <v>4468</v>
      </c>
      <c r="I1153" s="2" t="s">
        <v>4469</v>
      </c>
      <c r="J1153" s="2" t="s">
        <v>114</v>
      </c>
      <c r="K1153" s="2" t="s">
        <v>458</v>
      </c>
      <c r="L1153" s="3">
        <v>86.78</v>
      </c>
      <c r="M1153" s="3">
        <v>91.12</v>
      </c>
      <c r="N1153" s="3">
        <v>177.99</v>
      </c>
      <c r="O1153" s="2" t="s">
        <v>97</v>
      </c>
      <c r="P1153" s="2" t="s">
        <v>156</v>
      </c>
      <c r="Q1153" s="2" t="s">
        <v>99</v>
      </c>
      <c r="R1153" s="2" t="s">
        <v>100</v>
      </c>
      <c r="S1153" s="2" t="s">
        <v>4470</v>
      </c>
      <c r="T1153" s="2" t="s">
        <v>100</v>
      </c>
      <c r="U1153" s="2" t="s">
        <v>100</v>
      </c>
      <c r="V1153" s="2" t="s">
        <v>461</v>
      </c>
      <c r="W1153" s="2" t="s">
        <v>4207</v>
      </c>
      <c r="X1153" s="2" t="s">
        <v>100</v>
      </c>
      <c r="Y1153" s="2" t="s">
        <v>1943</v>
      </c>
      <c r="Z1153" s="4">
        <v>310</v>
      </c>
      <c r="AA1153" s="4">
        <f>=ROUNDDOWN(38.75,0)</f>
      </c>
      <c r="AB1153" s="5">
        <v>8</v>
      </c>
      <c r="AC1153" s="2" t="s">
        <v>206</v>
      </c>
      <c r="AD1153" s="4">
        <v>10</v>
      </c>
      <c r="AE1153" s="4">
        <v>10</v>
      </c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1</v>
      </c>
      <c r="AQ1153" s="8">
        <v>99.05</v>
      </c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>
        <v>1</v>
      </c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 t="s">
        <v>100</v>
      </c>
      <c r="BJ1153" s="4">
        <v>24</v>
      </c>
      <c r="BK1153" s="8">
        <v>2276.67</v>
      </c>
      <c r="BL1153" s="2" t="s">
        <v>4476</v>
      </c>
      <c r="BM1153" s="7">
        <v>0.0417</v>
      </c>
      <c r="BN1153" s="7">
        <v>0.0435</v>
      </c>
      <c r="BO1153" s="4">
        <v>1</v>
      </c>
      <c r="BP1153" s="8">
        <v>99.05</v>
      </c>
      <c r="BQ1153" s="4"/>
      <c r="BR1153" s="8"/>
      <c r="BS1153" s="7"/>
      <c r="BT1153" s="7"/>
      <c r="BU1153" s="2" t="s">
        <v>109</v>
      </c>
      <c r="BV1153" s="2" t="s">
        <v>97</v>
      </c>
      <c r="BW1153" s="2" t="s">
        <v>4201</v>
      </c>
      <c r="BX1153" s="2" t="s">
        <v>4477</v>
      </c>
      <c r="BY1153" s="2" t="s">
        <v>112</v>
      </c>
      <c r="BZ1153" s="2" t="s">
        <v>100</v>
      </c>
    </row>
    <row r="1154">
      <c r="A1154" s="2" t="s">
        <v>4478</v>
      </c>
      <c r="B1154" s="2" t="s">
        <v>4041</v>
      </c>
      <c r="C1154" s="2" t="s">
        <v>4466</v>
      </c>
      <c r="D1154" s="2" t="s">
        <v>89</v>
      </c>
      <c r="E1154" s="2" t="s">
        <v>4467</v>
      </c>
      <c r="F1154" s="2" t="s">
        <v>4479</v>
      </c>
      <c r="G1154" s="2" t="s">
        <v>4479</v>
      </c>
      <c r="H1154" s="2" t="s">
        <v>4479</v>
      </c>
      <c r="I1154" s="2" t="s">
        <v>4480</v>
      </c>
      <c r="J1154" s="2" t="s">
        <v>352</v>
      </c>
      <c r="K1154" s="2" t="s">
        <v>1090</v>
      </c>
      <c r="L1154" s="3">
        <v>35.71</v>
      </c>
      <c r="M1154" s="3">
        <v>37.5</v>
      </c>
      <c r="N1154" s="3">
        <v>74.99</v>
      </c>
      <c r="O1154" s="2" t="s">
        <v>97</v>
      </c>
      <c r="P1154" s="2" t="s">
        <v>98</v>
      </c>
      <c r="Q1154" s="2" t="s">
        <v>99</v>
      </c>
      <c r="R1154" s="2" t="s">
        <v>100</v>
      </c>
      <c r="S1154" s="2" t="s">
        <v>4481</v>
      </c>
      <c r="T1154" s="2" t="s">
        <v>438</v>
      </c>
      <c r="U1154" s="2" t="s">
        <v>1776</v>
      </c>
      <c r="V1154" s="2" t="s">
        <v>461</v>
      </c>
      <c r="W1154" s="2" t="s">
        <v>609</v>
      </c>
      <c r="X1154" s="2" t="s">
        <v>100</v>
      </c>
      <c r="Y1154" s="2" t="s">
        <v>4482</v>
      </c>
      <c r="Z1154" s="4">
        <v>178</v>
      </c>
      <c r="AA1154" s="4">
        <f>=ROUNDDOWN(35.6,0)</f>
      </c>
      <c r="AB1154" s="5">
        <v>5</v>
      </c>
      <c r="AC1154" s="2" t="s">
        <v>1468</v>
      </c>
      <c r="AD1154" s="4">
        <v>170</v>
      </c>
      <c r="AE1154" s="4">
        <v>240</v>
      </c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/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/>
      <c r="BJ1154" s="4">
        <v>4</v>
      </c>
      <c r="BK1154" s="8">
        <v>159.57</v>
      </c>
      <c r="BL1154" s="2" t="s">
        <v>4483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171</v>
      </c>
      <c r="BV1154" s="2" t="s">
        <v>97</v>
      </c>
      <c r="BW1154" s="2" t="s">
        <v>100</v>
      </c>
      <c r="BX1154" s="2" t="s">
        <v>100</v>
      </c>
      <c r="BY1154" s="2" t="s">
        <v>112</v>
      </c>
      <c r="BZ1154" s="2" t="s">
        <v>100</v>
      </c>
    </row>
    <row r="1155">
      <c r="A1155" s="2" t="s">
        <v>4484</v>
      </c>
      <c r="B1155" s="2" t="s">
        <v>4041</v>
      </c>
      <c r="C1155" s="2" t="s">
        <v>4466</v>
      </c>
      <c r="D1155" s="2" t="s">
        <v>89</v>
      </c>
      <c r="E1155" s="2" t="s">
        <v>4467</v>
      </c>
      <c r="F1155" s="2" t="s">
        <v>4479</v>
      </c>
      <c r="G1155" s="2" t="s">
        <v>4479</v>
      </c>
      <c r="H1155" s="2" t="s">
        <v>4479</v>
      </c>
      <c r="I1155" s="2" t="s">
        <v>4480</v>
      </c>
      <c r="J1155" s="2" t="s">
        <v>522</v>
      </c>
      <c r="K1155" s="2" t="s">
        <v>1090</v>
      </c>
      <c r="L1155" s="3">
        <v>45.23</v>
      </c>
      <c r="M1155" s="3">
        <v>47.49</v>
      </c>
      <c r="N1155" s="3">
        <v>94.99</v>
      </c>
      <c r="O1155" s="2" t="s">
        <v>97</v>
      </c>
      <c r="P1155" s="2" t="s">
        <v>98</v>
      </c>
      <c r="Q1155" s="2" t="s">
        <v>99</v>
      </c>
      <c r="R1155" s="2" t="s">
        <v>100</v>
      </c>
      <c r="S1155" s="2" t="s">
        <v>4481</v>
      </c>
      <c r="T1155" s="2" t="s">
        <v>438</v>
      </c>
      <c r="U1155" s="2" t="s">
        <v>1776</v>
      </c>
      <c r="V1155" s="2" t="s">
        <v>461</v>
      </c>
      <c r="W1155" s="2" t="s">
        <v>609</v>
      </c>
      <c r="X1155" s="2" t="s">
        <v>100</v>
      </c>
      <c r="Y1155" s="2" t="s">
        <v>4482</v>
      </c>
      <c r="Z1155" s="4">
        <v>294</v>
      </c>
      <c r="AA1155" s="4">
        <f>=ROUNDDOWN(73.5,0)</f>
      </c>
      <c r="AB1155" s="5">
        <v>4</v>
      </c>
      <c r="AC1155" s="2" t="s">
        <v>1468</v>
      </c>
      <c r="AD1155" s="4">
        <v>130</v>
      </c>
      <c r="AE1155" s="4">
        <v>400</v>
      </c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/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/>
      <c r="BJ1155" s="4">
        <v>6</v>
      </c>
      <c r="BK1155" s="8">
        <v>304.9</v>
      </c>
      <c r="BL1155" s="2" t="s">
        <v>4485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171</v>
      </c>
      <c r="BV1155" s="2" t="s">
        <v>97</v>
      </c>
      <c r="BW1155" s="2" t="s">
        <v>100</v>
      </c>
      <c r="BX1155" s="2" t="s">
        <v>100</v>
      </c>
      <c r="BY1155" s="2" t="s">
        <v>112</v>
      </c>
      <c r="BZ1155" s="2" t="s">
        <v>100</v>
      </c>
    </row>
    <row r="1156">
      <c r="A1156" s="2" t="s">
        <v>4486</v>
      </c>
      <c r="B1156" s="2" t="s">
        <v>4041</v>
      </c>
      <c r="C1156" s="2" t="s">
        <v>4466</v>
      </c>
      <c r="D1156" s="2" t="s">
        <v>89</v>
      </c>
      <c r="E1156" s="2" t="s">
        <v>4467</v>
      </c>
      <c r="F1156" s="2" t="s">
        <v>4479</v>
      </c>
      <c r="G1156" s="2" t="s">
        <v>4479</v>
      </c>
      <c r="H1156" s="2" t="s">
        <v>4479</v>
      </c>
      <c r="I1156" s="2" t="s">
        <v>4480</v>
      </c>
      <c r="J1156" s="2" t="s">
        <v>529</v>
      </c>
      <c r="K1156" s="2" t="s">
        <v>1090</v>
      </c>
      <c r="L1156" s="3">
        <v>52.38</v>
      </c>
      <c r="M1156" s="3">
        <v>55</v>
      </c>
      <c r="N1156" s="3">
        <v>109.99</v>
      </c>
      <c r="O1156" s="2" t="s">
        <v>97</v>
      </c>
      <c r="P1156" s="2" t="s">
        <v>98</v>
      </c>
      <c r="Q1156" s="2" t="s">
        <v>99</v>
      </c>
      <c r="R1156" s="2" t="s">
        <v>100</v>
      </c>
      <c r="S1156" s="2" t="s">
        <v>4481</v>
      </c>
      <c r="T1156" s="2" t="s">
        <v>438</v>
      </c>
      <c r="U1156" s="2" t="s">
        <v>1776</v>
      </c>
      <c r="V1156" s="2" t="s">
        <v>461</v>
      </c>
      <c r="W1156" s="2" t="s">
        <v>609</v>
      </c>
      <c r="X1156" s="2" t="s">
        <v>100</v>
      </c>
      <c r="Y1156" s="2" t="s">
        <v>4482</v>
      </c>
      <c r="Z1156" s="4">
        <v>295</v>
      </c>
      <c r="AA1156" s="4">
        <f>=ROUNDDOWN(73.75,0)</f>
      </c>
      <c r="AB1156" s="5">
        <v>4</v>
      </c>
      <c r="AC1156" s="2" t="s">
        <v>1468</v>
      </c>
      <c r="AD1156" s="4">
        <v>90</v>
      </c>
      <c r="AE1156" s="4">
        <v>360</v>
      </c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100</v>
      </c>
      <c r="AW1156" s="8" t="s">
        <v>100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/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/>
      <c r="BJ1156" s="4">
        <v>20</v>
      </c>
      <c r="BK1156" s="8">
        <v>1164.93</v>
      </c>
      <c r="BL1156" s="2" t="s">
        <v>357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171</v>
      </c>
      <c r="BV1156" s="2" t="s">
        <v>97</v>
      </c>
      <c r="BW1156" s="2" t="s">
        <v>100</v>
      </c>
      <c r="BX1156" s="2" t="s">
        <v>100</v>
      </c>
      <c r="BY1156" s="2" t="s">
        <v>112</v>
      </c>
      <c r="BZ1156" s="2" t="s">
        <v>100</v>
      </c>
    </row>
    <row r="1157">
      <c r="A1157" s="2" t="s">
        <v>4487</v>
      </c>
      <c r="B1157" s="2" t="s">
        <v>4041</v>
      </c>
      <c r="C1157" s="2" t="s">
        <v>4466</v>
      </c>
      <c r="D1157" s="2" t="s">
        <v>89</v>
      </c>
      <c r="E1157" s="2" t="s">
        <v>4467</v>
      </c>
      <c r="F1157" s="2" t="s">
        <v>4479</v>
      </c>
      <c r="G1157" s="2" t="s">
        <v>4479</v>
      </c>
      <c r="H1157" s="2" t="s">
        <v>4479</v>
      </c>
      <c r="I1157" s="2" t="s">
        <v>4480</v>
      </c>
      <c r="J1157" s="2" t="s">
        <v>352</v>
      </c>
      <c r="K1157" s="2" t="s">
        <v>4488</v>
      </c>
      <c r="L1157" s="3">
        <v>35.71</v>
      </c>
      <c r="M1157" s="3">
        <v>37.5</v>
      </c>
      <c r="N1157" s="3">
        <v>74.99</v>
      </c>
      <c r="O1157" s="2" t="s">
        <v>97</v>
      </c>
      <c r="P1157" s="2" t="s">
        <v>98</v>
      </c>
      <c r="Q1157" s="2" t="s">
        <v>99</v>
      </c>
      <c r="R1157" s="2" t="s">
        <v>100</v>
      </c>
      <c r="S1157" s="2" t="s">
        <v>4489</v>
      </c>
      <c r="T1157" s="2" t="s">
        <v>438</v>
      </c>
      <c r="U1157" s="2" t="s">
        <v>1776</v>
      </c>
      <c r="V1157" s="2" t="s">
        <v>461</v>
      </c>
      <c r="W1157" s="2" t="s">
        <v>609</v>
      </c>
      <c r="X1157" s="2" t="s">
        <v>100</v>
      </c>
      <c r="Y1157" s="2" t="s">
        <v>4482</v>
      </c>
      <c r="Z1157" s="4">
        <v>130</v>
      </c>
      <c r="AA1157" s="4">
        <f>=ROUNDDOWN(32.5,0)</f>
      </c>
      <c r="AB1157" s="5">
        <v>4</v>
      </c>
      <c r="AC1157" s="2" t="s">
        <v>1468</v>
      </c>
      <c r="AD1157" s="4">
        <v>230</v>
      </c>
      <c r="AE1157" s="4">
        <v>290</v>
      </c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/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/>
      <c r="BJ1157" s="4">
        <v>5</v>
      </c>
      <c r="BK1157" s="8">
        <v>202.51</v>
      </c>
      <c r="BL1157" s="2" t="s">
        <v>4490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171</v>
      </c>
      <c r="BV1157" s="2" t="s">
        <v>97</v>
      </c>
      <c r="BW1157" s="2" t="s">
        <v>100</v>
      </c>
      <c r="BX1157" s="2" t="s">
        <v>100</v>
      </c>
      <c r="BY1157" s="2" t="s">
        <v>112</v>
      </c>
      <c r="BZ1157" s="2" t="s">
        <v>100</v>
      </c>
    </row>
    <row r="1158">
      <c r="A1158" s="2" t="s">
        <v>4491</v>
      </c>
      <c r="B1158" s="2" t="s">
        <v>4041</v>
      </c>
      <c r="C1158" s="2" t="s">
        <v>4466</v>
      </c>
      <c r="D1158" s="2" t="s">
        <v>89</v>
      </c>
      <c r="E1158" s="2" t="s">
        <v>4467</v>
      </c>
      <c r="F1158" s="2" t="s">
        <v>4479</v>
      </c>
      <c r="G1158" s="2" t="s">
        <v>4479</v>
      </c>
      <c r="H1158" s="2" t="s">
        <v>4479</v>
      </c>
      <c r="I1158" s="2" t="s">
        <v>4480</v>
      </c>
      <c r="J1158" s="2" t="s">
        <v>522</v>
      </c>
      <c r="K1158" s="2" t="s">
        <v>4488</v>
      </c>
      <c r="L1158" s="3">
        <v>45.23</v>
      </c>
      <c r="M1158" s="3">
        <v>47.49</v>
      </c>
      <c r="N1158" s="3">
        <v>94.99</v>
      </c>
      <c r="O1158" s="2" t="s">
        <v>97</v>
      </c>
      <c r="P1158" s="2" t="s">
        <v>98</v>
      </c>
      <c r="Q1158" s="2" t="s">
        <v>99</v>
      </c>
      <c r="R1158" s="2" t="s">
        <v>100</v>
      </c>
      <c r="S1158" s="2" t="s">
        <v>4489</v>
      </c>
      <c r="T1158" s="2" t="s">
        <v>438</v>
      </c>
      <c r="U1158" s="2" t="s">
        <v>1776</v>
      </c>
      <c r="V1158" s="2" t="s">
        <v>461</v>
      </c>
      <c r="W1158" s="2" t="s">
        <v>609</v>
      </c>
      <c r="X1158" s="2" t="s">
        <v>100</v>
      </c>
      <c r="Y1158" s="2" t="s">
        <v>4482</v>
      </c>
      <c r="Z1158" s="4">
        <v>224</v>
      </c>
      <c r="AA1158" s="4">
        <f>=ROUNDDOWN(44.8,0)</f>
      </c>
      <c r="AB1158" s="5">
        <v>5</v>
      </c>
      <c r="AC1158" s="2" t="s">
        <v>1468</v>
      </c>
      <c r="AD1158" s="4">
        <v>200</v>
      </c>
      <c r="AE1158" s="4">
        <v>340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/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/>
      <c r="BJ1158" s="4">
        <v>10</v>
      </c>
      <c r="BK1158" s="8">
        <v>513.62</v>
      </c>
      <c r="BL1158" s="2" t="s">
        <v>4492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171</v>
      </c>
      <c r="BV1158" s="2" t="s">
        <v>97</v>
      </c>
      <c r="BW1158" s="2" t="s">
        <v>100</v>
      </c>
      <c r="BX1158" s="2" t="s">
        <v>100</v>
      </c>
      <c r="BY1158" s="2" t="s">
        <v>112</v>
      </c>
      <c r="BZ1158" s="2" t="s">
        <v>100</v>
      </c>
    </row>
    <row r="1159">
      <c r="A1159" s="2" t="s">
        <v>4493</v>
      </c>
      <c r="B1159" s="2" t="s">
        <v>4041</v>
      </c>
      <c r="C1159" s="2" t="s">
        <v>4466</v>
      </c>
      <c r="D1159" s="2" t="s">
        <v>89</v>
      </c>
      <c r="E1159" s="2" t="s">
        <v>4467</v>
      </c>
      <c r="F1159" s="2" t="s">
        <v>4479</v>
      </c>
      <c r="G1159" s="2" t="s">
        <v>4479</v>
      </c>
      <c r="H1159" s="2" t="s">
        <v>4479</v>
      </c>
      <c r="I1159" s="2" t="s">
        <v>4480</v>
      </c>
      <c r="J1159" s="2" t="s">
        <v>529</v>
      </c>
      <c r="K1159" s="2" t="s">
        <v>4488</v>
      </c>
      <c r="L1159" s="3">
        <v>52.38</v>
      </c>
      <c r="M1159" s="3">
        <v>55</v>
      </c>
      <c r="N1159" s="3">
        <v>109.99</v>
      </c>
      <c r="O1159" s="2" t="s">
        <v>97</v>
      </c>
      <c r="P1159" s="2" t="s">
        <v>98</v>
      </c>
      <c r="Q1159" s="2" t="s">
        <v>99</v>
      </c>
      <c r="R1159" s="2" t="s">
        <v>100</v>
      </c>
      <c r="S1159" s="2" t="s">
        <v>4489</v>
      </c>
      <c r="T1159" s="2" t="s">
        <v>438</v>
      </c>
      <c r="U1159" s="2" t="s">
        <v>1776</v>
      </c>
      <c r="V1159" s="2" t="s">
        <v>461</v>
      </c>
      <c r="W1159" s="2" t="s">
        <v>609</v>
      </c>
      <c r="X1159" s="2" t="s">
        <v>100</v>
      </c>
      <c r="Y1159" s="2" t="s">
        <v>4482</v>
      </c>
      <c r="Z1159" s="4">
        <v>235</v>
      </c>
      <c r="AA1159" s="4">
        <f>=ROUNDDOWN(58.75,0)</f>
      </c>
      <c r="AB1159" s="5">
        <v>4</v>
      </c>
      <c r="AC1159" s="2" t="s">
        <v>1468</v>
      </c>
      <c r="AD1159" s="4">
        <v>220</v>
      </c>
      <c r="AE1159" s="4">
        <v>370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/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/>
      <c r="BJ1159" s="4">
        <v>17</v>
      </c>
      <c r="BK1159" s="8">
        <v>1004.88</v>
      </c>
      <c r="BL1159" s="2" t="s">
        <v>3124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171</v>
      </c>
      <c r="BV1159" s="2" t="s">
        <v>97</v>
      </c>
      <c r="BW1159" s="2" t="s">
        <v>100</v>
      </c>
      <c r="BX1159" s="2" t="s">
        <v>100</v>
      </c>
      <c r="BY1159" s="2" t="s">
        <v>112</v>
      </c>
      <c r="BZ1159" s="2" t="s">
        <v>100</v>
      </c>
    </row>
    <row r="1160">
      <c r="A1160" s="2" t="s">
        <v>4494</v>
      </c>
      <c r="B1160" s="2" t="s">
        <v>4041</v>
      </c>
      <c r="C1160" s="2" t="s">
        <v>4466</v>
      </c>
      <c r="D1160" s="2" t="s">
        <v>89</v>
      </c>
      <c r="E1160" s="2" t="s">
        <v>4467</v>
      </c>
      <c r="F1160" s="2" t="s">
        <v>4479</v>
      </c>
      <c r="G1160" s="2" t="s">
        <v>4479</v>
      </c>
      <c r="H1160" s="2" t="s">
        <v>4479</v>
      </c>
      <c r="I1160" s="2" t="s">
        <v>4480</v>
      </c>
      <c r="J1160" s="2" t="s">
        <v>352</v>
      </c>
      <c r="K1160" s="2" t="s">
        <v>458</v>
      </c>
      <c r="L1160" s="3">
        <v>35.71</v>
      </c>
      <c r="M1160" s="3">
        <v>37.5</v>
      </c>
      <c r="N1160" s="3">
        <v>74.99</v>
      </c>
      <c r="O1160" s="2" t="s">
        <v>97</v>
      </c>
      <c r="P1160" s="2" t="s">
        <v>98</v>
      </c>
      <c r="Q1160" s="2" t="s">
        <v>99</v>
      </c>
      <c r="R1160" s="2" t="s">
        <v>100</v>
      </c>
      <c r="S1160" s="2" t="s">
        <v>4495</v>
      </c>
      <c r="T1160" s="2" t="s">
        <v>100</v>
      </c>
      <c r="U1160" s="2" t="s">
        <v>100</v>
      </c>
      <c r="V1160" s="2" t="s">
        <v>461</v>
      </c>
      <c r="W1160" s="2" t="s">
        <v>609</v>
      </c>
      <c r="X1160" s="2" t="s">
        <v>100</v>
      </c>
      <c r="Y1160" s="2" t="s">
        <v>4496</v>
      </c>
      <c r="Z1160" s="4">
        <v>249</v>
      </c>
      <c r="AA1160" s="4">
        <f>=ROUNDDOWN(31.125,0)</f>
      </c>
      <c r="AB1160" s="5">
        <v>8</v>
      </c>
      <c r="AC1160" s="2" t="s">
        <v>312</v>
      </c>
      <c r="AD1160" s="4">
        <v>180</v>
      </c>
      <c r="AE1160" s="4">
        <v>250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100</v>
      </c>
      <c r="AW1160" s="8" t="s">
        <v>100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/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/>
      <c r="BJ1160" s="4">
        <v>10</v>
      </c>
      <c r="BK1160" s="8">
        <v>401.05</v>
      </c>
      <c r="BL1160" s="2" t="s">
        <v>3124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171</v>
      </c>
      <c r="BV1160" s="2" t="s">
        <v>97</v>
      </c>
      <c r="BW1160" s="2" t="s">
        <v>100</v>
      </c>
      <c r="BX1160" s="2" t="s">
        <v>100</v>
      </c>
      <c r="BY1160" s="2" t="s">
        <v>112</v>
      </c>
      <c r="BZ1160" s="2" t="s">
        <v>100</v>
      </c>
    </row>
    <row r="1161">
      <c r="A1161" s="2" t="s">
        <v>4497</v>
      </c>
      <c r="B1161" s="2" t="s">
        <v>4041</v>
      </c>
      <c r="C1161" s="2" t="s">
        <v>4466</v>
      </c>
      <c r="D1161" s="2" t="s">
        <v>89</v>
      </c>
      <c r="E1161" s="2" t="s">
        <v>4467</v>
      </c>
      <c r="F1161" s="2" t="s">
        <v>4479</v>
      </c>
      <c r="G1161" s="2" t="s">
        <v>4479</v>
      </c>
      <c r="H1161" s="2" t="s">
        <v>4479</v>
      </c>
      <c r="I1161" s="2" t="s">
        <v>4480</v>
      </c>
      <c r="J1161" s="2" t="s">
        <v>522</v>
      </c>
      <c r="K1161" s="2" t="s">
        <v>458</v>
      </c>
      <c r="L1161" s="3">
        <v>45.23</v>
      </c>
      <c r="M1161" s="3">
        <v>47.49</v>
      </c>
      <c r="N1161" s="3">
        <v>94.99</v>
      </c>
      <c r="O1161" s="2" t="s">
        <v>97</v>
      </c>
      <c r="P1161" s="2" t="s">
        <v>123</v>
      </c>
      <c r="Q1161" s="2" t="s">
        <v>99</v>
      </c>
      <c r="R1161" s="2" t="s">
        <v>100</v>
      </c>
      <c r="S1161" s="2" t="s">
        <v>4495</v>
      </c>
      <c r="T1161" s="2" t="s">
        <v>100</v>
      </c>
      <c r="U1161" s="2" t="s">
        <v>100</v>
      </c>
      <c r="V1161" s="2" t="s">
        <v>461</v>
      </c>
      <c r="W1161" s="2" t="s">
        <v>609</v>
      </c>
      <c r="X1161" s="2" t="s">
        <v>100</v>
      </c>
      <c r="Y1161" s="2" t="s">
        <v>4496</v>
      </c>
      <c r="Z1161" s="4">
        <v>282</v>
      </c>
      <c r="AA1161" s="4">
        <f>=ROUNDDOWN(18.8,0)</f>
      </c>
      <c r="AB1161" s="5">
        <v>15</v>
      </c>
      <c r="AC1161" s="2" t="s">
        <v>312</v>
      </c>
      <c r="AD1161" s="4">
        <v>140</v>
      </c>
      <c r="AE1161" s="4">
        <v>450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/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/>
      <c r="BJ1161" s="4">
        <v>31</v>
      </c>
      <c r="BK1161" s="8">
        <v>1611.21</v>
      </c>
      <c r="BL1161" s="2" t="s">
        <v>1109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171</v>
      </c>
      <c r="BV1161" s="2" t="s">
        <v>97</v>
      </c>
      <c r="BW1161" s="2" t="s">
        <v>100</v>
      </c>
      <c r="BX1161" s="2" t="s">
        <v>100</v>
      </c>
      <c r="BY1161" s="2" t="s">
        <v>112</v>
      </c>
      <c r="BZ1161" s="2" t="s">
        <v>100</v>
      </c>
    </row>
    <row r="1162">
      <c r="A1162" s="2" t="s">
        <v>4498</v>
      </c>
      <c r="B1162" s="2" t="s">
        <v>4041</v>
      </c>
      <c r="C1162" s="2" t="s">
        <v>4466</v>
      </c>
      <c r="D1162" s="2" t="s">
        <v>89</v>
      </c>
      <c r="E1162" s="2" t="s">
        <v>4467</v>
      </c>
      <c r="F1162" s="2" t="s">
        <v>4479</v>
      </c>
      <c r="G1162" s="2" t="s">
        <v>4479</v>
      </c>
      <c r="H1162" s="2" t="s">
        <v>4479</v>
      </c>
      <c r="I1162" s="2" t="s">
        <v>4480</v>
      </c>
      <c r="J1162" s="2" t="s">
        <v>529</v>
      </c>
      <c r="K1162" s="2" t="s">
        <v>458</v>
      </c>
      <c r="L1162" s="3">
        <v>52.38</v>
      </c>
      <c r="M1162" s="3">
        <v>55</v>
      </c>
      <c r="N1162" s="3">
        <v>109.99</v>
      </c>
      <c r="O1162" s="2" t="s">
        <v>97</v>
      </c>
      <c r="P1162" s="2" t="s">
        <v>123</v>
      </c>
      <c r="Q1162" s="2" t="s">
        <v>99</v>
      </c>
      <c r="R1162" s="2" t="s">
        <v>100</v>
      </c>
      <c r="S1162" s="2" t="s">
        <v>4495</v>
      </c>
      <c r="T1162" s="2" t="s">
        <v>100</v>
      </c>
      <c r="U1162" s="2" t="s">
        <v>100</v>
      </c>
      <c r="V1162" s="2" t="s">
        <v>461</v>
      </c>
      <c r="W1162" s="2" t="s">
        <v>609</v>
      </c>
      <c r="X1162" s="2" t="s">
        <v>100</v>
      </c>
      <c r="Y1162" s="2" t="s">
        <v>4496</v>
      </c>
      <c r="Z1162" s="4">
        <v>348</v>
      </c>
      <c r="AA1162" s="4">
        <f>=ROUNDDOWN(19.3333333333333,0)</f>
      </c>
      <c r="AB1162" s="5">
        <v>18</v>
      </c>
      <c r="AC1162" s="2" t="s">
        <v>312</v>
      </c>
      <c r="AD1162" s="4">
        <v>50</v>
      </c>
      <c r="AE1162" s="4">
        <v>470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100</v>
      </c>
      <c r="AW1162" s="8" t="s">
        <v>100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/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/>
      <c r="BJ1162" s="4">
        <v>69</v>
      </c>
      <c r="BK1162" s="8">
        <v>4093.03</v>
      </c>
      <c r="BL1162" s="2" t="s">
        <v>4499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171</v>
      </c>
      <c r="BV1162" s="2" t="s">
        <v>97</v>
      </c>
      <c r="BW1162" s="2" t="s">
        <v>100</v>
      </c>
      <c r="BX1162" s="2" t="s">
        <v>100</v>
      </c>
      <c r="BY1162" s="2" t="s">
        <v>112</v>
      </c>
      <c r="BZ1162" s="2" t="s">
        <v>100</v>
      </c>
    </row>
    <row r="1163">
      <c r="A1163" s="2" t="s">
        <v>4500</v>
      </c>
      <c r="B1163" s="2" t="s">
        <v>4041</v>
      </c>
      <c r="C1163" s="2" t="s">
        <v>4466</v>
      </c>
      <c r="D1163" s="2" t="s">
        <v>1771</v>
      </c>
      <c r="E1163" s="2" t="s">
        <v>4217</v>
      </c>
      <c r="F1163" s="2" t="s">
        <v>4501</v>
      </c>
      <c r="G1163" s="2" t="s">
        <v>4501</v>
      </c>
      <c r="H1163" s="2" t="s">
        <v>4501</v>
      </c>
      <c r="I1163" s="2" t="s">
        <v>4502</v>
      </c>
      <c r="J1163" s="2" t="s">
        <v>4503</v>
      </c>
      <c r="K1163" s="2" t="s">
        <v>96</v>
      </c>
      <c r="L1163" s="3">
        <v>25.14</v>
      </c>
      <c r="M1163" s="3">
        <v>26.4</v>
      </c>
      <c r="N1163" s="3">
        <v>54.99</v>
      </c>
      <c r="O1163" s="2" t="s">
        <v>97</v>
      </c>
      <c r="P1163" s="2" t="s">
        <v>156</v>
      </c>
      <c r="Q1163" s="2" t="s">
        <v>99</v>
      </c>
      <c r="R1163" s="2" t="s">
        <v>100</v>
      </c>
      <c r="S1163" s="2" t="s">
        <v>4504</v>
      </c>
      <c r="T1163" s="2" t="s">
        <v>100</v>
      </c>
      <c r="U1163" s="2" t="s">
        <v>100</v>
      </c>
      <c r="V1163" s="2" t="s">
        <v>461</v>
      </c>
      <c r="W1163" s="2" t="s">
        <v>609</v>
      </c>
      <c r="X1163" s="2" t="s">
        <v>100</v>
      </c>
      <c r="Y1163" s="2" t="s">
        <v>4496</v>
      </c>
      <c r="Z1163" s="4">
        <v>399</v>
      </c>
      <c r="AA1163" s="4">
        <f>=ROUNDDOWN(26.6,0)</f>
      </c>
      <c r="AB1163" s="5">
        <v>15</v>
      </c>
      <c r="AC1163" s="2" t="s">
        <v>330</v>
      </c>
      <c r="AD1163" s="4">
        <v>400</v>
      </c>
      <c r="AE1163" s="4">
        <v>400</v>
      </c>
      <c r="AF1163" s="6">
        <v>65</v>
      </c>
      <c r="AG1163" s="6"/>
      <c r="AH1163" s="7">
        <v>0.0968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/>
      <c r="BJ1163" s="4"/>
      <c r="BK1163" s="8"/>
      <c r="BL1163" s="2" t="s">
        <v>100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171</v>
      </c>
      <c r="BV1163" s="2" t="s">
        <v>97</v>
      </c>
      <c r="BW1163" s="2" t="s">
        <v>100</v>
      </c>
      <c r="BX1163" s="2" t="s">
        <v>100</v>
      </c>
      <c r="BY1163" s="2" t="s">
        <v>112</v>
      </c>
      <c r="BZ1163" s="2" t="s">
        <v>100</v>
      </c>
    </row>
    <row r="1164">
      <c r="A1164" s="2" t="s">
        <v>4505</v>
      </c>
      <c r="B1164" s="2" t="s">
        <v>4041</v>
      </c>
      <c r="C1164" s="2" t="s">
        <v>4466</v>
      </c>
      <c r="D1164" s="2" t="s">
        <v>1771</v>
      </c>
      <c r="E1164" s="2" t="s">
        <v>4217</v>
      </c>
      <c r="F1164" s="2" t="s">
        <v>4501</v>
      </c>
      <c r="G1164" s="2" t="s">
        <v>4501</v>
      </c>
      <c r="H1164" s="2" t="s">
        <v>4501</v>
      </c>
      <c r="I1164" s="2" t="s">
        <v>4502</v>
      </c>
      <c r="J1164" s="2" t="s">
        <v>4503</v>
      </c>
      <c r="K1164" s="2" t="s">
        <v>1384</v>
      </c>
      <c r="L1164" s="3">
        <v>25.14</v>
      </c>
      <c r="M1164" s="3">
        <v>26.4</v>
      </c>
      <c r="N1164" s="3">
        <v>54.99</v>
      </c>
      <c r="O1164" s="2" t="s">
        <v>97</v>
      </c>
      <c r="P1164" s="2" t="s">
        <v>98</v>
      </c>
      <c r="Q1164" s="2" t="s">
        <v>99</v>
      </c>
      <c r="R1164" s="2" t="s">
        <v>100</v>
      </c>
      <c r="S1164" s="2" t="s">
        <v>4506</v>
      </c>
      <c r="T1164" s="2" t="s">
        <v>100</v>
      </c>
      <c r="U1164" s="2" t="s">
        <v>100</v>
      </c>
      <c r="V1164" s="2" t="s">
        <v>461</v>
      </c>
      <c r="W1164" s="2" t="s">
        <v>609</v>
      </c>
      <c r="X1164" s="2" t="s">
        <v>100</v>
      </c>
      <c r="Y1164" s="2" t="s">
        <v>4496</v>
      </c>
      <c r="Z1164" s="4">
        <v>286</v>
      </c>
      <c r="AA1164" s="4">
        <f>=ROUNDDOWN(28.6,0)</f>
      </c>
      <c r="AB1164" s="5">
        <v>10</v>
      </c>
      <c r="AC1164" s="2" t="s">
        <v>330</v>
      </c>
      <c r="AD1164" s="4">
        <v>300</v>
      </c>
      <c r="AE1164" s="4">
        <v>300</v>
      </c>
      <c r="AF1164" s="6">
        <v>65</v>
      </c>
      <c r="AG1164" s="6"/>
      <c r="AH1164" s="7">
        <v>0.0645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/>
      <c r="BJ1164" s="4"/>
      <c r="BK1164" s="8"/>
      <c r="BL1164" s="2" t="s">
        <v>100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171</v>
      </c>
      <c r="BV1164" s="2" t="s">
        <v>97</v>
      </c>
      <c r="BW1164" s="2" t="s">
        <v>100</v>
      </c>
      <c r="BX1164" s="2" t="s">
        <v>100</v>
      </c>
      <c r="BY1164" s="2" t="s">
        <v>112</v>
      </c>
      <c r="BZ1164" s="2" t="s">
        <v>100</v>
      </c>
    </row>
    <row r="1165">
      <c r="A1165" s="2" t="s">
        <v>4507</v>
      </c>
      <c r="B1165" s="2" t="s">
        <v>4041</v>
      </c>
      <c r="C1165" s="2" t="s">
        <v>4466</v>
      </c>
      <c r="D1165" s="2" t="s">
        <v>1771</v>
      </c>
      <c r="E1165" s="2" t="s">
        <v>4217</v>
      </c>
      <c r="F1165" s="2" t="s">
        <v>4501</v>
      </c>
      <c r="G1165" s="2" t="s">
        <v>4501</v>
      </c>
      <c r="H1165" s="2" t="s">
        <v>4501</v>
      </c>
      <c r="I1165" s="2" t="s">
        <v>4502</v>
      </c>
      <c r="J1165" s="2" t="s">
        <v>4503</v>
      </c>
      <c r="K1165" s="2" t="s">
        <v>236</v>
      </c>
      <c r="L1165" s="3">
        <v>25.14</v>
      </c>
      <c r="M1165" s="3">
        <v>26.4</v>
      </c>
      <c r="N1165" s="3">
        <v>54.99</v>
      </c>
      <c r="O1165" s="2" t="s">
        <v>97</v>
      </c>
      <c r="P1165" s="2" t="s">
        <v>98</v>
      </c>
      <c r="Q1165" s="2" t="s">
        <v>99</v>
      </c>
      <c r="R1165" s="2" t="s">
        <v>100</v>
      </c>
      <c r="S1165" s="2" t="s">
        <v>4508</v>
      </c>
      <c r="T1165" s="2" t="s">
        <v>100</v>
      </c>
      <c r="U1165" s="2" t="s">
        <v>100</v>
      </c>
      <c r="V1165" s="2" t="s">
        <v>461</v>
      </c>
      <c r="W1165" s="2" t="s">
        <v>609</v>
      </c>
      <c r="X1165" s="2" t="s">
        <v>100</v>
      </c>
      <c r="Y1165" s="2" t="s">
        <v>4496</v>
      </c>
      <c r="Z1165" s="4">
        <v>185</v>
      </c>
      <c r="AA1165" s="4">
        <f>=ROUNDDOWN(37,0)</f>
      </c>
      <c r="AB1165" s="5">
        <v>5</v>
      </c>
      <c r="AC1165" s="2" t="s">
        <v>330</v>
      </c>
      <c r="AD1165" s="4">
        <v>600</v>
      </c>
      <c r="AE1165" s="4">
        <v>600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/>
      <c r="BJ1165" s="4">
        <v>3</v>
      </c>
      <c r="BK1165" s="8">
        <v>80.52</v>
      </c>
      <c r="BL1165" s="2" t="s">
        <v>4509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171</v>
      </c>
      <c r="BV1165" s="2" t="s">
        <v>97</v>
      </c>
      <c r="BW1165" s="2" t="s">
        <v>100</v>
      </c>
      <c r="BX1165" s="2" t="s">
        <v>100</v>
      </c>
      <c r="BY1165" s="2" t="s">
        <v>112</v>
      </c>
      <c r="BZ1165" s="2" t="s">
        <v>100</v>
      </c>
    </row>
    <row r="1166">
      <c r="A1166" s="2" t="s">
        <v>4510</v>
      </c>
      <c r="B1166" s="2" t="s">
        <v>4041</v>
      </c>
      <c r="C1166" s="2" t="s">
        <v>3196</v>
      </c>
      <c r="D1166" s="2" t="s">
        <v>89</v>
      </c>
      <c r="E1166" s="2" t="s">
        <v>90</v>
      </c>
      <c r="F1166" s="2" t="s">
        <v>4511</v>
      </c>
      <c r="G1166" s="2" t="s">
        <v>4511</v>
      </c>
      <c r="H1166" s="2" t="s">
        <v>4511</v>
      </c>
      <c r="I1166" s="2" t="s">
        <v>4512</v>
      </c>
      <c r="J1166" s="2" t="s">
        <v>522</v>
      </c>
      <c r="K1166" s="2" t="s">
        <v>2686</v>
      </c>
      <c r="L1166" s="3">
        <v>80.95</v>
      </c>
      <c r="M1166" s="3">
        <v>85</v>
      </c>
      <c r="N1166" s="3">
        <v>169.99</v>
      </c>
      <c r="O1166" s="2" t="s">
        <v>97</v>
      </c>
      <c r="P1166" s="2" t="s">
        <v>98</v>
      </c>
      <c r="Q1166" s="2" t="s">
        <v>99</v>
      </c>
      <c r="R1166" s="2" t="s">
        <v>100</v>
      </c>
      <c r="S1166" s="2" t="s">
        <v>4513</v>
      </c>
      <c r="T1166" s="2" t="s">
        <v>190</v>
      </c>
      <c r="U1166" s="2" t="s">
        <v>460</v>
      </c>
      <c r="V1166" s="2" t="s">
        <v>3412</v>
      </c>
      <c r="W1166" s="2" t="s">
        <v>1136</v>
      </c>
      <c r="X1166" s="2" t="s">
        <v>609</v>
      </c>
      <c r="Y1166" s="2" t="s">
        <v>4514</v>
      </c>
      <c r="Z1166" s="4">
        <v>64</v>
      </c>
      <c r="AA1166" s="4">
        <f>=ROUNDDOWN(32,0)</f>
      </c>
      <c r="AB1166" s="5">
        <v>2</v>
      </c>
      <c r="AC1166" s="2" t="s">
        <v>330</v>
      </c>
      <c r="AD1166" s="4">
        <v>30</v>
      </c>
      <c r="AE1166" s="4">
        <v>30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/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/>
      <c r="BJ1166" s="4">
        <v>15</v>
      </c>
      <c r="BK1166" s="8">
        <v>1287.06</v>
      </c>
      <c r="BL1166" s="2" t="s">
        <v>2732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171</v>
      </c>
      <c r="BV1166" s="2" t="s">
        <v>97</v>
      </c>
      <c r="BW1166" s="2" t="s">
        <v>100</v>
      </c>
      <c r="BX1166" s="2" t="s">
        <v>100</v>
      </c>
      <c r="BY1166" s="2" t="s">
        <v>112</v>
      </c>
      <c r="BZ1166" s="2" t="s">
        <v>100</v>
      </c>
    </row>
    <row r="1167">
      <c r="A1167" s="2" t="s">
        <v>4515</v>
      </c>
      <c r="B1167" s="2" t="s">
        <v>4041</v>
      </c>
      <c r="C1167" s="2" t="s">
        <v>3196</v>
      </c>
      <c r="D1167" s="2" t="s">
        <v>89</v>
      </c>
      <c r="E1167" s="2" t="s">
        <v>90</v>
      </c>
      <c r="F1167" s="2" t="s">
        <v>4511</v>
      </c>
      <c r="G1167" s="2" t="s">
        <v>4511</v>
      </c>
      <c r="H1167" s="2" t="s">
        <v>4511</v>
      </c>
      <c r="I1167" s="2" t="s">
        <v>4512</v>
      </c>
      <c r="J1167" s="2" t="s">
        <v>529</v>
      </c>
      <c r="K1167" s="2" t="s">
        <v>2686</v>
      </c>
      <c r="L1167" s="3">
        <v>95.23</v>
      </c>
      <c r="M1167" s="3">
        <v>99.99</v>
      </c>
      <c r="N1167" s="3">
        <v>199.99</v>
      </c>
      <c r="O1167" s="2" t="s">
        <v>97</v>
      </c>
      <c r="P1167" s="2" t="s">
        <v>98</v>
      </c>
      <c r="Q1167" s="2" t="s">
        <v>99</v>
      </c>
      <c r="R1167" s="2" t="s">
        <v>100</v>
      </c>
      <c r="S1167" s="2" t="s">
        <v>4513</v>
      </c>
      <c r="T1167" s="2" t="s">
        <v>190</v>
      </c>
      <c r="U1167" s="2" t="s">
        <v>460</v>
      </c>
      <c r="V1167" s="2" t="s">
        <v>3412</v>
      </c>
      <c r="W1167" s="2" t="s">
        <v>1136</v>
      </c>
      <c r="X1167" s="2" t="s">
        <v>609</v>
      </c>
      <c r="Y1167" s="2" t="s">
        <v>4514</v>
      </c>
      <c r="Z1167" s="4">
        <v>224</v>
      </c>
      <c r="AA1167" s="4">
        <f>=ROUNDDOWN(65.8823529411765,0)</f>
      </c>
      <c r="AB1167" s="5">
        <v>3.4</v>
      </c>
      <c r="AC1167" s="2" t="s">
        <v>100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/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/>
      <c r="BJ1167" s="4">
        <v>21</v>
      </c>
      <c r="BK1167" s="8">
        <v>2248.53</v>
      </c>
      <c r="BL1167" s="2" t="s">
        <v>4516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171</v>
      </c>
      <c r="BV1167" s="2" t="s">
        <v>97</v>
      </c>
      <c r="BW1167" s="2" t="s">
        <v>100</v>
      </c>
      <c r="BX1167" s="2" t="s">
        <v>100</v>
      </c>
      <c r="BY1167" s="2" t="s">
        <v>112</v>
      </c>
      <c r="BZ1167" s="2" t="s">
        <v>100</v>
      </c>
    </row>
    <row r="1168">
      <c r="A1168" s="2" t="s">
        <v>4517</v>
      </c>
      <c r="B1168" s="2" t="s">
        <v>4041</v>
      </c>
      <c r="C1168" s="2" t="s">
        <v>3196</v>
      </c>
      <c r="D1168" s="2" t="s">
        <v>89</v>
      </c>
      <c r="E1168" s="2" t="s">
        <v>90</v>
      </c>
      <c r="F1168" s="2" t="s">
        <v>4511</v>
      </c>
      <c r="G1168" s="2" t="s">
        <v>4511</v>
      </c>
      <c r="H1168" s="2" t="s">
        <v>4511</v>
      </c>
      <c r="I1168" s="2" t="s">
        <v>4512</v>
      </c>
      <c r="J1168" s="2" t="s">
        <v>522</v>
      </c>
      <c r="K1168" s="2" t="s">
        <v>2928</v>
      </c>
      <c r="L1168" s="3">
        <v>80.95</v>
      </c>
      <c r="M1168" s="3">
        <v>85</v>
      </c>
      <c r="N1168" s="3">
        <v>169.99</v>
      </c>
      <c r="O1168" s="2" t="s">
        <v>97</v>
      </c>
      <c r="P1168" s="2" t="s">
        <v>98</v>
      </c>
      <c r="Q1168" s="2" t="s">
        <v>99</v>
      </c>
      <c r="R1168" s="2" t="s">
        <v>100</v>
      </c>
      <c r="S1168" s="2" t="s">
        <v>4518</v>
      </c>
      <c r="T1168" s="2" t="s">
        <v>190</v>
      </c>
      <c r="U1168" s="2" t="s">
        <v>460</v>
      </c>
      <c r="V1168" s="2" t="s">
        <v>3412</v>
      </c>
      <c r="W1168" s="2" t="s">
        <v>1136</v>
      </c>
      <c r="X1168" s="2" t="s">
        <v>609</v>
      </c>
      <c r="Y1168" s="2" t="s">
        <v>4514</v>
      </c>
      <c r="Z1168" s="4">
        <v>84</v>
      </c>
      <c r="AA1168" s="4">
        <f>=ROUNDDOWN(42,0)</f>
      </c>
      <c r="AB1168" s="5">
        <v>2</v>
      </c>
      <c r="AC1168" s="2" t="s">
        <v>100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/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/>
      <c r="BJ1168" s="4">
        <v>10</v>
      </c>
      <c r="BK1168" s="8">
        <v>850</v>
      </c>
      <c r="BL1168" s="2" t="s">
        <v>4519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171</v>
      </c>
      <c r="BV1168" s="2" t="s">
        <v>97</v>
      </c>
      <c r="BW1168" s="2" t="s">
        <v>100</v>
      </c>
      <c r="BX1168" s="2" t="s">
        <v>100</v>
      </c>
      <c r="BY1168" s="2" t="s">
        <v>112</v>
      </c>
      <c r="BZ1168" s="2" t="s">
        <v>100</v>
      </c>
    </row>
    <row r="1169">
      <c r="A1169" s="2" t="s">
        <v>4520</v>
      </c>
      <c r="B1169" s="2" t="s">
        <v>4041</v>
      </c>
      <c r="C1169" s="2" t="s">
        <v>3196</v>
      </c>
      <c r="D1169" s="2" t="s">
        <v>89</v>
      </c>
      <c r="E1169" s="2" t="s">
        <v>90</v>
      </c>
      <c r="F1169" s="2" t="s">
        <v>4511</v>
      </c>
      <c r="G1169" s="2" t="s">
        <v>4511</v>
      </c>
      <c r="H1169" s="2" t="s">
        <v>4511</v>
      </c>
      <c r="I1169" s="2" t="s">
        <v>4512</v>
      </c>
      <c r="J1169" s="2" t="s">
        <v>529</v>
      </c>
      <c r="K1169" s="2" t="s">
        <v>2928</v>
      </c>
      <c r="L1169" s="3">
        <v>95.23</v>
      </c>
      <c r="M1169" s="3">
        <v>99.99</v>
      </c>
      <c r="N1169" s="3">
        <v>199.99</v>
      </c>
      <c r="O1169" s="2" t="s">
        <v>97</v>
      </c>
      <c r="P1169" s="2" t="s">
        <v>98</v>
      </c>
      <c r="Q1169" s="2" t="s">
        <v>99</v>
      </c>
      <c r="R1169" s="2" t="s">
        <v>100</v>
      </c>
      <c r="S1169" s="2" t="s">
        <v>4518</v>
      </c>
      <c r="T1169" s="2" t="s">
        <v>190</v>
      </c>
      <c r="U1169" s="2" t="s">
        <v>460</v>
      </c>
      <c r="V1169" s="2" t="s">
        <v>3412</v>
      </c>
      <c r="W1169" s="2" t="s">
        <v>1136</v>
      </c>
      <c r="X1169" s="2" t="s">
        <v>609</v>
      </c>
      <c r="Y1169" s="2" t="s">
        <v>4514</v>
      </c>
      <c r="Z1169" s="4">
        <v>152</v>
      </c>
      <c r="AA1169" s="4">
        <f>=ROUNDDOWN(38,0)</f>
      </c>
      <c r="AB1169" s="5">
        <v>4</v>
      </c>
      <c r="AC1169" s="2" t="s">
        <v>100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/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/>
      <c r="BJ1169" s="4">
        <v>8</v>
      </c>
      <c r="BK1169" s="8">
        <v>792.92</v>
      </c>
      <c r="BL1169" s="2" t="s">
        <v>2807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171</v>
      </c>
      <c r="BV1169" s="2" t="s">
        <v>97</v>
      </c>
      <c r="BW1169" s="2" t="s">
        <v>100</v>
      </c>
      <c r="BX1169" s="2" t="s">
        <v>100</v>
      </c>
      <c r="BY1169" s="2" t="s">
        <v>112</v>
      </c>
      <c r="BZ1169" s="2" t="s">
        <v>100</v>
      </c>
    </row>
    <row r="1170">
      <c r="A1170" s="2" t="s">
        <v>4521</v>
      </c>
      <c r="B1170" s="2" t="s">
        <v>4041</v>
      </c>
      <c r="C1170" s="2" t="s">
        <v>3196</v>
      </c>
      <c r="D1170" s="2" t="s">
        <v>89</v>
      </c>
      <c r="E1170" s="2" t="s">
        <v>90</v>
      </c>
      <c r="F1170" s="2" t="s">
        <v>4511</v>
      </c>
      <c r="G1170" s="2" t="s">
        <v>4511</v>
      </c>
      <c r="H1170" s="2" t="s">
        <v>4511</v>
      </c>
      <c r="I1170" s="2" t="s">
        <v>4512</v>
      </c>
      <c r="J1170" s="2" t="s">
        <v>522</v>
      </c>
      <c r="K1170" s="2" t="s">
        <v>4522</v>
      </c>
      <c r="L1170" s="3">
        <v>80.95</v>
      </c>
      <c r="M1170" s="3">
        <v>85</v>
      </c>
      <c r="N1170" s="3">
        <v>169.99</v>
      </c>
      <c r="O1170" s="2" t="s">
        <v>97</v>
      </c>
      <c r="P1170" s="2" t="s">
        <v>98</v>
      </c>
      <c r="Q1170" s="2" t="s">
        <v>99</v>
      </c>
      <c r="R1170" s="2" t="s">
        <v>100</v>
      </c>
      <c r="S1170" s="2" t="s">
        <v>4523</v>
      </c>
      <c r="T1170" s="2" t="s">
        <v>190</v>
      </c>
      <c r="U1170" s="2" t="s">
        <v>460</v>
      </c>
      <c r="V1170" s="2" t="s">
        <v>3412</v>
      </c>
      <c r="W1170" s="2" t="s">
        <v>1136</v>
      </c>
      <c r="X1170" s="2" t="s">
        <v>609</v>
      </c>
      <c r="Y1170" s="2" t="s">
        <v>4514</v>
      </c>
      <c r="Z1170" s="4">
        <v>108</v>
      </c>
      <c r="AA1170" s="4">
        <f>=ROUNDDOWN(22.9787234042553,0)</f>
      </c>
      <c r="AB1170" s="5">
        <v>4.7</v>
      </c>
      <c r="AC1170" s="2" t="s">
        <v>330</v>
      </c>
      <c r="AD1170" s="4">
        <v>90</v>
      </c>
      <c r="AE1170" s="4">
        <v>90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/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/>
      <c r="BJ1170" s="4">
        <v>36</v>
      </c>
      <c r="BK1170" s="8">
        <v>3090.2</v>
      </c>
      <c r="BL1170" s="2" t="s">
        <v>2392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171</v>
      </c>
      <c r="BV1170" s="2" t="s">
        <v>97</v>
      </c>
      <c r="BW1170" s="2" t="s">
        <v>100</v>
      </c>
      <c r="BX1170" s="2" t="s">
        <v>100</v>
      </c>
      <c r="BY1170" s="2" t="s">
        <v>112</v>
      </c>
      <c r="BZ1170" s="2" t="s">
        <v>100</v>
      </c>
    </row>
    <row r="1171">
      <c r="A1171" s="2" t="s">
        <v>4524</v>
      </c>
      <c r="B1171" s="2" t="s">
        <v>4041</v>
      </c>
      <c r="C1171" s="2" t="s">
        <v>3196</v>
      </c>
      <c r="D1171" s="2" t="s">
        <v>89</v>
      </c>
      <c r="E1171" s="2" t="s">
        <v>90</v>
      </c>
      <c r="F1171" s="2" t="s">
        <v>4511</v>
      </c>
      <c r="G1171" s="2" t="s">
        <v>4511</v>
      </c>
      <c r="H1171" s="2" t="s">
        <v>4511</v>
      </c>
      <c r="I1171" s="2" t="s">
        <v>4512</v>
      </c>
      <c r="J1171" s="2" t="s">
        <v>529</v>
      </c>
      <c r="K1171" s="2" t="s">
        <v>4522</v>
      </c>
      <c r="L1171" s="3">
        <v>95.23</v>
      </c>
      <c r="M1171" s="3">
        <v>99.99</v>
      </c>
      <c r="N1171" s="3">
        <v>199.99</v>
      </c>
      <c r="O1171" s="2" t="s">
        <v>97</v>
      </c>
      <c r="P1171" s="2" t="s">
        <v>98</v>
      </c>
      <c r="Q1171" s="2" t="s">
        <v>99</v>
      </c>
      <c r="R1171" s="2" t="s">
        <v>100</v>
      </c>
      <c r="S1171" s="2" t="s">
        <v>4523</v>
      </c>
      <c r="T1171" s="2" t="s">
        <v>190</v>
      </c>
      <c r="U1171" s="2" t="s">
        <v>460</v>
      </c>
      <c r="V1171" s="2" t="s">
        <v>3412</v>
      </c>
      <c r="W1171" s="2" t="s">
        <v>1136</v>
      </c>
      <c r="X1171" s="2" t="s">
        <v>609</v>
      </c>
      <c r="Y1171" s="2" t="s">
        <v>4514</v>
      </c>
      <c r="Z1171" s="4">
        <v>95</v>
      </c>
      <c r="AA1171" s="4">
        <f>=ROUNDDOWN(15.0793650793651,0)</f>
      </c>
      <c r="AB1171" s="5">
        <v>6.3</v>
      </c>
      <c r="AC1171" s="2" t="s">
        <v>330</v>
      </c>
      <c r="AD1171" s="4">
        <v>160</v>
      </c>
      <c r="AE1171" s="4">
        <v>160</v>
      </c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/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/>
      <c r="BJ1171" s="4">
        <v>40</v>
      </c>
      <c r="BK1171" s="8">
        <v>4070.49</v>
      </c>
      <c r="BL1171" s="2" t="s">
        <v>2392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171</v>
      </c>
      <c r="BV1171" s="2" t="s">
        <v>97</v>
      </c>
      <c r="BW1171" s="2" t="s">
        <v>100</v>
      </c>
      <c r="BX1171" s="2" t="s">
        <v>100</v>
      </c>
      <c r="BY1171" s="2" t="s">
        <v>112</v>
      </c>
      <c r="BZ1171" s="2" t="s">
        <v>100</v>
      </c>
    </row>
    <row r="1172">
      <c r="A1172" s="2" t="s">
        <v>4525</v>
      </c>
      <c r="B1172" s="2" t="s">
        <v>4041</v>
      </c>
      <c r="C1172" s="2" t="s">
        <v>3196</v>
      </c>
      <c r="D1172" s="2" t="s">
        <v>89</v>
      </c>
      <c r="E1172" s="2" t="s">
        <v>4233</v>
      </c>
      <c r="F1172" s="2" t="s">
        <v>4526</v>
      </c>
      <c r="G1172" s="2" t="s">
        <v>4526</v>
      </c>
      <c r="H1172" s="2" t="s">
        <v>4526</v>
      </c>
      <c r="I1172" s="2" t="s">
        <v>4527</v>
      </c>
      <c r="J1172" s="2" t="s">
        <v>522</v>
      </c>
      <c r="K1172" s="2" t="s">
        <v>458</v>
      </c>
      <c r="L1172" s="3">
        <v>40.75</v>
      </c>
      <c r="M1172" s="3">
        <v>42.79</v>
      </c>
      <c r="N1172" s="3">
        <v>79.99</v>
      </c>
      <c r="O1172" s="2" t="s">
        <v>97</v>
      </c>
      <c r="P1172" s="2" t="s">
        <v>98</v>
      </c>
      <c r="Q1172" s="2" t="s">
        <v>99</v>
      </c>
      <c r="R1172" s="2" t="s">
        <v>100</v>
      </c>
      <c r="S1172" s="2" t="s">
        <v>4528</v>
      </c>
      <c r="T1172" s="2" t="s">
        <v>4529</v>
      </c>
      <c r="U1172" s="2" t="s">
        <v>100</v>
      </c>
      <c r="V1172" s="2" t="s">
        <v>461</v>
      </c>
      <c r="W1172" s="2" t="s">
        <v>609</v>
      </c>
      <c r="X1172" s="2" t="s">
        <v>100</v>
      </c>
      <c r="Y1172" s="2" t="s">
        <v>144</v>
      </c>
      <c r="Z1172" s="4">
        <v>231</v>
      </c>
      <c r="AA1172" s="4">
        <f>=ROUNDDOWN(23.1,0)</f>
      </c>
      <c r="AB1172" s="5">
        <v>10</v>
      </c>
      <c r="AC1172" s="2" t="s">
        <v>1142</v>
      </c>
      <c r="AD1172" s="4">
        <v>150</v>
      </c>
      <c r="AE1172" s="4">
        <v>150</v>
      </c>
      <c r="AF1172" s="6">
        <v>67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/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/>
      <c r="BJ1172" s="4">
        <v>49</v>
      </c>
      <c r="BK1172" s="8">
        <v>2149.81</v>
      </c>
      <c r="BL1172" s="2" t="s">
        <v>4530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171</v>
      </c>
      <c r="BV1172" s="2" t="s">
        <v>97</v>
      </c>
      <c r="BW1172" s="2" t="s">
        <v>100</v>
      </c>
      <c r="BX1172" s="2" t="s">
        <v>100</v>
      </c>
      <c r="BY1172" s="2" t="s">
        <v>112</v>
      </c>
      <c r="BZ1172" s="2" t="s">
        <v>100</v>
      </c>
    </row>
    <row r="1173">
      <c r="A1173" s="2" t="s">
        <v>4531</v>
      </c>
      <c r="B1173" s="2" t="s">
        <v>4041</v>
      </c>
      <c r="C1173" s="2" t="s">
        <v>3196</v>
      </c>
      <c r="D1173" s="2" t="s">
        <v>89</v>
      </c>
      <c r="E1173" s="2" t="s">
        <v>4233</v>
      </c>
      <c r="F1173" s="2" t="s">
        <v>4526</v>
      </c>
      <c r="G1173" s="2" t="s">
        <v>4526</v>
      </c>
      <c r="H1173" s="2" t="s">
        <v>4526</v>
      </c>
      <c r="I1173" s="2" t="s">
        <v>4527</v>
      </c>
      <c r="J1173" s="2" t="s">
        <v>529</v>
      </c>
      <c r="K1173" s="2" t="s">
        <v>458</v>
      </c>
      <c r="L1173" s="3">
        <v>47.21</v>
      </c>
      <c r="M1173" s="3">
        <v>49.57</v>
      </c>
      <c r="N1173" s="3">
        <v>89.99</v>
      </c>
      <c r="O1173" s="2" t="s">
        <v>97</v>
      </c>
      <c r="P1173" s="2" t="s">
        <v>156</v>
      </c>
      <c r="Q1173" s="2" t="s">
        <v>99</v>
      </c>
      <c r="R1173" s="2" t="s">
        <v>100</v>
      </c>
      <c r="S1173" s="2" t="s">
        <v>4528</v>
      </c>
      <c r="T1173" s="2" t="s">
        <v>4529</v>
      </c>
      <c r="U1173" s="2" t="s">
        <v>100</v>
      </c>
      <c r="V1173" s="2" t="s">
        <v>461</v>
      </c>
      <c r="W1173" s="2" t="s">
        <v>609</v>
      </c>
      <c r="X1173" s="2" t="s">
        <v>100</v>
      </c>
      <c r="Y1173" s="2" t="s">
        <v>144</v>
      </c>
      <c r="Z1173" s="4">
        <v>164</v>
      </c>
      <c r="AA1173" s="4">
        <f>=ROUNDDOWN(12.6153846153846,0)</f>
      </c>
      <c r="AB1173" s="5">
        <v>13</v>
      </c>
      <c r="AC1173" s="2" t="s">
        <v>1238</v>
      </c>
      <c r="AD1173" s="4">
        <v>100</v>
      </c>
      <c r="AE1173" s="4">
        <v>280</v>
      </c>
      <c r="AF1173" s="6">
        <v>67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/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/>
      <c r="BJ1173" s="4">
        <v>57</v>
      </c>
      <c r="BK1173" s="8">
        <v>2862</v>
      </c>
      <c r="BL1173" s="2" t="s">
        <v>4532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171</v>
      </c>
      <c r="BV1173" s="2" t="s">
        <v>97</v>
      </c>
      <c r="BW1173" s="2" t="s">
        <v>100</v>
      </c>
      <c r="BX1173" s="2" t="s">
        <v>100</v>
      </c>
      <c r="BY1173" s="2" t="s">
        <v>112</v>
      </c>
      <c r="BZ1173" s="2" t="s">
        <v>100</v>
      </c>
    </row>
    <row r="1174">
      <c r="A1174" s="2" t="s">
        <v>4533</v>
      </c>
      <c r="B1174" s="2" t="s">
        <v>4041</v>
      </c>
      <c r="C1174" s="2" t="s">
        <v>3196</v>
      </c>
      <c r="D1174" s="2" t="s">
        <v>1496</v>
      </c>
      <c r="E1174" s="2" t="s">
        <v>1648</v>
      </c>
      <c r="F1174" s="2" t="s">
        <v>4511</v>
      </c>
      <c r="G1174" s="2" t="s">
        <v>4511</v>
      </c>
      <c r="H1174" s="2" t="s">
        <v>4511</v>
      </c>
      <c r="I1174" s="2" t="s">
        <v>4534</v>
      </c>
      <c r="J1174" s="2" t="s">
        <v>522</v>
      </c>
      <c r="K1174" s="2" t="s">
        <v>2686</v>
      </c>
      <c r="L1174" s="3">
        <v>66.66</v>
      </c>
      <c r="M1174" s="3">
        <v>69.99</v>
      </c>
      <c r="N1174" s="3">
        <v>139.99</v>
      </c>
      <c r="O1174" s="2" t="s">
        <v>97</v>
      </c>
      <c r="P1174" s="2" t="s">
        <v>98</v>
      </c>
      <c r="Q1174" s="2" t="s">
        <v>99</v>
      </c>
      <c r="R1174" s="2" t="s">
        <v>100</v>
      </c>
      <c r="S1174" s="2" t="s">
        <v>4535</v>
      </c>
      <c r="T1174" s="2" t="s">
        <v>190</v>
      </c>
      <c r="U1174" s="2" t="s">
        <v>1228</v>
      </c>
      <c r="V1174" s="2" t="s">
        <v>3412</v>
      </c>
      <c r="W1174" s="2" t="s">
        <v>1136</v>
      </c>
      <c r="X1174" s="2" t="s">
        <v>609</v>
      </c>
      <c r="Y1174" s="2" t="s">
        <v>4514</v>
      </c>
      <c r="Z1174" s="4">
        <v>238</v>
      </c>
      <c r="AA1174" s="4">
        <f>=ROUNDDOWN(59.5,0)</f>
      </c>
      <c r="AB1174" s="5">
        <v>4</v>
      </c>
      <c r="AC1174" s="2" t="s">
        <v>100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/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/>
      <c r="BJ1174" s="4">
        <v>11</v>
      </c>
      <c r="BK1174" s="8">
        <v>860.89</v>
      </c>
      <c r="BL1174" s="2" t="s">
        <v>4536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171</v>
      </c>
      <c r="BV1174" s="2" t="s">
        <v>97</v>
      </c>
      <c r="BW1174" s="2" t="s">
        <v>100</v>
      </c>
      <c r="BX1174" s="2" t="s">
        <v>100</v>
      </c>
      <c r="BY1174" s="2" t="s">
        <v>112</v>
      </c>
      <c r="BZ1174" s="2" t="s">
        <v>100</v>
      </c>
    </row>
    <row r="1175">
      <c r="A1175" s="2" t="s">
        <v>4537</v>
      </c>
      <c r="B1175" s="2" t="s">
        <v>4041</v>
      </c>
      <c r="C1175" s="2" t="s">
        <v>3196</v>
      </c>
      <c r="D1175" s="2" t="s">
        <v>1496</v>
      </c>
      <c r="E1175" s="2" t="s">
        <v>1648</v>
      </c>
      <c r="F1175" s="2" t="s">
        <v>4511</v>
      </c>
      <c r="G1175" s="2" t="s">
        <v>4511</v>
      </c>
      <c r="H1175" s="2" t="s">
        <v>4511</v>
      </c>
      <c r="I1175" s="2" t="s">
        <v>4534</v>
      </c>
      <c r="J1175" s="2" t="s">
        <v>529</v>
      </c>
      <c r="K1175" s="2" t="s">
        <v>2686</v>
      </c>
      <c r="L1175" s="3">
        <v>76.19</v>
      </c>
      <c r="M1175" s="3">
        <v>80</v>
      </c>
      <c r="N1175" s="3">
        <v>159.99</v>
      </c>
      <c r="O1175" s="2" t="s">
        <v>97</v>
      </c>
      <c r="P1175" s="2" t="s">
        <v>98</v>
      </c>
      <c r="Q1175" s="2" t="s">
        <v>99</v>
      </c>
      <c r="R1175" s="2" t="s">
        <v>100</v>
      </c>
      <c r="S1175" s="2" t="s">
        <v>4535</v>
      </c>
      <c r="T1175" s="2" t="s">
        <v>190</v>
      </c>
      <c r="U1175" s="2" t="s">
        <v>1228</v>
      </c>
      <c r="V1175" s="2" t="s">
        <v>3412</v>
      </c>
      <c r="W1175" s="2" t="s">
        <v>1136</v>
      </c>
      <c r="X1175" s="2" t="s">
        <v>609</v>
      </c>
      <c r="Y1175" s="2" t="s">
        <v>4514</v>
      </c>
      <c r="Z1175" s="4">
        <v>105</v>
      </c>
      <c r="AA1175" s="4">
        <f>=ROUNDDOWN(19.4444444444444,0)</f>
      </c>
      <c r="AB1175" s="5">
        <v>5.4</v>
      </c>
      <c r="AC1175" s="2" t="s">
        <v>330</v>
      </c>
      <c r="AD1175" s="4">
        <v>250</v>
      </c>
      <c r="AE1175" s="4">
        <v>250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/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/>
      <c r="BJ1175" s="4">
        <v>25</v>
      </c>
      <c r="BK1175" s="8">
        <v>2009.6</v>
      </c>
      <c r="BL1175" s="2" t="s">
        <v>2765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171</v>
      </c>
      <c r="BV1175" s="2" t="s">
        <v>97</v>
      </c>
      <c r="BW1175" s="2" t="s">
        <v>100</v>
      </c>
      <c r="BX1175" s="2" t="s">
        <v>100</v>
      </c>
      <c r="BY1175" s="2" t="s">
        <v>112</v>
      </c>
      <c r="BZ1175" s="2" t="s">
        <v>100</v>
      </c>
    </row>
    <row r="1176">
      <c r="A1176" s="2" t="s">
        <v>4538</v>
      </c>
      <c r="B1176" s="2" t="s">
        <v>4041</v>
      </c>
      <c r="C1176" s="2" t="s">
        <v>3196</v>
      </c>
      <c r="D1176" s="2" t="s">
        <v>1496</v>
      </c>
      <c r="E1176" s="2" t="s">
        <v>1648</v>
      </c>
      <c r="F1176" s="2" t="s">
        <v>4511</v>
      </c>
      <c r="G1176" s="2" t="s">
        <v>4511</v>
      </c>
      <c r="H1176" s="2" t="s">
        <v>4511</v>
      </c>
      <c r="I1176" s="2" t="s">
        <v>4534</v>
      </c>
      <c r="J1176" s="2" t="s">
        <v>522</v>
      </c>
      <c r="K1176" s="2" t="s">
        <v>2928</v>
      </c>
      <c r="L1176" s="3">
        <v>66.66</v>
      </c>
      <c r="M1176" s="3">
        <v>69.99</v>
      </c>
      <c r="N1176" s="3">
        <v>139.99</v>
      </c>
      <c r="O1176" s="2" t="s">
        <v>97</v>
      </c>
      <c r="P1176" s="2" t="s">
        <v>98</v>
      </c>
      <c r="Q1176" s="2" t="s">
        <v>99</v>
      </c>
      <c r="R1176" s="2" t="s">
        <v>100</v>
      </c>
      <c r="S1176" s="2" t="s">
        <v>4539</v>
      </c>
      <c r="T1176" s="2" t="s">
        <v>190</v>
      </c>
      <c r="U1176" s="2" t="s">
        <v>1228</v>
      </c>
      <c r="V1176" s="2" t="s">
        <v>3412</v>
      </c>
      <c r="W1176" s="2" t="s">
        <v>1136</v>
      </c>
      <c r="X1176" s="2" t="s">
        <v>609</v>
      </c>
      <c r="Y1176" s="2" t="s">
        <v>4514</v>
      </c>
      <c r="Z1176" s="4">
        <v>150</v>
      </c>
      <c r="AA1176" s="4">
        <f>=ROUNDDOWN(37.5,0)</f>
      </c>
      <c r="AB1176" s="5">
        <v>4</v>
      </c>
      <c r="AC1176" s="2" t="s">
        <v>100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/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/>
      <c r="BJ1176" s="4">
        <v>16</v>
      </c>
      <c r="BK1176" s="8">
        <v>1226.94</v>
      </c>
      <c r="BL1176" s="2" t="s">
        <v>4540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171</v>
      </c>
      <c r="BV1176" s="2" t="s">
        <v>97</v>
      </c>
      <c r="BW1176" s="2" t="s">
        <v>100</v>
      </c>
      <c r="BX1176" s="2" t="s">
        <v>100</v>
      </c>
      <c r="BY1176" s="2" t="s">
        <v>112</v>
      </c>
      <c r="BZ1176" s="2" t="s">
        <v>100</v>
      </c>
    </row>
    <row r="1177">
      <c r="A1177" s="2" t="s">
        <v>4541</v>
      </c>
      <c r="B1177" s="2" t="s">
        <v>4041</v>
      </c>
      <c r="C1177" s="2" t="s">
        <v>3196</v>
      </c>
      <c r="D1177" s="2" t="s">
        <v>1496</v>
      </c>
      <c r="E1177" s="2" t="s">
        <v>1648</v>
      </c>
      <c r="F1177" s="2" t="s">
        <v>4511</v>
      </c>
      <c r="G1177" s="2" t="s">
        <v>4511</v>
      </c>
      <c r="H1177" s="2" t="s">
        <v>4511</v>
      </c>
      <c r="I1177" s="2" t="s">
        <v>4534</v>
      </c>
      <c r="J1177" s="2" t="s">
        <v>529</v>
      </c>
      <c r="K1177" s="2" t="s">
        <v>2928</v>
      </c>
      <c r="L1177" s="3">
        <v>76.19</v>
      </c>
      <c r="M1177" s="3">
        <v>80</v>
      </c>
      <c r="N1177" s="3">
        <v>159.99</v>
      </c>
      <c r="O1177" s="2" t="s">
        <v>97</v>
      </c>
      <c r="P1177" s="2" t="s">
        <v>98</v>
      </c>
      <c r="Q1177" s="2" t="s">
        <v>99</v>
      </c>
      <c r="R1177" s="2" t="s">
        <v>100</v>
      </c>
      <c r="S1177" s="2" t="s">
        <v>4539</v>
      </c>
      <c r="T1177" s="2" t="s">
        <v>190</v>
      </c>
      <c r="U1177" s="2" t="s">
        <v>1228</v>
      </c>
      <c r="V1177" s="2" t="s">
        <v>3412</v>
      </c>
      <c r="W1177" s="2" t="s">
        <v>1136</v>
      </c>
      <c r="X1177" s="2" t="s">
        <v>609</v>
      </c>
      <c r="Y1177" s="2" t="s">
        <v>4514</v>
      </c>
      <c r="Z1177" s="4">
        <v>149</v>
      </c>
      <c r="AA1177" s="4">
        <f>=ROUNDDOWN(41.3888888888889,0)</f>
      </c>
      <c r="AB1177" s="5">
        <v>3.6</v>
      </c>
      <c r="AC1177" s="2" t="s">
        <v>330</v>
      </c>
      <c r="AD1177" s="4">
        <v>140</v>
      </c>
      <c r="AE1177" s="4">
        <v>140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100</v>
      </c>
      <c r="AW1177" s="8" t="s">
        <v>100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/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/>
      <c r="BJ1177" s="4">
        <v>16</v>
      </c>
      <c r="BK1177" s="8">
        <v>1314.4</v>
      </c>
      <c r="BL1177" s="2" t="s">
        <v>1149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171</v>
      </c>
      <c r="BV1177" s="2" t="s">
        <v>97</v>
      </c>
      <c r="BW1177" s="2" t="s">
        <v>100</v>
      </c>
      <c r="BX1177" s="2" t="s">
        <v>100</v>
      </c>
      <c r="BY1177" s="2" t="s">
        <v>112</v>
      </c>
      <c r="BZ1177" s="2" t="s">
        <v>100</v>
      </c>
    </row>
    <row r="1178">
      <c r="A1178" s="2" t="s">
        <v>4542</v>
      </c>
      <c r="B1178" s="2" t="s">
        <v>4041</v>
      </c>
      <c r="C1178" s="2" t="s">
        <v>3196</v>
      </c>
      <c r="D1178" s="2" t="s">
        <v>1496</v>
      </c>
      <c r="E1178" s="2" t="s">
        <v>1648</v>
      </c>
      <c r="F1178" s="2" t="s">
        <v>4511</v>
      </c>
      <c r="G1178" s="2" t="s">
        <v>4511</v>
      </c>
      <c r="H1178" s="2" t="s">
        <v>4511</v>
      </c>
      <c r="I1178" s="2" t="s">
        <v>4534</v>
      </c>
      <c r="J1178" s="2" t="s">
        <v>522</v>
      </c>
      <c r="K1178" s="2" t="s">
        <v>4522</v>
      </c>
      <c r="L1178" s="3">
        <v>66.66</v>
      </c>
      <c r="M1178" s="3">
        <v>69.99</v>
      </c>
      <c r="N1178" s="3">
        <v>139.99</v>
      </c>
      <c r="O1178" s="2" t="s">
        <v>97</v>
      </c>
      <c r="P1178" s="2" t="s">
        <v>98</v>
      </c>
      <c r="Q1178" s="2" t="s">
        <v>99</v>
      </c>
      <c r="R1178" s="2" t="s">
        <v>100</v>
      </c>
      <c r="S1178" s="2" t="s">
        <v>4543</v>
      </c>
      <c r="T1178" s="2" t="s">
        <v>190</v>
      </c>
      <c r="U1178" s="2" t="s">
        <v>1228</v>
      </c>
      <c r="V1178" s="2" t="s">
        <v>3412</v>
      </c>
      <c r="W1178" s="2" t="s">
        <v>1136</v>
      </c>
      <c r="X1178" s="2" t="s">
        <v>609</v>
      </c>
      <c r="Y1178" s="2" t="s">
        <v>4514</v>
      </c>
      <c r="Z1178" s="4">
        <v>230</v>
      </c>
      <c r="AA1178" s="4">
        <f>=ROUNDDOWN(57.5,0)</f>
      </c>
      <c r="AB1178" s="5">
        <v>4</v>
      </c>
      <c r="AC1178" s="2" t="s">
        <v>100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/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/>
      <c r="BJ1178" s="4">
        <v>17</v>
      </c>
      <c r="BK1178" s="8">
        <v>1257.02</v>
      </c>
      <c r="BL1178" s="2" t="s">
        <v>2765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171</v>
      </c>
      <c r="BV1178" s="2" t="s">
        <v>97</v>
      </c>
      <c r="BW1178" s="2" t="s">
        <v>100</v>
      </c>
      <c r="BX1178" s="2" t="s">
        <v>100</v>
      </c>
      <c r="BY1178" s="2" t="s">
        <v>112</v>
      </c>
      <c r="BZ1178" s="2" t="s">
        <v>100</v>
      </c>
    </row>
    <row r="1179">
      <c r="A1179" s="2" t="s">
        <v>4544</v>
      </c>
      <c r="B1179" s="2" t="s">
        <v>4041</v>
      </c>
      <c r="C1179" s="2" t="s">
        <v>3196</v>
      </c>
      <c r="D1179" s="2" t="s">
        <v>1496</v>
      </c>
      <c r="E1179" s="2" t="s">
        <v>1648</v>
      </c>
      <c r="F1179" s="2" t="s">
        <v>4511</v>
      </c>
      <c r="G1179" s="2" t="s">
        <v>4511</v>
      </c>
      <c r="H1179" s="2" t="s">
        <v>4511</v>
      </c>
      <c r="I1179" s="2" t="s">
        <v>4534</v>
      </c>
      <c r="J1179" s="2" t="s">
        <v>529</v>
      </c>
      <c r="K1179" s="2" t="s">
        <v>4522</v>
      </c>
      <c r="L1179" s="3">
        <v>76.19</v>
      </c>
      <c r="M1179" s="3">
        <v>80</v>
      </c>
      <c r="N1179" s="3">
        <v>159.99</v>
      </c>
      <c r="O1179" s="2" t="s">
        <v>97</v>
      </c>
      <c r="P1179" s="2" t="s">
        <v>98</v>
      </c>
      <c r="Q1179" s="2" t="s">
        <v>99</v>
      </c>
      <c r="R1179" s="2" t="s">
        <v>100</v>
      </c>
      <c r="S1179" s="2" t="s">
        <v>4543</v>
      </c>
      <c r="T1179" s="2" t="s">
        <v>190</v>
      </c>
      <c r="U1179" s="2" t="s">
        <v>1228</v>
      </c>
      <c r="V1179" s="2" t="s">
        <v>3412</v>
      </c>
      <c r="W1179" s="2" t="s">
        <v>1136</v>
      </c>
      <c r="X1179" s="2" t="s">
        <v>609</v>
      </c>
      <c r="Y1179" s="2" t="s">
        <v>4514</v>
      </c>
      <c r="Z1179" s="4">
        <v>133</v>
      </c>
      <c r="AA1179" s="4">
        <f>=ROUNDDOWN(26.6,0)</f>
      </c>
      <c r="AB1179" s="5">
        <v>5</v>
      </c>
      <c r="AC1179" s="2" t="s">
        <v>330</v>
      </c>
      <c r="AD1179" s="4">
        <v>130</v>
      </c>
      <c r="AE1179" s="4">
        <v>130</v>
      </c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/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/>
      <c r="BJ1179" s="4">
        <v>23</v>
      </c>
      <c r="BK1179" s="8">
        <v>1880.01</v>
      </c>
      <c r="BL1179" s="2" t="s">
        <v>2807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171</v>
      </c>
      <c r="BV1179" s="2" t="s">
        <v>97</v>
      </c>
      <c r="BW1179" s="2" t="s">
        <v>100</v>
      </c>
      <c r="BX1179" s="2" t="s">
        <v>100</v>
      </c>
      <c r="BY1179" s="2" t="s">
        <v>112</v>
      </c>
      <c r="BZ1179" s="2" t="s">
        <v>100</v>
      </c>
    </row>
    <row r="1180">
      <c r="A1180" s="2" t="s">
        <v>4545</v>
      </c>
      <c r="B1180" s="2" t="s">
        <v>4041</v>
      </c>
      <c r="C1180" s="2" t="s">
        <v>3196</v>
      </c>
      <c r="D1180" s="2" t="s">
        <v>2505</v>
      </c>
      <c r="E1180" s="2" t="s">
        <v>4196</v>
      </c>
      <c r="F1180" s="2" t="s">
        <v>4546</v>
      </c>
      <c r="G1180" s="2" t="s">
        <v>100</v>
      </c>
      <c r="H1180" s="2" t="s">
        <v>100</v>
      </c>
      <c r="I1180" s="2" t="s">
        <v>4547</v>
      </c>
      <c r="J1180" s="2" t="s">
        <v>3315</v>
      </c>
      <c r="K1180" s="2" t="s">
        <v>458</v>
      </c>
      <c r="L1180" s="3">
        <v>17.48</v>
      </c>
      <c r="M1180" s="3">
        <v>18.35</v>
      </c>
      <c r="N1180" s="3">
        <v>40.99</v>
      </c>
      <c r="O1180" s="2" t="s">
        <v>97</v>
      </c>
      <c r="P1180" s="2" t="s">
        <v>98</v>
      </c>
      <c r="Q1180" s="2" t="s">
        <v>99</v>
      </c>
      <c r="R1180" s="2" t="s">
        <v>100</v>
      </c>
      <c r="S1180" s="2" t="s">
        <v>4548</v>
      </c>
      <c r="T1180" s="2" t="s">
        <v>190</v>
      </c>
      <c r="U1180" s="2" t="s">
        <v>100</v>
      </c>
      <c r="V1180" s="2" t="s">
        <v>461</v>
      </c>
      <c r="W1180" s="2" t="s">
        <v>493</v>
      </c>
      <c r="X1180" s="2" t="s">
        <v>100</v>
      </c>
      <c r="Y1180" s="2" t="s">
        <v>4549</v>
      </c>
      <c r="Z1180" s="4">
        <v>303</v>
      </c>
      <c r="AA1180" s="4">
        <f>=ROUNDDOWN(8.65714285714286,0)</f>
      </c>
      <c r="AB1180" s="5">
        <v>35</v>
      </c>
      <c r="AC1180" s="2" t="s">
        <v>1060</v>
      </c>
      <c r="AD1180" s="4">
        <v>350</v>
      </c>
      <c r="AE1180" s="4">
        <v>350</v>
      </c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>
        <v>128</v>
      </c>
      <c r="BK1180" s="8">
        <v>2361.35</v>
      </c>
      <c r="BL1180" s="2" t="s">
        <v>4550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171</v>
      </c>
      <c r="BV1180" s="2" t="s">
        <v>97</v>
      </c>
      <c r="BW1180" s="2" t="s">
        <v>100</v>
      </c>
      <c r="BX1180" s="2" t="s">
        <v>100</v>
      </c>
      <c r="BY1180" s="2" t="s">
        <v>112</v>
      </c>
      <c r="BZ1180" s="2" t="s">
        <v>100</v>
      </c>
    </row>
    <row r="1181">
      <c r="A1181" s="2" t="s">
        <v>4551</v>
      </c>
      <c r="B1181" s="2" t="s">
        <v>4552</v>
      </c>
      <c r="C1181" s="2" t="s">
        <v>88</v>
      </c>
      <c r="D1181" s="2" t="s">
        <v>4553</v>
      </c>
      <c r="E1181" s="2" t="s">
        <v>4554</v>
      </c>
      <c r="F1181" s="2" t="s">
        <v>1704</v>
      </c>
      <c r="G1181" s="2" t="s">
        <v>455</v>
      </c>
      <c r="H1181" s="2" t="s">
        <v>1705</v>
      </c>
      <c r="I1181" s="2" t="s">
        <v>4555</v>
      </c>
      <c r="J1181" s="2" t="s">
        <v>4556</v>
      </c>
      <c r="K1181" s="2" t="s">
        <v>386</v>
      </c>
      <c r="L1181" s="3">
        <v>16.28</v>
      </c>
      <c r="M1181" s="3">
        <v>17.09</v>
      </c>
      <c r="N1181" s="3">
        <v>36.99</v>
      </c>
      <c r="O1181" s="2" t="s">
        <v>97</v>
      </c>
      <c r="P1181" s="2" t="s">
        <v>98</v>
      </c>
      <c r="Q1181" s="2" t="s">
        <v>99</v>
      </c>
      <c r="R1181" s="2" t="s">
        <v>100</v>
      </c>
      <c r="S1181" s="2" t="s">
        <v>4557</v>
      </c>
      <c r="T1181" s="2" t="s">
        <v>100</v>
      </c>
      <c r="U1181" s="2" t="s">
        <v>100</v>
      </c>
      <c r="V1181" s="2" t="s">
        <v>192</v>
      </c>
      <c r="W1181" s="2" t="s">
        <v>493</v>
      </c>
      <c r="X1181" s="2" t="s">
        <v>100</v>
      </c>
      <c r="Y1181" s="2" t="s">
        <v>144</v>
      </c>
      <c r="Z1181" s="4">
        <v>121</v>
      </c>
      <c r="AA1181" s="4">
        <f>=ROUNDDOWN(2.52083333333333,0)</f>
      </c>
      <c r="AB1181" s="5">
        <v>48</v>
      </c>
      <c r="AC1181" s="2" t="s">
        <v>1711</v>
      </c>
      <c r="AD1181" s="4">
        <v>600</v>
      </c>
      <c r="AE1181" s="4">
        <v>1500</v>
      </c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17</v>
      </c>
      <c r="AQ1181" s="8">
        <v>302.43</v>
      </c>
      <c r="AR1181" s="4"/>
      <c r="AS1181" s="8"/>
      <c r="AT1181" s="7"/>
      <c r="AU1181" s="7"/>
      <c r="AV1181" s="4">
        <v>17</v>
      </c>
      <c r="AW1181" s="8">
        <v>302.43</v>
      </c>
      <c r="AX1181" s="4"/>
      <c r="AY1181" s="8"/>
      <c r="AZ1181" s="7"/>
      <c r="BA1181" s="7"/>
      <c r="BB1181" s="7">
        <v>1</v>
      </c>
      <c r="BC1181" s="4">
        <v>17</v>
      </c>
      <c r="BD1181" s="8">
        <v>302.43</v>
      </c>
      <c r="BE1181" s="4"/>
      <c r="BF1181" s="8"/>
      <c r="BG1181" s="7"/>
      <c r="BH1181" s="7"/>
      <c r="BI1181" s="7">
        <v>1</v>
      </c>
      <c r="BJ1181" s="4">
        <v>145</v>
      </c>
      <c r="BK1181" s="8">
        <v>2577.46</v>
      </c>
      <c r="BL1181" s="2" t="s">
        <v>4558</v>
      </c>
      <c r="BM1181" s="7">
        <v>0.1172</v>
      </c>
      <c r="BN1181" s="7">
        <v>0.1173</v>
      </c>
      <c r="BO1181" s="4">
        <v>17</v>
      </c>
      <c r="BP1181" s="8">
        <v>302.43</v>
      </c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4559</v>
      </c>
      <c r="BX1181" s="2" t="s">
        <v>227</v>
      </c>
      <c r="BY1181" s="2" t="s">
        <v>112</v>
      </c>
      <c r="BZ1181" s="2" t="s">
        <v>149</v>
      </c>
    </row>
    <row r="1182">
      <c r="A1182" s="2" t="s">
        <v>4560</v>
      </c>
      <c r="B1182" s="2" t="s">
        <v>4552</v>
      </c>
      <c r="C1182" s="2" t="s">
        <v>88</v>
      </c>
      <c r="D1182" s="2" t="s">
        <v>4553</v>
      </c>
      <c r="E1182" s="2" t="s">
        <v>4554</v>
      </c>
      <c r="F1182" s="2" t="s">
        <v>252</v>
      </c>
      <c r="G1182" s="2" t="s">
        <v>253</v>
      </c>
      <c r="H1182" s="2" t="s">
        <v>254</v>
      </c>
      <c r="I1182" s="2" t="s">
        <v>4561</v>
      </c>
      <c r="J1182" s="2" t="s">
        <v>4556</v>
      </c>
      <c r="K1182" s="2" t="s">
        <v>236</v>
      </c>
      <c r="L1182" s="3">
        <v>15.84</v>
      </c>
      <c r="M1182" s="3">
        <v>16.63</v>
      </c>
      <c r="N1182" s="3">
        <v>34.99</v>
      </c>
      <c r="O1182" s="2" t="s">
        <v>97</v>
      </c>
      <c r="P1182" s="2" t="s">
        <v>139</v>
      </c>
      <c r="Q1182" s="2" t="s">
        <v>99</v>
      </c>
      <c r="R1182" s="2" t="s">
        <v>100</v>
      </c>
      <c r="S1182" s="2" t="s">
        <v>261</v>
      </c>
      <c r="T1182" s="2" t="s">
        <v>100</v>
      </c>
      <c r="U1182" s="2" t="s">
        <v>100</v>
      </c>
      <c r="V1182" s="2" t="s">
        <v>141</v>
      </c>
      <c r="W1182" s="2" t="s">
        <v>142</v>
      </c>
      <c r="X1182" s="2" t="s">
        <v>100</v>
      </c>
      <c r="Y1182" s="2" t="s">
        <v>144</v>
      </c>
      <c r="Z1182" s="4">
        <v>2637</v>
      </c>
      <c r="AA1182" s="4">
        <f>=ROUNDDOWN(50.7115384615385,0)</f>
      </c>
      <c r="AB1182" s="5">
        <v>52</v>
      </c>
      <c r="AC1182" s="2" t="s">
        <v>100</v>
      </c>
      <c r="AD1182" s="4"/>
      <c r="AE1182" s="4"/>
      <c r="AF1182" s="6">
        <v>64</v>
      </c>
      <c r="AG1182" s="6">
        <v>47</v>
      </c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8</v>
      </c>
      <c r="AQ1182" s="8">
        <v>152.48</v>
      </c>
      <c r="AR1182" s="4"/>
      <c r="AS1182" s="8"/>
      <c r="AT1182" s="7"/>
      <c r="AU1182" s="7"/>
      <c r="AV1182" s="4">
        <v>8</v>
      </c>
      <c r="AW1182" s="8">
        <v>152.48</v>
      </c>
      <c r="AX1182" s="4"/>
      <c r="AY1182" s="8"/>
      <c r="AZ1182" s="7"/>
      <c r="BA1182" s="7"/>
      <c r="BB1182" s="7">
        <v>1</v>
      </c>
      <c r="BC1182" s="4">
        <v>12</v>
      </c>
      <c r="BD1182" s="8">
        <v>228.7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>
        <v>0.6667</v>
      </c>
      <c r="BJ1182" s="4">
        <v>176</v>
      </c>
      <c r="BK1182" s="8">
        <v>3391.09</v>
      </c>
      <c r="BL1182" s="2" t="s">
        <v>4562</v>
      </c>
      <c r="BM1182" s="7">
        <v>0.0455</v>
      </c>
      <c r="BN1182" s="7">
        <v>0.045</v>
      </c>
      <c r="BO1182" s="4">
        <v>8</v>
      </c>
      <c r="BP1182" s="8">
        <v>152.48</v>
      </c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159</v>
      </c>
      <c r="BX1182" s="2" t="s">
        <v>358</v>
      </c>
      <c r="BY1182" s="2" t="s">
        <v>112</v>
      </c>
      <c r="BZ1182" s="2" t="s">
        <v>149</v>
      </c>
    </row>
    <row r="1183">
      <c r="A1183" s="2" t="s">
        <v>4563</v>
      </c>
      <c r="B1183" s="2" t="s">
        <v>4552</v>
      </c>
      <c r="C1183" s="2" t="s">
        <v>88</v>
      </c>
      <c r="D1183" s="2" t="s">
        <v>4553</v>
      </c>
      <c r="E1183" s="2" t="s">
        <v>4554</v>
      </c>
      <c r="F1183" s="2" t="s">
        <v>252</v>
      </c>
      <c r="G1183" s="2" t="s">
        <v>253</v>
      </c>
      <c r="H1183" s="2" t="s">
        <v>254</v>
      </c>
      <c r="I1183" s="2" t="s">
        <v>4561</v>
      </c>
      <c r="J1183" s="2" t="s">
        <v>4556</v>
      </c>
      <c r="K1183" s="2" t="s">
        <v>256</v>
      </c>
      <c r="L1183" s="3">
        <v>15.84</v>
      </c>
      <c r="M1183" s="3">
        <v>16.63</v>
      </c>
      <c r="N1183" s="3">
        <v>34.99</v>
      </c>
      <c r="O1183" s="2" t="s">
        <v>97</v>
      </c>
      <c r="P1183" s="2" t="s">
        <v>123</v>
      </c>
      <c r="Q1183" s="2" t="s">
        <v>99</v>
      </c>
      <c r="R1183" s="2" t="s">
        <v>100</v>
      </c>
      <c r="S1183" s="2" t="s">
        <v>257</v>
      </c>
      <c r="T1183" s="2" t="s">
        <v>100</v>
      </c>
      <c r="U1183" s="2" t="s">
        <v>100</v>
      </c>
      <c r="V1183" s="2" t="s">
        <v>141</v>
      </c>
      <c r="W1183" s="2" t="s">
        <v>142</v>
      </c>
      <c r="X1183" s="2" t="s">
        <v>100</v>
      </c>
      <c r="Y1183" s="2" t="s">
        <v>144</v>
      </c>
      <c r="Z1183" s="4">
        <v>608</v>
      </c>
      <c r="AA1183" s="4">
        <f>=ROUNDDOWN(27.6363636363636,0)</f>
      </c>
      <c r="AB1183" s="5">
        <v>22</v>
      </c>
      <c r="AC1183" s="2" t="s">
        <v>100</v>
      </c>
      <c r="AD1183" s="4"/>
      <c r="AE1183" s="4"/>
      <c r="AF1183" s="6">
        <v>64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2</v>
      </c>
      <c r="AQ1183" s="8">
        <v>38.12</v>
      </c>
      <c r="AR1183" s="4"/>
      <c r="AS1183" s="8"/>
      <c r="AT1183" s="7"/>
      <c r="AU1183" s="7"/>
      <c r="AV1183" s="4">
        <v>2</v>
      </c>
      <c r="AW1183" s="8">
        <v>38.12</v>
      </c>
      <c r="AX1183" s="4"/>
      <c r="AY1183" s="8"/>
      <c r="AZ1183" s="7"/>
      <c r="BA1183" s="7"/>
      <c r="BB1183" s="7">
        <v>1</v>
      </c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>
        <v>0.1667</v>
      </c>
      <c r="BJ1183" s="4">
        <v>63</v>
      </c>
      <c r="BK1183" s="8">
        <v>1232.59</v>
      </c>
      <c r="BL1183" s="2" t="s">
        <v>4564</v>
      </c>
      <c r="BM1183" s="7">
        <v>0.0317</v>
      </c>
      <c r="BN1183" s="7">
        <v>0.0309</v>
      </c>
      <c r="BO1183" s="4">
        <v>2</v>
      </c>
      <c r="BP1183" s="8">
        <v>38.12</v>
      </c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159</v>
      </c>
      <c r="BX1183" s="2" t="s">
        <v>4099</v>
      </c>
      <c r="BY1183" s="2" t="s">
        <v>112</v>
      </c>
      <c r="BZ1183" s="2" t="s">
        <v>149</v>
      </c>
    </row>
    <row r="1184">
      <c r="A1184" s="2" t="s">
        <v>4565</v>
      </c>
      <c r="B1184" s="2" t="s">
        <v>4552</v>
      </c>
      <c r="C1184" s="2" t="s">
        <v>88</v>
      </c>
      <c r="D1184" s="2" t="s">
        <v>4553</v>
      </c>
      <c r="E1184" s="2" t="s">
        <v>4554</v>
      </c>
      <c r="F1184" s="2" t="s">
        <v>252</v>
      </c>
      <c r="G1184" s="2" t="s">
        <v>253</v>
      </c>
      <c r="H1184" s="2" t="s">
        <v>254</v>
      </c>
      <c r="I1184" s="2" t="s">
        <v>4561</v>
      </c>
      <c r="J1184" s="2" t="s">
        <v>4556</v>
      </c>
      <c r="K1184" s="2" t="s">
        <v>386</v>
      </c>
      <c r="L1184" s="3">
        <v>15.84</v>
      </c>
      <c r="M1184" s="3">
        <v>16.63</v>
      </c>
      <c r="N1184" s="3">
        <v>34.99</v>
      </c>
      <c r="O1184" s="2" t="s">
        <v>97</v>
      </c>
      <c r="P1184" s="2" t="s">
        <v>123</v>
      </c>
      <c r="Q1184" s="2" t="s">
        <v>99</v>
      </c>
      <c r="R1184" s="2" t="s">
        <v>100</v>
      </c>
      <c r="S1184" s="2" t="s">
        <v>4566</v>
      </c>
      <c r="T1184" s="2" t="s">
        <v>100</v>
      </c>
      <c r="U1184" s="2" t="s">
        <v>100</v>
      </c>
      <c r="V1184" s="2" t="s">
        <v>141</v>
      </c>
      <c r="W1184" s="2" t="s">
        <v>142</v>
      </c>
      <c r="X1184" s="2" t="s">
        <v>100</v>
      </c>
      <c r="Y1184" s="2" t="s">
        <v>144</v>
      </c>
      <c r="Z1184" s="4">
        <v>370</v>
      </c>
      <c r="AA1184" s="4">
        <f>=ROUNDDOWN(11.2121212121212,0)</f>
      </c>
      <c r="AB1184" s="5">
        <v>33</v>
      </c>
      <c r="AC1184" s="2" t="s">
        <v>312</v>
      </c>
      <c r="AD1184" s="4">
        <v>660</v>
      </c>
      <c r="AE1184" s="4">
        <v>860</v>
      </c>
      <c r="AF1184" s="6">
        <v>64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2</v>
      </c>
      <c r="AQ1184" s="8">
        <v>38.1</v>
      </c>
      <c r="AR1184" s="4"/>
      <c r="AS1184" s="8"/>
      <c r="AT1184" s="7"/>
      <c r="AU1184" s="7"/>
      <c r="AV1184" s="4">
        <v>2</v>
      </c>
      <c r="AW1184" s="8">
        <v>38.1</v>
      </c>
      <c r="AX1184" s="4"/>
      <c r="AY1184" s="8"/>
      <c r="AZ1184" s="7"/>
      <c r="BA1184" s="7"/>
      <c r="BB1184" s="7">
        <v>1</v>
      </c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>
        <v>0.1666</v>
      </c>
      <c r="BJ1184" s="4">
        <v>149</v>
      </c>
      <c r="BK1184" s="8">
        <v>2877.96</v>
      </c>
      <c r="BL1184" s="2" t="s">
        <v>4567</v>
      </c>
      <c r="BM1184" s="7">
        <v>0.0134</v>
      </c>
      <c r="BN1184" s="7">
        <v>0.0132</v>
      </c>
      <c r="BO1184" s="4">
        <v>2</v>
      </c>
      <c r="BP1184" s="8">
        <v>38.1</v>
      </c>
      <c r="BQ1184" s="4"/>
      <c r="BR1184" s="8"/>
      <c r="BS1184" s="7"/>
      <c r="BT1184" s="7"/>
      <c r="BU1184" s="2" t="s">
        <v>109</v>
      </c>
      <c r="BV1184" s="2" t="s">
        <v>97</v>
      </c>
      <c r="BW1184" s="2" t="s">
        <v>4568</v>
      </c>
      <c r="BX1184" s="2" t="s">
        <v>1892</v>
      </c>
      <c r="BY1184" s="2" t="s">
        <v>112</v>
      </c>
      <c r="BZ1184" s="2" t="s">
        <v>149</v>
      </c>
    </row>
    <row r="1185">
      <c r="A1185" s="2" t="s">
        <v>4569</v>
      </c>
      <c r="B1185" s="2" t="s">
        <v>4552</v>
      </c>
      <c r="C1185" s="2" t="s">
        <v>88</v>
      </c>
      <c r="D1185" s="2" t="s">
        <v>4553</v>
      </c>
      <c r="E1185" s="2" t="s">
        <v>4554</v>
      </c>
      <c r="F1185" s="2" t="s">
        <v>252</v>
      </c>
      <c r="G1185" s="2" t="s">
        <v>253</v>
      </c>
      <c r="H1185" s="2" t="s">
        <v>254</v>
      </c>
      <c r="I1185" s="2" t="s">
        <v>4561</v>
      </c>
      <c r="J1185" s="2" t="s">
        <v>4556</v>
      </c>
      <c r="K1185" s="2" t="s">
        <v>223</v>
      </c>
      <c r="L1185" s="3">
        <v>15.84</v>
      </c>
      <c r="M1185" s="3">
        <v>16.63</v>
      </c>
      <c r="N1185" s="3">
        <v>34.99</v>
      </c>
      <c r="O1185" s="2" t="s">
        <v>97</v>
      </c>
      <c r="P1185" s="2" t="s">
        <v>98</v>
      </c>
      <c r="Q1185" s="2" t="s">
        <v>99</v>
      </c>
      <c r="R1185" s="2" t="s">
        <v>100</v>
      </c>
      <c r="S1185" s="2" t="s">
        <v>4570</v>
      </c>
      <c r="T1185" s="2" t="s">
        <v>100</v>
      </c>
      <c r="U1185" s="2" t="s">
        <v>100</v>
      </c>
      <c r="V1185" s="2" t="s">
        <v>141</v>
      </c>
      <c r="W1185" s="2" t="s">
        <v>142</v>
      </c>
      <c r="X1185" s="2" t="s">
        <v>100</v>
      </c>
      <c r="Y1185" s="2" t="s">
        <v>144</v>
      </c>
      <c r="Z1185" s="4">
        <v>648</v>
      </c>
      <c r="AA1185" s="4">
        <f>=ROUNDDOWN(27,0)</f>
      </c>
      <c r="AB1185" s="5">
        <v>24</v>
      </c>
      <c r="AC1185" s="2" t="s">
        <v>100</v>
      </c>
      <c r="AD1185" s="4"/>
      <c r="AE1185" s="4"/>
      <c r="AF1185" s="6">
        <v>64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/>
      <c r="BJ1185" s="4">
        <v>94</v>
      </c>
      <c r="BK1185" s="8">
        <v>1836.01</v>
      </c>
      <c r="BL1185" s="2" t="s">
        <v>4571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4568</v>
      </c>
      <c r="BX1185" s="2" t="s">
        <v>416</v>
      </c>
      <c r="BY1185" s="2" t="s">
        <v>112</v>
      </c>
      <c r="BZ1185" s="2" t="s">
        <v>149</v>
      </c>
    </row>
    <row r="1186">
      <c r="A1186" s="2" t="s">
        <v>4572</v>
      </c>
      <c r="B1186" s="2" t="s">
        <v>4552</v>
      </c>
      <c r="C1186" s="2" t="s">
        <v>88</v>
      </c>
      <c r="D1186" s="2" t="s">
        <v>4553</v>
      </c>
      <c r="E1186" s="2" t="s">
        <v>4554</v>
      </c>
      <c r="F1186" s="2" t="s">
        <v>252</v>
      </c>
      <c r="G1186" s="2" t="s">
        <v>253</v>
      </c>
      <c r="H1186" s="2" t="s">
        <v>254</v>
      </c>
      <c r="I1186" s="2" t="s">
        <v>4561</v>
      </c>
      <c r="J1186" s="2" t="s">
        <v>4556</v>
      </c>
      <c r="K1186" s="2" t="s">
        <v>626</v>
      </c>
      <c r="L1186" s="3">
        <v>15.84</v>
      </c>
      <c r="M1186" s="3">
        <v>16.63</v>
      </c>
      <c r="N1186" s="3">
        <v>34.99</v>
      </c>
      <c r="O1186" s="2" t="s">
        <v>97</v>
      </c>
      <c r="P1186" s="2" t="s">
        <v>98</v>
      </c>
      <c r="Q1186" s="2" t="s">
        <v>99</v>
      </c>
      <c r="R1186" s="2" t="s">
        <v>100</v>
      </c>
      <c r="S1186" s="2" t="s">
        <v>4573</v>
      </c>
      <c r="T1186" s="2" t="s">
        <v>100</v>
      </c>
      <c r="U1186" s="2" t="s">
        <v>100</v>
      </c>
      <c r="V1186" s="2" t="s">
        <v>141</v>
      </c>
      <c r="W1186" s="2" t="s">
        <v>142</v>
      </c>
      <c r="X1186" s="2" t="s">
        <v>100</v>
      </c>
      <c r="Y1186" s="2" t="s">
        <v>2478</v>
      </c>
      <c r="Z1186" s="4">
        <v>164</v>
      </c>
      <c r="AA1186" s="4">
        <f>=ROUNDDOWN(10.25,0)</f>
      </c>
      <c r="AB1186" s="5">
        <v>16</v>
      </c>
      <c r="AC1186" s="2" t="s">
        <v>312</v>
      </c>
      <c r="AD1186" s="4">
        <v>300</v>
      </c>
      <c r="AE1186" s="4">
        <v>440</v>
      </c>
      <c r="AF1186" s="6">
        <v>64</v>
      </c>
      <c r="AG1186" s="6"/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/>
      <c r="BJ1186" s="4">
        <v>71</v>
      </c>
      <c r="BK1186" s="8">
        <v>1388.11</v>
      </c>
      <c r="BL1186" s="2" t="s">
        <v>4571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1722</v>
      </c>
      <c r="BX1186" s="2" t="s">
        <v>4574</v>
      </c>
      <c r="BY1186" s="2" t="s">
        <v>112</v>
      </c>
      <c r="BZ1186" s="2" t="s">
        <v>149</v>
      </c>
    </row>
    <row r="1187">
      <c r="A1187" s="2" t="s">
        <v>4575</v>
      </c>
      <c r="B1187" s="2" t="s">
        <v>4552</v>
      </c>
      <c r="C1187" s="2" t="s">
        <v>88</v>
      </c>
      <c r="D1187" s="2" t="s">
        <v>4553</v>
      </c>
      <c r="E1187" s="2" t="s">
        <v>4554</v>
      </c>
      <c r="F1187" s="2" t="s">
        <v>4576</v>
      </c>
      <c r="G1187" s="2" t="s">
        <v>4577</v>
      </c>
      <c r="H1187" s="2" t="s">
        <v>4578</v>
      </c>
      <c r="I1187" s="2" t="s">
        <v>4579</v>
      </c>
      <c r="J1187" s="2" t="s">
        <v>4556</v>
      </c>
      <c r="K1187" s="2" t="s">
        <v>471</v>
      </c>
      <c r="L1187" s="3">
        <v>13.2</v>
      </c>
      <c r="M1187" s="3">
        <v>13.86</v>
      </c>
      <c r="N1187" s="3">
        <v>29.99</v>
      </c>
      <c r="O1187" s="2" t="s">
        <v>97</v>
      </c>
      <c r="P1187" s="2" t="s">
        <v>139</v>
      </c>
      <c r="Q1187" s="2" t="s">
        <v>99</v>
      </c>
      <c r="R1187" s="2" t="s">
        <v>100</v>
      </c>
      <c r="S1187" s="2" t="s">
        <v>4580</v>
      </c>
      <c r="T1187" s="2" t="s">
        <v>100</v>
      </c>
      <c r="U1187" s="2" t="s">
        <v>100</v>
      </c>
      <c r="V1187" s="2" t="s">
        <v>141</v>
      </c>
      <c r="W1187" s="2" t="s">
        <v>142</v>
      </c>
      <c r="X1187" s="2" t="s">
        <v>100</v>
      </c>
      <c r="Y1187" s="2" t="s">
        <v>3289</v>
      </c>
      <c r="Z1187" s="4">
        <v>5531</v>
      </c>
      <c r="AA1187" s="4">
        <f>=ROUNDDOWN(26.2132701421801,0)</f>
      </c>
      <c r="AB1187" s="5">
        <v>211</v>
      </c>
      <c r="AC1187" s="2" t="s">
        <v>312</v>
      </c>
      <c r="AD1187" s="4">
        <v>900</v>
      </c>
      <c r="AE1187" s="4">
        <v>1900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11</v>
      </c>
      <c r="AQ1187" s="8">
        <v>158.73</v>
      </c>
      <c r="AR1187" s="4"/>
      <c r="AS1187" s="8"/>
      <c r="AT1187" s="7"/>
      <c r="AU1187" s="7"/>
      <c r="AV1187" s="4">
        <v>11</v>
      </c>
      <c r="AW1187" s="8">
        <v>158.73</v>
      </c>
      <c r="AX1187" s="4"/>
      <c r="AY1187" s="8"/>
      <c r="AZ1187" s="7"/>
      <c r="BA1187" s="7"/>
      <c r="BB1187" s="7">
        <v>1</v>
      </c>
      <c r="BC1187" s="4">
        <v>11</v>
      </c>
      <c r="BD1187" s="8">
        <v>158.73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>
        <v>1</v>
      </c>
      <c r="BJ1187" s="4">
        <v>818</v>
      </c>
      <c r="BK1187" s="8">
        <v>12353.51</v>
      </c>
      <c r="BL1187" s="2" t="s">
        <v>4581</v>
      </c>
      <c r="BM1187" s="7">
        <v>0.0134</v>
      </c>
      <c r="BN1187" s="7">
        <v>0.0128</v>
      </c>
      <c r="BO1187" s="4">
        <v>11</v>
      </c>
      <c r="BP1187" s="8">
        <v>158.73</v>
      </c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4568</v>
      </c>
      <c r="BX1187" s="2" t="s">
        <v>1165</v>
      </c>
      <c r="BY1187" s="2" t="s">
        <v>112</v>
      </c>
      <c r="BZ1187" s="2" t="s">
        <v>149</v>
      </c>
    </row>
    <row r="1188">
      <c r="A1188" s="2" t="s">
        <v>4582</v>
      </c>
      <c r="B1188" s="2" t="s">
        <v>4552</v>
      </c>
      <c r="C1188" s="2" t="s">
        <v>88</v>
      </c>
      <c r="D1188" s="2" t="s">
        <v>4553</v>
      </c>
      <c r="E1188" s="2" t="s">
        <v>4554</v>
      </c>
      <c r="F1188" s="2" t="s">
        <v>4576</v>
      </c>
      <c r="G1188" s="2" t="s">
        <v>4577</v>
      </c>
      <c r="H1188" s="2" t="s">
        <v>4578</v>
      </c>
      <c r="I1188" s="2" t="s">
        <v>4579</v>
      </c>
      <c r="J1188" s="2" t="s">
        <v>4556</v>
      </c>
      <c r="K1188" s="2" t="s">
        <v>236</v>
      </c>
      <c r="L1188" s="3">
        <v>13.2</v>
      </c>
      <c r="M1188" s="3">
        <v>13.86</v>
      </c>
      <c r="N1188" s="3">
        <v>29.99</v>
      </c>
      <c r="O1188" s="2" t="s">
        <v>97</v>
      </c>
      <c r="P1188" s="2" t="s">
        <v>98</v>
      </c>
      <c r="Q1188" s="2" t="s">
        <v>99</v>
      </c>
      <c r="R1188" s="2" t="s">
        <v>100</v>
      </c>
      <c r="S1188" s="2" t="s">
        <v>4583</v>
      </c>
      <c r="T1188" s="2" t="s">
        <v>100</v>
      </c>
      <c r="U1188" s="2" t="s">
        <v>100</v>
      </c>
      <c r="V1188" s="2" t="s">
        <v>141</v>
      </c>
      <c r="W1188" s="2" t="s">
        <v>142</v>
      </c>
      <c r="X1188" s="2" t="s">
        <v>100</v>
      </c>
      <c r="Y1188" s="2" t="s">
        <v>144</v>
      </c>
      <c r="Z1188" s="4">
        <v>555</v>
      </c>
      <c r="AA1188" s="4">
        <f>=ROUNDDOWN(32.6470588235294,0)</f>
      </c>
      <c r="AB1188" s="5">
        <v>17</v>
      </c>
      <c r="AC1188" s="2" t="s">
        <v>100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/>
      <c r="BJ1188" s="4">
        <v>81</v>
      </c>
      <c r="BK1188" s="8">
        <v>1214.33</v>
      </c>
      <c r="BL1188" s="2" t="s">
        <v>4584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109</v>
      </c>
      <c r="BV1188" s="2" t="s">
        <v>97</v>
      </c>
      <c r="BW1188" s="2" t="s">
        <v>159</v>
      </c>
      <c r="BX1188" s="2" t="s">
        <v>4585</v>
      </c>
      <c r="BY1188" s="2" t="s">
        <v>112</v>
      </c>
      <c r="BZ1188" s="2" t="s">
        <v>149</v>
      </c>
    </row>
    <row r="1189">
      <c r="A1189" s="2" t="s">
        <v>4586</v>
      </c>
      <c r="B1189" s="2" t="s">
        <v>4552</v>
      </c>
      <c r="C1189" s="2" t="s">
        <v>88</v>
      </c>
      <c r="D1189" s="2" t="s">
        <v>4553</v>
      </c>
      <c r="E1189" s="2" t="s">
        <v>4554</v>
      </c>
      <c r="F1189" s="2" t="s">
        <v>812</v>
      </c>
      <c r="G1189" s="2" t="s">
        <v>813</v>
      </c>
      <c r="H1189" s="2" t="s">
        <v>814</v>
      </c>
      <c r="I1189" s="2" t="s">
        <v>4587</v>
      </c>
      <c r="J1189" s="2" t="s">
        <v>4556</v>
      </c>
      <c r="K1189" s="2" t="s">
        <v>165</v>
      </c>
      <c r="L1189" s="3">
        <v>13.2</v>
      </c>
      <c r="M1189" s="3">
        <v>13.86</v>
      </c>
      <c r="N1189" s="3">
        <v>29.99</v>
      </c>
      <c r="O1189" s="2" t="s">
        <v>97</v>
      </c>
      <c r="P1189" s="2" t="s">
        <v>156</v>
      </c>
      <c r="Q1189" s="2" t="s">
        <v>99</v>
      </c>
      <c r="R1189" s="2" t="s">
        <v>100</v>
      </c>
      <c r="S1189" s="2" t="s">
        <v>816</v>
      </c>
      <c r="T1189" s="2" t="s">
        <v>100</v>
      </c>
      <c r="U1189" s="2" t="s">
        <v>100</v>
      </c>
      <c r="V1189" s="2" t="s">
        <v>401</v>
      </c>
      <c r="W1189" s="2" t="s">
        <v>104</v>
      </c>
      <c r="X1189" s="2" t="s">
        <v>100</v>
      </c>
      <c r="Y1189" s="2" t="s">
        <v>144</v>
      </c>
      <c r="Z1189" s="4">
        <v>819</v>
      </c>
      <c r="AA1189" s="4">
        <f>=ROUNDDOWN(19.046511627907,0)</f>
      </c>
      <c r="AB1189" s="5">
        <v>43</v>
      </c>
      <c r="AC1189" s="2" t="s">
        <v>206</v>
      </c>
      <c r="AD1189" s="4">
        <v>102</v>
      </c>
      <c r="AE1189" s="4">
        <v>894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4</v>
      </c>
      <c r="AQ1189" s="8">
        <v>57.72</v>
      </c>
      <c r="AR1189" s="4"/>
      <c r="AS1189" s="8"/>
      <c r="AT1189" s="7"/>
      <c r="AU1189" s="7"/>
      <c r="AV1189" s="4">
        <v>4</v>
      </c>
      <c r="AW1189" s="8">
        <v>57.72</v>
      </c>
      <c r="AX1189" s="4"/>
      <c r="AY1189" s="8"/>
      <c r="AZ1189" s="7"/>
      <c r="BA1189" s="7"/>
      <c r="BB1189" s="7">
        <v>1</v>
      </c>
      <c r="BC1189" s="4">
        <v>8</v>
      </c>
      <c r="BD1189" s="8">
        <v>115.44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>
        <v>0.5</v>
      </c>
      <c r="BJ1189" s="4">
        <v>104</v>
      </c>
      <c r="BK1189" s="8">
        <v>1543.6</v>
      </c>
      <c r="BL1189" s="2" t="s">
        <v>4588</v>
      </c>
      <c r="BM1189" s="7">
        <v>0.0385</v>
      </c>
      <c r="BN1189" s="7">
        <v>0.0374</v>
      </c>
      <c r="BO1189" s="4">
        <v>4</v>
      </c>
      <c r="BP1189" s="8">
        <v>57.72</v>
      </c>
      <c r="BQ1189" s="4"/>
      <c r="BR1189" s="8"/>
      <c r="BS1189" s="7"/>
      <c r="BT1189" s="7"/>
      <c r="BU1189" s="2" t="s">
        <v>109</v>
      </c>
      <c r="BV1189" s="2" t="s">
        <v>97</v>
      </c>
      <c r="BW1189" s="2" t="s">
        <v>4568</v>
      </c>
      <c r="BX1189" s="2" t="s">
        <v>1255</v>
      </c>
      <c r="BY1189" s="2" t="s">
        <v>112</v>
      </c>
      <c r="BZ1189" s="2" t="s">
        <v>149</v>
      </c>
    </row>
    <row r="1190">
      <c r="A1190" s="2" t="s">
        <v>4589</v>
      </c>
      <c r="B1190" s="2" t="s">
        <v>4552</v>
      </c>
      <c r="C1190" s="2" t="s">
        <v>88</v>
      </c>
      <c r="D1190" s="2" t="s">
        <v>4553</v>
      </c>
      <c r="E1190" s="2" t="s">
        <v>4554</v>
      </c>
      <c r="F1190" s="2" t="s">
        <v>812</v>
      </c>
      <c r="G1190" s="2" t="s">
        <v>813</v>
      </c>
      <c r="H1190" s="2" t="s">
        <v>814</v>
      </c>
      <c r="I1190" s="2" t="s">
        <v>4587</v>
      </c>
      <c r="J1190" s="2" t="s">
        <v>4556</v>
      </c>
      <c r="K1190" s="2" t="s">
        <v>1676</v>
      </c>
      <c r="L1190" s="3">
        <v>13.2</v>
      </c>
      <c r="M1190" s="3">
        <v>13.86</v>
      </c>
      <c r="N1190" s="3">
        <v>29.99</v>
      </c>
      <c r="O1190" s="2" t="s">
        <v>97</v>
      </c>
      <c r="P1190" s="2" t="s">
        <v>98</v>
      </c>
      <c r="Q1190" s="2" t="s">
        <v>99</v>
      </c>
      <c r="R1190" s="2" t="s">
        <v>100</v>
      </c>
      <c r="S1190" s="2" t="s">
        <v>1677</v>
      </c>
      <c r="T1190" s="2" t="s">
        <v>100</v>
      </c>
      <c r="U1190" s="2" t="s">
        <v>100</v>
      </c>
      <c r="V1190" s="2" t="s">
        <v>401</v>
      </c>
      <c r="W1190" s="2" t="s">
        <v>104</v>
      </c>
      <c r="X1190" s="2" t="s">
        <v>100</v>
      </c>
      <c r="Y1190" s="2" t="s">
        <v>144</v>
      </c>
      <c r="Z1190" s="4">
        <v>339</v>
      </c>
      <c r="AA1190" s="4">
        <f>=ROUNDDOWN(9.68571428571429,0)</f>
      </c>
      <c r="AB1190" s="5">
        <v>35</v>
      </c>
      <c r="AC1190" s="2" t="s">
        <v>206</v>
      </c>
      <c r="AD1190" s="4">
        <v>120</v>
      </c>
      <c r="AE1190" s="4">
        <v>690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4</v>
      </c>
      <c r="AQ1190" s="8">
        <v>57.72</v>
      </c>
      <c r="AR1190" s="4"/>
      <c r="AS1190" s="8"/>
      <c r="AT1190" s="7"/>
      <c r="AU1190" s="7"/>
      <c r="AV1190" s="4">
        <v>4</v>
      </c>
      <c r="AW1190" s="8">
        <v>57.72</v>
      </c>
      <c r="AX1190" s="4"/>
      <c r="AY1190" s="8"/>
      <c r="AZ1190" s="7"/>
      <c r="BA1190" s="7"/>
      <c r="BB1190" s="7">
        <v>1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>
        <v>0.5</v>
      </c>
      <c r="BJ1190" s="4">
        <v>82</v>
      </c>
      <c r="BK1190" s="8">
        <v>1210.86</v>
      </c>
      <c r="BL1190" s="2" t="s">
        <v>4590</v>
      </c>
      <c r="BM1190" s="7">
        <v>0.0488</v>
      </c>
      <c r="BN1190" s="7">
        <v>0.0477</v>
      </c>
      <c r="BO1190" s="4">
        <v>4</v>
      </c>
      <c r="BP1190" s="8">
        <v>57.72</v>
      </c>
      <c r="BQ1190" s="4"/>
      <c r="BR1190" s="8"/>
      <c r="BS1190" s="7"/>
      <c r="BT1190" s="7"/>
      <c r="BU1190" s="2" t="s">
        <v>109</v>
      </c>
      <c r="BV1190" s="2" t="s">
        <v>97</v>
      </c>
      <c r="BW1190" s="2" t="s">
        <v>4568</v>
      </c>
      <c r="BX1190" s="2" t="s">
        <v>4591</v>
      </c>
      <c r="BY1190" s="2" t="s">
        <v>112</v>
      </c>
      <c r="BZ1190" s="2" t="s">
        <v>149</v>
      </c>
    </row>
    <row r="1191">
      <c r="A1191" s="2" t="s">
        <v>4592</v>
      </c>
      <c r="B1191" s="2" t="s">
        <v>4552</v>
      </c>
      <c r="C1191" s="2" t="s">
        <v>88</v>
      </c>
      <c r="D1191" s="2" t="s">
        <v>4553</v>
      </c>
      <c r="E1191" s="2" t="s">
        <v>4554</v>
      </c>
      <c r="F1191" s="2" t="s">
        <v>812</v>
      </c>
      <c r="G1191" s="2" t="s">
        <v>813</v>
      </c>
      <c r="H1191" s="2" t="s">
        <v>814</v>
      </c>
      <c r="I1191" s="2" t="s">
        <v>4587</v>
      </c>
      <c r="J1191" s="2" t="s">
        <v>4556</v>
      </c>
      <c r="K1191" s="2" t="s">
        <v>1460</v>
      </c>
      <c r="L1191" s="3">
        <v>13.2</v>
      </c>
      <c r="M1191" s="3">
        <v>13.86</v>
      </c>
      <c r="N1191" s="3">
        <v>29.99</v>
      </c>
      <c r="O1191" s="2" t="s">
        <v>97</v>
      </c>
      <c r="P1191" s="2" t="s">
        <v>98</v>
      </c>
      <c r="Q1191" s="2" t="s">
        <v>99</v>
      </c>
      <c r="R1191" s="2" t="s">
        <v>100</v>
      </c>
      <c r="S1191" s="2" t="s">
        <v>4593</v>
      </c>
      <c r="T1191" s="2" t="s">
        <v>100</v>
      </c>
      <c r="U1191" s="2" t="s">
        <v>100</v>
      </c>
      <c r="V1191" s="2" t="s">
        <v>401</v>
      </c>
      <c r="W1191" s="2" t="s">
        <v>104</v>
      </c>
      <c r="X1191" s="2" t="s">
        <v>100</v>
      </c>
      <c r="Y1191" s="2" t="s">
        <v>144</v>
      </c>
      <c r="Z1191" s="4">
        <v>517</v>
      </c>
      <c r="AA1191" s="4">
        <f>=ROUNDDOWN(20.68,0)</f>
      </c>
      <c r="AB1191" s="5">
        <v>25</v>
      </c>
      <c r="AC1191" s="2" t="s">
        <v>312</v>
      </c>
      <c r="AD1191" s="4">
        <v>252</v>
      </c>
      <c r="AE1191" s="4">
        <v>604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/>
      <c r="BJ1191" s="4">
        <v>50</v>
      </c>
      <c r="BK1191" s="8">
        <v>746.94</v>
      </c>
      <c r="BL1191" s="2" t="s">
        <v>384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109</v>
      </c>
      <c r="BV1191" s="2" t="s">
        <v>97</v>
      </c>
      <c r="BW1191" s="2" t="s">
        <v>4568</v>
      </c>
      <c r="BX1191" s="2" t="s">
        <v>1750</v>
      </c>
      <c r="BY1191" s="2" t="s">
        <v>112</v>
      </c>
      <c r="BZ1191" s="2" t="s">
        <v>149</v>
      </c>
    </row>
    <row r="1192">
      <c r="A1192" s="2" t="s">
        <v>4594</v>
      </c>
      <c r="B1192" s="2" t="s">
        <v>4552</v>
      </c>
      <c r="C1192" s="2" t="s">
        <v>88</v>
      </c>
      <c r="D1192" s="2" t="s">
        <v>4553</v>
      </c>
      <c r="E1192" s="2" t="s">
        <v>4554</v>
      </c>
      <c r="F1192" s="2" t="s">
        <v>1475</v>
      </c>
      <c r="G1192" s="2" t="s">
        <v>1476</v>
      </c>
      <c r="H1192" s="2" t="s">
        <v>1477</v>
      </c>
      <c r="I1192" s="2" t="s">
        <v>4587</v>
      </c>
      <c r="J1192" s="2" t="s">
        <v>4556</v>
      </c>
      <c r="K1192" s="2" t="s">
        <v>236</v>
      </c>
      <c r="L1192" s="3">
        <v>14.52</v>
      </c>
      <c r="M1192" s="3">
        <v>15.25</v>
      </c>
      <c r="N1192" s="3">
        <v>32.99</v>
      </c>
      <c r="O1192" s="2" t="s">
        <v>97</v>
      </c>
      <c r="P1192" s="2" t="s">
        <v>98</v>
      </c>
      <c r="Q1192" s="2" t="s">
        <v>99</v>
      </c>
      <c r="R1192" s="2" t="s">
        <v>100</v>
      </c>
      <c r="S1192" s="2" t="s">
        <v>4595</v>
      </c>
      <c r="T1192" s="2" t="s">
        <v>100</v>
      </c>
      <c r="U1192" s="2" t="s">
        <v>100</v>
      </c>
      <c r="V1192" s="2" t="s">
        <v>304</v>
      </c>
      <c r="W1192" s="2" t="s">
        <v>104</v>
      </c>
      <c r="X1192" s="2" t="s">
        <v>100</v>
      </c>
      <c r="Y1192" s="2" t="s">
        <v>144</v>
      </c>
      <c r="Z1192" s="4">
        <v>543</v>
      </c>
      <c r="AA1192" s="4">
        <f>=ROUNDDOWN(28.5789473684211,0)</f>
      </c>
      <c r="AB1192" s="5">
        <v>19</v>
      </c>
      <c r="AC1192" s="2" t="s">
        <v>206</v>
      </c>
      <c r="AD1192" s="4">
        <v>300</v>
      </c>
      <c r="AE1192" s="4">
        <v>300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4</v>
      </c>
      <c r="AQ1192" s="8">
        <v>62.4</v>
      </c>
      <c r="AR1192" s="4"/>
      <c r="AS1192" s="8"/>
      <c r="AT1192" s="7"/>
      <c r="AU1192" s="7"/>
      <c r="AV1192" s="4">
        <v>4</v>
      </c>
      <c r="AW1192" s="8">
        <v>62.4</v>
      </c>
      <c r="AX1192" s="4"/>
      <c r="AY1192" s="8"/>
      <c r="AZ1192" s="7"/>
      <c r="BA1192" s="7"/>
      <c r="BB1192" s="7">
        <v>1</v>
      </c>
      <c r="BC1192" s="4">
        <v>6</v>
      </c>
      <c r="BD1192" s="8">
        <v>93.6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>
        <v>0.6667</v>
      </c>
      <c r="BJ1192" s="4">
        <v>69</v>
      </c>
      <c r="BK1192" s="8">
        <v>1099.56</v>
      </c>
      <c r="BL1192" s="2" t="s">
        <v>4596</v>
      </c>
      <c r="BM1192" s="7">
        <v>0.058</v>
      </c>
      <c r="BN1192" s="7">
        <v>0.0567</v>
      </c>
      <c r="BO1192" s="4">
        <v>4</v>
      </c>
      <c r="BP1192" s="8">
        <v>62.4</v>
      </c>
      <c r="BQ1192" s="4"/>
      <c r="BR1192" s="8"/>
      <c r="BS1192" s="7"/>
      <c r="BT1192" s="7"/>
      <c r="BU1192" s="2" t="s">
        <v>109</v>
      </c>
      <c r="BV1192" s="2" t="s">
        <v>97</v>
      </c>
      <c r="BW1192" s="2" t="s">
        <v>4568</v>
      </c>
      <c r="BX1192" s="2" t="s">
        <v>3191</v>
      </c>
      <c r="BY1192" s="2" t="s">
        <v>112</v>
      </c>
      <c r="BZ1192" s="2" t="s">
        <v>149</v>
      </c>
    </row>
    <row r="1193">
      <c r="A1193" s="2" t="s">
        <v>4597</v>
      </c>
      <c r="B1193" s="2" t="s">
        <v>4552</v>
      </c>
      <c r="C1193" s="2" t="s">
        <v>88</v>
      </c>
      <c r="D1193" s="2" t="s">
        <v>4553</v>
      </c>
      <c r="E1193" s="2" t="s">
        <v>4554</v>
      </c>
      <c r="F1193" s="2" t="s">
        <v>1475</v>
      </c>
      <c r="G1193" s="2" t="s">
        <v>1476</v>
      </c>
      <c r="H1193" s="2" t="s">
        <v>1477</v>
      </c>
      <c r="I1193" s="2" t="s">
        <v>4587</v>
      </c>
      <c r="J1193" s="2" t="s">
        <v>4556</v>
      </c>
      <c r="K1193" s="2" t="s">
        <v>179</v>
      </c>
      <c r="L1193" s="3">
        <v>14.52</v>
      </c>
      <c r="M1193" s="3">
        <v>15.25</v>
      </c>
      <c r="N1193" s="3">
        <v>32.99</v>
      </c>
      <c r="O1193" s="2" t="s">
        <v>97</v>
      </c>
      <c r="P1193" s="2" t="s">
        <v>98</v>
      </c>
      <c r="Q1193" s="2" t="s">
        <v>99</v>
      </c>
      <c r="R1193" s="2" t="s">
        <v>100</v>
      </c>
      <c r="S1193" s="2" t="s">
        <v>4595</v>
      </c>
      <c r="T1193" s="2" t="s">
        <v>100</v>
      </c>
      <c r="U1193" s="2" t="s">
        <v>100</v>
      </c>
      <c r="V1193" s="2" t="s">
        <v>304</v>
      </c>
      <c r="W1193" s="2" t="s">
        <v>104</v>
      </c>
      <c r="X1193" s="2" t="s">
        <v>100</v>
      </c>
      <c r="Y1193" s="2" t="s">
        <v>4598</v>
      </c>
      <c r="Z1193" s="4">
        <v>313</v>
      </c>
      <c r="AA1193" s="4">
        <f>=ROUNDDOWN(8.45945945945946,0)</f>
      </c>
      <c r="AB1193" s="5">
        <v>37</v>
      </c>
      <c r="AC1193" s="2" t="s">
        <v>206</v>
      </c>
      <c r="AD1193" s="4">
        <v>300</v>
      </c>
      <c r="AE1193" s="4">
        <v>900</v>
      </c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2</v>
      </c>
      <c r="AQ1193" s="8">
        <v>31.2</v>
      </c>
      <c r="AR1193" s="4"/>
      <c r="AS1193" s="8"/>
      <c r="AT1193" s="7"/>
      <c r="AU1193" s="7"/>
      <c r="AV1193" s="4">
        <v>2</v>
      </c>
      <c r="AW1193" s="8">
        <v>31.2</v>
      </c>
      <c r="AX1193" s="4"/>
      <c r="AY1193" s="8"/>
      <c r="AZ1193" s="7"/>
      <c r="BA1193" s="7"/>
      <c r="BB1193" s="7">
        <v>1</v>
      </c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>
        <v>0.3333</v>
      </c>
      <c r="BJ1193" s="4">
        <v>129</v>
      </c>
      <c r="BK1193" s="8">
        <v>2042.64</v>
      </c>
      <c r="BL1193" s="2" t="s">
        <v>4599</v>
      </c>
      <c r="BM1193" s="7">
        <v>0.0155</v>
      </c>
      <c r="BN1193" s="7">
        <v>0.0153</v>
      </c>
      <c r="BO1193" s="4">
        <v>2</v>
      </c>
      <c r="BP1193" s="8">
        <v>31.2</v>
      </c>
      <c r="BQ1193" s="4"/>
      <c r="BR1193" s="8"/>
      <c r="BS1193" s="7"/>
      <c r="BT1193" s="7"/>
      <c r="BU1193" s="2" t="s">
        <v>109</v>
      </c>
      <c r="BV1193" s="2" t="s">
        <v>97</v>
      </c>
      <c r="BW1193" s="2" t="s">
        <v>4568</v>
      </c>
      <c r="BX1193" s="2" t="s">
        <v>4600</v>
      </c>
      <c r="BY1193" s="2" t="s">
        <v>112</v>
      </c>
      <c r="BZ1193" s="2" t="s">
        <v>149</v>
      </c>
    </row>
    <row r="1194">
      <c r="A1194" s="2" t="s">
        <v>4601</v>
      </c>
      <c r="B1194" s="2" t="s">
        <v>4552</v>
      </c>
      <c r="C1194" s="2" t="s">
        <v>88</v>
      </c>
      <c r="D1194" s="2" t="s">
        <v>4553</v>
      </c>
      <c r="E1194" s="2" t="s">
        <v>4554</v>
      </c>
      <c r="F1194" s="2" t="s">
        <v>890</v>
      </c>
      <c r="G1194" s="2" t="s">
        <v>4602</v>
      </c>
      <c r="H1194" s="2" t="s">
        <v>3615</v>
      </c>
      <c r="I1194" s="2" t="s">
        <v>4603</v>
      </c>
      <c r="J1194" s="2" t="s">
        <v>4556</v>
      </c>
      <c r="K1194" s="2" t="s">
        <v>1173</v>
      </c>
      <c r="L1194" s="3">
        <v>18.92</v>
      </c>
      <c r="M1194" s="3">
        <v>19.87</v>
      </c>
      <c r="N1194" s="3">
        <v>42.99</v>
      </c>
      <c r="O1194" s="2" t="s">
        <v>97</v>
      </c>
      <c r="P1194" s="2" t="s">
        <v>98</v>
      </c>
      <c r="Q1194" s="2" t="s">
        <v>99</v>
      </c>
      <c r="R1194" s="2" t="s">
        <v>100</v>
      </c>
      <c r="S1194" s="2" t="s">
        <v>4604</v>
      </c>
      <c r="T1194" s="2" t="s">
        <v>100</v>
      </c>
      <c r="U1194" s="2" t="s">
        <v>1776</v>
      </c>
      <c r="V1194" s="2" t="s">
        <v>733</v>
      </c>
      <c r="W1194" s="2" t="s">
        <v>493</v>
      </c>
      <c r="X1194" s="2" t="s">
        <v>142</v>
      </c>
      <c r="Y1194" s="2" t="s">
        <v>4605</v>
      </c>
      <c r="Z1194" s="4">
        <v>374</v>
      </c>
      <c r="AA1194" s="4">
        <f>=ROUNDDOWN(10.3888888888889,0)</f>
      </c>
      <c r="AB1194" s="5">
        <v>36</v>
      </c>
      <c r="AC1194" s="2" t="s">
        <v>2709</v>
      </c>
      <c r="AD1194" s="4">
        <v>600</v>
      </c>
      <c r="AE1194" s="4">
        <v>640</v>
      </c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2</v>
      </c>
      <c r="AQ1194" s="8">
        <v>39.74</v>
      </c>
      <c r="AR1194" s="4"/>
      <c r="AS1194" s="8"/>
      <c r="AT1194" s="7"/>
      <c r="AU1194" s="7"/>
      <c r="AV1194" s="4">
        <v>2</v>
      </c>
      <c r="AW1194" s="8">
        <v>39.74</v>
      </c>
      <c r="AX1194" s="4"/>
      <c r="AY1194" s="8"/>
      <c r="AZ1194" s="7"/>
      <c r="BA1194" s="7"/>
      <c r="BB1194" s="7">
        <v>1</v>
      </c>
      <c r="BC1194" s="4">
        <v>3</v>
      </c>
      <c r="BD1194" s="8">
        <v>59.61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>
        <v>0.6667</v>
      </c>
      <c r="BJ1194" s="4">
        <v>120</v>
      </c>
      <c r="BK1194" s="8">
        <v>2423.37</v>
      </c>
      <c r="BL1194" s="2" t="s">
        <v>4606</v>
      </c>
      <c r="BM1194" s="7">
        <v>0.0167</v>
      </c>
      <c r="BN1194" s="7">
        <v>0.0164</v>
      </c>
      <c r="BO1194" s="4">
        <v>2</v>
      </c>
      <c r="BP1194" s="8">
        <v>39.74</v>
      </c>
      <c r="BQ1194" s="4"/>
      <c r="BR1194" s="8"/>
      <c r="BS1194" s="7"/>
      <c r="BT1194" s="7"/>
      <c r="BU1194" s="2" t="s">
        <v>109</v>
      </c>
      <c r="BV1194" s="2" t="s">
        <v>97</v>
      </c>
      <c r="BW1194" s="2" t="s">
        <v>4607</v>
      </c>
      <c r="BX1194" s="2" t="s">
        <v>4608</v>
      </c>
      <c r="BY1194" s="2" t="s">
        <v>112</v>
      </c>
      <c r="BZ1194" s="2" t="s">
        <v>149</v>
      </c>
    </row>
    <row r="1195">
      <c r="A1195" s="2" t="s">
        <v>4609</v>
      </c>
      <c r="B1195" s="2" t="s">
        <v>4552</v>
      </c>
      <c r="C1195" s="2" t="s">
        <v>88</v>
      </c>
      <c r="D1195" s="2" t="s">
        <v>4553</v>
      </c>
      <c r="E1195" s="2" t="s">
        <v>4554</v>
      </c>
      <c r="F1195" s="2" t="s">
        <v>890</v>
      </c>
      <c r="G1195" s="2" t="s">
        <v>4602</v>
      </c>
      <c r="H1195" s="2" t="s">
        <v>3615</v>
      </c>
      <c r="I1195" s="2" t="s">
        <v>4603</v>
      </c>
      <c r="J1195" s="2" t="s">
        <v>4556</v>
      </c>
      <c r="K1195" s="2" t="s">
        <v>1995</v>
      </c>
      <c r="L1195" s="3">
        <v>18.92</v>
      </c>
      <c r="M1195" s="3">
        <v>19.87</v>
      </c>
      <c r="N1195" s="3">
        <v>42.99</v>
      </c>
      <c r="O1195" s="2" t="s">
        <v>97</v>
      </c>
      <c r="P1195" s="2" t="s">
        <v>98</v>
      </c>
      <c r="Q1195" s="2" t="s">
        <v>99</v>
      </c>
      <c r="R1195" s="2" t="s">
        <v>100</v>
      </c>
      <c r="S1195" s="2" t="s">
        <v>4610</v>
      </c>
      <c r="T1195" s="2" t="s">
        <v>100</v>
      </c>
      <c r="U1195" s="2" t="s">
        <v>1776</v>
      </c>
      <c r="V1195" s="2" t="s">
        <v>733</v>
      </c>
      <c r="W1195" s="2" t="s">
        <v>493</v>
      </c>
      <c r="X1195" s="2" t="s">
        <v>142</v>
      </c>
      <c r="Y1195" s="2" t="s">
        <v>494</v>
      </c>
      <c r="Z1195" s="4">
        <v>67</v>
      </c>
      <c r="AA1195" s="4">
        <f>=ROUNDDOWN(4.78571428571429,0)</f>
      </c>
      <c r="AB1195" s="5">
        <v>14</v>
      </c>
      <c r="AC1195" s="2" t="s">
        <v>2709</v>
      </c>
      <c r="AD1195" s="4">
        <v>100</v>
      </c>
      <c r="AE1195" s="4">
        <v>100</v>
      </c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1</v>
      </c>
      <c r="AQ1195" s="8">
        <v>19.87</v>
      </c>
      <c r="AR1195" s="4"/>
      <c r="AS1195" s="8"/>
      <c r="AT1195" s="7"/>
      <c r="AU1195" s="7"/>
      <c r="AV1195" s="4">
        <v>1</v>
      </c>
      <c r="AW1195" s="8">
        <v>19.87</v>
      </c>
      <c r="AX1195" s="4"/>
      <c r="AY1195" s="8"/>
      <c r="AZ1195" s="7"/>
      <c r="BA1195" s="7"/>
      <c r="BB1195" s="7">
        <v>1</v>
      </c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>
        <v>0.3333</v>
      </c>
      <c r="BJ1195" s="4">
        <v>50</v>
      </c>
      <c r="BK1195" s="8">
        <v>1032.37</v>
      </c>
      <c r="BL1195" s="2" t="s">
        <v>1525</v>
      </c>
      <c r="BM1195" s="7">
        <v>0.02</v>
      </c>
      <c r="BN1195" s="7">
        <v>0.0192</v>
      </c>
      <c r="BO1195" s="4">
        <v>1</v>
      </c>
      <c r="BP1195" s="8">
        <v>19.87</v>
      </c>
      <c r="BQ1195" s="4"/>
      <c r="BR1195" s="8"/>
      <c r="BS1195" s="7"/>
      <c r="BT1195" s="7"/>
      <c r="BU1195" s="2" t="s">
        <v>109</v>
      </c>
      <c r="BV1195" s="2" t="s">
        <v>97</v>
      </c>
      <c r="BW1195" s="2" t="s">
        <v>4607</v>
      </c>
      <c r="BX1195" s="2" t="s">
        <v>4611</v>
      </c>
      <c r="BY1195" s="2" t="s">
        <v>112</v>
      </c>
      <c r="BZ1195" s="2" t="s">
        <v>149</v>
      </c>
    </row>
    <row r="1196">
      <c r="A1196" s="2" t="s">
        <v>4612</v>
      </c>
      <c r="B1196" s="2" t="s">
        <v>4552</v>
      </c>
      <c r="C1196" s="2" t="s">
        <v>88</v>
      </c>
      <c r="D1196" s="2" t="s">
        <v>4553</v>
      </c>
      <c r="E1196" s="2" t="s">
        <v>4554</v>
      </c>
      <c r="F1196" s="2" t="s">
        <v>4613</v>
      </c>
      <c r="G1196" s="2" t="s">
        <v>4613</v>
      </c>
      <c r="H1196" s="2" t="s">
        <v>4613</v>
      </c>
      <c r="I1196" s="2" t="s">
        <v>4614</v>
      </c>
      <c r="J1196" s="2" t="s">
        <v>4615</v>
      </c>
      <c r="K1196" s="2" t="s">
        <v>96</v>
      </c>
      <c r="L1196" s="3">
        <v>19.01</v>
      </c>
      <c r="M1196" s="3">
        <v>19.96</v>
      </c>
      <c r="N1196" s="3">
        <v>42.99</v>
      </c>
      <c r="O1196" s="2" t="s">
        <v>97</v>
      </c>
      <c r="P1196" s="2" t="s">
        <v>156</v>
      </c>
      <c r="Q1196" s="2" t="s">
        <v>99</v>
      </c>
      <c r="R1196" s="2" t="s">
        <v>100</v>
      </c>
      <c r="S1196" s="2" t="s">
        <v>100</v>
      </c>
      <c r="T1196" s="2" t="s">
        <v>100</v>
      </c>
      <c r="U1196" s="2" t="s">
        <v>100</v>
      </c>
      <c r="V1196" s="2" t="s">
        <v>367</v>
      </c>
      <c r="W1196" s="2" t="s">
        <v>4207</v>
      </c>
      <c r="X1196" s="2" t="s">
        <v>100</v>
      </c>
      <c r="Y1196" s="2" t="s">
        <v>4616</v>
      </c>
      <c r="Z1196" s="4">
        <v>282</v>
      </c>
      <c r="AA1196" s="4">
        <f>=ROUNDDOWN(15.6666666666667,0)</f>
      </c>
      <c r="AB1196" s="5">
        <v>18</v>
      </c>
      <c r="AC1196" s="2" t="s">
        <v>2772</v>
      </c>
      <c r="AD1196" s="4">
        <v>200</v>
      </c>
      <c r="AE1196" s="4">
        <v>260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>
        <v>4</v>
      </c>
      <c r="AW1196" s="8">
        <v>55.44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/>
      <c r="BC1196" s="4">
        <v>4</v>
      </c>
      <c r="BD1196" s="8">
        <v>55.44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>
        <v>1</v>
      </c>
      <c r="BJ1196" s="4">
        <v>47</v>
      </c>
      <c r="BK1196" s="8">
        <v>1076.95</v>
      </c>
      <c r="BL1196" s="2" t="s">
        <v>4617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109</v>
      </c>
      <c r="BV1196" s="2" t="s">
        <v>97</v>
      </c>
      <c r="BW1196" s="2" t="s">
        <v>4146</v>
      </c>
      <c r="BX1196" s="2" t="s">
        <v>1792</v>
      </c>
      <c r="BY1196" s="2" t="s">
        <v>112</v>
      </c>
      <c r="BZ1196" s="2" t="s">
        <v>149</v>
      </c>
    </row>
    <row r="1197">
      <c r="A1197" s="2" t="s">
        <v>4618</v>
      </c>
      <c r="B1197" s="2" t="s">
        <v>4552</v>
      </c>
      <c r="C1197" s="2" t="s">
        <v>88</v>
      </c>
      <c r="D1197" s="2" t="s">
        <v>4553</v>
      </c>
      <c r="E1197" s="2" t="s">
        <v>4554</v>
      </c>
      <c r="F1197" s="2" t="s">
        <v>4613</v>
      </c>
      <c r="G1197" s="2" t="s">
        <v>4613</v>
      </c>
      <c r="H1197" s="2" t="s">
        <v>4613</v>
      </c>
      <c r="I1197" s="2" t="s">
        <v>4614</v>
      </c>
      <c r="J1197" s="2" t="s">
        <v>4619</v>
      </c>
      <c r="K1197" s="2" t="s">
        <v>96</v>
      </c>
      <c r="L1197" s="3">
        <v>11.88</v>
      </c>
      <c r="M1197" s="3">
        <v>12.47</v>
      </c>
      <c r="N1197" s="3">
        <v>24.99</v>
      </c>
      <c r="O1197" s="2" t="s">
        <v>97</v>
      </c>
      <c r="P1197" s="2" t="s">
        <v>156</v>
      </c>
      <c r="Q1197" s="2" t="s">
        <v>99</v>
      </c>
      <c r="R1197" s="2" t="s">
        <v>100</v>
      </c>
      <c r="S1197" s="2" t="s">
        <v>100</v>
      </c>
      <c r="T1197" s="2" t="s">
        <v>100</v>
      </c>
      <c r="U1197" s="2" t="s">
        <v>100</v>
      </c>
      <c r="V1197" s="2" t="s">
        <v>367</v>
      </c>
      <c r="W1197" s="2" t="s">
        <v>4207</v>
      </c>
      <c r="X1197" s="2" t="s">
        <v>100</v>
      </c>
      <c r="Y1197" s="2" t="s">
        <v>4616</v>
      </c>
      <c r="Z1197" s="4">
        <v>382</v>
      </c>
      <c r="AA1197" s="4">
        <f>=ROUNDDOWN(7.20754716981132,0)</f>
      </c>
      <c r="AB1197" s="5">
        <v>53</v>
      </c>
      <c r="AC1197" s="2" t="s">
        <v>4620</v>
      </c>
      <c r="AD1197" s="4">
        <v>500</v>
      </c>
      <c r="AE1197" s="4">
        <v>1280</v>
      </c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4</v>
      </c>
      <c r="AQ1197" s="8">
        <v>55.44</v>
      </c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>
        <v>1</v>
      </c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 t="s">
        <v>100</v>
      </c>
      <c r="BJ1197" s="4">
        <v>148</v>
      </c>
      <c r="BK1197" s="8">
        <v>2033.32</v>
      </c>
      <c r="BL1197" s="2" t="s">
        <v>4621</v>
      </c>
      <c r="BM1197" s="7">
        <v>0.027</v>
      </c>
      <c r="BN1197" s="7">
        <v>0.0273</v>
      </c>
      <c r="BO1197" s="4">
        <v>4</v>
      </c>
      <c r="BP1197" s="8">
        <v>55.44</v>
      </c>
      <c r="BQ1197" s="4"/>
      <c r="BR1197" s="8"/>
      <c r="BS1197" s="7"/>
      <c r="BT1197" s="7"/>
      <c r="BU1197" s="2" t="s">
        <v>109</v>
      </c>
      <c r="BV1197" s="2" t="s">
        <v>97</v>
      </c>
      <c r="BW1197" s="2" t="s">
        <v>4146</v>
      </c>
      <c r="BX1197" s="2" t="s">
        <v>1262</v>
      </c>
      <c r="BY1197" s="2" t="s">
        <v>112</v>
      </c>
      <c r="BZ1197" s="2" t="s">
        <v>149</v>
      </c>
    </row>
    <row r="1198">
      <c r="A1198" s="2" t="s">
        <v>4622</v>
      </c>
      <c r="B1198" s="2" t="s">
        <v>4552</v>
      </c>
      <c r="C1198" s="2" t="s">
        <v>88</v>
      </c>
      <c r="D1198" s="2" t="s">
        <v>4553</v>
      </c>
      <c r="E1198" s="2" t="s">
        <v>4554</v>
      </c>
      <c r="F1198" s="2" t="s">
        <v>4613</v>
      </c>
      <c r="G1198" s="2" t="s">
        <v>4613</v>
      </c>
      <c r="H1198" s="2" t="s">
        <v>4613</v>
      </c>
      <c r="I1198" s="2" t="s">
        <v>4614</v>
      </c>
      <c r="J1198" s="2" t="s">
        <v>4623</v>
      </c>
      <c r="K1198" s="2" t="s">
        <v>179</v>
      </c>
      <c r="L1198" s="3">
        <v>15.84</v>
      </c>
      <c r="M1198" s="3">
        <v>16.63</v>
      </c>
      <c r="N1198" s="3">
        <v>34.99</v>
      </c>
      <c r="O1198" s="2" t="s">
        <v>97</v>
      </c>
      <c r="P1198" s="2" t="s">
        <v>156</v>
      </c>
      <c r="Q1198" s="2" t="s">
        <v>99</v>
      </c>
      <c r="R1198" s="2" t="s">
        <v>100</v>
      </c>
      <c r="S1198" s="2" t="s">
        <v>100</v>
      </c>
      <c r="T1198" s="2" t="s">
        <v>100</v>
      </c>
      <c r="U1198" s="2" t="s">
        <v>100</v>
      </c>
      <c r="V1198" s="2" t="s">
        <v>367</v>
      </c>
      <c r="W1198" s="2" t="s">
        <v>4207</v>
      </c>
      <c r="X1198" s="2" t="s">
        <v>100</v>
      </c>
      <c r="Y1198" s="2" t="s">
        <v>4616</v>
      </c>
      <c r="Z1198" s="4">
        <v>338</v>
      </c>
      <c r="AA1198" s="4">
        <f>=ROUNDDOWN(7.51111111111111,0)</f>
      </c>
      <c r="AB1198" s="5">
        <v>45</v>
      </c>
      <c r="AC1198" s="2" t="s">
        <v>4620</v>
      </c>
      <c r="AD1198" s="4">
        <v>400</v>
      </c>
      <c r="AE1198" s="4">
        <v>700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/>
      <c r="BJ1198" s="4">
        <v>147</v>
      </c>
      <c r="BK1198" s="8">
        <v>2774.39</v>
      </c>
      <c r="BL1198" s="2" t="s">
        <v>4624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109</v>
      </c>
      <c r="BV1198" s="2" t="s">
        <v>97</v>
      </c>
      <c r="BW1198" s="2" t="s">
        <v>4146</v>
      </c>
      <c r="BX1198" s="2" t="s">
        <v>2478</v>
      </c>
      <c r="BY1198" s="2" t="s">
        <v>112</v>
      </c>
      <c r="BZ1198" s="2" t="s">
        <v>149</v>
      </c>
    </row>
    <row r="1199">
      <c r="A1199" s="2" t="s">
        <v>4625</v>
      </c>
      <c r="B1199" s="2" t="s">
        <v>4552</v>
      </c>
      <c r="C1199" s="2" t="s">
        <v>88</v>
      </c>
      <c r="D1199" s="2" t="s">
        <v>4553</v>
      </c>
      <c r="E1199" s="2" t="s">
        <v>4554</v>
      </c>
      <c r="F1199" s="2" t="s">
        <v>4613</v>
      </c>
      <c r="G1199" s="2" t="s">
        <v>4613</v>
      </c>
      <c r="H1199" s="2" t="s">
        <v>4613</v>
      </c>
      <c r="I1199" s="2" t="s">
        <v>4614</v>
      </c>
      <c r="J1199" s="2" t="s">
        <v>4619</v>
      </c>
      <c r="K1199" s="2" t="s">
        <v>673</v>
      </c>
      <c r="L1199" s="3">
        <v>11.88</v>
      </c>
      <c r="M1199" s="3">
        <v>12.47</v>
      </c>
      <c r="N1199" s="3">
        <v>24.99</v>
      </c>
      <c r="O1199" s="2" t="s">
        <v>97</v>
      </c>
      <c r="P1199" s="2" t="s">
        <v>123</v>
      </c>
      <c r="Q1199" s="2" t="s">
        <v>99</v>
      </c>
      <c r="R1199" s="2" t="s">
        <v>100</v>
      </c>
      <c r="S1199" s="2" t="s">
        <v>100</v>
      </c>
      <c r="T1199" s="2" t="s">
        <v>100</v>
      </c>
      <c r="U1199" s="2" t="s">
        <v>100</v>
      </c>
      <c r="V1199" s="2" t="s">
        <v>367</v>
      </c>
      <c r="W1199" s="2" t="s">
        <v>4207</v>
      </c>
      <c r="X1199" s="2" t="s">
        <v>100</v>
      </c>
      <c r="Y1199" s="2" t="s">
        <v>4616</v>
      </c>
      <c r="Z1199" s="4">
        <v>214</v>
      </c>
      <c r="AA1199" s="4">
        <f>=ROUNDDOWN(3.75438596491228,0)</f>
      </c>
      <c r="AB1199" s="5">
        <v>57</v>
      </c>
      <c r="AC1199" s="2" t="s">
        <v>4620</v>
      </c>
      <c r="AD1199" s="4">
        <v>380</v>
      </c>
      <c r="AE1199" s="4">
        <v>1580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/>
      <c r="BJ1199" s="4">
        <v>216</v>
      </c>
      <c r="BK1199" s="8">
        <v>2822.69</v>
      </c>
      <c r="BL1199" s="2" t="s">
        <v>2986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109</v>
      </c>
      <c r="BV1199" s="2" t="s">
        <v>97</v>
      </c>
      <c r="BW1199" s="2" t="s">
        <v>4146</v>
      </c>
      <c r="BX1199" s="2" t="s">
        <v>404</v>
      </c>
      <c r="BY1199" s="2" t="s">
        <v>112</v>
      </c>
      <c r="BZ1199" s="2" t="s">
        <v>149</v>
      </c>
    </row>
    <row r="1200">
      <c r="A1200" s="2" t="s">
        <v>4626</v>
      </c>
      <c r="B1200" s="2" t="s">
        <v>4552</v>
      </c>
      <c r="C1200" s="2" t="s">
        <v>88</v>
      </c>
      <c r="D1200" s="2" t="s">
        <v>4553</v>
      </c>
      <c r="E1200" s="2" t="s">
        <v>4554</v>
      </c>
      <c r="F1200" s="2" t="s">
        <v>348</v>
      </c>
      <c r="G1200" s="2" t="s">
        <v>349</v>
      </c>
      <c r="H1200" s="2" t="s">
        <v>2855</v>
      </c>
      <c r="I1200" s="2" t="s">
        <v>4627</v>
      </c>
      <c r="J1200" s="2" t="s">
        <v>4556</v>
      </c>
      <c r="K1200" s="2" t="s">
        <v>1326</v>
      </c>
      <c r="L1200" s="3">
        <v>17.6</v>
      </c>
      <c r="M1200" s="3">
        <v>18.48</v>
      </c>
      <c r="N1200" s="3">
        <v>39.99</v>
      </c>
      <c r="O1200" s="2" t="s">
        <v>97</v>
      </c>
      <c r="P1200" s="2" t="s">
        <v>98</v>
      </c>
      <c r="Q1200" s="2" t="s">
        <v>99</v>
      </c>
      <c r="R1200" s="2" t="s">
        <v>100</v>
      </c>
      <c r="S1200" s="2" t="s">
        <v>1327</v>
      </c>
      <c r="T1200" s="2" t="s">
        <v>190</v>
      </c>
      <c r="U1200" s="2" t="s">
        <v>100</v>
      </c>
      <c r="V1200" s="2" t="s">
        <v>192</v>
      </c>
      <c r="W1200" s="2" t="s">
        <v>609</v>
      </c>
      <c r="X1200" s="2" t="s">
        <v>100</v>
      </c>
      <c r="Y1200" s="2" t="s">
        <v>4628</v>
      </c>
      <c r="Z1200" s="4">
        <v>460</v>
      </c>
      <c r="AA1200" s="4">
        <f>=ROUNDDOWN(21.9047619047619,0)</f>
      </c>
      <c r="AB1200" s="5">
        <v>21</v>
      </c>
      <c r="AC1200" s="2" t="s">
        <v>1329</v>
      </c>
      <c r="AD1200" s="4">
        <v>240</v>
      </c>
      <c r="AE1200" s="4">
        <v>240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2</v>
      </c>
      <c r="AQ1200" s="8">
        <v>37.92</v>
      </c>
      <c r="AR1200" s="4"/>
      <c r="AS1200" s="8"/>
      <c r="AT1200" s="7"/>
      <c r="AU1200" s="7"/>
      <c r="AV1200" s="4">
        <v>2</v>
      </c>
      <c r="AW1200" s="8">
        <v>37.92</v>
      </c>
      <c r="AX1200" s="4"/>
      <c r="AY1200" s="8"/>
      <c r="AZ1200" s="7"/>
      <c r="BA1200" s="7"/>
      <c r="BB1200" s="7">
        <v>1</v>
      </c>
      <c r="BC1200" s="4">
        <v>2</v>
      </c>
      <c r="BD1200" s="8">
        <v>37.92</v>
      </c>
      <c r="BE1200" s="4"/>
      <c r="BF1200" s="8"/>
      <c r="BG1200" s="7"/>
      <c r="BH1200" s="7"/>
      <c r="BI1200" s="7">
        <v>1</v>
      </c>
      <c r="BJ1200" s="4">
        <v>85</v>
      </c>
      <c r="BK1200" s="8">
        <v>1698.98</v>
      </c>
      <c r="BL1200" s="2" t="s">
        <v>4629</v>
      </c>
      <c r="BM1200" s="7">
        <v>0.0235</v>
      </c>
      <c r="BN1200" s="7">
        <v>0.0223</v>
      </c>
      <c r="BO1200" s="4">
        <v>2</v>
      </c>
      <c r="BP1200" s="8">
        <v>37.92</v>
      </c>
      <c r="BQ1200" s="4"/>
      <c r="BR1200" s="8"/>
      <c r="BS1200" s="7"/>
      <c r="BT1200" s="7"/>
      <c r="BU1200" s="2" t="s">
        <v>109</v>
      </c>
      <c r="BV1200" s="2" t="s">
        <v>97</v>
      </c>
      <c r="BW1200" s="2" t="s">
        <v>4630</v>
      </c>
      <c r="BX1200" s="2" t="s">
        <v>2123</v>
      </c>
      <c r="BY1200" s="2" t="s">
        <v>112</v>
      </c>
      <c r="BZ1200" s="2" t="s">
        <v>149</v>
      </c>
    </row>
    <row r="1201">
      <c r="A1201" s="2" t="s">
        <v>4631</v>
      </c>
      <c r="B1201" s="2" t="s">
        <v>4552</v>
      </c>
      <c r="C1201" s="2" t="s">
        <v>88</v>
      </c>
      <c r="D1201" s="2" t="s">
        <v>4553</v>
      </c>
      <c r="E1201" s="2" t="s">
        <v>4554</v>
      </c>
      <c r="F1201" s="2" t="s">
        <v>4632</v>
      </c>
      <c r="G1201" s="2" t="s">
        <v>4633</v>
      </c>
      <c r="H1201" s="2" t="s">
        <v>2345</v>
      </c>
      <c r="I1201" s="2" t="s">
        <v>4634</v>
      </c>
      <c r="J1201" s="2" t="s">
        <v>4556</v>
      </c>
      <c r="K1201" s="2" t="s">
        <v>856</v>
      </c>
      <c r="L1201" s="3">
        <v>16.28</v>
      </c>
      <c r="M1201" s="3">
        <v>17.09</v>
      </c>
      <c r="N1201" s="3">
        <v>36.99</v>
      </c>
      <c r="O1201" s="2" t="s">
        <v>97</v>
      </c>
      <c r="P1201" s="2" t="s">
        <v>98</v>
      </c>
      <c r="Q1201" s="2" t="s">
        <v>99</v>
      </c>
      <c r="R1201" s="2" t="s">
        <v>100</v>
      </c>
      <c r="S1201" s="2" t="s">
        <v>4635</v>
      </c>
      <c r="T1201" s="2" t="s">
        <v>100</v>
      </c>
      <c r="U1201" s="2" t="s">
        <v>100</v>
      </c>
      <c r="V1201" s="2" t="s">
        <v>4636</v>
      </c>
      <c r="W1201" s="2" t="s">
        <v>142</v>
      </c>
      <c r="X1201" s="2" t="s">
        <v>100</v>
      </c>
      <c r="Y1201" s="2" t="s">
        <v>4598</v>
      </c>
      <c r="Z1201" s="4">
        <v>4</v>
      </c>
      <c r="AA1201" s="4">
        <f>=ROUNDDOWN(0.111111111111111,0)</f>
      </c>
      <c r="AB1201" s="5">
        <v>36</v>
      </c>
      <c r="AC1201" s="2" t="s">
        <v>1094</v>
      </c>
      <c r="AD1201" s="4">
        <v>480</v>
      </c>
      <c r="AE1201" s="4">
        <v>960</v>
      </c>
      <c r="AF1201" s="6">
        <v>65</v>
      </c>
      <c r="AG1201" s="6"/>
      <c r="AH1201" s="7">
        <v>0.6452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2</v>
      </c>
      <c r="AQ1201" s="8">
        <v>35.58</v>
      </c>
      <c r="AR1201" s="4"/>
      <c r="AS1201" s="8"/>
      <c r="AT1201" s="7"/>
      <c r="AU1201" s="7"/>
      <c r="AV1201" s="4">
        <v>2</v>
      </c>
      <c r="AW1201" s="8">
        <v>35.58</v>
      </c>
      <c r="AX1201" s="4"/>
      <c r="AY1201" s="8"/>
      <c r="AZ1201" s="7"/>
      <c r="BA1201" s="7"/>
      <c r="BB1201" s="7">
        <v>1</v>
      </c>
      <c r="BC1201" s="4">
        <v>2</v>
      </c>
      <c r="BD1201" s="8">
        <v>35.58</v>
      </c>
      <c r="BE1201" s="4"/>
      <c r="BF1201" s="8"/>
      <c r="BG1201" s="7"/>
      <c r="BH1201" s="7"/>
      <c r="BI1201" s="7">
        <v>1</v>
      </c>
      <c r="BJ1201" s="4">
        <v>65</v>
      </c>
      <c r="BK1201" s="8">
        <v>1200.46</v>
      </c>
      <c r="BL1201" s="2" t="s">
        <v>4637</v>
      </c>
      <c r="BM1201" s="7">
        <v>0.0308</v>
      </c>
      <c r="BN1201" s="7">
        <v>0.0296</v>
      </c>
      <c r="BO1201" s="4">
        <v>2</v>
      </c>
      <c r="BP1201" s="8">
        <v>35.58</v>
      </c>
      <c r="BQ1201" s="4"/>
      <c r="BR1201" s="8"/>
      <c r="BS1201" s="7"/>
      <c r="BT1201" s="7"/>
      <c r="BU1201" s="2" t="s">
        <v>109</v>
      </c>
      <c r="BV1201" s="2" t="s">
        <v>97</v>
      </c>
      <c r="BW1201" s="2" t="s">
        <v>4158</v>
      </c>
      <c r="BX1201" s="2" t="s">
        <v>885</v>
      </c>
      <c r="BY1201" s="2" t="s">
        <v>112</v>
      </c>
      <c r="BZ1201" s="2" t="s">
        <v>149</v>
      </c>
    </row>
    <row r="1202">
      <c r="A1202" s="2" t="s">
        <v>4638</v>
      </c>
      <c r="B1202" s="2" t="s">
        <v>4552</v>
      </c>
      <c r="C1202" s="2" t="s">
        <v>88</v>
      </c>
      <c r="D1202" s="2" t="s">
        <v>4553</v>
      </c>
      <c r="E1202" s="2" t="s">
        <v>4554</v>
      </c>
      <c r="F1202" s="2" t="s">
        <v>854</v>
      </c>
      <c r="G1202" s="2" t="s">
        <v>4639</v>
      </c>
      <c r="H1202" s="2" t="s">
        <v>4640</v>
      </c>
      <c r="I1202" s="2" t="s">
        <v>4641</v>
      </c>
      <c r="J1202" s="2" t="s">
        <v>4556</v>
      </c>
      <c r="K1202" s="2" t="s">
        <v>458</v>
      </c>
      <c r="L1202" s="3">
        <v>13.2</v>
      </c>
      <c r="M1202" s="3">
        <v>13.86</v>
      </c>
      <c r="N1202" s="3">
        <v>29.99</v>
      </c>
      <c r="O1202" s="2" t="s">
        <v>97</v>
      </c>
      <c r="P1202" s="2" t="s">
        <v>98</v>
      </c>
      <c r="Q1202" s="2" t="s">
        <v>99</v>
      </c>
      <c r="R1202" s="2" t="s">
        <v>100</v>
      </c>
      <c r="S1202" s="2" t="s">
        <v>459</v>
      </c>
      <c r="T1202" s="2" t="s">
        <v>100</v>
      </c>
      <c r="U1202" s="2" t="s">
        <v>100</v>
      </c>
      <c r="V1202" s="2" t="s">
        <v>461</v>
      </c>
      <c r="W1202" s="2" t="s">
        <v>525</v>
      </c>
      <c r="X1202" s="2" t="s">
        <v>100</v>
      </c>
      <c r="Y1202" s="2" t="s">
        <v>4642</v>
      </c>
      <c r="Z1202" s="4">
        <v>1149</v>
      </c>
      <c r="AA1202" s="4">
        <f>=ROUNDDOWN(17.1492537313433,0)</f>
      </c>
      <c r="AB1202" s="5">
        <v>67</v>
      </c>
      <c r="AC1202" s="2" t="s">
        <v>676</v>
      </c>
      <c r="AD1202" s="4">
        <v>800</v>
      </c>
      <c r="AE1202" s="4">
        <v>800</v>
      </c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2</v>
      </c>
      <c r="AQ1202" s="8">
        <v>28.86</v>
      </c>
      <c r="AR1202" s="4"/>
      <c r="AS1202" s="8"/>
      <c r="AT1202" s="7"/>
      <c r="AU1202" s="7"/>
      <c r="AV1202" s="4">
        <v>2</v>
      </c>
      <c r="AW1202" s="8">
        <v>28.86</v>
      </c>
      <c r="AX1202" s="4"/>
      <c r="AY1202" s="8"/>
      <c r="AZ1202" s="7"/>
      <c r="BA1202" s="7"/>
      <c r="BB1202" s="7">
        <v>1</v>
      </c>
      <c r="BC1202" s="4">
        <v>2</v>
      </c>
      <c r="BD1202" s="8">
        <v>28.86</v>
      </c>
      <c r="BE1202" s="4"/>
      <c r="BF1202" s="8"/>
      <c r="BG1202" s="7"/>
      <c r="BH1202" s="7"/>
      <c r="BI1202" s="7">
        <v>1</v>
      </c>
      <c r="BJ1202" s="4">
        <v>147</v>
      </c>
      <c r="BK1202" s="8">
        <v>2213.46</v>
      </c>
      <c r="BL1202" s="2" t="s">
        <v>4643</v>
      </c>
      <c r="BM1202" s="7">
        <v>0.0136</v>
      </c>
      <c r="BN1202" s="7">
        <v>0.013</v>
      </c>
      <c r="BO1202" s="4">
        <v>2</v>
      </c>
      <c r="BP1202" s="8">
        <v>28.86</v>
      </c>
      <c r="BQ1202" s="4"/>
      <c r="BR1202" s="8"/>
      <c r="BS1202" s="7"/>
      <c r="BT1202" s="7"/>
      <c r="BU1202" s="2" t="s">
        <v>109</v>
      </c>
      <c r="BV1202" s="2" t="s">
        <v>97</v>
      </c>
      <c r="BW1202" s="2" t="s">
        <v>4568</v>
      </c>
      <c r="BX1202" s="2" t="s">
        <v>416</v>
      </c>
      <c r="BY1202" s="2" t="s">
        <v>112</v>
      </c>
      <c r="BZ1202" s="2" t="s">
        <v>149</v>
      </c>
    </row>
    <row r="1203">
      <c r="A1203" s="2" t="s">
        <v>4644</v>
      </c>
      <c r="B1203" s="2" t="s">
        <v>4552</v>
      </c>
      <c r="C1203" s="2" t="s">
        <v>88</v>
      </c>
      <c r="D1203" s="2" t="s">
        <v>4553</v>
      </c>
      <c r="E1203" s="2" t="s">
        <v>4554</v>
      </c>
      <c r="F1203" s="2" t="s">
        <v>298</v>
      </c>
      <c r="G1203" s="2" t="s">
        <v>299</v>
      </c>
      <c r="H1203" s="2" t="s">
        <v>300</v>
      </c>
      <c r="I1203" s="2" t="s">
        <v>4587</v>
      </c>
      <c r="J1203" s="2" t="s">
        <v>4556</v>
      </c>
      <c r="K1203" s="2" t="s">
        <v>316</v>
      </c>
      <c r="L1203" s="3">
        <v>23</v>
      </c>
      <c r="M1203" s="3">
        <v>24.15</v>
      </c>
      <c r="N1203" s="3">
        <v>49.99</v>
      </c>
      <c r="O1203" s="2" t="s">
        <v>97</v>
      </c>
      <c r="P1203" s="2" t="s">
        <v>98</v>
      </c>
      <c r="Q1203" s="2" t="s">
        <v>99</v>
      </c>
      <c r="R1203" s="2" t="s">
        <v>100</v>
      </c>
      <c r="S1203" s="2" t="s">
        <v>318</v>
      </c>
      <c r="T1203" s="2" t="s">
        <v>100</v>
      </c>
      <c r="U1203" s="2" t="s">
        <v>1776</v>
      </c>
      <c r="V1203" s="2" t="s">
        <v>304</v>
      </c>
      <c r="W1203" s="2" t="s">
        <v>104</v>
      </c>
      <c r="X1203" s="2" t="s">
        <v>100</v>
      </c>
      <c r="Y1203" s="2" t="s">
        <v>1531</v>
      </c>
      <c r="Z1203" s="4">
        <v>452</v>
      </c>
      <c r="AA1203" s="4">
        <f>=ROUNDDOWN(20.5454545454545,0)</f>
      </c>
      <c r="AB1203" s="5">
        <v>22</v>
      </c>
      <c r="AC1203" s="2" t="s">
        <v>107</v>
      </c>
      <c r="AD1203" s="4">
        <v>152</v>
      </c>
      <c r="AE1203" s="4">
        <v>472</v>
      </c>
      <c r="AF1203" s="6">
        <v>64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1</v>
      </c>
      <c r="AQ1203" s="8">
        <v>25.98</v>
      </c>
      <c r="AR1203" s="4"/>
      <c r="AS1203" s="8"/>
      <c r="AT1203" s="7"/>
      <c r="AU1203" s="7"/>
      <c r="AV1203" s="4">
        <v>1</v>
      </c>
      <c r="AW1203" s="8">
        <v>25.98</v>
      </c>
      <c r="AX1203" s="4"/>
      <c r="AY1203" s="8"/>
      <c r="AZ1203" s="7"/>
      <c r="BA1203" s="7"/>
      <c r="BB1203" s="7">
        <v>1</v>
      </c>
      <c r="BC1203" s="4">
        <v>1</v>
      </c>
      <c r="BD1203" s="8">
        <v>25.98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>
        <v>1</v>
      </c>
      <c r="BJ1203" s="4">
        <v>59</v>
      </c>
      <c r="BK1203" s="8">
        <v>1575.48</v>
      </c>
      <c r="BL1203" s="2" t="s">
        <v>4645</v>
      </c>
      <c r="BM1203" s="7">
        <v>0.0169</v>
      </c>
      <c r="BN1203" s="7">
        <v>0.0165</v>
      </c>
      <c r="BO1203" s="4">
        <v>1</v>
      </c>
      <c r="BP1203" s="8">
        <v>25.98</v>
      </c>
      <c r="BQ1203" s="4"/>
      <c r="BR1203" s="8"/>
      <c r="BS1203" s="7"/>
      <c r="BT1203" s="7"/>
      <c r="BU1203" s="2" t="s">
        <v>109</v>
      </c>
      <c r="BV1203" s="2" t="s">
        <v>97</v>
      </c>
      <c r="BW1203" s="2" t="s">
        <v>1964</v>
      </c>
      <c r="BX1203" s="2" t="s">
        <v>4646</v>
      </c>
      <c r="BY1203" s="2" t="s">
        <v>112</v>
      </c>
      <c r="BZ1203" s="2" t="s">
        <v>149</v>
      </c>
    </row>
    <row r="1204">
      <c r="A1204" s="2" t="s">
        <v>4647</v>
      </c>
      <c r="B1204" s="2" t="s">
        <v>4552</v>
      </c>
      <c r="C1204" s="2" t="s">
        <v>88</v>
      </c>
      <c r="D1204" s="2" t="s">
        <v>4553</v>
      </c>
      <c r="E1204" s="2" t="s">
        <v>4554</v>
      </c>
      <c r="F1204" s="2" t="s">
        <v>298</v>
      </c>
      <c r="G1204" s="2" t="s">
        <v>299</v>
      </c>
      <c r="H1204" s="2" t="s">
        <v>300</v>
      </c>
      <c r="I1204" s="2" t="s">
        <v>4587</v>
      </c>
      <c r="J1204" s="2" t="s">
        <v>4556</v>
      </c>
      <c r="K1204" s="2" t="s">
        <v>325</v>
      </c>
      <c r="L1204" s="3">
        <v>23</v>
      </c>
      <c r="M1204" s="3">
        <v>24.15</v>
      </c>
      <c r="N1204" s="3">
        <v>49.99</v>
      </c>
      <c r="O1204" s="2" t="s">
        <v>97</v>
      </c>
      <c r="P1204" s="2" t="s">
        <v>98</v>
      </c>
      <c r="Q1204" s="2" t="s">
        <v>99</v>
      </c>
      <c r="R1204" s="2" t="s">
        <v>100</v>
      </c>
      <c r="S1204" s="2" t="s">
        <v>326</v>
      </c>
      <c r="T1204" s="2" t="s">
        <v>100</v>
      </c>
      <c r="U1204" s="2" t="s">
        <v>1776</v>
      </c>
      <c r="V1204" s="2" t="s">
        <v>304</v>
      </c>
      <c r="W1204" s="2" t="s">
        <v>104</v>
      </c>
      <c r="X1204" s="2" t="s">
        <v>100</v>
      </c>
      <c r="Y1204" s="2" t="s">
        <v>4648</v>
      </c>
      <c r="Z1204" s="4">
        <v>164</v>
      </c>
      <c r="AA1204" s="4">
        <f>=ROUNDDOWN(18.2222222222222,0)</f>
      </c>
      <c r="AB1204" s="5">
        <v>9</v>
      </c>
      <c r="AC1204" s="2" t="s">
        <v>107</v>
      </c>
      <c r="AD1204" s="4">
        <v>60</v>
      </c>
      <c r="AE1204" s="4">
        <v>180</v>
      </c>
      <c r="AF1204" s="6">
        <v>64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/>
      <c r="BJ1204" s="4">
        <v>22</v>
      </c>
      <c r="BK1204" s="8">
        <v>573.93</v>
      </c>
      <c r="BL1204" s="2" t="s">
        <v>4649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171</v>
      </c>
      <c r="BV1204" s="2" t="s">
        <v>97</v>
      </c>
      <c r="BW1204" s="2" t="s">
        <v>100</v>
      </c>
      <c r="BX1204" s="2" t="s">
        <v>100</v>
      </c>
      <c r="BY1204" s="2" t="s">
        <v>112</v>
      </c>
      <c r="BZ1204" s="2" t="s">
        <v>149</v>
      </c>
    </row>
    <row r="1205">
      <c r="A1205" s="2" t="s">
        <v>4650</v>
      </c>
      <c r="B1205" s="2" t="s">
        <v>4552</v>
      </c>
      <c r="C1205" s="2" t="s">
        <v>88</v>
      </c>
      <c r="D1205" s="2" t="s">
        <v>4553</v>
      </c>
      <c r="E1205" s="2" t="s">
        <v>4554</v>
      </c>
      <c r="F1205" s="2" t="s">
        <v>298</v>
      </c>
      <c r="G1205" s="2" t="s">
        <v>299</v>
      </c>
      <c r="H1205" s="2" t="s">
        <v>300</v>
      </c>
      <c r="I1205" s="2" t="s">
        <v>4587</v>
      </c>
      <c r="J1205" s="2" t="s">
        <v>4556</v>
      </c>
      <c r="K1205" s="2" t="s">
        <v>335</v>
      </c>
      <c r="L1205" s="3">
        <v>23</v>
      </c>
      <c r="M1205" s="3">
        <v>24.15</v>
      </c>
      <c r="N1205" s="3">
        <v>49.99</v>
      </c>
      <c r="O1205" s="2" t="s">
        <v>97</v>
      </c>
      <c r="P1205" s="2" t="s">
        <v>98</v>
      </c>
      <c r="Q1205" s="2" t="s">
        <v>99</v>
      </c>
      <c r="R1205" s="2" t="s">
        <v>100</v>
      </c>
      <c r="S1205" s="2" t="s">
        <v>336</v>
      </c>
      <c r="T1205" s="2" t="s">
        <v>100</v>
      </c>
      <c r="U1205" s="2" t="s">
        <v>1776</v>
      </c>
      <c r="V1205" s="2" t="s">
        <v>304</v>
      </c>
      <c r="W1205" s="2" t="s">
        <v>104</v>
      </c>
      <c r="X1205" s="2" t="s">
        <v>100</v>
      </c>
      <c r="Y1205" s="2" t="s">
        <v>4651</v>
      </c>
      <c r="Z1205" s="4">
        <v>290</v>
      </c>
      <c r="AA1205" s="4">
        <f>=ROUNDDOWN(12.6086956521739,0)</f>
      </c>
      <c r="AB1205" s="5">
        <v>23</v>
      </c>
      <c r="AC1205" s="2" t="s">
        <v>107</v>
      </c>
      <c r="AD1205" s="4">
        <v>200</v>
      </c>
      <c r="AE1205" s="4">
        <v>480</v>
      </c>
      <c r="AF1205" s="6">
        <v>64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/>
      <c r="BJ1205" s="4">
        <v>83</v>
      </c>
      <c r="BK1205" s="8">
        <v>2177.96</v>
      </c>
      <c r="BL1205" s="2" t="s">
        <v>4652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171</v>
      </c>
      <c r="BV1205" s="2" t="s">
        <v>97</v>
      </c>
      <c r="BW1205" s="2" t="s">
        <v>100</v>
      </c>
      <c r="BX1205" s="2" t="s">
        <v>100</v>
      </c>
      <c r="BY1205" s="2" t="s">
        <v>112</v>
      </c>
      <c r="BZ1205" s="2" t="s">
        <v>149</v>
      </c>
    </row>
    <row r="1206">
      <c r="A1206" s="2" t="s">
        <v>4653</v>
      </c>
      <c r="B1206" s="2" t="s">
        <v>4552</v>
      </c>
      <c r="C1206" s="2" t="s">
        <v>88</v>
      </c>
      <c r="D1206" s="2" t="s">
        <v>4553</v>
      </c>
      <c r="E1206" s="2" t="s">
        <v>4554</v>
      </c>
      <c r="F1206" s="2" t="s">
        <v>4654</v>
      </c>
      <c r="G1206" s="2" t="s">
        <v>4655</v>
      </c>
      <c r="H1206" s="2" t="s">
        <v>4656</v>
      </c>
      <c r="I1206" s="2" t="s">
        <v>4657</v>
      </c>
      <c r="J1206" s="2" t="s">
        <v>4556</v>
      </c>
      <c r="K1206" s="2" t="s">
        <v>458</v>
      </c>
      <c r="L1206" s="3">
        <v>20.68</v>
      </c>
      <c r="M1206" s="3">
        <v>21.71</v>
      </c>
      <c r="N1206" s="3">
        <v>46.99</v>
      </c>
      <c r="O1206" s="2" t="s">
        <v>97</v>
      </c>
      <c r="P1206" s="2" t="s">
        <v>123</v>
      </c>
      <c r="Q1206" s="2" t="s">
        <v>99</v>
      </c>
      <c r="R1206" s="2" t="s">
        <v>100</v>
      </c>
      <c r="S1206" s="2" t="s">
        <v>4658</v>
      </c>
      <c r="T1206" s="2" t="s">
        <v>190</v>
      </c>
      <c r="U1206" s="2" t="s">
        <v>1776</v>
      </c>
      <c r="V1206" s="2" t="s">
        <v>461</v>
      </c>
      <c r="W1206" s="2" t="s">
        <v>493</v>
      </c>
      <c r="X1206" s="2" t="s">
        <v>609</v>
      </c>
      <c r="Y1206" s="2" t="s">
        <v>2961</v>
      </c>
      <c r="Z1206" s="4">
        <v>498</v>
      </c>
      <c r="AA1206" s="4">
        <f>=ROUNDDOWN(5.53333333333333,0)</f>
      </c>
      <c r="AB1206" s="5">
        <v>90</v>
      </c>
      <c r="AC1206" s="2" t="s">
        <v>206</v>
      </c>
      <c r="AD1206" s="4">
        <v>960</v>
      </c>
      <c r="AE1206" s="4">
        <v>2712</v>
      </c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1</v>
      </c>
      <c r="AQ1206" s="8">
        <v>21</v>
      </c>
      <c r="AR1206" s="4"/>
      <c r="AS1206" s="8"/>
      <c r="AT1206" s="7"/>
      <c r="AU1206" s="7"/>
      <c r="AV1206" s="4">
        <v>1</v>
      </c>
      <c r="AW1206" s="8">
        <v>21</v>
      </c>
      <c r="AX1206" s="4"/>
      <c r="AY1206" s="8"/>
      <c r="AZ1206" s="7"/>
      <c r="BA1206" s="7"/>
      <c r="BB1206" s="7">
        <v>1</v>
      </c>
      <c r="BC1206" s="4">
        <v>1</v>
      </c>
      <c r="BD1206" s="8">
        <v>21</v>
      </c>
      <c r="BE1206" s="4"/>
      <c r="BF1206" s="8"/>
      <c r="BG1206" s="7"/>
      <c r="BH1206" s="7"/>
      <c r="BI1206" s="7">
        <v>1</v>
      </c>
      <c r="BJ1206" s="4">
        <v>378</v>
      </c>
      <c r="BK1206" s="8">
        <v>9048.03</v>
      </c>
      <c r="BL1206" s="2" t="s">
        <v>4659</v>
      </c>
      <c r="BM1206" s="7">
        <v>0.0026</v>
      </c>
      <c r="BN1206" s="7">
        <v>0.0023</v>
      </c>
      <c r="BO1206" s="4">
        <v>1</v>
      </c>
      <c r="BP1206" s="8">
        <v>21</v>
      </c>
      <c r="BQ1206" s="4"/>
      <c r="BR1206" s="8"/>
      <c r="BS1206" s="7"/>
      <c r="BT1206" s="7"/>
      <c r="BU1206" s="2" t="s">
        <v>109</v>
      </c>
      <c r="BV1206" s="2" t="s">
        <v>97</v>
      </c>
      <c r="BW1206" s="2" t="s">
        <v>4607</v>
      </c>
      <c r="BX1206" s="2" t="s">
        <v>4660</v>
      </c>
      <c r="BY1206" s="2" t="s">
        <v>112</v>
      </c>
      <c r="BZ1206" s="2" t="s">
        <v>149</v>
      </c>
    </row>
    <row r="1207">
      <c r="A1207" s="2" t="s">
        <v>4661</v>
      </c>
      <c r="B1207" s="2" t="s">
        <v>4552</v>
      </c>
      <c r="C1207" s="2" t="s">
        <v>88</v>
      </c>
      <c r="D1207" s="2" t="s">
        <v>4553</v>
      </c>
      <c r="E1207" s="2" t="s">
        <v>4554</v>
      </c>
      <c r="F1207" s="2" t="s">
        <v>4662</v>
      </c>
      <c r="G1207" s="2" t="s">
        <v>4663</v>
      </c>
      <c r="H1207" s="2" t="s">
        <v>4664</v>
      </c>
      <c r="I1207" s="2" t="s">
        <v>4665</v>
      </c>
      <c r="J1207" s="2" t="s">
        <v>4556</v>
      </c>
      <c r="K1207" s="2" t="s">
        <v>471</v>
      </c>
      <c r="L1207" s="3">
        <v>20.16</v>
      </c>
      <c r="M1207" s="3">
        <v>21.17</v>
      </c>
      <c r="N1207" s="3">
        <v>47.99</v>
      </c>
      <c r="O1207" s="2" t="s">
        <v>97</v>
      </c>
      <c r="P1207" s="2" t="s">
        <v>98</v>
      </c>
      <c r="Q1207" s="2" t="s">
        <v>99</v>
      </c>
      <c r="R1207" s="2" t="s">
        <v>100</v>
      </c>
      <c r="S1207" s="2" t="s">
        <v>4666</v>
      </c>
      <c r="T1207" s="2" t="s">
        <v>100</v>
      </c>
      <c r="U1207" s="2" t="s">
        <v>1776</v>
      </c>
      <c r="V1207" s="2" t="s">
        <v>192</v>
      </c>
      <c r="W1207" s="2" t="s">
        <v>493</v>
      </c>
      <c r="X1207" s="2" t="s">
        <v>100</v>
      </c>
      <c r="Y1207" s="2" t="s">
        <v>4401</v>
      </c>
      <c r="Z1207" s="4">
        <v>476</v>
      </c>
      <c r="AA1207" s="4">
        <f>=ROUNDDOWN(22.6666666666667,0)</f>
      </c>
      <c r="AB1207" s="5">
        <v>21</v>
      </c>
      <c r="AC1207" s="2" t="s">
        <v>2709</v>
      </c>
      <c r="AD1207" s="4">
        <v>380</v>
      </c>
      <c r="AE1207" s="4">
        <v>380</v>
      </c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1</v>
      </c>
      <c r="AQ1207" s="8">
        <v>20.79</v>
      </c>
      <c r="AR1207" s="4"/>
      <c r="AS1207" s="8"/>
      <c r="AT1207" s="7"/>
      <c r="AU1207" s="7"/>
      <c r="AV1207" s="4">
        <v>1</v>
      </c>
      <c r="AW1207" s="8">
        <v>20.79</v>
      </c>
      <c r="AX1207" s="4"/>
      <c r="AY1207" s="8"/>
      <c r="AZ1207" s="7"/>
      <c r="BA1207" s="7"/>
      <c r="BB1207" s="7">
        <v>1</v>
      </c>
      <c r="BC1207" s="4">
        <v>1</v>
      </c>
      <c r="BD1207" s="8">
        <v>20.79</v>
      </c>
      <c r="BE1207" s="4"/>
      <c r="BF1207" s="8"/>
      <c r="BG1207" s="7"/>
      <c r="BH1207" s="7"/>
      <c r="BI1207" s="7">
        <v>1</v>
      </c>
      <c r="BJ1207" s="4">
        <v>71</v>
      </c>
      <c r="BK1207" s="8">
        <v>1453.05</v>
      </c>
      <c r="BL1207" s="2" t="s">
        <v>4667</v>
      </c>
      <c r="BM1207" s="7">
        <v>0.0141</v>
      </c>
      <c r="BN1207" s="7">
        <v>0.0143</v>
      </c>
      <c r="BO1207" s="4">
        <v>1</v>
      </c>
      <c r="BP1207" s="8">
        <v>20.79</v>
      </c>
      <c r="BQ1207" s="4"/>
      <c r="BR1207" s="8"/>
      <c r="BS1207" s="7"/>
      <c r="BT1207" s="7"/>
      <c r="BU1207" s="2" t="s">
        <v>109</v>
      </c>
      <c r="BV1207" s="2" t="s">
        <v>97</v>
      </c>
      <c r="BW1207" s="2" t="s">
        <v>4668</v>
      </c>
      <c r="BX1207" s="2" t="s">
        <v>4669</v>
      </c>
      <c r="BY1207" s="2" t="s">
        <v>112</v>
      </c>
      <c r="BZ1207" s="2" t="s">
        <v>149</v>
      </c>
    </row>
    <row r="1208">
      <c r="A1208" s="2" t="s">
        <v>4670</v>
      </c>
      <c r="B1208" s="2" t="s">
        <v>4552</v>
      </c>
      <c r="C1208" s="2" t="s">
        <v>88</v>
      </c>
      <c r="D1208" s="2" t="s">
        <v>4553</v>
      </c>
      <c r="E1208" s="2" t="s">
        <v>4554</v>
      </c>
      <c r="F1208" s="2" t="s">
        <v>1233</v>
      </c>
      <c r="G1208" s="2" t="s">
        <v>1234</v>
      </c>
      <c r="H1208" s="2" t="s">
        <v>1235</v>
      </c>
      <c r="I1208" s="2" t="s">
        <v>4554</v>
      </c>
      <c r="J1208" s="2" t="s">
        <v>4556</v>
      </c>
      <c r="K1208" s="2" t="s">
        <v>179</v>
      </c>
      <c r="L1208" s="3">
        <v>17.6</v>
      </c>
      <c r="M1208" s="3">
        <v>18.48</v>
      </c>
      <c r="N1208" s="3">
        <v>39.99</v>
      </c>
      <c r="O1208" s="2" t="s">
        <v>97</v>
      </c>
      <c r="P1208" s="2" t="s">
        <v>98</v>
      </c>
      <c r="Q1208" s="2" t="s">
        <v>99</v>
      </c>
      <c r="R1208" s="2" t="s">
        <v>100</v>
      </c>
      <c r="S1208" s="2" t="s">
        <v>1237</v>
      </c>
      <c r="T1208" s="2" t="s">
        <v>100</v>
      </c>
      <c r="U1208" s="2" t="s">
        <v>100</v>
      </c>
      <c r="V1208" s="2" t="s">
        <v>717</v>
      </c>
      <c r="W1208" s="2" t="s">
        <v>717</v>
      </c>
      <c r="X1208" s="2" t="s">
        <v>100</v>
      </c>
      <c r="Y1208" s="2" t="s">
        <v>144</v>
      </c>
      <c r="Z1208" s="4">
        <v>416</v>
      </c>
      <c r="AA1208" s="4">
        <f>=ROUNDDOWN(25.0602409638554,0)</f>
      </c>
      <c r="AB1208" s="5">
        <v>16.6</v>
      </c>
      <c r="AC1208" s="2" t="s">
        <v>100</v>
      </c>
      <c r="AD1208" s="4"/>
      <c r="AE1208" s="4"/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1</v>
      </c>
      <c r="AQ1208" s="8">
        <v>19.06</v>
      </c>
      <c r="AR1208" s="4"/>
      <c r="AS1208" s="8"/>
      <c r="AT1208" s="7"/>
      <c r="AU1208" s="7"/>
      <c r="AV1208" s="4">
        <v>1</v>
      </c>
      <c r="AW1208" s="8">
        <v>19.06</v>
      </c>
      <c r="AX1208" s="4"/>
      <c r="AY1208" s="8"/>
      <c r="AZ1208" s="7"/>
      <c r="BA1208" s="7"/>
      <c r="BB1208" s="7">
        <v>1</v>
      </c>
      <c r="BC1208" s="4">
        <v>1</v>
      </c>
      <c r="BD1208" s="8">
        <v>19.06</v>
      </c>
      <c r="BE1208" s="4"/>
      <c r="BF1208" s="8"/>
      <c r="BG1208" s="7"/>
      <c r="BH1208" s="7"/>
      <c r="BI1208" s="7">
        <v>1</v>
      </c>
      <c r="BJ1208" s="4">
        <v>82</v>
      </c>
      <c r="BK1208" s="8">
        <v>1523.81</v>
      </c>
      <c r="BL1208" s="2" t="s">
        <v>4671</v>
      </c>
      <c r="BM1208" s="7">
        <v>0.0122</v>
      </c>
      <c r="BN1208" s="7">
        <v>0.0125</v>
      </c>
      <c r="BO1208" s="4">
        <v>1</v>
      </c>
      <c r="BP1208" s="8">
        <v>19.06</v>
      </c>
      <c r="BQ1208" s="4"/>
      <c r="BR1208" s="8"/>
      <c r="BS1208" s="7"/>
      <c r="BT1208" s="7"/>
      <c r="BU1208" s="2" t="s">
        <v>109</v>
      </c>
      <c r="BV1208" s="2" t="s">
        <v>97</v>
      </c>
      <c r="BW1208" s="2" t="s">
        <v>159</v>
      </c>
      <c r="BX1208" s="2" t="s">
        <v>358</v>
      </c>
      <c r="BY1208" s="2" t="s">
        <v>112</v>
      </c>
      <c r="BZ1208" s="2" t="s">
        <v>149</v>
      </c>
    </row>
    <row r="1209">
      <c r="A1209" s="2" t="s">
        <v>4672</v>
      </c>
      <c r="B1209" s="2" t="s">
        <v>4552</v>
      </c>
      <c r="C1209" s="2" t="s">
        <v>88</v>
      </c>
      <c r="D1209" s="2" t="s">
        <v>4553</v>
      </c>
      <c r="E1209" s="2" t="s">
        <v>4554</v>
      </c>
      <c r="F1209" s="2" t="s">
        <v>4673</v>
      </c>
      <c r="G1209" s="2" t="s">
        <v>4674</v>
      </c>
      <c r="H1209" s="2" t="s">
        <v>4675</v>
      </c>
      <c r="I1209" s="2" t="s">
        <v>4554</v>
      </c>
      <c r="J1209" s="2" t="s">
        <v>4556</v>
      </c>
      <c r="K1209" s="2" t="s">
        <v>96</v>
      </c>
      <c r="L1209" s="3">
        <v>16.45</v>
      </c>
      <c r="M1209" s="3">
        <v>17.27</v>
      </c>
      <c r="N1209" s="3">
        <v>34.99</v>
      </c>
      <c r="O1209" s="2" t="s">
        <v>97</v>
      </c>
      <c r="P1209" s="2" t="s">
        <v>98</v>
      </c>
      <c r="Q1209" s="2" t="s">
        <v>99</v>
      </c>
      <c r="R1209" s="2" t="s">
        <v>100</v>
      </c>
      <c r="S1209" s="2" t="s">
        <v>4676</v>
      </c>
      <c r="T1209" s="2" t="s">
        <v>100</v>
      </c>
      <c r="U1209" s="2" t="s">
        <v>1776</v>
      </c>
      <c r="V1209" s="2" t="s">
        <v>4677</v>
      </c>
      <c r="W1209" s="2" t="s">
        <v>609</v>
      </c>
      <c r="X1209" s="2" t="s">
        <v>193</v>
      </c>
      <c r="Y1209" s="2" t="s">
        <v>4678</v>
      </c>
      <c r="Z1209" s="4">
        <v>137</v>
      </c>
      <c r="AA1209" s="4">
        <f>=ROUNDDOWN(6.85,0)</f>
      </c>
      <c r="AB1209" s="5">
        <v>20</v>
      </c>
      <c r="AC1209" s="2" t="s">
        <v>990</v>
      </c>
      <c r="AD1209" s="4">
        <v>200</v>
      </c>
      <c r="AE1209" s="4">
        <v>500</v>
      </c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1</v>
      </c>
      <c r="AQ1209" s="8">
        <v>17.27</v>
      </c>
      <c r="AR1209" s="4"/>
      <c r="AS1209" s="8"/>
      <c r="AT1209" s="7"/>
      <c r="AU1209" s="7"/>
      <c r="AV1209" s="4">
        <v>1</v>
      </c>
      <c r="AW1209" s="8">
        <v>17.27</v>
      </c>
      <c r="AX1209" s="4"/>
      <c r="AY1209" s="8"/>
      <c r="AZ1209" s="7"/>
      <c r="BA1209" s="7"/>
      <c r="BB1209" s="7">
        <v>1</v>
      </c>
      <c r="BC1209" s="4">
        <v>1</v>
      </c>
      <c r="BD1209" s="8">
        <v>17.27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>
        <v>1</v>
      </c>
      <c r="BJ1209" s="4">
        <v>67</v>
      </c>
      <c r="BK1209" s="8">
        <v>1202.75</v>
      </c>
      <c r="BL1209" s="2" t="s">
        <v>4606</v>
      </c>
      <c r="BM1209" s="7">
        <v>0.0149</v>
      </c>
      <c r="BN1209" s="7">
        <v>0.0144</v>
      </c>
      <c r="BO1209" s="4">
        <v>1</v>
      </c>
      <c r="BP1209" s="8">
        <v>17.27</v>
      </c>
      <c r="BQ1209" s="4"/>
      <c r="BR1209" s="8"/>
      <c r="BS1209" s="7"/>
      <c r="BT1209" s="7"/>
      <c r="BU1209" s="2" t="s">
        <v>109</v>
      </c>
      <c r="BV1209" s="2" t="s">
        <v>97</v>
      </c>
      <c r="BW1209" s="2" t="s">
        <v>4607</v>
      </c>
      <c r="BX1209" s="2" t="s">
        <v>4679</v>
      </c>
      <c r="BY1209" s="2" t="s">
        <v>112</v>
      </c>
      <c r="BZ1209" s="2" t="s">
        <v>149</v>
      </c>
    </row>
    <row r="1210">
      <c r="A1210" s="2" t="s">
        <v>4680</v>
      </c>
      <c r="B1210" s="2" t="s">
        <v>4552</v>
      </c>
      <c r="C1210" s="2" t="s">
        <v>88</v>
      </c>
      <c r="D1210" s="2" t="s">
        <v>4553</v>
      </c>
      <c r="E1210" s="2" t="s">
        <v>4554</v>
      </c>
      <c r="F1210" s="2" t="s">
        <v>4673</v>
      </c>
      <c r="G1210" s="2" t="s">
        <v>4674</v>
      </c>
      <c r="H1210" s="2" t="s">
        <v>4675</v>
      </c>
      <c r="I1210" s="2" t="s">
        <v>4554</v>
      </c>
      <c r="J1210" s="2" t="s">
        <v>4556</v>
      </c>
      <c r="K1210" s="2" t="s">
        <v>188</v>
      </c>
      <c r="L1210" s="3">
        <v>16.45</v>
      </c>
      <c r="M1210" s="3">
        <v>17.27</v>
      </c>
      <c r="N1210" s="3">
        <v>34.99</v>
      </c>
      <c r="O1210" s="2" t="s">
        <v>97</v>
      </c>
      <c r="P1210" s="2" t="s">
        <v>98</v>
      </c>
      <c r="Q1210" s="2" t="s">
        <v>99</v>
      </c>
      <c r="R1210" s="2" t="s">
        <v>100</v>
      </c>
      <c r="S1210" s="2" t="s">
        <v>4681</v>
      </c>
      <c r="T1210" s="2" t="s">
        <v>100</v>
      </c>
      <c r="U1210" s="2" t="s">
        <v>1776</v>
      </c>
      <c r="V1210" s="2" t="s">
        <v>4677</v>
      </c>
      <c r="W1210" s="2" t="s">
        <v>609</v>
      </c>
      <c r="X1210" s="2" t="s">
        <v>193</v>
      </c>
      <c r="Y1210" s="2" t="s">
        <v>4682</v>
      </c>
      <c r="Z1210" s="4">
        <v>129</v>
      </c>
      <c r="AA1210" s="4">
        <f>=ROUNDDOWN(6.45,0)</f>
      </c>
      <c r="AB1210" s="5">
        <v>20</v>
      </c>
      <c r="AC1210" s="2" t="s">
        <v>2690</v>
      </c>
      <c r="AD1210" s="4">
        <v>200</v>
      </c>
      <c r="AE1210" s="4">
        <v>500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/>
      <c r="BJ1210" s="4">
        <v>76</v>
      </c>
      <c r="BK1210" s="8">
        <v>1366.96</v>
      </c>
      <c r="BL1210" s="2" t="s">
        <v>4683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171</v>
      </c>
      <c r="BV1210" s="2" t="s">
        <v>97</v>
      </c>
      <c r="BW1210" s="2" t="s">
        <v>100</v>
      </c>
      <c r="BX1210" s="2" t="s">
        <v>100</v>
      </c>
      <c r="BY1210" s="2" t="s">
        <v>112</v>
      </c>
      <c r="BZ1210" s="2" t="s">
        <v>149</v>
      </c>
    </row>
    <row r="1211">
      <c r="A1211" s="2" t="s">
        <v>4684</v>
      </c>
      <c r="B1211" s="2" t="s">
        <v>4552</v>
      </c>
      <c r="C1211" s="2" t="s">
        <v>88</v>
      </c>
      <c r="D1211" s="2" t="s">
        <v>4553</v>
      </c>
      <c r="E1211" s="2" t="s">
        <v>4554</v>
      </c>
      <c r="F1211" s="2" t="s">
        <v>4685</v>
      </c>
      <c r="G1211" s="2" t="s">
        <v>4686</v>
      </c>
      <c r="H1211" s="2" t="s">
        <v>4687</v>
      </c>
      <c r="I1211" s="2" t="s">
        <v>4688</v>
      </c>
      <c r="J1211" s="2" t="s">
        <v>4556</v>
      </c>
      <c r="K1211" s="2" t="s">
        <v>96</v>
      </c>
      <c r="L1211" s="3">
        <v>16.28</v>
      </c>
      <c r="M1211" s="3">
        <v>17.09</v>
      </c>
      <c r="N1211" s="3">
        <v>36.99</v>
      </c>
      <c r="O1211" s="2" t="s">
        <v>97</v>
      </c>
      <c r="P1211" s="2" t="s">
        <v>98</v>
      </c>
      <c r="Q1211" s="2" t="s">
        <v>99</v>
      </c>
      <c r="R1211" s="2" t="s">
        <v>100</v>
      </c>
      <c r="S1211" s="2" t="s">
        <v>4689</v>
      </c>
      <c r="T1211" s="2" t="s">
        <v>100</v>
      </c>
      <c r="U1211" s="2" t="s">
        <v>100</v>
      </c>
      <c r="V1211" s="2" t="s">
        <v>461</v>
      </c>
      <c r="W1211" s="2" t="s">
        <v>609</v>
      </c>
      <c r="X1211" s="2" t="s">
        <v>100</v>
      </c>
      <c r="Y1211" s="2" t="s">
        <v>144</v>
      </c>
      <c r="Z1211" s="4">
        <v>781</v>
      </c>
      <c r="AA1211" s="4">
        <f>=ROUNDDOWN(26.9310344827586,0)</f>
      </c>
      <c r="AB1211" s="5">
        <v>29</v>
      </c>
      <c r="AC1211" s="2" t="s">
        <v>3033</v>
      </c>
      <c r="AD1211" s="4">
        <v>600</v>
      </c>
      <c r="AE1211" s="4">
        <v>600</v>
      </c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1</v>
      </c>
      <c r="AQ1211" s="8">
        <v>16.63</v>
      </c>
      <c r="AR1211" s="4"/>
      <c r="AS1211" s="8"/>
      <c r="AT1211" s="7"/>
      <c r="AU1211" s="7"/>
      <c r="AV1211" s="4">
        <v>1</v>
      </c>
      <c r="AW1211" s="8">
        <v>16.63</v>
      </c>
      <c r="AX1211" s="4"/>
      <c r="AY1211" s="8"/>
      <c r="AZ1211" s="7"/>
      <c r="BA1211" s="7"/>
      <c r="BB1211" s="7">
        <v>1</v>
      </c>
      <c r="BC1211" s="4">
        <v>1</v>
      </c>
      <c r="BD1211" s="8">
        <v>16.63</v>
      </c>
      <c r="BE1211" s="4"/>
      <c r="BF1211" s="8"/>
      <c r="BG1211" s="7"/>
      <c r="BH1211" s="7"/>
      <c r="BI1211" s="7">
        <v>1</v>
      </c>
      <c r="BJ1211" s="4">
        <v>66</v>
      </c>
      <c r="BK1211" s="8">
        <v>1127.76</v>
      </c>
      <c r="BL1211" s="2" t="s">
        <v>1525</v>
      </c>
      <c r="BM1211" s="7">
        <v>0.0152</v>
      </c>
      <c r="BN1211" s="7">
        <v>0.0147</v>
      </c>
      <c r="BO1211" s="4">
        <v>1</v>
      </c>
      <c r="BP1211" s="8">
        <v>16.63</v>
      </c>
      <c r="BQ1211" s="4"/>
      <c r="BR1211" s="8"/>
      <c r="BS1211" s="7"/>
      <c r="BT1211" s="7"/>
      <c r="BU1211" s="2" t="s">
        <v>109</v>
      </c>
      <c r="BV1211" s="2" t="s">
        <v>97</v>
      </c>
      <c r="BW1211" s="2" t="s">
        <v>4568</v>
      </c>
      <c r="BX1211" s="2" t="s">
        <v>416</v>
      </c>
      <c r="BY1211" s="2" t="s">
        <v>112</v>
      </c>
      <c r="BZ1211" s="2" t="s">
        <v>149</v>
      </c>
    </row>
    <row r="1212">
      <c r="A1212" s="2" t="s">
        <v>4690</v>
      </c>
      <c r="B1212" s="2" t="s">
        <v>4552</v>
      </c>
      <c r="C1212" s="2" t="s">
        <v>88</v>
      </c>
      <c r="D1212" s="2" t="s">
        <v>4553</v>
      </c>
      <c r="E1212" s="2" t="s">
        <v>4554</v>
      </c>
      <c r="F1212" s="2" t="s">
        <v>4691</v>
      </c>
      <c r="G1212" s="2" t="s">
        <v>4692</v>
      </c>
      <c r="H1212" s="2" t="s">
        <v>4693</v>
      </c>
      <c r="I1212" s="2" t="s">
        <v>4694</v>
      </c>
      <c r="J1212" s="2" t="s">
        <v>4556</v>
      </c>
      <c r="K1212" s="2" t="s">
        <v>96</v>
      </c>
      <c r="L1212" s="3">
        <v>13.07</v>
      </c>
      <c r="M1212" s="3">
        <v>13.72</v>
      </c>
      <c r="N1212" s="3">
        <v>27.99</v>
      </c>
      <c r="O1212" s="2" t="s">
        <v>97</v>
      </c>
      <c r="P1212" s="2" t="s">
        <v>98</v>
      </c>
      <c r="Q1212" s="2" t="s">
        <v>99</v>
      </c>
      <c r="R1212" s="2" t="s">
        <v>100</v>
      </c>
      <c r="S1212" s="2" t="s">
        <v>4695</v>
      </c>
      <c r="T1212" s="2" t="s">
        <v>100</v>
      </c>
      <c r="U1212" s="2" t="s">
        <v>1776</v>
      </c>
      <c r="V1212" s="2" t="s">
        <v>4696</v>
      </c>
      <c r="W1212" s="2" t="s">
        <v>493</v>
      </c>
      <c r="X1212" s="2" t="s">
        <v>609</v>
      </c>
      <c r="Y1212" s="2" t="s">
        <v>4697</v>
      </c>
      <c r="Z1212" s="4">
        <v>603</v>
      </c>
      <c r="AA1212" s="4">
        <f>=ROUNDDOWN(16.2972972972973,0)</f>
      </c>
      <c r="AB1212" s="5">
        <v>37</v>
      </c>
      <c r="AC1212" s="2" t="s">
        <v>990</v>
      </c>
      <c r="AD1212" s="4">
        <v>300</v>
      </c>
      <c r="AE1212" s="4">
        <v>600</v>
      </c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/>
      <c r="BJ1212" s="4">
        <v>144</v>
      </c>
      <c r="BK1212" s="8">
        <v>2096.81</v>
      </c>
      <c r="BL1212" s="2" t="s">
        <v>4698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109</v>
      </c>
      <c r="BV1212" s="2" t="s">
        <v>97</v>
      </c>
      <c r="BW1212" s="2" t="s">
        <v>4668</v>
      </c>
      <c r="BX1212" s="2" t="s">
        <v>4699</v>
      </c>
      <c r="BY1212" s="2" t="s">
        <v>112</v>
      </c>
      <c r="BZ1212" s="2" t="s">
        <v>149</v>
      </c>
    </row>
    <row r="1213">
      <c r="A1213" s="2" t="s">
        <v>4700</v>
      </c>
      <c r="B1213" s="2" t="s">
        <v>4552</v>
      </c>
      <c r="C1213" s="2" t="s">
        <v>88</v>
      </c>
      <c r="D1213" s="2" t="s">
        <v>4553</v>
      </c>
      <c r="E1213" s="2" t="s">
        <v>4554</v>
      </c>
      <c r="F1213" s="2" t="s">
        <v>4691</v>
      </c>
      <c r="G1213" s="2" t="s">
        <v>4692</v>
      </c>
      <c r="H1213" s="2" t="s">
        <v>4693</v>
      </c>
      <c r="I1213" s="2" t="s">
        <v>4694</v>
      </c>
      <c r="J1213" s="2" t="s">
        <v>4556</v>
      </c>
      <c r="K1213" s="2" t="s">
        <v>673</v>
      </c>
      <c r="L1213" s="3">
        <v>13.07</v>
      </c>
      <c r="M1213" s="3">
        <v>13.72</v>
      </c>
      <c r="N1213" s="3">
        <v>27.99</v>
      </c>
      <c r="O1213" s="2" t="s">
        <v>97</v>
      </c>
      <c r="P1213" s="2" t="s">
        <v>123</v>
      </c>
      <c r="Q1213" s="2" t="s">
        <v>99</v>
      </c>
      <c r="R1213" s="2" t="s">
        <v>100</v>
      </c>
      <c r="S1213" s="2" t="s">
        <v>4701</v>
      </c>
      <c r="T1213" s="2" t="s">
        <v>100</v>
      </c>
      <c r="U1213" s="2" t="s">
        <v>1776</v>
      </c>
      <c r="V1213" s="2" t="s">
        <v>4696</v>
      </c>
      <c r="W1213" s="2" t="s">
        <v>493</v>
      </c>
      <c r="X1213" s="2" t="s">
        <v>609</v>
      </c>
      <c r="Y1213" s="2" t="s">
        <v>4702</v>
      </c>
      <c r="Z1213" s="4">
        <v>602</v>
      </c>
      <c r="AA1213" s="4">
        <f>=ROUNDDOWN(9.40625,0)</f>
      </c>
      <c r="AB1213" s="5">
        <v>64</v>
      </c>
      <c r="AC1213" s="2" t="s">
        <v>2709</v>
      </c>
      <c r="AD1213" s="4">
        <v>300</v>
      </c>
      <c r="AE1213" s="4">
        <v>1500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/>
      <c r="BJ1213" s="4">
        <v>271</v>
      </c>
      <c r="BK1213" s="8">
        <v>4302.86</v>
      </c>
      <c r="BL1213" s="2" t="s">
        <v>4703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171</v>
      </c>
      <c r="BV1213" s="2" t="s">
        <v>97</v>
      </c>
      <c r="BW1213" s="2" t="s">
        <v>100</v>
      </c>
      <c r="BX1213" s="2" t="s">
        <v>100</v>
      </c>
      <c r="BY1213" s="2" t="s">
        <v>112</v>
      </c>
      <c r="BZ1213" s="2" t="s">
        <v>149</v>
      </c>
    </row>
    <row r="1214">
      <c r="A1214" s="2" t="s">
        <v>4704</v>
      </c>
      <c r="B1214" s="2" t="s">
        <v>4552</v>
      </c>
      <c r="C1214" s="2" t="s">
        <v>88</v>
      </c>
      <c r="D1214" s="2" t="s">
        <v>4553</v>
      </c>
      <c r="E1214" s="2" t="s">
        <v>4554</v>
      </c>
      <c r="F1214" s="2" t="s">
        <v>184</v>
      </c>
      <c r="G1214" s="2" t="s">
        <v>185</v>
      </c>
      <c r="H1214" s="2" t="s">
        <v>186</v>
      </c>
      <c r="I1214" s="2" t="s">
        <v>4634</v>
      </c>
      <c r="J1214" s="2" t="s">
        <v>4556</v>
      </c>
      <c r="K1214" s="2" t="s">
        <v>179</v>
      </c>
      <c r="L1214" s="3">
        <v>18.92</v>
      </c>
      <c r="M1214" s="3">
        <v>19.87</v>
      </c>
      <c r="N1214" s="3">
        <v>42.99</v>
      </c>
      <c r="O1214" s="2" t="s">
        <v>97</v>
      </c>
      <c r="P1214" s="2" t="s">
        <v>98</v>
      </c>
      <c r="Q1214" s="2" t="s">
        <v>99</v>
      </c>
      <c r="R1214" s="2" t="s">
        <v>100</v>
      </c>
      <c r="S1214" s="2" t="s">
        <v>210</v>
      </c>
      <c r="T1214" s="2" t="s">
        <v>190</v>
      </c>
      <c r="U1214" s="2" t="s">
        <v>1776</v>
      </c>
      <c r="V1214" s="2" t="s">
        <v>192</v>
      </c>
      <c r="W1214" s="2" t="s">
        <v>609</v>
      </c>
      <c r="X1214" s="2" t="s">
        <v>493</v>
      </c>
      <c r="Y1214" s="2" t="s">
        <v>1548</v>
      </c>
      <c r="Z1214" s="4">
        <v>3</v>
      </c>
      <c r="AA1214" s="4">
        <f>=ROUNDDOWN(0.176470588235294,0)</f>
      </c>
      <c r="AB1214" s="5">
        <v>17</v>
      </c>
      <c r="AC1214" s="2" t="s">
        <v>550</v>
      </c>
      <c r="AD1214" s="4">
        <v>280</v>
      </c>
      <c r="AE1214" s="4">
        <v>480</v>
      </c>
      <c r="AF1214" s="6">
        <v>65</v>
      </c>
      <c r="AG1214" s="6"/>
      <c r="AH1214" s="7">
        <v>0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/>
      <c r="BD1214" s="8"/>
      <c r="BE1214" s="4"/>
      <c r="BF1214" s="8"/>
      <c r="BG1214" s="7"/>
      <c r="BH1214" s="7"/>
      <c r="BI1214" s="7"/>
      <c r="BJ1214" s="4"/>
      <c r="BK1214" s="8"/>
      <c r="BL1214" s="2" t="s">
        <v>100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171</v>
      </c>
      <c r="BV1214" s="2" t="s">
        <v>97</v>
      </c>
      <c r="BW1214" s="2" t="s">
        <v>100</v>
      </c>
      <c r="BX1214" s="2" t="s">
        <v>100</v>
      </c>
      <c r="BY1214" s="2" t="s">
        <v>112</v>
      </c>
      <c r="BZ1214" s="2" t="s">
        <v>149</v>
      </c>
    </row>
    <row r="1215">
      <c r="A1215" s="2" t="s">
        <v>4705</v>
      </c>
      <c r="B1215" s="2" t="s">
        <v>4552</v>
      </c>
      <c r="C1215" s="2" t="s">
        <v>88</v>
      </c>
      <c r="D1215" s="2" t="s">
        <v>4553</v>
      </c>
      <c r="E1215" s="2" t="s">
        <v>4554</v>
      </c>
      <c r="F1215" s="2" t="s">
        <v>613</v>
      </c>
      <c r="G1215" s="2" t="s">
        <v>614</v>
      </c>
      <c r="H1215" s="2" t="s">
        <v>615</v>
      </c>
      <c r="I1215" s="2" t="s">
        <v>4555</v>
      </c>
      <c r="J1215" s="2" t="s">
        <v>4556</v>
      </c>
      <c r="K1215" s="2" t="s">
        <v>471</v>
      </c>
      <c r="L1215" s="3">
        <v>17.6</v>
      </c>
      <c r="M1215" s="3">
        <v>18.48</v>
      </c>
      <c r="N1215" s="3">
        <v>39.99</v>
      </c>
      <c r="O1215" s="2" t="s">
        <v>97</v>
      </c>
      <c r="P1215" s="2" t="s">
        <v>98</v>
      </c>
      <c r="Q1215" s="2" t="s">
        <v>99</v>
      </c>
      <c r="R1215" s="2" t="s">
        <v>100</v>
      </c>
      <c r="S1215" s="2" t="s">
        <v>4706</v>
      </c>
      <c r="T1215" s="2" t="s">
        <v>100</v>
      </c>
      <c r="U1215" s="2" t="s">
        <v>100</v>
      </c>
      <c r="V1215" s="2" t="s">
        <v>141</v>
      </c>
      <c r="W1215" s="2" t="s">
        <v>525</v>
      </c>
      <c r="X1215" s="2" t="s">
        <v>100</v>
      </c>
      <c r="Y1215" s="2" t="s">
        <v>144</v>
      </c>
      <c r="Z1215" s="4">
        <v>171</v>
      </c>
      <c r="AA1215" s="4">
        <f>=ROUNDDOWN(8.55,0)</f>
      </c>
      <c r="AB1215" s="5">
        <v>20</v>
      </c>
      <c r="AC1215" s="2" t="s">
        <v>307</v>
      </c>
      <c r="AD1215" s="4">
        <v>52</v>
      </c>
      <c r="AE1215" s="4">
        <v>452</v>
      </c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/>
      <c r="BJ1215" s="4">
        <v>80</v>
      </c>
      <c r="BK1215" s="8">
        <v>1576.53</v>
      </c>
      <c r="BL1215" s="2" t="s">
        <v>2404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4568</v>
      </c>
      <c r="BX1215" s="2" t="s">
        <v>4707</v>
      </c>
      <c r="BY1215" s="2" t="s">
        <v>112</v>
      </c>
      <c r="BZ1215" s="2" t="s">
        <v>149</v>
      </c>
    </row>
    <row r="1216">
      <c r="A1216" s="2" t="s">
        <v>4708</v>
      </c>
      <c r="B1216" s="2" t="s">
        <v>4552</v>
      </c>
      <c r="C1216" s="2" t="s">
        <v>88</v>
      </c>
      <c r="D1216" s="2" t="s">
        <v>4553</v>
      </c>
      <c r="E1216" s="2" t="s">
        <v>4554</v>
      </c>
      <c r="F1216" s="2" t="s">
        <v>613</v>
      </c>
      <c r="G1216" s="2" t="s">
        <v>614</v>
      </c>
      <c r="H1216" s="2" t="s">
        <v>615</v>
      </c>
      <c r="I1216" s="2" t="s">
        <v>4555</v>
      </c>
      <c r="J1216" s="2" t="s">
        <v>4556</v>
      </c>
      <c r="K1216" s="2" t="s">
        <v>155</v>
      </c>
      <c r="L1216" s="3">
        <v>17.6</v>
      </c>
      <c r="M1216" s="3">
        <v>18.48</v>
      </c>
      <c r="N1216" s="3">
        <v>39.99</v>
      </c>
      <c r="O1216" s="2" t="s">
        <v>97</v>
      </c>
      <c r="P1216" s="2" t="s">
        <v>98</v>
      </c>
      <c r="Q1216" s="2" t="s">
        <v>99</v>
      </c>
      <c r="R1216" s="2" t="s">
        <v>100</v>
      </c>
      <c r="S1216" s="2" t="s">
        <v>4709</v>
      </c>
      <c r="T1216" s="2" t="s">
        <v>100</v>
      </c>
      <c r="U1216" s="2" t="s">
        <v>100</v>
      </c>
      <c r="V1216" s="2" t="s">
        <v>141</v>
      </c>
      <c r="W1216" s="2" t="s">
        <v>525</v>
      </c>
      <c r="X1216" s="2" t="s">
        <v>100</v>
      </c>
      <c r="Y1216" s="2" t="s">
        <v>1720</v>
      </c>
      <c r="Z1216" s="4">
        <v>364</v>
      </c>
      <c r="AA1216" s="4">
        <f>=ROUNDDOWN(15.1666666666667,0)</f>
      </c>
      <c r="AB1216" s="5">
        <v>24</v>
      </c>
      <c r="AC1216" s="2" t="s">
        <v>4710</v>
      </c>
      <c r="AD1216" s="4">
        <v>120</v>
      </c>
      <c r="AE1216" s="4">
        <v>120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/>
      <c r="BJ1216" s="4">
        <v>96</v>
      </c>
      <c r="BK1216" s="8">
        <v>1871.29</v>
      </c>
      <c r="BL1216" s="2" t="s">
        <v>4711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4568</v>
      </c>
      <c r="BX1216" s="2" t="s">
        <v>370</v>
      </c>
      <c r="BY1216" s="2" t="s">
        <v>112</v>
      </c>
      <c r="BZ1216" s="2" t="s">
        <v>149</v>
      </c>
    </row>
    <row r="1217">
      <c r="A1217" s="2" t="s">
        <v>4712</v>
      </c>
      <c r="B1217" s="2" t="s">
        <v>4552</v>
      </c>
      <c r="C1217" s="2" t="s">
        <v>88</v>
      </c>
      <c r="D1217" s="2" t="s">
        <v>4553</v>
      </c>
      <c r="E1217" s="2" t="s">
        <v>4554</v>
      </c>
      <c r="F1217" s="2" t="s">
        <v>219</v>
      </c>
      <c r="G1217" s="2" t="s">
        <v>220</v>
      </c>
      <c r="H1217" s="2" t="s">
        <v>221</v>
      </c>
      <c r="I1217" s="2" t="s">
        <v>4713</v>
      </c>
      <c r="J1217" s="2" t="s">
        <v>4556</v>
      </c>
      <c r="K1217" s="2" t="s">
        <v>165</v>
      </c>
      <c r="L1217" s="3">
        <v>18.92</v>
      </c>
      <c r="M1217" s="3">
        <v>19.87</v>
      </c>
      <c r="N1217" s="3">
        <v>42.99</v>
      </c>
      <c r="O1217" s="2" t="s">
        <v>97</v>
      </c>
      <c r="P1217" s="2" t="s">
        <v>98</v>
      </c>
      <c r="Q1217" s="2" t="s">
        <v>99</v>
      </c>
      <c r="R1217" s="2" t="s">
        <v>100</v>
      </c>
      <c r="S1217" s="2" t="s">
        <v>244</v>
      </c>
      <c r="T1217" s="2" t="s">
        <v>100</v>
      </c>
      <c r="U1217" s="2" t="s">
        <v>1776</v>
      </c>
      <c r="V1217" s="2" t="s">
        <v>103</v>
      </c>
      <c r="W1217" s="2" t="s">
        <v>104</v>
      </c>
      <c r="X1217" s="2" t="s">
        <v>100</v>
      </c>
      <c r="Y1217" s="2" t="s">
        <v>245</v>
      </c>
      <c r="Z1217" s="4">
        <v>771</v>
      </c>
      <c r="AA1217" s="4">
        <f>=ROUNDDOWN(96.375,0)</f>
      </c>
      <c r="AB1217" s="5">
        <v>8</v>
      </c>
      <c r="AC1217" s="2" t="s">
        <v>100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/>
      <c r="BJ1217" s="4">
        <v>19</v>
      </c>
      <c r="BK1217" s="8">
        <v>393.22</v>
      </c>
      <c r="BL1217" s="2" t="s">
        <v>4714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171</v>
      </c>
      <c r="BV1217" s="2" t="s">
        <v>97</v>
      </c>
      <c r="BW1217" s="2" t="s">
        <v>100</v>
      </c>
      <c r="BX1217" s="2" t="s">
        <v>100</v>
      </c>
      <c r="BY1217" s="2" t="s">
        <v>112</v>
      </c>
      <c r="BZ1217" s="2" t="s">
        <v>149</v>
      </c>
    </row>
    <row r="1218">
      <c r="A1218" s="2" t="s">
        <v>4715</v>
      </c>
      <c r="B1218" s="2" t="s">
        <v>4552</v>
      </c>
      <c r="C1218" s="2" t="s">
        <v>88</v>
      </c>
      <c r="D1218" s="2" t="s">
        <v>4553</v>
      </c>
      <c r="E1218" s="2" t="s">
        <v>4554</v>
      </c>
      <c r="F1218" s="2" t="s">
        <v>219</v>
      </c>
      <c r="G1218" s="2" t="s">
        <v>220</v>
      </c>
      <c r="H1218" s="2" t="s">
        <v>221</v>
      </c>
      <c r="I1218" s="2" t="s">
        <v>4713</v>
      </c>
      <c r="J1218" s="2" t="s">
        <v>4556</v>
      </c>
      <c r="K1218" s="2" t="s">
        <v>223</v>
      </c>
      <c r="L1218" s="3">
        <v>18.92</v>
      </c>
      <c r="M1218" s="3">
        <v>19.87</v>
      </c>
      <c r="N1218" s="3">
        <v>42.99</v>
      </c>
      <c r="O1218" s="2" t="s">
        <v>97</v>
      </c>
      <c r="P1218" s="2" t="s">
        <v>98</v>
      </c>
      <c r="Q1218" s="2" t="s">
        <v>99</v>
      </c>
      <c r="R1218" s="2" t="s">
        <v>100</v>
      </c>
      <c r="S1218" s="2" t="s">
        <v>4716</v>
      </c>
      <c r="T1218" s="2" t="s">
        <v>100</v>
      </c>
      <c r="U1218" s="2" t="s">
        <v>1776</v>
      </c>
      <c r="V1218" s="2" t="s">
        <v>103</v>
      </c>
      <c r="W1218" s="2" t="s">
        <v>104</v>
      </c>
      <c r="X1218" s="2" t="s">
        <v>100</v>
      </c>
      <c r="Y1218" s="2" t="s">
        <v>4341</v>
      </c>
      <c r="Z1218" s="4">
        <v>320</v>
      </c>
      <c r="AA1218" s="4">
        <f>=ROUNDDOWN(24.6153846153846,0)</f>
      </c>
      <c r="AB1218" s="5">
        <v>13</v>
      </c>
      <c r="AC1218" s="2" t="s">
        <v>100</v>
      </c>
      <c r="AD1218" s="4"/>
      <c r="AE1218" s="4"/>
      <c r="AF1218" s="6">
        <v>64</v>
      </c>
      <c r="AG1218" s="6"/>
      <c r="AH1218" s="7">
        <v>0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/>
      <c r="BJ1218" s="4"/>
      <c r="BK1218" s="8"/>
      <c r="BL1218" s="2" t="s">
        <v>100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171</v>
      </c>
      <c r="BV1218" s="2" t="s">
        <v>97</v>
      </c>
      <c r="BW1218" s="2" t="s">
        <v>100</v>
      </c>
      <c r="BX1218" s="2" t="s">
        <v>100</v>
      </c>
      <c r="BY1218" s="2" t="s">
        <v>112</v>
      </c>
      <c r="BZ1218" s="2" t="s">
        <v>149</v>
      </c>
    </row>
    <row r="1219">
      <c r="A1219" s="2" t="s">
        <v>4717</v>
      </c>
      <c r="B1219" s="2" t="s">
        <v>4552</v>
      </c>
      <c r="C1219" s="2" t="s">
        <v>88</v>
      </c>
      <c r="D1219" s="2" t="s">
        <v>4553</v>
      </c>
      <c r="E1219" s="2" t="s">
        <v>4554</v>
      </c>
      <c r="F1219" s="2" t="s">
        <v>1569</v>
      </c>
      <c r="G1219" s="2" t="s">
        <v>1570</v>
      </c>
      <c r="H1219" s="2" t="s">
        <v>1571</v>
      </c>
      <c r="I1219" s="2" t="s">
        <v>4718</v>
      </c>
      <c r="J1219" s="2" t="s">
        <v>4556</v>
      </c>
      <c r="K1219" s="2" t="s">
        <v>458</v>
      </c>
      <c r="L1219" s="3">
        <v>18.92</v>
      </c>
      <c r="M1219" s="3">
        <v>19.87</v>
      </c>
      <c r="N1219" s="3">
        <v>42.99</v>
      </c>
      <c r="O1219" s="2" t="s">
        <v>97</v>
      </c>
      <c r="P1219" s="2" t="s">
        <v>98</v>
      </c>
      <c r="Q1219" s="2" t="s">
        <v>99</v>
      </c>
      <c r="R1219" s="2" t="s">
        <v>100</v>
      </c>
      <c r="S1219" s="2" t="s">
        <v>1573</v>
      </c>
      <c r="T1219" s="2" t="s">
        <v>100</v>
      </c>
      <c r="U1219" s="2" t="s">
        <v>1776</v>
      </c>
      <c r="V1219" s="2" t="s">
        <v>461</v>
      </c>
      <c r="W1219" s="2" t="s">
        <v>609</v>
      </c>
      <c r="X1219" s="2" t="s">
        <v>100</v>
      </c>
      <c r="Y1219" s="2" t="s">
        <v>1575</v>
      </c>
      <c r="Z1219" s="4">
        <v>488</v>
      </c>
      <c r="AA1219" s="4">
        <f>=ROUNDDOWN(40.6666666666667,0)</f>
      </c>
      <c r="AB1219" s="5">
        <v>12</v>
      </c>
      <c r="AC1219" s="2" t="s">
        <v>1142</v>
      </c>
      <c r="AD1219" s="4">
        <v>240</v>
      </c>
      <c r="AE1219" s="4">
        <v>240</v>
      </c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>
        <v>38</v>
      </c>
      <c r="BK1219" s="8">
        <v>784.21</v>
      </c>
      <c r="BL1219" s="2" t="s">
        <v>4719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109</v>
      </c>
      <c r="BV1219" s="2" t="s">
        <v>97</v>
      </c>
      <c r="BW1219" s="2" t="s">
        <v>2276</v>
      </c>
      <c r="BX1219" s="2" t="s">
        <v>4720</v>
      </c>
      <c r="BY1219" s="2" t="s">
        <v>112</v>
      </c>
      <c r="BZ1219" s="2" t="s">
        <v>149</v>
      </c>
    </row>
    <row r="1220">
      <c r="A1220" s="2" t="s">
        <v>4721</v>
      </c>
      <c r="B1220" s="2" t="s">
        <v>4552</v>
      </c>
      <c r="C1220" s="2" t="s">
        <v>88</v>
      </c>
      <c r="D1220" s="2" t="s">
        <v>4553</v>
      </c>
      <c r="E1220" s="2" t="s">
        <v>4554</v>
      </c>
      <c r="F1220" s="2" t="s">
        <v>681</v>
      </c>
      <c r="G1220" s="2" t="s">
        <v>682</v>
      </c>
      <c r="H1220" s="2" t="s">
        <v>683</v>
      </c>
      <c r="I1220" s="2" t="s">
        <v>4634</v>
      </c>
      <c r="J1220" s="2" t="s">
        <v>4556</v>
      </c>
      <c r="K1220" s="2" t="s">
        <v>179</v>
      </c>
      <c r="L1220" s="3">
        <v>15.47</v>
      </c>
      <c r="M1220" s="3">
        <v>16.24</v>
      </c>
      <c r="N1220" s="3">
        <v>33.99</v>
      </c>
      <c r="O1220" s="2" t="s">
        <v>97</v>
      </c>
      <c r="P1220" s="2" t="s">
        <v>123</v>
      </c>
      <c r="Q1220" s="2" t="s">
        <v>99</v>
      </c>
      <c r="R1220" s="2" t="s">
        <v>100</v>
      </c>
      <c r="S1220" s="2" t="s">
        <v>4722</v>
      </c>
      <c r="T1220" s="2" t="s">
        <v>100</v>
      </c>
      <c r="U1220" s="2" t="s">
        <v>1776</v>
      </c>
      <c r="V1220" s="2" t="s">
        <v>192</v>
      </c>
      <c r="W1220" s="2" t="s">
        <v>4723</v>
      </c>
      <c r="X1220" s="2" t="s">
        <v>193</v>
      </c>
      <c r="Y1220" s="2" t="s">
        <v>4724</v>
      </c>
      <c r="Z1220" s="4">
        <v>606</v>
      </c>
      <c r="AA1220" s="4">
        <f>=ROUNDDOWN(8.65714285714286,0)</f>
      </c>
      <c r="AB1220" s="5">
        <v>70</v>
      </c>
      <c r="AC1220" s="2" t="s">
        <v>550</v>
      </c>
      <c r="AD1220" s="4">
        <v>400</v>
      </c>
      <c r="AE1220" s="4">
        <v>1800</v>
      </c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/>
      <c r="BJ1220" s="4">
        <v>237</v>
      </c>
      <c r="BK1220" s="8">
        <v>4388.72</v>
      </c>
      <c r="BL1220" s="2" t="s">
        <v>2486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109</v>
      </c>
      <c r="BV1220" s="2" t="s">
        <v>97</v>
      </c>
      <c r="BW1220" s="2" t="s">
        <v>1673</v>
      </c>
      <c r="BX1220" s="2" t="s">
        <v>4725</v>
      </c>
      <c r="BY1220" s="2" t="s">
        <v>112</v>
      </c>
      <c r="BZ1220" s="2" t="s">
        <v>149</v>
      </c>
    </row>
    <row r="1221">
      <c r="A1221" s="2" t="s">
        <v>4726</v>
      </c>
      <c r="B1221" s="2" t="s">
        <v>4552</v>
      </c>
      <c r="C1221" s="2" t="s">
        <v>88</v>
      </c>
      <c r="D1221" s="2" t="s">
        <v>4553</v>
      </c>
      <c r="E1221" s="2" t="s">
        <v>4554</v>
      </c>
      <c r="F1221" s="2" t="s">
        <v>681</v>
      </c>
      <c r="G1221" s="2" t="s">
        <v>682</v>
      </c>
      <c r="H1221" s="2" t="s">
        <v>683</v>
      </c>
      <c r="I1221" s="2" t="s">
        <v>4634</v>
      </c>
      <c r="J1221" s="2" t="s">
        <v>4556</v>
      </c>
      <c r="K1221" s="2" t="s">
        <v>626</v>
      </c>
      <c r="L1221" s="3">
        <v>15.47</v>
      </c>
      <c r="M1221" s="3">
        <v>16.24</v>
      </c>
      <c r="N1221" s="3">
        <v>33.99</v>
      </c>
      <c r="O1221" s="2" t="s">
        <v>97</v>
      </c>
      <c r="P1221" s="2" t="s">
        <v>98</v>
      </c>
      <c r="Q1221" s="2" t="s">
        <v>99</v>
      </c>
      <c r="R1221" s="2" t="s">
        <v>100</v>
      </c>
      <c r="S1221" s="2" t="s">
        <v>685</v>
      </c>
      <c r="T1221" s="2" t="s">
        <v>190</v>
      </c>
      <c r="U1221" s="2" t="s">
        <v>1776</v>
      </c>
      <c r="V1221" s="2" t="s">
        <v>192</v>
      </c>
      <c r="W1221" s="2" t="s">
        <v>2999</v>
      </c>
      <c r="X1221" s="2" t="s">
        <v>193</v>
      </c>
      <c r="Y1221" s="2" t="s">
        <v>687</v>
      </c>
      <c r="Z1221" s="4">
        <v>464</v>
      </c>
      <c r="AA1221" s="4">
        <f>=ROUNDDOWN(30.9333333333333,0)</f>
      </c>
      <c r="AB1221" s="5">
        <v>15</v>
      </c>
      <c r="AC1221" s="2" t="s">
        <v>100</v>
      </c>
      <c r="AD1221" s="4"/>
      <c r="AE1221" s="4"/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/>
      <c r="BJ1221" s="4">
        <v>64</v>
      </c>
      <c r="BK1221" s="8">
        <v>1198.41</v>
      </c>
      <c r="BL1221" s="2" t="s">
        <v>4727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171</v>
      </c>
      <c r="BV1221" s="2" t="s">
        <v>97</v>
      </c>
      <c r="BW1221" s="2" t="s">
        <v>100</v>
      </c>
      <c r="BX1221" s="2" t="s">
        <v>100</v>
      </c>
      <c r="BY1221" s="2" t="s">
        <v>112</v>
      </c>
      <c r="BZ1221" s="2" t="s">
        <v>149</v>
      </c>
    </row>
    <row r="1222">
      <c r="A1222" s="2" t="s">
        <v>4728</v>
      </c>
      <c r="B1222" s="2" t="s">
        <v>4552</v>
      </c>
      <c r="C1222" s="2" t="s">
        <v>88</v>
      </c>
      <c r="D1222" s="2" t="s">
        <v>4553</v>
      </c>
      <c r="E1222" s="2" t="s">
        <v>4554</v>
      </c>
      <c r="F1222" s="2" t="s">
        <v>486</v>
      </c>
      <c r="G1222" s="2" t="s">
        <v>487</v>
      </c>
      <c r="H1222" s="2" t="s">
        <v>488</v>
      </c>
      <c r="I1222" s="2" t="s">
        <v>4729</v>
      </c>
      <c r="J1222" s="2" t="s">
        <v>4556</v>
      </c>
      <c r="K1222" s="2" t="s">
        <v>1373</v>
      </c>
      <c r="L1222" s="3">
        <v>13.11</v>
      </c>
      <c r="M1222" s="3">
        <v>13.77</v>
      </c>
      <c r="N1222" s="3">
        <v>26.99</v>
      </c>
      <c r="O1222" s="2" t="s">
        <v>97</v>
      </c>
      <c r="P1222" s="2" t="s">
        <v>98</v>
      </c>
      <c r="Q1222" s="2" t="s">
        <v>99</v>
      </c>
      <c r="R1222" s="2" t="s">
        <v>100</v>
      </c>
      <c r="S1222" s="2" t="s">
        <v>4730</v>
      </c>
      <c r="T1222" s="2" t="s">
        <v>100</v>
      </c>
      <c r="U1222" s="2" t="s">
        <v>100</v>
      </c>
      <c r="V1222" s="2" t="s">
        <v>141</v>
      </c>
      <c r="W1222" s="2" t="s">
        <v>142</v>
      </c>
      <c r="X1222" s="2" t="s">
        <v>100</v>
      </c>
      <c r="Y1222" s="2" t="s">
        <v>144</v>
      </c>
      <c r="Z1222" s="4">
        <v>492</v>
      </c>
      <c r="AA1222" s="4">
        <f>=ROUNDDOWN(18.2222222222222,0)</f>
      </c>
      <c r="AB1222" s="5">
        <v>27</v>
      </c>
      <c r="AC1222" s="2" t="s">
        <v>676</v>
      </c>
      <c r="AD1222" s="4">
        <v>360</v>
      </c>
      <c r="AE1222" s="4">
        <v>680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/>
      <c r="BJ1222" s="4">
        <v>113</v>
      </c>
      <c r="BK1222" s="8">
        <v>1672.01</v>
      </c>
      <c r="BL1222" s="2" t="s">
        <v>4731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109</v>
      </c>
      <c r="BV1222" s="2" t="s">
        <v>97</v>
      </c>
      <c r="BW1222" s="2" t="s">
        <v>873</v>
      </c>
      <c r="BX1222" s="2" t="s">
        <v>4732</v>
      </c>
      <c r="BY1222" s="2" t="s">
        <v>112</v>
      </c>
      <c r="BZ1222" s="2" t="s">
        <v>149</v>
      </c>
    </row>
    <row r="1223">
      <c r="A1223" s="2" t="s">
        <v>4733</v>
      </c>
      <c r="B1223" s="2" t="s">
        <v>4552</v>
      </c>
      <c r="C1223" s="2" t="s">
        <v>88</v>
      </c>
      <c r="D1223" s="2" t="s">
        <v>4553</v>
      </c>
      <c r="E1223" s="2" t="s">
        <v>4554</v>
      </c>
      <c r="F1223" s="2" t="s">
        <v>486</v>
      </c>
      <c r="G1223" s="2" t="s">
        <v>487</v>
      </c>
      <c r="H1223" s="2" t="s">
        <v>488</v>
      </c>
      <c r="I1223" s="2" t="s">
        <v>4729</v>
      </c>
      <c r="J1223" s="2" t="s">
        <v>4556</v>
      </c>
      <c r="K1223" s="2" t="s">
        <v>507</v>
      </c>
      <c r="L1223" s="3">
        <v>13.11</v>
      </c>
      <c r="M1223" s="3">
        <v>13.77</v>
      </c>
      <c r="N1223" s="3">
        <v>26.99</v>
      </c>
      <c r="O1223" s="2" t="s">
        <v>97</v>
      </c>
      <c r="P1223" s="2" t="s">
        <v>98</v>
      </c>
      <c r="Q1223" s="2" t="s">
        <v>99</v>
      </c>
      <c r="R1223" s="2" t="s">
        <v>100</v>
      </c>
      <c r="S1223" s="2" t="s">
        <v>508</v>
      </c>
      <c r="T1223" s="2" t="s">
        <v>100</v>
      </c>
      <c r="U1223" s="2" t="s">
        <v>100</v>
      </c>
      <c r="V1223" s="2" t="s">
        <v>141</v>
      </c>
      <c r="W1223" s="2" t="s">
        <v>142</v>
      </c>
      <c r="X1223" s="2" t="s">
        <v>100</v>
      </c>
      <c r="Y1223" s="2" t="s">
        <v>144</v>
      </c>
      <c r="Z1223" s="4">
        <v>288</v>
      </c>
      <c r="AA1223" s="4">
        <f>=ROUNDDOWN(9.93103448275862,0)</f>
      </c>
      <c r="AB1223" s="5">
        <v>29</v>
      </c>
      <c r="AC1223" s="2" t="s">
        <v>2363</v>
      </c>
      <c r="AD1223" s="4">
        <v>140</v>
      </c>
      <c r="AE1223" s="4">
        <v>620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/>
      <c r="BJ1223" s="4">
        <v>83</v>
      </c>
      <c r="BK1223" s="8">
        <v>1265.01</v>
      </c>
      <c r="BL1223" s="2" t="s">
        <v>4734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109</v>
      </c>
      <c r="BV1223" s="2" t="s">
        <v>97</v>
      </c>
      <c r="BW1223" s="2" t="s">
        <v>873</v>
      </c>
      <c r="BX1223" s="2" t="s">
        <v>4732</v>
      </c>
      <c r="BY1223" s="2" t="s">
        <v>112</v>
      </c>
      <c r="BZ1223" s="2" t="s">
        <v>149</v>
      </c>
    </row>
    <row r="1224">
      <c r="A1224" s="2" t="s">
        <v>4735</v>
      </c>
      <c r="B1224" s="2" t="s">
        <v>4552</v>
      </c>
      <c r="C1224" s="2" t="s">
        <v>88</v>
      </c>
      <c r="D1224" s="2" t="s">
        <v>4553</v>
      </c>
      <c r="E1224" s="2" t="s">
        <v>4554</v>
      </c>
      <c r="F1224" s="2" t="s">
        <v>486</v>
      </c>
      <c r="G1224" s="2" t="s">
        <v>487</v>
      </c>
      <c r="H1224" s="2" t="s">
        <v>488</v>
      </c>
      <c r="I1224" s="2" t="s">
        <v>4729</v>
      </c>
      <c r="J1224" s="2" t="s">
        <v>4556</v>
      </c>
      <c r="K1224" s="2" t="s">
        <v>673</v>
      </c>
      <c r="L1224" s="3">
        <v>13.11</v>
      </c>
      <c r="M1224" s="3">
        <v>13.77</v>
      </c>
      <c r="N1224" s="3">
        <v>26.99</v>
      </c>
      <c r="O1224" s="2" t="s">
        <v>97</v>
      </c>
      <c r="P1224" s="2" t="s">
        <v>123</v>
      </c>
      <c r="Q1224" s="2" t="s">
        <v>99</v>
      </c>
      <c r="R1224" s="2" t="s">
        <v>100</v>
      </c>
      <c r="S1224" s="2" t="s">
        <v>4736</v>
      </c>
      <c r="T1224" s="2" t="s">
        <v>100</v>
      </c>
      <c r="U1224" s="2" t="s">
        <v>100</v>
      </c>
      <c r="V1224" s="2" t="s">
        <v>141</v>
      </c>
      <c r="W1224" s="2" t="s">
        <v>142</v>
      </c>
      <c r="X1224" s="2" t="s">
        <v>100</v>
      </c>
      <c r="Y1224" s="2" t="s">
        <v>144</v>
      </c>
      <c r="Z1224" s="4">
        <v>315</v>
      </c>
      <c r="AA1224" s="4">
        <f>=ROUNDDOWN(6.42857142857143,0)</f>
      </c>
      <c r="AB1224" s="5">
        <v>49</v>
      </c>
      <c r="AC1224" s="2" t="s">
        <v>2363</v>
      </c>
      <c r="AD1224" s="4">
        <v>280</v>
      </c>
      <c r="AE1224" s="4">
        <v>880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/>
      <c r="BJ1224" s="4">
        <v>188</v>
      </c>
      <c r="BK1224" s="8">
        <v>2832.25</v>
      </c>
      <c r="BL1224" s="2" t="s">
        <v>4737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109</v>
      </c>
      <c r="BV1224" s="2" t="s">
        <v>97</v>
      </c>
      <c r="BW1224" s="2" t="s">
        <v>873</v>
      </c>
      <c r="BX1224" s="2" t="s">
        <v>4732</v>
      </c>
      <c r="BY1224" s="2" t="s">
        <v>112</v>
      </c>
      <c r="BZ1224" s="2" t="s">
        <v>149</v>
      </c>
    </row>
    <row r="1225">
      <c r="A1225" s="2" t="s">
        <v>4738</v>
      </c>
      <c r="B1225" s="2" t="s">
        <v>4552</v>
      </c>
      <c r="C1225" s="2" t="s">
        <v>88</v>
      </c>
      <c r="D1225" s="2" t="s">
        <v>4553</v>
      </c>
      <c r="E1225" s="2" t="s">
        <v>4554</v>
      </c>
      <c r="F1225" s="2" t="s">
        <v>4739</v>
      </c>
      <c r="G1225" s="2" t="s">
        <v>4740</v>
      </c>
      <c r="H1225" s="2" t="s">
        <v>4741</v>
      </c>
      <c r="I1225" s="2" t="s">
        <v>4742</v>
      </c>
      <c r="J1225" s="2" t="s">
        <v>4556</v>
      </c>
      <c r="K1225" s="2" t="s">
        <v>4743</v>
      </c>
      <c r="L1225" s="3">
        <v>16.28</v>
      </c>
      <c r="M1225" s="3">
        <v>17.09</v>
      </c>
      <c r="N1225" s="3">
        <v>36.99</v>
      </c>
      <c r="O1225" s="2" t="s">
        <v>97</v>
      </c>
      <c r="P1225" s="2" t="s">
        <v>98</v>
      </c>
      <c r="Q1225" s="2" t="s">
        <v>99</v>
      </c>
      <c r="R1225" s="2" t="s">
        <v>100</v>
      </c>
      <c r="S1225" s="2" t="s">
        <v>4744</v>
      </c>
      <c r="T1225" s="2" t="s">
        <v>100</v>
      </c>
      <c r="U1225" s="2" t="s">
        <v>1776</v>
      </c>
      <c r="V1225" s="2" t="s">
        <v>473</v>
      </c>
      <c r="W1225" s="2" t="s">
        <v>493</v>
      </c>
      <c r="X1225" s="2" t="s">
        <v>100</v>
      </c>
      <c r="Y1225" s="2" t="s">
        <v>4745</v>
      </c>
      <c r="Z1225" s="4">
        <v>694</v>
      </c>
      <c r="AA1225" s="4">
        <f>=ROUNDDOWN(26.6923076923077,0)</f>
      </c>
      <c r="AB1225" s="5">
        <v>26</v>
      </c>
      <c r="AC1225" s="2" t="s">
        <v>3027</v>
      </c>
      <c r="AD1225" s="4">
        <v>240</v>
      </c>
      <c r="AE1225" s="4">
        <v>240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/>
      <c r="BJ1225" s="4">
        <v>92</v>
      </c>
      <c r="BK1225" s="8">
        <v>1725.66</v>
      </c>
      <c r="BL1225" s="2" t="s">
        <v>4746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109</v>
      </c>
      <c r="BV1225" s="2" t="s">
        <v>97</v>
      </c>
      <c r="BW1225" s="2" t="s">
        <v>4668</v>
      </c>
      <c r="BX1225" s="2" t="s">
        <v>4000</v>
      </c>
      <c r="BY1225" s="2" t="s">
        <v>112</v>
      </c>
      <c r="BZ1225" s="2" t="s">
        <v>149</v>
      </c>
    </row>
    <row r="1226">
      <c r="A1226" s="2" t="s">
        <v>4747</v>
      </c>
      <c r="B1226" s="2" t="s">
        <v>4552</v>
      </c>
      <c r="C1226" s="2" t="s">
        <v>88</v>
      </c>
      <c r="D1226" s="2" t="s">
        <v>4553</v>
      </c>
      <c r="E1226" s="2" t="s">
        <v>4554</v>
      </c>
      <c r="F1226" s="2" t="s">
        <v>4739</v>
      </c>
      <c r="G1226" s="2" t="s">
        <v>4740</v>
      </c>
      <c r="H1226" s="2" t="s">
        <v>4741</v>
      </c>
      <c r="I1226" s="2" t="s">
        <v>4742</v>
      </c>
      <c r="J1226" s="2" t="s">
        <v>4556</v>
      </c>
      <c r="K1226" s="2" t="s">
        <v>458</v>
      </c>
      <c r="L1226" s="3">
        <v>16.28</v>
      </c>
      <c r="M1226" s="3">
        <v>17.09</v>
      </c>
      <c r="N1226" s="3">
        <v>36.99</v>
      </c>
      <c r="O1226" s="2" t="s">
        <v>97</v>
      </c>
      <c r="P1226" s="2" t="s">
        <v>98</v>
      </c>
      <c r="Q1226" s="2" t="s">
        <v>99</v>
      </c>
      <c r="R1226" s="2" t="s">
        <v>100</v>
      </c>
      <c r="S1226" s="2" t="s">
        <v>4744</v>
      </c>
      <c r="T1226" s="2" t="s">
        <v>100</v>
      </c>
      <c r="U1226" s="2" t="s">
        <v>1776</v>
      </c>
      <c r="V1226" s="2" t="s">
        <v>473</v>
      </c>
      <c r="W1226" s="2" t="s">
        <v>493</v>
      </c>
      <c r="X1226" s="2" t="s">
        <v>100</v>
      </c>
      <c r="Y1226" s="2" t="s">
        <v>4745</v>
      </c>
      <c r="Z1226" s="4">
        <v>398</v>
      </c>
      <c r="AA1226" s="4">
        <f>=ROUNDDOWN(13.2666666666667,0)</f>
      </c>
      <c r="AB1226" s="5">
        <v>30</v>
      </c>
      <c r="AC1226" s="2" t="s">
        <v>2709</v>
      </c>
      <c r="AD1226" s="4">
        <v>300</v>
      </c>
      <c r="AE1226" s="4">
        <v>600</v>
      </c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/>
      <c r="BJ1226" s="4">
        <v>98</v>
      </c>
      <c r="BK1226" s="8">
        <v>1796.71</v>
      </c>
      <c r="BL1226" s="2" t="s">
        <v>4748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109</v>
      </c>
      <c r="BV1226" s="2" t="s">
        <v>97</v>
      </c>
      <c r="BW1226" s="2" t="s">
        <v>4668</v>
      </c>
      <c r="BX1226" s="2" t="s">
        <v>208</v>
      </c>
      <c r="BY1226" s="2" t="s">
        <v>112</v>
      </c>
      <c r="BZ1226" s="2" t="s">
        <v>149</v>
      </c>
    </row>
    <row r="1227">
      <c r="A1227" s="2" t="s">
        <v>4749</v>
      </c>
      <c r="B1227" s="2" t="s">
        <v>4552</v>
      </c>
      <c r="C1227" s="2" t="s">
        <v>88</v>
      </c>
      <c r="D1227" s="2" t="s">
        <v>4553</v>
      </c>
      <c r="E1227" s="2" t="s">
        <v>4554</v>
      </c>
      <c r="F1227" s="2" t="s">
        <v>4750</v>
      </c>
      <c r="G1227" s="2" t="s">
        <v>4751</v>
      </c>
      <c r="H1227" s="2" t="s">
        <v>4752</v>
      </c>
      <c r="I1227" s="2" t="s">
        <v>4753</v>
      </c>
      <c r="J1227" s="2" t="s">
        <v>4556</v>
      </c>
      <c r="K1227" s="2" t="s">
        <v>96</v>
      </c>
      <c r="L1227" s="3">
        <v>17.16</v>
      </c>
      <c r="M1227" s="3">
        <v>18.02</v>
      </c>
      <c r="N1227" s="3">
        <v>38.99</v>
      </c>
      <c r="O1227" s="2" t="s">
        <v>97</v>
      </c>
      <c r="P1227" s="2" t="s">
        <v>98</v>
      </c>
      <c r="Q1227" s="2" t="s">
        <v>99</v>
      </c>
      <c r="R1227" s="2" t="s">
        <v>100</v>
      </c>
      <c r="S1227" s="2" t="s">
        <v>4754</v>
      </c>
      <c r="T1227" s="2" t="s">
        <v>100</v>
      </c>
      <c r="U1227" s="2" t="s">
        <v>1776</v>
      </c>
      <c r="V1227" s="2" t="s">
        <v>192</v>
      </c>
      <c r="W1227" s="2" t="s">
        <v>493</v>
      </c>
      <c r="X1227" s="2" t="s">
        <v>100</v>
      </c>
      <c r="Y1227" s="2" t="s">
        <v>381</v>
      </c>
      <c r="Z1227" s="4">
        <v>409</v>
      </c>
      <c r="AA1227" s="4">
        <f>=ROUNDDOWN(24.0588235294118,0)</f>
      </c>
      <c r="AB1227" s="5">
        <v>17</v>
      </c>
      <c r="AC1227" s="2" t="s">
        <v>4755</v>
      </c>
      <c r="AD1227" s="4">
        <v>300</v>
      </c>
      <c r="AE1227" s="4">
        <v>300</v>
      </c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/>
      <c r="BD1227" s="8"/>
      <c r="BE1227" s="4"/>
      <c r="BF1227" s="8"/>
      <c r="BG1227" s="7"/>
      <c r="BH1227" s="7"/>
      <c r="BI1227" s="7"/>
      <c r="BJ1227" s="4">
        <v>62</v>
      </c>
      <c r="BK1227" s="8">
        <v>1212.1</v>
      </c>
      <c r="BL1227" s="2" t="s">
        <v>4756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171</v>
      </c>
      <c r="BV1227" s="2" t="s">
        <v>97</v>
      </c>
      <c r="BW1227" s="2" t="s">
        <v>100</v>
      </c>
      <c r="BX1227" s="2" t="s">
        <v>100</v>
      </c>
      <c r="BY1227" s="2" t="s">
        <v>112</v>
      </c>
      <c r="BZ1227" s="2" t="s">
        <v>149</v>
      </c>
    </row>
    <row r="1228">
      <c r="A1228" s="2" t="s">
        <v>4757</v>
      </c>
      <c r="B1228" s="2" t="s">
        <v>4552</v>
      </c>
      <c r="C1228" s="2" t="s">
        <v>88</v>
      </c>
      <c r="D1228" s="2" t="s">
        <v>4758</v>
      </c>
      <c r="E1228" s="2" t="s">
        <v>4759</v>
      </c>
      <c r="F1228" s="2" t="s">
        <v>4760</v>
      </c>
      <c r="G1228" s="2" t="s">
        <v>4761</v>
      </c>
      <c r="H1228" s="2" t="s">
        <v>4762</v>
      </c>
      <c r="I1228" s="2" t="s">
        <v>4763</v>
      </c>
      <c r="J1228" s="2" t="s">
        <v>4764</v>
      </c>
      <c r="K1228" s="2" t="s">
        <v>96</v>
      </c>
      <c r="L1228" s="3">
        <v>17.85</v>
      </c>
      <c r="M1228" s="3">
        <v>18.74</v>
      </c>
      <c r="N1228" s="3">
        <v>37.99</v>
      </c>
      <c r="O1228" s="2" t="s">
        <v>97</v>
      </c>
      <c r="P1228" s="2" t="s">
        <v>139</v>
      </c>
      <c r="Q1228" s="2" t="s">
        <v>99</v>
      </c>
      <c r="R1228" s="2" t="s">
        <v>100</v>
      </c>
      <c r="S1228" s="2" t="s">
        <v>4765</v>
      </c>
      <c r="T1228" s="2" t="s">
        <v>190</v>
      </c>
      <c r="U1228" s="2" t="s">
        <v>1776</v>
      </c>
      <c r="V1228" s="2" t="s">
        <v>492</v>
      </c>
      <c r="W1228" s="2" t="s">
        <v>142</v>
      </c>
      <c r="X1228" s="2" t="s">
        <v>100</v>
      </c>
      <c r="Y1228" s="2" t="s">
        <v>4766</v>
      </c>
      <c r="Z1228" s="4">
        <v>499</v>
      </c>
      <c r="AA1228" s="4">
        <f>=ROUNDDOWN(9.59615384615385,0)</f>
      </c>
      <c r="AB1228" s="5">
        <v>52</v>
      </c>
      <c r="AC1228" s="2" t="s">
        <v>1468</v>
      </c>
      <c r="AD1228" s="4">
        <v>480</v>
      </c>
      <c r="AE1228" s="4">
        <v>1460</v>
      </c>
      <c r="AF1228" s="6">
        <v>69</v>
      </c>
      <c r="AG1228" s="6"/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2</v>
      </c>
      <c r="AQ1228" s="8">
        <v>40.44</v>
      </c>
      <c r="AR1228" s="4"/>
      <c r="AS1228" s="8"/>
      <c r="AT1228" s="7"/>
      <c r="AU1228" s="7"/>
      <c r="AV1228" s="4">
        <v>3</v>
      </c>
      <c r="AW1228" s="8">
        <v>75.09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>
        <v>0.5386</v>
      </c>
      <c r="BC1228" s="4">
        <v>5</v>
      </c>
      <c r="BD1228" s="8">
        <v>115.53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>
        <v>0.65</v>
      </c>
      <c r="BJ1228" s="4">
        <v>152</v>
      </c>
      <c r="BK1228" s="8">
        <v>3075.05</v>
      </c>
      <c r="BL1228" s="2" t="s">
        <v>4767</v>
      </c>
      <c r="BM1228" s="7">
        <v>0.0132</v>
      </c>
      <c r="BN1228" s="7">
        <v>0.0132</v>
      </c>
      <c r="BO1228" s="4">
        <v>2</v>
      </c>
      <c r="BP1228" s="8">
        <v>40.44</v>
      </c>
      <c r="BQ1228" s="4"/>
      <c r="BR1228" s="8"/>
      <c r="BS1228" s="7"/>
      <c r="BT1228" s="7"/>
      <c r="BU1228" s="2" t="s">
        <v>109</v>
      </c>
      <c r="BV1228" s="2" t="s">
        <v>97</v>
      </c>
      <c r="BW1228" s="2" t="s">
        <v>4768</v>
      </c>
      <c r="BX1228" s="2" t="s">
        <v>127</v>
      </c>
      <c r="BY1228" s="2" t="s">
        <v>112</v>
      </c>
      <c r="BZ1228" s="2" t="s">
        <v>100</v>
      </c>
    </row>
    <row r="1229">
      <c r="A1229" s="2" t="s">
        <v>4769</v>
      </c>
      <c r="B1229" s="2" t="s">
        <v>4552</v>
      </c>
      <c r="C1229" s="2" t="s">
        <v>88</v>
      </c>
      <c r="D1229" s="2" t="s">
        <v>4758</v>
      </c>
      <c r="E1229" s="2" t="s">
        <v>4759</v>
      </c>
      <c r="F1229" s="2" t="s">
        <v>4760</v>
      </c>
      <c r="G1229" s="2" t="s">
        <v>4761</v>
      </c>
      <c r="H1229" s="2" t="s">
        <v>4762</v>
      </c>
      <c r="I1229" s="2" t="s">
        <v>4770</v>
      </c>
      <c r="J1229" s="2" t="s">
        <v>4771</v>
      </c>
      <c r="K1229" s="2" t="s">
        <v>96</v>
      </c>
      <c r="L1229" s="3">
        <v>30.26</v>
      </c>
      <c r="M1229" s="3">
        <v>31.77</v>
      </c>
      <c r="N1229" s="3">
        <v>62.99</v>
      </c>
      <c r="O1229" s="2" t="s">
        <v>97</v>
      </c>
      <c r="P1229" s="2" t="s">
        <v>139</v>
      </c>
      <c r="Q1229" s="2" t="s">
        <v>99</v>
      </c>
      <c r="R1229" s="2" t="s">
        <v>100</v>
      </c>
      <c r="S1229" s="2" t="s">
        <v>4765</v>
      </c>
      <c r="T1229" s="2" t="s">
        <v>190</v>
      </c>
      <c r="U1229" s="2" t="s">
        <v>1776</v>
      </c>
      <c r="V1229" s="2" t="s">
        <v>492</v>
      </c>
      <c r="W1229" s="2" t="s">
        <v>142</v>
      </c>
      <c r="X1229" s="2" t="s">
        <v>100</v>
      </c>
      <c r="Y1229" s="2" t="s">
        <v>144</v>
      </c>
      <c r="Z1229" s="4">
        <v>491</v>
      </c>
      <c r="AA1229" s="4">
        <f>=ROUNDDOWN(15.34375,0)</f>
      </c>
      <c r="AB1229" s="5">
        <v>32</v>
      </c>
      <c r="AC1229" s="2" t="s">
        <v>1468</v>
      </c>
      <c r="AD1229" s="4">
        <v>500</v>
      </c>
      <c r="AE1229" s="4">
        <v>1130</v>
      </c>
      <c r="AF1229" s="6">
        <v>69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1</v>
      </c>
      <c r="AQ1229" s="8">
        <v>34.65</v>
      </c>
      <c r="AR1229" s="4"/>
      <c r="AS1229" s="8"/>
      <c r="AT1229" s="7"/>
      <c r="AU1229" s="7"/>
      <c r="AV1229" s="4" t="s">
        <v>100</v>
      </c>
      <c r="AW1229" s="8" t="s">
        <v>100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>
        <v>0.4614</v>
      </c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 t="s">
        <v>100</v>
      </c>
      <c r="BJ1229" s="4">
        <v>97</v>
      </c>
      <c r="BK1229" s="8">
        <v>3290.81</v>
      </c>
      <c r="BL1229" s="2" t="s">
        <v>4772</v>
      </c>
      <c r="BM1229" s="7">
        <v>0.0103</v>
      </c>
      <c r="BN1229" s="7">
        <v>0.0105</v>
      </c>
      <c r="BO1229" s="4">
        <v>1</v>
      </c>
      <c r="BP1229" s="8">
        <v>34.65</v>
      </c>
      <c r="BQ1229" s="4"/>
      <c r="BR1229" s="8"/>
      <c r="BS1229" s="7"/>
      <c r="BT1229" s="7"/>
      <c r="BU1229" s="2" t="s">
        <v>109</v>
      </c>
      <c r="BV1229" s="2" t="s">
        <v>97</v>
      </c>
      <c r="BW1229" s="2" t="s">
        <v>4768</v>
      </c>
      <c r="BX1229" s="2" t="s">
        <v>2134</v>
      </c>
      <c r="BY1229" s="2" t="s">
        <v>112</v>
      </c>
      <c r="BZ1229" s="2" t="s">
        <v>100</v>
      </c>
    </row>
    <row r="1230">
      <c r="A1230" s="2" t="s">
        <v>4773</v>
      </c>
      <c r="B1230" s="2" t="s">
        <v>4552</v>
      </c>
      <c r="C1230" s="2" t="s">
        <v>88</v>
      </c>
      <c r="D1230" s="2" t="s">
        <v>4758</v>
      </c>
      <c r="E1230" s="2" t="s">
        <v>4759</v>
      </c>
      <c r="F1230" s="2" t="s">
        <v>4760</v>
      </c>
      <c r="G1230" s="2" t="s">
        <v>4761</v>
      </c>
      <c r="H1230" s="2" t="s">
        <v>4762</v>
      </c>
      <c r="I1230" s="2" t="s">
        <v>4774</v>
      </c>
      <c r="J1230" s="2" t="s">
        <v>4775</v>
      </c>
      <c r="K1230" s="2" t="s">
        <v>179</v>
      </c>
      <c r="L1230" s="3">
        <v>13.39</v>
      </c>
      <c r="M1230" s="3">
        <v>14.06</v>
      </c>
      <c r="N1230" s="3">
        <v>27.99</v>
      </c>
      <c r="O1230" s="2" t="s">
        <v>97</v>
      </c>
      <c r="P1230" s="2" t="s">
        <v>123</v>
      </c>
      <c r="Q1230" s="2" t="s">
        <v>99</v>
      </c>
      <c r="R1230" s="2" t="s">
        <v>100</v>
      </c>
      <c r="S1230" s="2" t="s">
        <v>4776</v>
      </c>
      <c r="T1230" s="2" t="s">
        <v>190</v>
      </c>
      <c r="U1230" s="2" t="s">
        <v>1776</v>
      </c>
      <c r="V1230" s="2" t="s">
        <v>492</v>
      </c>
      <c r="W1230" s="2" t="s">
        <v>142</v>
      </c>
      <c r="X1230" s="2" t="s">
        <v>100</v>
      </c>
      <c r="Y1230" s="2" t="s">
        <v>4777</v>
      </c>
      <c r="Z1230" s="4">
        <v>434</v>
      </c>
      <c r="AA1230" s="4">
        <f>=ROUNDDOWN(6.57575757575758,0)</f>
      </c>
      <c r="AB1230" s="5">
        <v>66</v>
      </c>
      <c r="AC1230" s="2" t="s">
        <v>1468</v>
      </c>
      <c r="AD1230" s="4">
        <v>160</v>
      </c>
      <c r="AE1230" s="4">
        <v>1900</v>
      </c>
      <c r="AF1230" s="6">
        <v>69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>
        <v>2</v>
      </c>
      <c r="AW1230" s="8">
        <v>40.44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/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>
        <v>0.35</v>
      </c>
      <c r="BJ1230" s="4">
        <v>210</v>
      </c>
      <c r="BK1230" s="8">
        <v>3162.44</v>
      </c>
      <c r="BL1230" s="2" t="s">
        <v>4778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109</v>
      </c>
      <c r="BV1230" s="2" t="s">
        <v>97</v>
      </c>
      <c r="BW1230" s="2" t="s">
        <v>1426</v>
      </c>
      <c r="BX1230" s="2" t="s">
        <v>4779</v>
      </c>
      <c r="BY1230" s="2" t="s">
        <v>112</v>
      </c>
      <c r="BZ1230" s="2" t="s">
        <v>100</v>
      </c>
    </row>
    <row r="1231">
      <c r="A1231" s="2" t="s">
        <v>4780</v>
      </c>
      <c r="B1231" s="2" t="s">
        <v>4552</v>
      </c>
      <c r="C1231" s="2" t="s">
        <v>88</v>
      </c>
      <c r="D1231" s="2" t="s">
        <v>4758</v>
      </c>
      <c r="E1231" s="2" t="s">
        <v>4759</v>
      </c>
      <c r="F1231" s="2" t="s">
        <v>4760</v>
      </c>
      <c r="G1231" s="2" t="s">
        <v>4761</v>
      </c>
      <c r="H1231" s="2" t="s">
        <v>4762</v>
      </c>
      <c r="I1231" s="2" t="s">
        <v>4763</v>
      </c>
      <c r="J1231" s="2" t="s">
        <v>4764</v>
      </c>
      <c r="K1231" s="2" t="s">
        <v>179</v>
      </c>
      <c r="L1231" s="3">
        <v>17.85</v>
      </c>
      <c r="M1231" s="3">
        <v>18.74</v>
      </c>
      <c r="N1231" s="3">
        <v>37.99</v>
      </c>
      <c r="O1231" s="2" t="s">
        <v>97</v>
      </c>
      <c r="P1231" s="2" t="s">
        <v>123</v>
      </c>
      <c r="Q1231" s="2" t="s">
        <v>99</v>
      </c>
      <c r="R1231" s="2" t="s">
        <v>100</v>
      </c>
      <c r="S1231" s="2" t="s">
        <v>4776</v>
      </c>
      <c r="T1231" s="2" t="s">
        <v>190</v>
      </c>
      <c r="U1231" s="2" t="s">
        <v>1776</v>
      </c>
      <c r="V1231" s="2" t="s">
        <v>492</v>
      </c>
      <c r="W1231" s="2" t="s">
        <v>142</v>
      </c>
      <c r="X1231" s="2" t="s">
        <v>100</v>
      </c>
      <c r="Y1231" s="2" t="s">
        <v>4777</v>
      </c>
      <c r="Z1231" s="4">
        <v>420</v>
      </c>
      <c r="AA1231" s="4">
        <f>=ROUNDDOWN(9.1304347826087,0)</f>
      </c>
      <c r="AB1231" s="5">
        <v>46</v>
      </c>
      <c r="AC1231" s="2" t="s">
        <v>1468</v>
      </c>
      <c r="AD1231" s="4">
        <v>360</v>
      </c>
      <c r="AE1231" s="4">
        <v>1170</v>
      </c>
      <c r="AF1231" s="6">
        <v>69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2</v>
      </c>
      <c r="AQ1231" s="8">
        <v>40.44</v>
      </c>
      <c r="AR1231" s="4"/>
      <c r="AS1231" s="8"/>
      <c r="AT1231" s="7"/>
      <c r="AU1231" s="7"/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>
        <v>1</v>
      </c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 t="s">
        <v>100</v>
      </c>
      <c r="BJ1231" s="4">
        <v>139</v>
      </c>
      <c r="BK1231" s="8">
        <v>2914.37</v>
      </c>
      <c r="BL1231" s="2" t="s">
        <v>4781</v>
      </c>
      <c r="BM1231" s="7">
        <v>0.0144</v>
      </c>
      <c r="BN1231" s="7">
        <v>0.0139</v>
      </c>
      <c r="BO1231" s="4">
        <v>2</v>
      </c>
      <c r="BP1231" s="8">
        <v>40.44</v>
      </c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4782</v>
      </c>
      <c r="BX1231" s="2" t="s">
        <v>199</v>
      </c>
      <c r="BY1231" s="2" t="s">
        <v>112</v>
      </c>
      <c r="BZ1231" s="2" t="s">
        <v>100</v>
      </c>
    </row>
    <row r="1232">
      <c r="A1232" s="2" t="s">
        <v>4783</v>
      </c>
      <c r="B1232" s="2" t="s">
        <v>4552</v>
      </c>
      <c r="C1232" s="2" t="s">
        <v>88</v>
      </c>
      <c r="D1232" s="2" t="s">
        <v>4758</v>
      </c>
      <c r="E1232" s="2" t="s">
        <v>4759</v>
      </c>
      <c r="F1232" s="2" t="s">
        <v>4760</v>
      </c>
      <c r="G1232" s="2" t="s">
        <v>4761</v>
      </c>
      <c r="H1232" s="2" t="s">
        <v>4762</v>
      </c>
      <c r="I1232" s="2" t="s">
        <v>4770</v>
      </c>
      <c r="J1232" s="2" t="s">
        <v>4771</v>
      </c>
      <c r="K1232" s="2" t="s">
        <v>179</v>
      </c>
      <c r="L1232" s="3">
        <v>30.26</v>
      </c>
      <c r="M1232" s="3">
        <v>31.77</v>
      </c>
      <c r="N1232" s="3">
        <v>62.99</v>
      </c>
      <c r="O1232" s="2" t="s">
        <v>97</v>
      </c>
      <c r="P1232" s="2" t="s">
        <v>123</v>
      </c>
      <c r="Q1232" s="2" t="s">
        <v>99</v>
      </c>
      <c r="R1232" s="2" t="s">
        <v>100</v>
      </c>
      <c r="S1232" s="2" t="s">
        <v>4776</v>
      </c>
      <c r="T1232" s="2" t="s">
        <v>190</v>
      </c>
      <c r="U1232" s="2" t="s">
        <v>1776</v>
      </c>
      <c r="V1232" s="2" t="s">
        <v>492</v>
      </c>
      <c r="W1232" s="2" t="s">
        <v>142</v>
      </c>
      <c r="X1232" s="2" t="s">
        <v>100</v>
      </c>
      <c r="Y1232" s="2" t="s">
        <v>4777</v>
      </c>
      <c r="Z1232" s="4">
        <v>303</v>
      </c>
      <c r="AA1232" s="4">
        <f>=ROUNDDOWN(15.15,0)</f>
      </c>
      <c r="AB1232" s="5">
        <v>20</v>
      </c>
      <c r="AC1232" s="2" t="s">
        <v>1468</v>
      </c>
      <c r="AD1232" s="4">
        <v>180</v>
      </c>
      <c r="AE1232" s="4">
        <v>380</v>
      </c>
      <c r="AF1232" s="6">
        <v>69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/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39</v>
      </c>
      <c r="BK1232" s="8">
        <v>1361.23</v>
      </c>
      <c r="BL1232" s="2" t="s">
        <v>4784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1426</v>
      </c>
      <c r="BX1232" s="2" t="s">
        <v>804</v>
      </c>
      <c r="BY1232" s="2" t="s">
        <v>112</v>
      </c>
      <c r="BZ1232" s="2" t="s">
        <v>100</v>
      </c>
    </row>
    <row r="1233">
      <c r="A1233" s="2" t="s">
        <v>4785</v>
      </c>
      <c r="B1233" s="2" t="s">
        <v>4552</v>
      </c>
      <c r="C1233" s="2" t="s">
        <v>88</v>
      </c>
      <c r="D1233" s="2" t="s">
        <v>4758</v>
      </c>
      <c r="E1233" s="2" t="s">
        <v>4759</v>
      </c>
      <c r="F1233" s="2" t="s">
        <v>4760</v>
      </c>
      <c r="G1233" s="2" t="s">
        <v>4761</v>
      </c>
      <c r="H1233" s="2" t="s">
        <v>4762</v>
      </c>
      <c r="I1233" s="2" t="s">
        <v>4774</v>
      </c>
      <c r="J1233" s="2" t="s">
        <v>4775</v>
      </c>
      <c r="K1233" s="2" t="s">
        <v>1173</v>
      </c>
      <c r="L1233" s="3">
        <v>13.39</v>
      </c>
      <c r="M1233" s="3">
        <v>14.06</v>
      </c>
      <c r="N1233" s="3">
        <v>27.99</v>
      </c>
      <c r="O1233" s="2" t="s">
        <v>97</v>
      </c>
      <c r="P1233" s="2" t="s">
        <v>123</v>
      </c>
      <c r="Q1233" s="2" t="s">
        <v>99</v>
      </c>
      <c r="R1233" s="2" t="s">
        <v>100</v>
      </c>
      <c r="S1233" s="2" t="s">
        <v>4786</v>
      </c>
      <c r="T1233" s="2" t="s">
        <v>190</v>
      </c>
      <c r="U1233" s="2" t="s">
        <v>1776</v>
      </c>
      <c r="V1233" s="2" t="s">
        <v>492</v>
      </c>
      <c r="W1233" s="2" t="s">
        <v>142</v>
      </c>
      <c r="X1233" s="2" t="s">
        <v>100</v>
      </c>
      <c r="Y1233" s="2" t="s">
        <v>144</v>
      </c>
      <c r="Z1233" s="4">
        <v>771</v>
      </c>
      <c r="AA1233" s="4">
        <f>=ROUNDDOWN(14.8269230769231,0)</f>
      </c>
      <c r="AB1233" s="5">
        <v>52</v>
      </c>
      <c r="AC1233" s="2" t="s">
        <v>1468</v>
      </c>
      <c r="AD1233" s="4">
        <v>150</v>
      </c>
      <c r="AE1233" s="4">
        <v>840</v>
      </c>
      <c r="AF1233" s="6">
        <v>69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100</v>
      </c>
      <c r="AW1233" s="8" t="s">
        <v>100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/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 t="s">
        <v>100</v>
      </c>
      <c r="BJ1233" s="4">
        <v>175</v>
      </c>
      <c r="BK1233" s="8">
        <v>2556.01</v>
      </c>
      <c r="BL1233" s="2" t="s">
        <v>4787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4768</v>
      </c>
      <c r="BX1233" s="2" t="s">
        <v>4788</v>
      </c>
      <c r="BY1233" s="2" t="s">
        <v>112</v>
      </c>
      <c r="BZ1233" s="2" t="s">
        <v>100</v>
      </c>
    </row>
    <row r="1234">
      <c r="A1234" s="2" t="s">
        <v>4789</v>
      </c>
      <c r="B1234" s="2" t="s">
        <v>4552</v>
      </c>
      <c r="C1234" s="2" t="s">
        <v>88</v>
      </c>
      <c r="D1234" s="2" t="s">
        <v>4758</v>
      </c>
      <c r="E1234" s="2" t="s">
        <v>4759</v>
      </c>
      <c r="F1234" s="2" t="s">
        <v>4760</v>
      </c>
      <c r="G1234" s="2" t="s">
        <v>4761</v>
      </c>
      <c r="H1234" s="2" t="s">
        <v>4762</v>
      </c>
      <c r="I1234" s="2" t="s">
        <v>4763</v>
      </c>
      <c r="J1234" s="2" t="s">
        <v>4764</v>
      </c>
      <c r="K1234" s="2" t="s">
        <v>1173</v>
      </c>
      <c r="L1234" s="3">
        <v>17.85</v>
      </c>
      <c r="M1234" s="3">
        <v>18.74</v>
      </c>
      <c r="N1234" s="3">
        <v>37.99</v>
      </c>
      <c r="O1234" s="2" t="s">
        <v>97</v>
      </c>
      <c r="P1234" s="2" t="s">
        <v>123</v>
      </c>
      <c r="Q1234" s="2" t="s">
        <v>99</v>
      </c>
      <c r="R1234" s="2" t="s">
        <v>100</v>
      </c>
      <c r="S1234" s="2" t="s">
        <v>4786</v>
      </c>
      <c r="T1234" s="2" t="s">
        <v>190</v>
      </c>
      <c r="U1234" s="2" t="s">
        <v>1776</v>
      </c>
      <c r="V1234" s="2" t="s">
        <v>492</v>
      </c>
      <c r="W1234" s="2" t="s">
        <v>142</v>
      </c>
      <c r="X1234" s="2" t="s">
        <v>100</v>
      </c>
      <c r="Y1234" s="2" t="s">
        <v>144</v>
      </c>
      <c r="Z1234" s="4">
        <v>610</v>
      </c>
      <c r="AA1234" s="4">
        <f>=ROUNDDOWN(16.9444444444444,0)</f>
      </c>
      <c r="AB1234" s="5">
        <v>36</v>
      </c>
      <c r="AC1234" s="2" t="s">
        <v>1468</v>
      </c>
      <c r="AD1234" s="4">
        <v>240</v>
      </c>
      <c r="AE1234" s="4">
        <v>860</v>
      </c>
      <c r="AF1234" s="6">
        <v>69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/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>
        <v>97</v>
      </c>
      <c r="BK1234" s="8">
        <v>1931.96</v>
      </c>
      <c r="BL1234" s="2" t="s">
        <v>1349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4768</v>
      </c>
      <c r="BX1234" s="2" t="s">
        <v>4790</v>
      </c>
      <c r="BY1234" s="2" t="s">
        <v>112</v>
      </c>
      <c r="BZ1234" s="2" t="s">
        <v>100</v>
      </c>
    </row>
    <row r="1235">
      <c r="A1235" s="2" t="s">
        <v>4791</v>
      </c>
      <c r="B1235" s="2" t="s">
        <v>4552</v>
      </c>
      <c r="C1235" s="2" t="s">
        <v>88</v>
      </c>
      <c r="D1235" s="2" t="s">
        <v>4758</v>
      </c>
      <c r="E1235" s="2" t="s">
        <v>4759</v>
      </c>
      <c r="F1235" s="2" t="s">
        <v>4760</v>
      </c>
      <c r="G1235" s="2" t="s">
        <v>4761</v>
      </c>
      <c r="H1235" s="2" t="s">
        <v>4762</v>
      </c>
      <c r="I1235" s="2" t="s">
        <v>4774</v>
      </c>
      <c r="J1235" s="2" t="s">
        <v>4775</v>
      </c>
      <c r="K1235" s="2" t="s">
        <v>673</v>
      </c>
      <c r="L1235" s="3">
        <v>13.39</v>
      </c>
      <c r="M1235" s="3">
        <v>14.06</v>
      </c>
      <c r="N1235" s="3">
        <v>27.99</v>
      </c>
      <c r="O1235" s="2" t="s">
        <v>97</v>
      </c>
      <c r="P1235" s="2" t="s">
        <v>123</v>
      </c>
      <c r="Q1235" s="2" t="s">
        <v>99</v>
      </c>
      <c r="R1235" s="2" t="s">
        <v>100</v>
      </c>
      <c r="S1235" s="2" t="s">
        <v>4792</v>
      </c>
      <c r="T1235" s="2" t="s">
        <v>190</v>
      </c>
      <c r="U1235" s="2" t="s">
        <v>1776</v>
      </c>
      <c r="V1235" s="2" t="s">
        <v>492</v>
      </c>
      <c r="W1235" s="2" t="s">
        <v>142</v>
      </c>
      <c r="X1235" s="2" t="s">
        <v>100</v>
      </c>
      <c r="Y1235" s="2" t="s">
        <v>144</v>
      </c>
      <c r="Z1235" s="4">
        <v>553</v>
      </c>
      <c r="AA1235" s="4">
        <f>=ROUNDDOWN(12.8604651162791,0)</f>
      </c>
      <c r="AB1235" s="5">
        <v>43</v>
      </c>
      <c r="AC1235" s="2" t="s">
        <v>1468</v>
      </c>
      <c r="AD1235" s="4">
        <v>160</v>
      </c>
      <c r="AE1235" s="4">
        <v>800</v>
      </c>
      <c r="AF1235" s="6">
        <v>69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/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 t="s">
        <v>100</v>
      </c>
      <c r="BJ1235" s="4">
        <v>104</v>
      </c>
      <c r="BK1235" s="8">
        <v>1537.6</v>
      </c>
      <c r="BL1235" s="2" t="s">
        <v>2486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109</v>
      </c>
      <c r="BV1235" s="2" t="s">
        <v>97</v>
      </c>
      <c r="BW1235" s="2" t="s">
        <v>4768</v>
      </c>
      <c r="BX1235" s="2" t="s">
        <v>4793</v>
      </c>
      <c r="BY1235" s="2" t="s">
        <v>112</v>
      </c>
      <c r="BZ1235" s="2" t="s">
        <v>100</v>
      </c>
    </row>
    <row r="1236">
      <c r="A1236" s="2" t="s">
        <v>4794</v>
      </c>
      <c r="B1236" s="2" t="s">
        <v>4552</v>
      </c>
      <c r="C1236" s="2" t="s">
        <v>88</v>
      </c>
      <c r="D1236" s="2" t="s">
        <v>4758</v>
      </c>
      <c r="E1236" s="2" t="s">
        <v>4759</v>
      </c>
      <c r="F1236" s="2" t="s">
        <v>4760</v>
      </c>
      <c r="G1236" s="2" t="s">
        <v>4761</v>
      </c>
      <c r="H1236" s="2" t="s">
        <v>4762</v>
      </c>
      <c r="I1236" s="2" t="s">
        <v>4770</v>
      </c>
      <c r="J1236" s="2" t="s">
        <v>4771</v>
      </c>
      <c r="K1236" s="2" t="s">
        <v>673</v>
      </c>
      <c r="L1236" s="3">
        <v>30.26</v>
      </c>
      <c r="M1236" s="3">
        <v>31.77</v>
      </c>
      <c r="N1236" s="3">
        <v>62.99</v>
      </c>
      <c r="O1236" s="2" t="s">
        <v>97</v>
      </c>
      <c r="P1236" s="2" t="s">
        <v>123</v>
      </c>
      <c r="Q1236" s="2" t="s">
        <v>99</v>
      </c>
      <c r="R1236" s="2" t="s">
        <v>100</v>
      </c>
      <c r="S1236" s="2" t="s">
        <v>4792</v>
      </c>
      <c r="T1236" s="2" t="s">
        <v>190</v>
      </c>
      <c r="U1236" s="2" t="s">
        <v>1776</v>
      </c>
      <c r="V1236" s="2" t="s">
        <v>492</v>
      </c>
      <c r="W1236" s="2" t="s">
        <v>142</v>
      </c>
      <c r="X1236" s="2" t="s">
        <v>100</v>
      </c>
      <c r="Y1236" s="2" t="s">
        <v>144</v>
      </c>
      <c r="Z1236" s="4">
        <v>593</v>
      </c>
      <c r="AA1236" s="4">
        <f>=ROUNDDOWN(23.72,0)</f>
      </c>
      <c r="AB1236" s="5">
        <v>25</v>
      </c>
      <c r="AC1236" s="2" t="s">
        <v>1468</v>
      </c>
      <c r="AD1236" s="4">
        <v>200</v>
      </c>
      <c r="AE1236" s="4">
        <v>510</v>
      </c>
      <c r="AF1236" s="6">
        <v>69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/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 t="s">
        <v>100</v>
      </c>
      <c r="BJ1236" s="4">
        <v>51</v>
      </c>
      <c r="BK1236" s="8">
        <v>1702.69</v>
      </c>
      <c r="BL1236" s="2" t="s">
        <v>4795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4768</v>
      </c>
      <c r="BX1236" s="2" t="s">
        <v>4796</v>
      </c>
      <c r="BY1236" s="2" t="s">
        <v>112</v>
      </c>
      <c r="BZ1236" s="2" t="s">
        <v>100</v>
      </c>
    </row>
    <row r="1237">
      <c r="A1237" s="2" t="s">
        <v>4797</v>
      </c>
      <c r="B1237" s="2" t="s">
        <v>4552</v>
      </c>
      <c r="C1237" s="2" t="s">
        <v>88</v>
      </c>
      <c r="D1237" s="2" t="s">
        <v>4758</v>
      </c>
      <c r="E1237" s="2" t="s">
        <v>4759</v>
      </c>
      <c r="F1237" s="2" t="s">
        <v>4760</v>
      </c>
      <c r="G1237" s="2" t="s">
        <v>4761</v>
      </c>
      <c r="H1237" s="2" t="s">
        <v>4762</v>
      </c>
      <c r="I1237" s="2" t="s">
        <v>4774</v>
      </c>
      <c r="J1237" s="2" t="s">
        <v>4775</v>
      </c>
      <c r="K1237" s="2" t="s">
        <v>458</v>
      </c>
      <c r="L1237" s="3">
        <v>13.39</v>
      </c>
      <c r="M1237" s="3">
        <v>14.06</v>
      </c>
      <c r="N1237" s="3">
        <v>27.99</v>
      </c>
      <c r="O1237" s="2" t="s">
        <v>97</v>
      </c>
      <c r="P1237" s="2" t="s">
        <v>98</v>
      </c>
      <c r="Q1237" s="2" t="s">
        <v>99</v>
      </c>
      <c r="R1237" s="2" t="s">
        <v>100</v>
      </c>
      <c r="S1237" s="2" t="s">
        <v>4798</v>
      </c>
      <c r="T1237" s="2" t="s">
        <v>190</v>
      </c>
      <c r="U1237" s="2" t="s">
        <v>1776</v>
      </c>
      <c r="V1237" s="2" t="s">
        <v>492</v>
      </c>
      <c r="W1237" s="2" t="s">
        <v>142</v>
      </c>
      <c r="X1237" s="2" t="s">
        <v>100</v>
      </c>
      <c r="Y1237" s="2" t="s">
        <v>4799</v>
      </c>
      <c r="Z1237" s="4">
        <v>199</v>
      </c>
      <c r="AA1237" s="4">
        <f>=ROUNDDOWN(8.29166666666667,0)</f>
      </c>
      <c r="AB1237" s="5">
        <v>24</v>
      </c>
      <c r="AC1237" s="2" t="s">
        <v>1468</v>
      </c>
      <c r="AD1237" s="4">
        <v>380</v>
      </c>
      <c r="AE1237" s="4">
        <v>700</v>
      </c>
      <c r="AF1237" s="6">
        <v>69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100</v>
      </c>
      <c r="AW1237" s="8" t="s">
        <v>100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/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 t="s">
        <v>100</v>
      </c>
      <c r="BJ1237" s="4">
        <v>53</v>
      </c>
      <c r="BK1237" s="8">
        <v>782.65</v>
      </c>
      <c r="BL1237" s="2" t="s">
        <v>632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171</v>
      </c>
      <c r="BV1237" s="2" t="s">
        <v>97</v>
      </c>
      <c r="BW1237" s="2" t="s">
        <v>100</v>
      </c>
      <c r="BX1237" s="2" t="s">
        <v>100</v>
      </c>
      <c r="BY1237" s="2" t="s">
        <v>112</v>
      </c>
      <c r="BZ1237" s="2" t="s">
        <v>149</v>
      </c>
    </row>
    <row r="1238">
      <c r="A1238" s="2" t="s">
        <v>4800</v>
      </c>
      <c r="B1238" s="2" t="s">
        <v>4552</v>
      </c>
      <c r="C1238" s="2" t="s">
        <v>88</v>
      </c>
      <c r="D1238" s="2" t="s">
        <v>4758</v>
      </c>
      <c r="E1238" s="2" t="s">
        <v>4759</v>
      </c>
      <c r="F1238" s="2" t="s">
        <v>4760</v>
      </c>
      <c r="G1238" s="2" t="s">
        <v>4761</v>
      </c>
      <c r="H1238" s="2" t="s">
        <v>4762</v>
      </c>
      <c r="I1238" s="2" t="s">
        <v>4763</v>
      </c>
      <c r="J1238" s="2" t="s">
        <v>4764</v>
      </c>
      <c r="K1238" s="2" t="s">
        <v>458</v>
      </c>
      <c r="L1238" s="3">
        <v>17.85</v>
      </c>
      <c r="M1238" s="3">
        <v>18.74</v>
      </c>
      <c r="N1238" s="3">
        <v>37.99</v>
      </c>
      <c r="O1238" s="2" t="s">
        <v>97</v>
      </c>
      <c r="P1238" s="2" t="s">
        <v>98</v>
      </c>
      <c r="Q1238" s="2" t="s">
        <v>99</v>
      </c>
      <c r="R1238" s="2" t="s">
        <v>100</v>
      </c>
      <c r="S1238" s="2" t="s">
        <v>4798</v>
      </c>
      <c r="T1238" s="2" t="s">
        <v>190</v>
      </c>
      <c r="U1238" s="2" t="s">
        <v>1776</v>
      </c>
      <c r="V1238" s="2" t="s">
        <v>492</v>
      </c>
      <c r="W1238" s="2" t="s">
        <v>142</v>
      </c>
      <c r="X1238" s="2" t="s">
        <v>100</v>
      </c>
      <c r="Y1238" s="2" t="s">
        <v>4799</v>
      </c>
      <c r="Z1238" s="4">
        <v>232</v>
      </c>
      <c r="AA1238" s="4">
        <f>=ROUNDDOWN(11.047619047619,0)</f>
      </c>
      <c r="AB1238" s="5">
        <v>21</v>
      </c>
      <c r="AC1238" s="2" t="s">
        <v>1468</v>
      </c>
      <c r="AD1238" s="4">
        <v>220</v>
      </c>
      <c r="AE1238" s="4">
        <v>710</v>
      </c>
      <c r="AF1238" s="6">
        <v>69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/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 t="s">
        <v>100</v>
      </c>
      <c r="BJ1238" s="4">
        <v>59</v>
      </c>
      <c r="BK1238" s="8">
        <v>1204.61</v>
      </c>
      <c r="BL1238" s="2" t="s">
        <v>632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171</v>
      </c>
      <c r="BV1238" s="2" t="s">
        <v>97</v>
      </c>
      <c r="BW1238" s="2" t="s">
        <v>100</v>
      </c>
      <c r="BX1238" s="2" t="s">
        <v>100</v>
      </c>
      <c r="BY1238" s="2" t="s">
        <v>112</v>
      </c>
      <c r="BZ1238" s="2" t="s">
        <v>100</v>
      </c>
    </row>
    <row r="1239">
      <c r="A1239" s="2" t="s">
        <v>4801</v>
      </c>
      <c r="B1239" s="2" t="s">
        <v>4552</v>
      </c>
      <c r="C1239" s="2" t="s">
        <v>88</v>
      </c>
      <c r="D1239" s="2" t="s">
        <v>4758</v>
      </c>
      <c r="E1239" s="2" t="s">
        <v>4759</v>
      </c>
      <c r="F1239" s="2" t="s">
        <v>4760</v>
      </c>
      <c r="G1239" s="2" t="s">
        <v>4761</v>
      </c>
      <c r="H1239" s="2" t="s">
        <v>4762</v>
      </c>
      <c r="I1239" s="2" t="s">
        <v>4770</v>
      </c>
      <c r="J1239" s="2" t="s">
        <v>4771</v>
      </c>
      <c r="K1239" s="2" t="s">
        <v>458</v>
      </c>
      <c r="L1239" s="3">
        <v>30.26</v>
      </c>
      <c r="M1239" s="3">
        <v>31.77</v>
      </c>
      <c r="N1239" s="3">
        <v>62.99</v>
      </c>
      <c r="O1239" s="2" t="s">
        <v>97</v>
      </c>
      <c r="P1239" s="2" t="s">
        <v>98</v>
      </c>
      <c r="Q1239" s="2" t="s">
        <v>99</v>
      </c>
      <c r="R1239" s="2" t="s">
        <v>100</v>
      </c>
      <c r="S1239" s="2" t="s">
        <v>4798</v>
      </c>
      <c r="T1239" s="2" t="s">
        <v>190</v>
      </c>
      <c r="U1239" s="2" t="s">
        <v>1776</v>
      </c>
      <c r="V1239" s="2" t="s">
        <v>492</v>
      </c>
      <c r="W1239" s="2" t="s">
        <v>142</v>
      </c>
      <c r="X1239" s="2" t="s">
        <v>100</v>
      </c>
      <c r="Y1239" s="2" t="s">
        <v>4799</v>
      </c>
      <c r="Z1239" s="4">
        <v>119</v>
      </c>
      <c r="AA1239" s="4">
        <f>=ROUNDDOWN(7.93333333333333,0)</f>
      </c>
      <c r="AB1239" s="5">
        <v>15</v>
      </c>
      <c r="AC1239" s="2" t="s">
        <v>1468</v>
      </c>
      <c r="AD1239" s="4">
        <v>140</v>
      </c>
      <c r="AE1239" s="4">
        <v>550</v>
      </c>
      <c r="AF1239" s="6">
        <v>69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100</v>
      </c>
      <c r="AW1239" s="8" t="s">
        <v>100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/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 t="s">
        <v>100</v>
      </c>
      <c r="BJ1239" s="4">
        <v>43</v>
      </c>
      <c r="BK1239" s="8">
        <v>1446.62</v>
      </c>
      <c r="BL1239" s="2" t="s">
        <v>610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171</v>
      </c>
      <c r="BV1239" s="2" t="s">
        <v>97</v>
      </c>
      <c r="BW1239" s="2" t="s">
        <v>100</v>
      </c>
      <c r="BX1239" s="2" t="s">
        <v>100</v>
      </c>
      <c r="BY1239" s="2" t="s">
        <v>112</v>
      </c>
      <c r="BZ1239" s="2" t="s">
        <v>100</v>
      </c>
    </row>
    <row r="1240">
      <c r="A1240" s="2" t="s">
        <v>4802</v>
      </c>
      <c r="B1240" s="2" t="s">
        <v>4552</v>
      </c>
      <c r="C1240" s="2" t="s">
        <v>88</v>
      </c>
      <c r="D1240" s="2" t="s">
        <v>4758</v>
      </c>
      <c r="E1240" s="2" t="s">
        <v>4759</v>
      </c>
      <c r="F1240" s="2" t="s">
        <v>4803</v>
      </c>
      <c r="G1240" s="2" t="s">
        <v>4804</v>
      </c>
      <c r="H1240" s="2" t="s">
        <v>4805</v>
      </c>
      <c r="I1240" s="2" t="s">
        <v>4806</v>
      </c>
      <c r="J1240" s="2" t="s">
        <v>4775</v>
      </c>
      <c r="K1240" s="2" t="s">
        <v>673</v>
      </c>
      <c r="L1240" s="3">
        <v>13.39</v>
      </c>
      <c r="M1240" s="3">
        <v>14.06</v>
      </c>
      <c r="N1240" s="3">
        <v>27.99</v>
      </c>
      <c r="O1240" s="2" t="s">
        <v>97</v>
      </c>
      <c r="P1240" s="2" t="s">
        <v>123</v>
      </c>
      <c r="Q1240" s="2" t="s">
        <v>99</v>
      </c>
      <c r="R1240" s="2" t="s">
        <v>100</v>
      </c>
      <c r="S1240" s="2" t="s">
        <v>4807</v>
      </c>
      <c r="T1240" s="2" t="s">
        <v>190</v>
      </c>
      <c r="U1240" s="2" t="s">
        <v>1776</v>
      </c>
      <c r="V1240" s="2" t="s">
        <v>103</v>
      </c>
      <c r="W1240" s="2" t="s">
        <v>686</v>
      </c>
      <c r="X1240" s="2" t="s">
        <v>100</v>
      </c>
      <c r="Y1240" s="2" t="s">
        <v>3759</v>
      </c>
      <c r="Z1240" s="4">
        <v>1500</v>
      </c>
      <c r="AA1240" s="4">
        <f>=ROUNDDOWN(25,0)</f>
      </c>
      <c r="AB1240" s="5">
        <v>60</v>
      </c>
      <c r="AC1240" s="2" t="s">
        <v>2709</v>
      </c>
      <c r="AD1240" s="4">
        <v>504</v>
      </c>
      <c r="AE1240" s="4">
        <v>708</v>
      </c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2</v>
      </c>
      <c r="AQ1240" s="8">
        <v>28.86</v>
      </c>
      <c r="AR1240" s="4"/>
      <c r="AS1240" s="8"/>
      <c r="AT1240" s="7"/>
      <c r="AU1240" s="7"/>
      <c r="AV1240" s="4">
        <v>4</v>
      </c>
      <c r="AW1240" s="8">
        <v>57.72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0.5</v>
      </c>
      <c r="BC1240" s="4">
        <v>4</v>
      </c>
      <c r="BD1240" s="8">
        <v>57.72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>
        <v>1</v>
      </c>
      <c r="BJ1240" s="4">
        <v>131</v>
      </c>
      <c r="BK1240" s="8">
        <v>2015.91</v>
      </c>
      <c r="BL1240" s="2" t="s">
        <v>4808</v>
      </c>
      <c r="BM1240" s="7">
        <v>0.0153</v>
      </c>
      <c r="BN1240" s="7">
        <v>0.0143</v>
      </c>
      <c r="BO1240" s="4">
        <v>2</v>
      </c>
      <c r="BP1240" s="8">
        <v>28.86</v>
      </c>
      <c r="BQ1240" s="4"/>
      <c r="BR1240" s="8"/>
      <c r="BS1240" s="7"/>
      <c r="BT1240" s="7"/>
      <c r="BU1240" s="2" t="s">
        <v>109</v>
      </c>
      <c r="BV1240" s="2" t="s">
        <v>97</v>
      </c>
      <c r="BW1240" s="2" t="s">
        <v>4809</v>
      </c>
      <c r="BX1240" s="2" t="s">
        <v>4810</v>
      </c>
      <c r="BY1240" s="2" t="s">
        <v>112</v>
      </c>
      <c r="BZ1240" s="2" t="s">
        <v>100</v>
      </c>
    </row>
    <row r="1241">
      <c r="A1241" s="2" t="s">
        <v>4811</v>
      </c>
      <c r="B1241" s="2" t="s">
        <v>4552</v>
      </c>
      <c r="C1241" s="2" t="s">
        <v>88</v>
      </c>
      <c r="D1241" s="2" t="s">
        <v>4758</v>
      </c>
      <c r="E1241" s="2" t="s">
        <v>4759</v>
      </c>
      <c r="F1241" s="2" t="s">
        <v>4803</v>
      </c>
      <c r="G1241" s="2" t="s">
        <v>4804</v>
      </c>
      <c r="H1241" s="2" t="s">
        <v>4805</v>
      </c>
      <c r="I1241" s="2" t="s">
        <v>4806</v>
      </c>
      <c r="J1241" s="2" t="s">
        <v>4812</v>
      </c>
      <c r="K1241" s="2" t="s">
        <v>673</v>
      </c>
      <c r="L1241" s="3">
        <v>13.39</v>
      </c>
      <c r="M1241" s="3">
        <v>14.06</v>
      </c>
      <c r="N1241" s="3">
        <v>27.99</v>
      </c>
      <c r="O1241" s="2" t="s">
        <v>97</v>
      </c>
      <c r="P1241" s="2" t="s">
        <v>139</v>
      </c>
      <c r="Q1241" s="2" t="s">
        <v>99</v>
      </c>
      <c r="R1241" s="2" t="s">
        <v>100</v>
      </c>
      <c r="S1241" s="2" t="s">
        <v>4807</v>
      </c>
      <c r="T1241" s="2" t="s">
        <v>190</v>
      </c>
      <c r="U1241" s="2" t="s">
        <v>1776</v>
      </c>
      <c r="V1241" s="2" t="s">
        <v>103</v>
      </c>
      <c r="W1241" s="2" t="s">
        <v>686</v>
      </c>
      <c r="X1241" s="2" t="s">
        <v>100</v>
      </c>
      <c r="Y1241" s="2" t="s">
        <v>3759</v>
      </c>
      <c r="Z1241" s="4">
        <v>1997</v>
      </c>
      <c r="AA1241" s="4">
        <f>=ROUNDDOWN(16.6416666666667,0)</f>
      </c>
      <c r="AB1241" s="5">
        <v>120</v>
      </c>
      <c r="AC1241" s="2" t="s">
        <v>2709</v>
      </c>
      <c r="AD1241" s="4">
        <v>1344</v>
      </c>
      <c r="AE1241" s="4">
        <v>2448</v>
      </c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2</v>
      </c>
      <c r="AQ1241" s="8">
        <v>28.86</v>
      </c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>
        <v>0.5</v>
      </c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 t="s">
        <v>100</v>
      </c>
      <c r="BJ1241" s="4">
        <v>368</v>
      </c>
      <c r="BK1241" s="8">
        <v>5462.02</v>
      </c>
      <c r="BL1241" s="2" t="s">
        <v>4813</v>
      </c>
      <c r="BM1241" s="7">
        <v>0.0054</v>
      </c>
      <c r="BN1241" s="7">
        <v>0.0053</v>
      </c>
      <c r="BO1241" s="4">
        <v>2</v>
      </c>
      <c r="BP1241" s="8">
        <v>28.86</v>
      </c>
      <c r="BQ1241" s="4"/>
      <c r="BR1241" s="8"/>
      <c r="BS1241" s="7"/>
      <c r="BT1241" s="7"/>
      <c r="BU1241" s="2" t="s">
        <v>109</v>
      </c>
      <c r="BV1241" s="2" t="s">
        <v>97</v>
      </c>
      <c r="BW1241" s="2" t="s">
        <v>4809</v>
      </c>
      <c r="BX1241" s="2" t="s">
        <v>4814</v>
      </c>
      <c r="BY1241" s="2" t="s">
        <v>112</v>
      </c>
      <c r="BZ1241" s="2" t="s">
        <v>100</v>
      </c>
    </row>
    <row r="1242">
      <c r="A1242" s="2" t="s">
        <v>4815</v>
      </c>
      <c r="B1242" s="2" t="s">
        <v>4552</v>
      </c>
      <c r="C1242" s="2" t="s">
        <v>88</v>
      </c>
      <c r="D1242" s="2" t="s">
        <v>4758</v>
      </c>
      <c r="E1242" s="2" t="s">
        <v>4759</v>
      </c>
      <c r="F1242" s="2" t="s">
        <v>4803</v>
      </c>
      <c r="G1242" s="2" t="s">
        <v>4804</v>
      </c>
      <c r="H1242" s="2" t="s">
        <v>4805</v>
      </c>
      <c r="I1242" s="2" t="s">
        <v>4806</v>
      </c>
      <c r="J1242" s="2" t="s">
        <v>4775</v>
      </c>
      <c r="K1242" s="2" t="s">
        <v>4816</v>
      </c>
      <c r="L1242" s="3">
        <v>13.39</v>
      </c>
      <c r="M1242" s="3">
        <v>14.06</v>
      </c>
      <c r="N1242" s="3">
        <v>27.99</v>
      </c>
      <c r="O1242" s="2" t="s">
        <v>97</v>
      </c>
      <c r="P1242" s="2" t="s">
        <v>98</v>
      </c>
      <c r="Q1242" s="2" t="s">
        <v>99</v>
      </c>
      <c r="R1242" s="2" t="s">
        <v>100</v>
      </c>
      <c r="S1242" s="2" t="s">
        <v>4817</v>
      </c>
      <c r="T1242" s="2" t="s">
        <v>190</v>
      </c>
      <c r="U1242" s="2" t="s">
        <v>1776</v>
      </c>
      <c r="V1242" s="2" t="s">
        <v>103</v>
      </c>
      <c r="W1242" s="2" t="s">
        <v>686</v>
      </c>
      <c r="X1242" s="2" t="s">
        <v>100</v>
      </c>
      <c r="Y1242" s="2" t="s">
        <v>4818</v>
      </c>
      <c r="Z1242" s="4">
        <v>972</v>
      </c>
      <c r="AA1242" s="4">
        <f>=ROUNDDOWN(34.7142857142857,0)</f>
      </c>
      <c r="AB1242" s="5">
        <v>28</v>
      </c>
      <c r="AC1242" s="2" t="s">
        <v>2709</v>
      </c>
      <c r="AD1242" s="4">
        <v>642</v>
      </c>
      <c r="AE1242" s="4">
        <v>642</v>
      </c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/>
      <c r="BJ1242" s="4">
        <v>107</v>
      </c>
      <c r="BK1242" s="8">
        <v>1661.25</v>
      </c>
      <c r="BL1242" s="2" t="s">
        <v>4819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109</v>
      </c>
      <c r="BV1242" s="2" t="s">
        <v>97</v>
      </c>
      <c r="BW1242" s="2" t="s">
        <v>1426</v>
      </c>
      <c r="BX1242" s="2" t="s">
        <v>4820</v>
      </c>
      <c r="BY1242" s="2" t="s">
        <v>112</v>
      </c>
      <c r="BZ1242" s="2" t="s">
        <v>100</v>
      </c>
    </row>
    <row r="1243">
      <c r="A1243" s="2" t="s">
        <v>4821</v>
      </c>
      <c r="B1243" s="2" t="s">
        <v>4552</v>
      </c>
      <c r="C1243" s="2" t="s">
        <v>88</v>
      </c>
      <c r="D1243" s="2" t="s">
        <v>4758</v>
      </c>
      <c r="E1243" s="2" t="s">
        <v>4759</v>
      </c>
      <c r="F1243" s="2" t="s">
        <v>4822</v>
      </c>
      <c r="G1243" s="2" t="s">
        <v>4822</v>
      </c>
      <c r="H1243" s="2" t="s">
        <v>4822</v>
      </c>
      <c r="I1243" s="2" t="s">
        <v>4823</v>
      </c>
      <c r="J1243" s="2" t="s">
        <v>4775</v>
      </c>
      <c r="K1243" s="2" t="s">
        <v>96</v>
      </c>
      <c r="L1243" s="3">
        <v>11.25</v>
      </c>
      <c r="M1243" s="3">
        <v>11.81</v>
      </c>
      <c r="N1243" s="3">
        <v>24.99</v>
      </c>
      <c r="O1243" s="2" t="s">
        <v>97</v>
      </c>
      <c r="P1243" s="2" t="s">
        <v>123</v>
      </c>
      <c r="Q1243" s="2" t="s">
        <v>99</v>
      </c>
      <c r="R1243" s="2" t="s">
        <v>100</v>
      </c>
      <c r="S1243" s="2" t="s">
        <v>4824</v>
      </c>
      <c r="T1243" s="2" t="s">
        <v>100</v>
      </c>
      <c r="U1243" s="2" t="s">
        <v>100</v>
      </c>
      <c r="V1243" s="2" t="s">
        <v>367</v>
      </c>
      <c r="W1243" s="2" t="s">
        <v>609</v>
      </c>
      <c r="X1243" s="2" t="s">
        <v>100</v>
      </c>
      <c r="Y1243" s="2" t="s">
        <v>144</v>
      </c>
      <c r="Z1243" s="4">
        <v>1375</v>
      </c>
      <c r="AA1243" s="4">
        <f>=ROUNDDOWN(22.9166666666667,0)</f>
      </c>
      <c r="AB1243" s="5">
        <v>60</v>
      </c>
      <c r="AC1243" s="2" t="s">
        <v>389</v>
      </c>
      <c r="AD1243" s="4">
        <v>420</v>
      </c>
      <c r="AE1243" s="4">
        <v>1020</v>
      </c>
      <c r="AF1243" s="6">
        <v>67</v>
      </c>
      <c r="AG1243" s="6"/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2</v>
      </c>
      <c r="AQ1243" s="8">
        <v>23.1</v>
      </c>
      <c r="AR1243" s="4"/>
      <c r="AS1243" s="8"/>
      <c r="AT1243" s="7"/>
      <c r="AU1243" s="7"/>
      <c r="AV1243" s="4">
        <v>2</v>
      </c>
      <c r="AW1243" s="8">
        <v>23.1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>
        <v>1</v>
      </c>
      <c r="BC1243" s="4">
        <v>2</v>
      </c>
      <c r="BD1243" s="8">
        <v>23.1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>
        <v>1</v>
      </c>
      <c r="BJ1243" s="4">
        <v>223</v>
      </c>
      <c r="BK1243" s="8">
        <v>2785.85</v>
      </c>
      <c r="BL1243" s="2" t="s">
        <v>4825</v>
      </c>
      <c r="BM1243" s="7">
        <v>0.009</v>
      </c>
      <c r="BN1243" s="7">
        <v>0.0083</v>
      </c>
      <c r="BO1243" s="4">
        <v>2</v>
      </c>
      <c r="BP1243" s="8">
        <v>23.1</v>
      </c>
      <c r="BQ1243" s="4"/>
      <c r="BR1243" s="8"/>
      <c r="BS1243" s="7"/>
      <c r="BT1243" s="7"/>
      <c r="BU1243" s="2" t="s">
        <v>109</v>
      </c>
      <c r="BV1243" s="2" t="s">
        <v>97</v>
      </c>
      <c r="BW1243" s="2" t="s">
        <v>4568</v>
      </c>
      <c r="BX1243" s="2" t="s">
        <v>4194</v>
      </c>
      <c r="BY1243" s="2" t="s">
        <v>112</v>
      </c>
      <c r="BZ1243" s="2" t="s">
        <v>100</v>
      </c>
    </row>
    <row r="1244">
      <c r="A1244" s="2" t="s">
        <v>4826</v>
      </c>
      <c r="B1244" s="2" t="s">
        <v>4552</v>
      </c>
      <c r="C1244" s="2" t="s">
        <v>88</v>
      </c>
      <c r="D1244" s="2" t="s">
        <v>4758</v>
      </c>
      <c r="E1244" s="2" t="s">
        <v>4759</v>
      </c>
      <c r="F1244" s="2" t="s">
        <v>4822</v>
      </c>
      <c r="G1244" s="2" t="s">
        <v>4822</v>
      </c>
      <c r="H1244" s="2" t="s">
        <v>4822</v>
      </c>
      <c r="I1244" s="2" t="s">
        <v>4823</v>
      </c>
      <c r="J1244" s="2" t="s">
        <v>4771</v>
      </c>
      <c r="K1244" s="2" t="s">
        <v>96</v>
      </c>
      <c r="L1244" s="3">
        <v>24</v>
      </c>
      <c r="M1244" s="3">
        <v>25.2</v>
      </c>
      <c r="N1244" s="3">
        <v>49.99</v>
      </c>
      <c r="O1244" s="2" t="s">
        <v>97</v>
      </c>
      <c r="P1244" s="2" t="s">
        <v>123</v>
      </c>
      <c r="Q1244" s="2" t="s">
        <v>99</v>
      </c>
      <c r="R1244" s="2" t="s">
        <v>100</v>
      </c>
      <c r="S1244" s="2" t="s">
        <v>4827</v>
      </c>
      <c r="T1244" s="2" t="s">
        <v>100</v>
      </c>
      <c r="U1244" s="2" t="s">
        <v>100</v>
      </c>
      <c r="V1244" s="2" t="s">
        <v>367</v>
      </c>
      <c r="W1244" s="2" t="s">
        <v>609</v>
      </c>
      <c r="X1244" s="2" t="s">
        <v>100</v>
      </c>
      <c r="Y1244" s="2" t="s">
        <v>144</v>
      </c>
      <c r="Z1244" s="4">
        <v>455</v>
      </c>
      <c r="AA1244" s="4">
        <f>=ROUNDDOWN(28.4375,0)</f>
      </c>
      <c r="AB1244" s="5">
        <v>16</v>
      </c>
      <c r="AC1244" s="2" t="s">
        <v>389</v>
      </c>
      <c r="AD1244" s="4">
        <v>30</v>
      </c>
      <c r="AE1244" s="4">
        <v>170</v>
      </c>
      <c r="AF1244" s="6">
        <v>67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/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 t="s">
        <v>100</v>
      </c>
      <c r="BJ1244" s="4">
        <v>43</v>
      </c>
      <c r="BK1244" s="8">
        <v>1167.8</v>
      </c>
      <c r="BL1244" s="2" t="s">
        <v>4828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109</v>
      </c>
      <c r="BV1244" s="2" t="s">
        <v>97</v>
      </c>
      <c r="BW1244" s="2" t="s">
        <v>4568</v>
      </c>
      <c r="BX1244" s="2" t="s">
        <v>873</v>
      </c>
      <c r="BY1244" s="2" t="s">
        <v>112</v>
      </c>
      <c r="BZ1244" s="2" t="s">
        <v>100</v>
      </c>
    </row>
    <row r="1245">
      <c r="A1245" s="2" t="s">
        <v>4829</v>
      </c>
      <c r="B1245" s="2" t="s">
        <v>4552</v>
      </c>
      <c r="C1245" s="2" t="s">
        <v>88</v>
      </c>
      <c r="D1245" s="2" t="s">
        <v>4758</v>
      </c>
      <c r="E1245" s="2" t="s">
        <v>4759</v>
      </c>
      <c r="F1245" s="2" t="s">
        <v>4822</v>
      </c>
      <c r="G1245" s="2" t="s">
        <v>4822</v>
      </c>
      <c r="H1245" s="2" t="s">
        <v>4822</v>
      </c>
      <c r="I1245" s="2" t="s">
        <v>4823</v>
      </c>
      <c r="J1245" s="2" t="s">
        <v>4830</v>
      </c>
      <c r="K1245" s="2" t="s">
        <v>96</v>
      </c>
      <c r="L1245" s="3">
        <v>19.2</v>
      </c>
      <c r="M1245" s="3">
        <v>20.16</v>
      </c>
      <c r="N1245" s="3">
        <v>39.99</v>
      </c>
      <c r="O1245" s="2" t="s">
        <v>97</v>
      </c>
      <c r="P1245" s="2" t="s">
        <v>123</v>
      </c>
      <c r="Q1245" s="2" t="s">
        <v>99</v>
      </c>
      <c r="R1245" s="2" t="s">
        <v>100</v>
      </c>
      <c r="S1245" s="2" t="s">
        <v>4827</v>
      </c>
      <c r="T1245" s="2" t="s">
        <v>100</v>
      </c>
      <c r="U1245" s="2" t="s">
        <v>100</v>
      </c>
      <c r="V1245" s="2" t="s">
        <v>367</v>
      </c>
      <c r="W1245" s="2" t="s">
        <v>609</v>
      </c>
      <c r="X1245" s="2" t="s">
        <v>100</v>
      </c>
      <c r="Y1245" s="2" t="s">
        <v>144</v>
      </c>
      <c r="Z1245" s="4">
        <v>561</v>
      </c>
      <c r="AA1245" s="4">
        <f>=ROUNDDOWN(28.05,0)</f>
      </c>
      <c r="AB1245" s="5">
        <v>20</v>
      </c>
      <c r="AC1245" s="2" t="s">
        <v>389</v>
      </c>
      <c r="AD1245" s="4">
        <v>170</v>
      </c>
      <c r="AE1245" s="4">
        <v>250</v>
      </c>
      <c r="AF1245" s="6">
        <v>67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/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 t="s">
        <v>100</v>
      </c>
      <c r="BJ1245" s="4">
        <v>69</v>
      </c>
      <c r="BK1245" s="8">
        <v>1431.13</v>
      </c>
      <c r="BL1245" s="2" t="s">
        <v>4819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109</v>
      </c>
      <c r="BV1245" s="2" t="s">
        <v>97</v>
      </c>
      <c r="BW1245" s="2" t="s">
        <v>4568</v>
      </c>
      <c r="BX1245" s="2" t="s">
        <v>4194</v>
      </c>
      <c r="BY1245" s="2" t="s">
        <v>112</v>
      </c>
      <c r="BZ1245" s="2" t="s">
        <v>100</v>
      </c>
    </row>
    <row r="1246">
      <c r="A1246" s="2" t="s">
        <v>4831</v>
      </c>
      <c r="B1246" s="2" t="s">
        <v>4552</v>
      </c>
      <c r="C1246" s="2" t="s">
        <v>88</v>
      </c>
      <c r="D1246" s="2" t="s">
        <v>4758</v>
      </c>
      <c r="E1246" s="2" t="s">
        <v>4759</v>
      </c>
      <c r="F1246" s="2" t="s">
        <v>4822</v>
      </c>
      <c r="G1246" s="2" t="s">
        <v>4822</v>
      </c>
      <c r="H1246" s="2" t="s">
        <v>4822</v>
      </c>
      <c r="I1246" s="2" t="s">
        <v>4823</v>
      </c>
      <c r="J1246" s="2" t="s">
        <v>4775</v>
      </c>
      <c r="K1246" s="2" t="s">
        <v>471</v>
      </c>
      <c r="L1246" s="3">
        <v>11.25</v>
      </c>
      <c r="M1246" s="3">
        <v>11.81</v>
      </c>
      <c r="N1246" s="3">
        <v>24.99</v>
      </c>
      <c r="O1246" s="2" t="s">
        <v>97</v>
      </c>
      <c r="P1246" s="2" t="s">
        <v>98</v>
      </c>
      <c r="Q1246" s="2" t="s">
        <v>99</v>
      </c>
      <c r="R1246" s="2" t="s">
        <v>100</v>
      </c>
      <c r="S1246" s="2" t="s">
        <v>4832</v>
      </c>
      <c r="T1246" s="2" t="s">
        <v>100</v>
      </c>
      <c r="U1246" s="2" t="s">
        <v>100</v>
      </c>
      <c r="V1246" s="2" t="s">
        <v>367</v>
      </c>
      <c r="W1246" s="2" t="s">
        <v>609</v>
      </c>
      <c r="X1246" s="2" t="s">
        <v>100</v>
      </c>
      <c r="Y1246" s="2" t="s">
        <v>144</v>
      </c>
      <c r="Z1246" s="4">
        <v>1007</v>
      </c>
      <c r="AA1246" s="4">
        <f>=ROUNDDOWN(26.5,0)</f>
      </c>
      <c r="AB1246" s="5">
        <v>38</v>
      </c>
      <c r="AC1246" s="2" t="s">
        <v>389</v>
      </c>
      <c r="AD1246" s="4">
        <v>340</v>
      </c>
      <c r="AE1246" s="4">
        <v>910</v>
      </c>
      <c r="AF1246" s="6">
        <v>67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/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 t="s">
        <v>100</v>
      </c>
      <c r="BJ1246" s="4">
        <v>131</v>
      </c>
      <c r="BK1246" s="8">
        <v>1589.25</v>
      </c>
      <c r="BL1246" s="2" t="s">
        <v>2844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109</v>
      </c>
      <c r="BV1246" s="2" t="s">
        <v>97</v>
      </c>
      <c r="BW1246" s="2" t="s">
        <v>4568</v>
      </c>
      <c r="BX1246" s="2" t="s">
        <v>1892</v>
      </c>
      <c r="BY1246" s="2" t="s">
        <v>112</v>
      </c>
      <c r="BZ1246" s="2" t="s">
        <v>149</v>
      </c>
    </row>
    <row r="1247">
      <c r="A1247" s="2" t="s">
        <v>4833</v>
      </c>
      <c r="B1247" s="2" t="s">
        <v>4552</v>
      </c>
      <c r="C1247" s="2" t="s">
        <v>88</v>
      </c>
      <c r="D1247" s="2" t="s">
        <v>4758</v>
      </c>
      <c r="E1247" s="2" t="s">
        <v>4759</v>
      </c>
      <c r="F1247" s="2" t="s">
        <v>4822</v>
      </c>
      <c r="G1247" s="2" t="s">
        <v>4822</v>
      </c>
      <c r="H1247" s="2" t="s">
        <v>4822</v>
      </c>
      <c r="I1247" s="2" t="s">
        <v>4823</v>
      </c>
      <c r="J1247" s="2" t="s">
        <v>4771</v>
      </c>
      <c r="K1247" s="2" t="s">
        <v>471</v>
      </c>
      <c r="L1247" s="3">
        <v>24</v>
      </c>
      <c r="M1247" s="3">
        <v>25.2</v>
      </c>
      <c r="N1247" s="3">
        <v>49.99</v>
      </c>
      <c r="O1247" s="2" t="s">
        <v>97</v>
      </c>
      <c r="P1247" s="2" t="s">
        <v>98</v>
      </c>
      <c r="Q1247" s="2" t="s">
        <v>99</v>
      </c>
      <c r="R1247" s="2" t="s">
        <v>100</v>
      </c>
      <c r="S1247" s="2" t="s">
        <v>4832</v>
      </c>
      <c r="T1247" s="2" t="s">
        <v>100</v>
      </c>
      <c r="U1247" s="2" t="s">
        <v>100</v>
      </c>
      <c r="V1247" s="2" t="s">
        <v>367</v>
      </c>
      <c r="W1247" s="2" t="s">
        <v>609</v>
      </c>
      <c r="X1247" s="2" t="s">
        <v>100</v>
      </c>
      <c r="Y1247" s="2" t="s">
        <v>144</v>
      </c>
      <c r="Z1247" s="4">
        <v>230</v>
      </c>
      <c r="AA1247" s="4">
        <f>=ROUNDDOWN(28.75,0)</f>
      </c>
      <c r="AB1247" s="5">
        <v>8</v>
      </c>
      <c r="AC1247" s="2" t="s">
        <v>389</v>
      </c>
      <c r="AD1247" s="4">
        <v>90</v>
      </c>
      <c r="AE1247" s="4">
        <v>120</v>
      </c>
      <c r="AF1247" s="6">
        <v>67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/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 t="s">
        <v>100</v>
      </c>
      <c r="BJ1247" s="4">
        <v>15</v>
      </c>
      <c r="BK1247" s="8">
        <v>409.5</v>
      </c>
      <c r="BL1247" s="2" t="s">
        <v>1694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109</v>
      </c>
      <c r="BV1247" s="2" t="s">
        <v>97</v>
      </c>
      <c r="BW1247" s="2" t="s">
        <v>4568</v>
      </c>
      <c r="BX1247" s="2" t="s">
        <v>4180</v>
      </c>
      <c r="BY1247" s="2" t="s">
        <v>112</v>
      </c>
      <c r="BZ1247" s="2" t="s">
        <v>100</v>
      </c>
    </row>
    <row r="1248">
      <c r="A1248" s="2" t="s">
        <v>4834</v>
      </c>
      <c r="B1248" s="2" t="s">
        <v>4552</v>
      </c>
      <c r="C1248" s="2" t="s">
        <v>88</v>
      </c>
      <c r="D1248" s="2" t="s">
        <v>4758</v>
      </c>
      <c r="E1248" s="2" t="s">
        <v>4759</v>
      </c>
      <c r="F1248" s="2" t="s">
        <v>4822</v>
      </c>
      <c r="G1248" s="2" t="s">
        <v>4822</v>
      </c>
      <c r="H1248" s="2" t="s">
        <v>4822</v>
      </c>
      <c r="I1248" s="2" t="s">
        <v>4823</v>
      </c>
      <c r="J1248" s="2" t="s">
        <v>4775</v>
      </c>
      <c r="K1248" s="2" t="s">
        <v>179</v>
      </c>
      <c r="L1248" s="3">
        <v>11.25</v>
      </c>
      <c r="M1248" s="3">
        <v>11.81</v>
      </c>
      <c r="N1248" s="3">
        <v>24.99</v>
      </c>
      <c r="O1248" s="2" t="s">
        <v>97</v>
      </c>
      <c r="P1248" s="2" t="s">
        <v>98</v>
      </c>
      <c r="Q1248" s="2" t="s">
        <v>99</v>
      </c>
      <c r="R1248" s="2" t="s">
        <v>100</v>
      </c>
      <c r="S1248" s="2" t="s">
        <v>4835</v>
      </c>
      <c r="T1248" s="2" t="s">
        <v>190</v>
      </c>
      <c r="U1248" s="2" t="s">
        <v>1776</v>
      </c>
      <c r="V1248" s="2" t="s">
        <v>367</v>
      </c>
      <c r="W1248" s="2" t="s">
        <v>609</v>
      </c>
      <c r="X1248" s="2" t="s">
        <v>100</v>
      </c>
      <c r="Y1248" s="2" t="s">
        <v>4836</v>
      </c>
      <c r="Z1248" s="4">
        <v>1553</v>
      </c>
      <c r="AA1248" s="4">
        <f>=ROUNDDOWN(25.4590163934426,0)</f>
      </c>
      <c r="AB1248" s="5">
        <v>61</v>
      </c>
      <c r="AC1248" s="2" t="s">
        <v>389</v>
      </c>
      <c r="AD1248" s="4">
        <v>410</v>
      </c>
      <c r="AE1248" s="4">
        <v>810</v>
      </c>
      <c r="AF1248" s="6">
        <v>67</v>
      </c>
      <c r="AG1248" s="6"/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/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 t="s">
        <v>100</v>
      </c>
      <c r="BJ1248" s="4">
        <v>184</v>
      </c>
      <c r="BK1248" s="8">
        <v>2293.63</v>
      </c>
      <c r="BL1248" s="2" t="s">
        <v>4837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109</v>
      </c>
      <c r="BV1248" s="2" t="s">
        <v>97</v>
      </c>
      <c r="BW1248" s="2" t="s">
        <v>1426</v>
      </c>
      <c r="BX1248" s="2" t="s">
        <v>4838</v>
      </c>
      <c r="BY1248" s="2" t="s">
        <v>112</v>
      </c>
      <c r="BZ1248" s="2" t="s">
        <v>149</v>
      </c>
    </row>
    <row r="1249">
      <c r="A1249" s="2" t="s">
        <v>4839</v>
      </c>
      <c r="B1249" s="2" t="s">
        <v>4552</v>
      </c>
      <c r="C1249" s="2" t="s">
        <v>88</v>
      </c>
      <c r="D1249" s="2" t="s">
        <v>4758</v>
      </c>
      <c r="E1249" s="2" t="s">
        <v>4759</v>
      </c>
      <c r="F1249" s="2" t="s">
        <v>4822</v>
      </c>
      <c r="G1249" s="2" t="s">
        <v>4822</v>
      </c>
      <c r="H1249" s="2" t="s">
        <v>4822</v>
      </c>
      <c r="I1249" s="2" t="s">
        <v>4823</v>
      </c>
      <c r="J1249" s="2" t="s">
        <v>4771</v>
      </c>
      <c r="K1249" s="2" t="s">
        <v>179</v>
      </c>
      <c r="L1249" s="3">
        <v>24</v>
      </c>
      <c r="M1249" s="3">
        <v>25.2</v>
      </c>
      <c r="N1249" s="3">
        <v>49.99</v>
      </c>
      <c r="O1249" s="2" t="s">
        <v>97</v>
      </c>
      <c r="P1249" s="2" t="s">
        <v>98</v>
      </c>
      <c r="Q1249" s="2" t="s">
        <v>99</v>
      </c>
      <c r="R1249" s="2" t="s">
        <v>100</v>
      </c>
      <c r="S1249" s="2" t="s">
        <v>4835</v>
      </c>
      <c r="T1249" s="2" t="s">
        <v>190</v>
      </c>
      <c r="U1249" s="2" t="s">
        <v>1776</v>
      </c>
      <c r="V1249" s="2" t="s">
        <v>367</v>
      </c>
      <c r="W1249" s="2" t="s">
        <v>609</v>
      </c>
      <c r="X1249" s="2" t="s">
        <v>100</v>
      </c>
      <c r="Y1249" s="2" t="s">
        <v>4836</v>
      </c>
      <c r="Z1249" s="4">
        <v>317</v>
      </c>
      <c r="AA1249" s="4">
        <f>=ROUNDDOWN(35.2222222222222,0)</f>
      </c>
      <c r="AB1249" s="5">
        <v>9</v>
      </c>
      <c r="AC1249" s="2" t="s">
        <v>389</v>
      </c>
      <c r="AD1249" s="4">
        <v>70</v>
      </c>
      <c r="AE1249" s="4">
        <v>70</v>
      </c>
      <c r="AF1249" s="6">
        <v>67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100</v>
      </c>
      <c r="AW1249" s="8" t="s">
        <v>100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/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 t="s">
        <v>100</v>
      </c>
      <c r="BJ1249" s="4">
        <v>29</v>
      </c>
      <c r="BK1249" s="8">
        <v>792</v>
      </c>
      <c r="BL1249" s="2" t="s">
        <v>4840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109</v>
      </c>
      <c r="BV1249" s="2" t="s">
        <v>97</v>
      </c>
      <c r="BW1249" s="2" t="s">
        <v>1426</v>
      </c>
      <c r="BX1249" s="2" t="s">
        <v>4841</v>
      </c>
      <c r="BY1249" s="2" t="s">
        <v>112</v>
      </c>
      <c r="BZ1249" s="2" t="s">
        <v>100</v>
      </c>
    </row>
    <row r="1250">
      <c r="A1250" s="2" t="s">
        <v>4842</v>
      </c>
      <c r="B1250" s="2" t="s">
        <v>4552</v>
      </c>
      <c r="C1250" s="2" t="s">
        <v>88</v>
      </c>
      <c r="D1250" s="2" t="s">
        <v>4758</v>
      </c>
      <c r="E1250" s="2" t="s">
        <v>4759</v>
      </c>
      <c r="F1250" s="2" t="s">
        <v>4576</v>
      </c>
      <c r="G1250" s="2" t="s">
        <v>4577</v>
      </c>
      <c r="H1250" s="2" t="s">
        <v>4578</v>
      </c>
      <c r="I1250" s="2" t="s">
        <v>4843</v>
      </c>
      <c r="J1250" s="2" t="s">
        <v>4775</v>
      </c>
      <c r="K1250" s="2" t="s">
        <v>165</v>
      </c>
      <c r="L1250" s="3">
        <v>13.8</v>
      </c>
      <c r="M1250" s="3">
        <v>14.49</v>
      </c>
      <c r="N1250" s="3">
        <v>29.99</v>
      </c>
      <c r="O1250" s="2" t="s">
        <v>97</v>
      </c>
      <c r="P1250" s="2" t="s">
        <v>98</v>
      </c>
      <c r="Q1250" s="2" t="s">
        <v>99</v>
      </c>
      <c r="R1250" s="2" t="s">
        <v>100</v>
      </c>
      <c r="S1250" s="2" t="s">
        <v>4844</v>
      </c>
      <c r="T1250" s="2" t="s">
        <v>190</v>
      </c>
      <c r="U1250" s="2" t="s">
        <v>1776</v>
      </c>
      <c r="V1250" s="2" t="s">
        <v>4845</v>
      </c>
      <c r="W1250" s="2" t="s">
        <v>142</v>
      </c>
      <c r="X1250" s="2" t="s">
        <v>100</v>
      </c>
      <c r="Y1250" s="2" t="s">
        <v>144</v>
      </c>
      <c r="Z1250" s="4">
        <v>354</v>
      </c>
      <c r="AA1250" s="4">
        <f>=ROUNDDOWN(25.2857142857143,0)</f>
      </c>
      <c r="AB1250" s="5">
        <v>14</v>
      </c>
      <c r="AC1250" s="2" t="s">
        <v>173</v>
      </c>
      <c r="AD1250" s="4">
        <v>150</v>
      </c>
      <c r="AE1250" s="4">
        <v>360</v>
      </c>
      <c r="AF1250" s="6">
        <v>67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/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/>
      <c r="BJ1250" s="4">
        <v>48</v>
      </c>
      <c r="BK1250" s="8">
        <v>722.81</v>
      </c>
      <c r="BL1250" s="2" t="s">
        <v>4846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109</v>
      </c>
      <c r="BV1250" s="2" t="s">
        <v>97</v>
      </c>
      <c r="BW1250" s="2" t="s">
        <v>4568</v>
      </c>
      <c r="BX1250" s="2" t="s">
        <v>1750</v>
      </c>
      <c r="BY1250" s="2" t="s">
        <v>112</v>
      </c>
      <c r="BZ1250" s="2" t="s">
        <v>149</v>
      </c>
    </row>
    <row r="1251">
      <c r="A1251" s="2" t="s">
        <v>4847</v>
      </c>
      <c r="B1251" s="2" t="s">
        <v>4552</v>
      </c>
      <c r="C1251" s="2" t="s">
        <v>88</v>
      </c>
      <c r="D1251" s="2" t="s">
        <v>4758</v>
      </c>
      <c r="E1251" s="2" t="s">
        <v>4759</v>
      </c>
      <c r="F1251" s="2" t="s">
        <v>4576</v>
      </c>
      <c r="G1251" s="2" t="s">
        <v>4577</v>
      </c>
      <c r="H1251" s="2" t="s">
        <v>4578</v>
      </c>
      <c r="I1251" s="2" t="s">
        <v>4843</v>
      </c>
      <c r="J1251" s="2" t="s">
        <v>4830</v>
      </c>
      <c r="K1251" s="2" t="s">
        <v>165</v>
      </c>
      <c r="L1251" s="3">
        <v>20.64</v>
      </c>
      <c r="M1251" s="3">
        <v>21.67</v>
      </c>
      <c r="N1251" s="3">
        <v>42.99</v>
      </c>
      <c r="O1251" s="2" t="s">
        <v>97</v>
      </c>
      <c r="P1251" s="2" t="s">
        <v>98</v>
      </c>
      <c r="Q1251" s="2" t="s">
        <v>99</v>
      </c>
      <c r="R1251" s="2" t="s">
        <v>100</v>
      </c>
      <c r="S1251" s="2" t="s">
        <v>4844</v>
      </c>
      <c r="T1251" s="2" t="s">
        <v>190</v>
      </c>
      <c r="U1251" s="2" t="s">
        <v>1776</v>
      </c>
      <c r="V1251" s="2" t="s">
        <v>4845</v>
      </c>
      <c r="W1251" s="2" t="s">
        <v>142</v>
      </c>
      <c r="X1251" s="2" t="s">
        <v>100</v>
      </c>
      <c r="Y1251" s="2" t="s">
        <v>144</v>
      </c>
      <c r="Z1251" s="4">
        <v>255</v>
      </c>
      <c r="AA1251" s="4">
        <f>=ROUNDDOWN(28.3333333333333,0)</f>
      </c>
      <c r="AB1251" s="5">
        <v>9</v>
      </c>
      <c r="AC1251" s="2" t="s">
        <v>173</v>
      </c>
      <c r="AD1251" s="4">
        <v>120</v>
      </c>
      <c r="AE1251" s="4">
        <v>240</v>
      </c>
      <c r="AF1251" s="6">
        <v>67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/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/>
      <c r="BJ1251" s="4">
        <v>26</v>
      </c>
      <c r="BK1251" s="8">
        <v>579.22</v>
      </c>
      <c r="BL1251" s="2" t="s">
        <v>4848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109</v>
      </c>
      <c r="BV1251" s="2" t="s">
        <v>97</v>
      </c>
      <c r="BW1251" s="2" t="s">
        <v>4568</v>
      </c>
      <c r="BX1251" s="2" t="s">
        <v>4849</v>
      </c>
      <c r="BY1251" s="2" t="s">
        <v>112</v>
      </c>
      <c r="BZ1251" s="2" t="s">
        <v>100</v>
      </c>
    </row>
    <row r="1252">
      <c r="A1252" s="2" t="s">
        <v>4850</v>
      </c>
      <c r="B1252" s="2" t="s">
        <v>4552</v>
      </c>
      <c r="C1252" s="2" t="s">
        <v>88</v>
      </c>
      <c r="D1252" s="2" t="s">
        <v>4758</v>
      </c>
      <c r="E1252" s="2" t="s">
        <v>4759</v>
      </c>
      <c r="F1252" s="2" t="s">
        <v>4576</v>
      </c>
      <c r="G1252" s="2" t="s">
        <v>4577</v>
      </c>
      <c r="H1252" s="2" t="s">
        <v>4578</v>
      </c>
      <c r="I1252" s="2" t="s">
        <v>4843</v>
      </c>
      <c r="J1252" s="2" t="s">
        <v>4775</v>
      </c>
      <c r="K1252" s="2" t="s">
        <v>179</v>
      </c>
      <c r="L1252" s="3">
        <v>13.8</v>
      </c>
      <c r="M1252" s="3">
        <v>14.49</v>
      </c>
      <c r="N1252" s="3">
        <v>29.99</v>
      </c>
      <c r="O1252" s="2" t="s">
        <v>97</v>
      </c>
      <c r="P1252" s="2" t="s">
        <v>98</v>
      </c>
      <c r="Q1252" s="2" t="s">
        <v>99</v>
      </c>
      <c r="R1252" s="2" t="s">
        <v>100</v>
      </c>
      <c r="S1252" s="2" t="s">
        <v>4851</v>
      </c>
      <c r="T1252" s="2" t="s">
        <v>190</v>
      </c>
      <c r="U1252" s="2" t="s">
        <v>1776</v>
      </c>
      <c r="V1252" s="2" t="s">
        <v>4845</v>
      </c>
      <c r="W1252" s="2" t="s">
        <v>142</v>
      </c>
      <c r="X1252" s="2" t="s">
        <v>100</v>
      </c>
      <c r="Y1252" s="2" t="s">
        <v>144</v>
      </c>
      <c r="Z1252" s="4">
        <v>1053</v>
      </c>
      <c r="AA1252" s="4">
        <f>=ROUNDDOWN(40.5,0)</f>
      </c>
      <c r="AB1252" s="5">
        <v>26</v>
      </c>
      <c r="AC1252" s="2" t="s">
        <v>100</v>
      </c>
      <c r="AD1252" s="4"/>
      <c r="AE1252" s="4"/>
      <c r="AF1252" s="6">
        <v>67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/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/>
      <c r="BJ1252" s="4">
        <v>80</v>
      </c>
      <c r="BK1252" s="8">
        <v>1164.36</v>
      </c>
      <c r="BL1252" s="2" t="s">
        <v>4852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109</v>
      </c>
      <c r="BV1252" s="2" t="s">
        <v>97</v>
      </c>
      <c r="BW1252" s="2" t="s">
        <v>4568</v>
      </c>
      <c r="BX1252" s="2" t="s">
        <v>4853</v>
      </c>
      <c r="BY1252" s="2" t="s">
        <v>112</v>
      </c>
      <c r="BZ1252" s="2" t="s">
        <v>149</v>
      </c>
    </row>
    <row r="1253">
      <c r="A1253" s="2" t="s">
        <v>4854</v>
      </c>
      <c r="B1253" s="2" t="s">
        <v>4552</v>
      </c>
      <c r="C1253" s="2" t="s">
        <v>88</v>
      </c>
      <c r="D1253" s="2" t="s">
        <v>4758</v>
      </c>
      <c r="E1253" s="2" t="s">
        <v>4759</v>
      </c>
      <c r="F1253" s="2" t="s">
        <v>4576</v>
      </c>
      <c r="G1253" s="2" t="s">
        <v>4577</v>
      </c>
      <c r="H1253" s="2" t="s">
        <v>4578</v>
      </c>
      <c r="I1253" s="2" t="s">
        <v>4843</v>
      </c>
      <c r="J1253" s="2" t="s">
        <v>4855</v>
      </c>
      <c r="K1253" s="2" t="s">
        <v>179</v>
      </c>
      <c r="L1253" s="3">
        <v>25.44</v>
      </c>
      <c r="M1253" s="3">
        <v>26.71</v>
      </c>
      <c r="N1253" s="3">
        <v>52.99</v>
      </c>
      <c r="O1253" s="2" t="s">
        <v>97</v>
      </c>
      <c r="P1253" s="2" t="s">
        <v>98</v>
      </c>
      <c r="Q1253" s="2" t="s">
        <v>99</v>
      </c>
      <c r="R1253" s="2" t="s">
        <v>100</v>
      </c>
      <c r="S1253" s="2" t="s">
        <v>100</v>
      </c>
      <c r="T1253" s="2" t="s">
        <v>100</v>
      </c>
      <c r="U1253" s="2" t="s">
        <v>100</v>
      </c>
      <c r="V1253" s="2" t="s">
        <v>4845</v>
      </c>
      <c r="W1253" s="2" t="s">
        <v>142</v>
      </c>
      <c r="X1253" s="2" t="s">
        <v>100</v>
      </c>
      <c r="Y1253" s="2" t="s">
        <v>1935</v>
      </c>
      <c r="Z1253" s="4">
        <v>315</v>
      </c>
      <c r="AA1253" s="4">
        <f>=ROUNDDOWN(52.5,0)</f>
      </c>
      <c r="AB1253" s="5">
        <v>6</v>
      </c>
      <c r="AC1253" s="2" t="s">
        <v>100</v>
      </c>
      <c r="AD1253" s="4"/>
      <c r="AE1253" s="4"/>
      <c r="AF1253" s="6">
        <v>67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/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/>
      <c r="BJ1253" s="4">
        <v>12</v>
      </c>
      <c r="BK1253" s="8">
        <v>295.06</v>
      </c>
      <c r="BL1253" s="2" t="s">
        <v>4856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109</v>
      </c>
      <c r="BV1253" s="2" t="s">
        <v>97</v>
      </c>
      <c r="BW1253" s="2" t="s">
        <v>4809</v>
      </c>
      <c r="BX1253" s="2" t="s">
        <v>4857</v>
      </c>
      <c r="BY1253" s="2" t="s">
        <v>112</v>
      </c>
      <c r="BZ1253" s="2" t="s">
        <v>100</v>
      </c>
    </row>
    <row r="1254">
      <c r="A1254" s="2" t="s">
        <v>4858</v>
      </c>
      <c r="B1254" s="2" t="s">
        <v>4552</v>
      </c>
      <c r="C1254" s="2" t="s">
        <v>88</v>
      </c>
      <c r="D1254" s="2" t="s">
        <v>4758</v>
      </c>
      <c r="E1254" s="2" t="s">
        <v>4759</v>
      </c>
      <c r="F1254" s="2" t="s">
        <v>4576</v>
      </c>
      <c r="G1254" s="2" t="s">
        <v>4577</v>
      </c>
      <c r="H1254" s="2" t="s">
        <v>4578</v>
      </c>
      <c r="I1254" s="2" t="s">
        <v>4843</v>
      </c>
      <c r="J1254" s="2" t="s">
        <v>4830</v>
      </c>
      <c r="K1254" s="2" t="s">
        <v>179</v>
      </c>
      <c r="L1254" s="3">
        <v>20.64</v>
      </c>
      <c r="M1254" s="3">
        <v>21.67</v>
      </c>
      <c r="N1254" s="3">
        <v>42.99</v>
      </c>
      <c r="O1254" s="2" t="s">
        <v>97</v>
      </c>
      <c r="P1254" s="2" t="s">
        <v>98</v>
      </c>
      <c r="Q1254" s="2" t="s">
        <v>99</v>
      </c>
      <c r="R1254" s="2" t="s">
        <v>100</v>
      </c>
      <c r="S1254" s="2" t="s">
        <v>4851</v>
      </c>
      <c r="T1254" s="2" t="s">
        <v>190</v>
      </c>
      <c r="U1254" s="2" t="s">
        <v>1776</v>
      </c>
      <c r="V1254" s="2" t="s">
        <v>4845</v>
      </c>
      <c r="W1254" s="2" t="s">
        <v>142</v>
      </c>
      <c r="X1254" s="2" t="s">
        <v>100</v>
      </c>
      <c r="Y1254" s="2" t="s">
        <v>1116</v>
      </c>
      <c r="Z1254" s="4">
        <v>490</v>
      </c>
      <c r="AA1254" s="4">
        <f>=ROUNDDOWN(44.5454545454545,0)</f>
      </c>
      <c r="AB1254" s="5">
        <v>11</v>
      </c>
      <c r="AC1254" s="2" t="s">
        <v>100</v>
      </c>
      <c r="AD1254" s="4"/>
      <c r="AE1254" s="4"/>
      <c r="AF1254" s="6">
        <v>67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/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/>
      <c r="BJ1254" s="4">
        <v>22</v>
      </c>
      <c r="BK1254" s="8">
        <v>460.16</v>
      </c>
      <c r="BL1254" s="2" t="s">
        <v>4859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4568</v>
      </c>
      <c r="BX1254" s="2" t="s">
        <v>1720</v>
      </c>
      <c r="BY1254" s="2" t="s">
        <v>112</v>
      </c>
      <c r="BZ1254" s="2" t="s">
        <v>100</v>
      </c>
    </row>
    <row r="1255">
      <c r="A1255" s="2" t="s">
        <v>4860</v>
      </c>
      <c r="B1255" s="2" t="s">
        <v>4552</v>
      </c>
      <c r="C1255" s="2" t="s">
        <v>88</v>
      </c>
      <c r="D1255" s="2" t="s">
        <v>4758</v>
      </c>
      <c r="E1255" s="2" t="s">
        <v>4759</v>
      </c>
      <c r="F1255" s="2" t="s">
        <v>4576</v>
      </c>
      <c r="G1255" s="2" t="s">
        <v>4577</v>
      </c>
      <c r="H1255" s="2" t="s">
        <v>4578</v>
      </c>
      <c r="I1255" s="2" t="s">
        <v>4843</v>
      </c>
      <c r="J1255" s="2" t="s">
        <v>4775</v>
      </c>
      <c r="K1255" s="2" t="s">
        <v>223</v>
      </c>
      <c r="L1255" s="3">
        <v>13.8</v>
      </c>
      <c r="M1255" s="3">
        <v>14.49</v>
      </c>
      <c r="N1255" s="3">
        <v>29.99</v>
      </c>
      <c r="O1255" s="2" t="s">
        <v>97</v>
      </c>
      <c r="P1255" s="2" t="s">
        <v>98</v>
      </c>
      <c r="Q1255" s="2" t="s">
        <v>99</v>
      </c>
      <c r="R1255" s="2" t="s">
        <v>100</v>
      </c>
      <c r="S1255" s="2" t="s">
        <v>4861</v>
      </c>
      <c r="T1255" s="2" t="s">
        <v>190</v>
      </c>
      <c r="U1255" s="2" t="s">
        <v>1776</v>
      </c>
      <c r="V1255" s="2" t="s">
        <v>4845</v>
      </c>
      <c r="W1255" s="2" t="s">
        <v>142</v>
      </c>
      <c r="X1255" s="2" t="s">
        <v>100</v>
      </c>
      <c r="Y1255" s="2" t="s">
        <v>4836</v>
      </c>
      <c r="Z1255" s="4">
        <v>481</v>
      </c>
      <c r="AA1255" s="4">
        <f>=ROUNDDOWN(30.0625,0)</f>
      </c>
      <c r="AB1255" s="5">
        <v>16</v>
      </c>
      <c r="AC1255" s="2" t="s">
        <v>100</v>
      </c>
      <c r="AD1255" s="4"/>
      <c r="AE1255" s="4"/>
      <c r="AF1255" s="6">
        <v>67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/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/>
      <c r="BJ1255" s="4">
        <v>53</v>
      </c>
      <c r="BK1255" s="8">
        <v>776.36</v>
      </c>
      <c r="BL1255" s="2" t="s">
        <v>4862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109</v>
      </c>
      <c r="BV1255" s="2" t="s">
        <v>97</v>
      </c>
      <c r="BW1255" s="2" t="s">
        <v>1426</v>
      </c>
      <c r="BX1255" s="2" t="s">
        <v>4863</v>
      </c>
      <c r="BY1255" s="2" t="s">
        <v>112</v>
      </c>
      <c r="BZ1255" s="2" t="s">
        <v>149</v>
      </c>
    </row>
    <row r="1256">
      <c r="A1256" s="2" t="s">
        <v>4864</v>
      </c>
      <c r="B1256" s="2" t="s">
        <v>4552</v>
      </c>
      <c r="C1256" s="2" t="s">
        <v>88</v>
      </c>
      <c r="D1256" s="2" t="s">
        <v>4758</v>
      </c>
      <c r="E1256" s="2" t="s">
        <v>4759</v>
      </c>
      <c r="F1256" s="2" t="s">
        <v>4576</v>
      </c>
      <c r="G1256" s="2" t="s">
        <v>4577</v>
      </c>
      <c r="H1256" s="2" t="s">
        <v>4578</v>
      </c>
      <c r="I1256" s="2" t="s">
        <v>4843</v>
      </c>
      <c r="J1256" s="2" t="s">
        <v>4855</v>
      </c>
      <c r="K1256" s="2" t="s">
        <v>223</v>
      </c>
      <c r="L1256" s="3">
        <v>25.44</v>
      </c>
      <c r="M1256" s="3">
        <v>26.71</v>
      </c>
      <c r="N1256" s="3">
        <v>52.99</v>
      </c>
      <c r="O1256" s="2" t="s">
        <v>97</v>
      </c>
      <c r="P1256" s="2" t="s">
        <v>98</v>
      </c>
      <c r="Q1256" s="2" t="s">
        <v>99</v>
      </c>
      <c r="R1256" s="2" t="s">
        <v>100</v>
      </c>
      <c r="S1256" s="2" t="s">
        <v>4861</v>
      </c>
      <c r="T1256" s="2" t="s">
        <v>190</v>
      </c>
      <c r="U1256" s="2" t="s">
        <v>1776</v>
      </c>
      <c r="V1256" s="2" t="s">
        <v>4845</v>
      </c>
      <c r="W1256" s="2" t="s">
        <v>142</v>
      </c>
      <c r="X1256" s="2" t="s">
        <v>100</v>
      </c>
      <c r="Y1256" s="2" t="s">
        <v>4836</v>
      </c>
      <c r="Z1256" s="4">
        <v>307</v>
      </c>
      <c r="AA1256" s="4">
        <f>=ROUNDDOWN(51.1666666666667,0)</f>
      </c>
      <c r="AB1256" s="5">
        <v>6</v>
      </c>
      <c r="AC1256" s="2" t="s">
        <v>100</v>
      </c>
      <c r="AD1256" s="4"/>
      <c r="AE1256" s="4"/>
      <c r="AF1256" s="6">
        <v>67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/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/>
      <c r="BJ1256" s="4">
        <v>26</v>
      </c>
      <c r="BK1256" s="8">
        <v>683.06</v>
      </c>
      <c r="BL1256" s="2" t="s">
        <v>4865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1426</v>
      </c>
      <c r="BX1256" s="2" t="s">
        <v>4782</v>
      </c>
      <c r="BY1256" s="2" t="s">
        <v>112</v>
      </c>
      <c r="BZ1256" s="2" t="s">
        <v>100</v>
      </c>
    </row>
    <row r="1257">
      <c r="A1257" s="2" t="s">
        <v>4866</v>
      </c>
      <c r="B1257" s="2" t="s">
        <v>4552</v>
      </c>
      <c r="C1257" s="2" t="s">
        <v>88</v>
      </c>
      <c r="D1257" s="2" t="s">
        <v>4758</v>
      </c>
      <c r="E1257" s="2" t="s">
        <v>4759</v>
      </c>
      <c r="F1257" s="2" t="s">
        <v>1233</v>
      </c>
      <c r="G1257" s="2" t="s">
        <v>1234</v>
      </c>
      <c r="H1257" s="2" t="s">
        <v>1235</v>
      </c>
      <c r="I1257" s="2" t="s">
        <v>4867</v>
      </c>
      <c r="J1257" s="2" t="s">
        <v>4855</v>
      </c>
      <c r="K1257" s="2" t="s">
        <v>179</v>
      </c>
      <c r="L1257" s="3">
        <v>26.91</v>
      </c>
      <c r="M1257" s="3">
        <v>28.26</v>
      </c>
      <c r="N1257" s="3">
        <v>59.99</v>
      </c>
      <c r="O1257" s="2" t="s">
        <v>97</v>
      </c>
      <c r="P1257" s="2" t="s">
        <v>156</v>
      </c>
      <c r="Q1257" s="2" t="s">
        <v>99</v>
      </c>
      <c r="R1257" s="2" t="s">
        <v>100</v>
      </c>
      <c r="S1257" s="2" t="s">
        <v>4868</v>
      </c>
      <c r="T1257" s="2" t="s">
        <v>100</v>
      </c>
      <c r="U1257" s="2" t="s">
        <v>100</v>
      </c>
      <c r="V1257" s="2" t="s">
        <v>717</v>
      </c>
      <c r="W1257" s="2" t="s">
        <v>717</v>
      </c>
      <c r="X1257" s="2" t="s">
        <v>100</v>
      </c>
      <c r="Y1257" s="2" t="s">
        <v>4869</v>
      </c>
      <c r="Z1257" s="4">
        <v>492</v>
      </c>
      <c r="AA1257" s="4">
        <f>=ROUNDDOWN(30.75,0)</f>
      </c>
      <c r="AB1257" s="5">
        <v>16</v>
      </c>
      <c r="AC1257" s="2" t="s">
        <v>100</v>
      </c>
      <c r="AD1257" s="4"/>
      <c r="AE1257" s="4"/>
      <c r="AF1257" s="6">
        <v>67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>
        <v>45</v>
      </c>
      <c r="BK1257" s="8">
        <v>1399.77</v>
      </c>
      <c r="BL1257" s="2" t="s">
        <v>4870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1673</v>
      </c>
      <c r="BX1257" s="2" t="s">
        <v>4871</v>
      </c>
      <c r="BY1257" s="2" t="s">
        <v>112</v>
      </c>
      <c r="BZ1257" s="2" t="s">
        <v>149</v>
      </c>
    </row>
    <row r="1258">
      <c r="A1258" s="2" t="s">
        <v>4872</v>
      </c>
      <c r="B1258" s="2" t="s">
        <v>4552</v>
      </c>
      <c r="C1258" s="2" t="s">
        <v>88</v>
      </c>
      <c r="D1258" s="2" t="s">
        <v>4758</v>
      </c>
      <c r="E1258" s="2" t="s">
        <v>4759</v>
      </c>
      <c r="F1258" s="2" t="s">
        <v>4873</v>
      </c>
      <c r="G1258" s="2" t="s">
        <v>4874</v>
      </c>
      <c r="H1258" s="2" t="s">
        <v>4654</v>
      </c>
      <c r="I1258" s="2" t="s">
        <v>4875</v>
      </c>
      <c r="J1258" s="2" t="s">
        <v>4876</v>
      </c>
      <c r="K1258" s="2" t="s">
        <v>471</v>
      </c>
      <c r="L1258" s="3">
        <v>15.18</v>
      </c>
      <c r="M1258" s="3">
        <v>15.94</v>
      </c>
      <c r="N1258" s="3">
        <v>32.99</v>
      </c>
      <c r="O1258" s="2" t="s">
        <v>97</v>
      </c>
      <c r="P1258" s="2" t="s">
        <v>98</v>
      </c>
      <c r="Q1258" s="2" t="s">
        <v>99</v>
      </c>
      <c r="R1258" s="2" t="s">
        <v>100</v>
      </c>
      <c r="S1258" s="2" t="s">
        <v>4877</v>
      </c>
      <c r="T1258" s="2" t="s">
        <v>100</v>
      </c>
      <c r="U1258" s="2" t="s">
        <v>1776</v>
      </c>
      <c r="V1258" s="2" t="s">
        <v>473</v>
      </c>
      <c r="W1258" s="2" t="s">
        <v>493</v>
      </c>
      <c r="X1258" s="2" t="s">
        <v>100</v>
      </c>
      <c r="Y1258" s="2" t="s">
        <v>942</v>
      </c>
      <c r="Z1258" s="4">
        <v>930</v>
      </c>
      <c r="AA1258" s="4">
        <f>=ROUNDDOWN(93,0)</f>
      </c>
      <c r="AB1258" s="5">
        <v>10</v>
      </c>
      <c r="AC1258" s="2" t="s">
        <v>100</v>
      </c>
      <c r="AD1258" s="4"/>
      <c r="AE1258" s="4"/>
      <c r="AF1258" s="6">
        <v>69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/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/>
      <c r="BJ1258" s="4">
        <v>26</v>
      </c>
      <c r="BK1258" s="8">
        <v>425.97</v>
      </c>
      <c r="BL1258" s="2" t="s">
        <v>4878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109</v>
      </c>
      <c r="BV1258" s="2" t="s">
        <v>97</v>
      </c>
      <c r="BW1258" s="2" t="s">
        <v>4879</v>
      </c>
      <c r="BX1258" s="2" t="s">
        <v>4880</v>
      </c>
      <c r="BY1258" s="2" t="s">
        <v>112</v>
      </c>
      <c r="BZ1258" s="2" t="s">
        <v>100</v>
      </c>
    </row>
    <row r="1259">
      <c r="A1259" s="2" t="s">
        <v>4881</v>
      </c>
      <c r="B1259" s="2" t="s">
        <v>4552</v>
      </c>
      <c r="C1259" s="2" t="s">
        <v>88</v>
      </c>
      <c r="D1259" s="2" t="s">
        <v>4758</v>
      </c>
      <c r="E1259" s="2" t="s">
        <v>4759</v>
      </c>
      <c r="F1259" s="2" t="s">
        <v>4873</v>
      </c>
      <c r="G1259" s="2" t="s">
        <v>4874</v>
      </c>
      <c r="H1259" s="2" t="s">
        <v>4654</v>
      </c>
      <c r="I1259" s="2" t="s">
        <v>4875</v>
      </c>
      <c r="J1259" s="2" t="s">
        <v>4855</v>
      </c>
      <c r="K1259" s="2" t="s">
        <v>471</v>
      </c>
      <c r="L1259" s="3">
        <v>25.3</v>
      </c>
      <c r="M1259" s="3">
        <v>26.56</v>
      </c>
      <c r="N1259" s="3">
        <v>54.99</v>
      </c>
      <c r="O1259" s="2" t="s">
        <v>97</v>
      </c>
      <c r="P1259" s="2" t="s">
        <v>98</v>
      </c>
      <c r="Q1259" s="2" t="s">
        <v>99</v>
      </c>
      <c r="R1259" s="2" t="s">
        <v>100</v>
      </c>
      <c r="S1259" s="2" t="s">
        <v>4877</v>
      </c>
      <c r="T1259" s="2" t="s">
        <v>100</v>
      </c>
      <c r="U1259" s="2" t="s">
        <v>1776</v>
      </c>
      <c r="V1259" s="2" t="s">
        <v>473</v>
      </c>
      <c r="W1259" s="2" t="s">
        <v>493</v>
      </c>
      <c r="X1259" s="2" t="s">
        <v>100</v>
      </c>
      <c r="Y1259" s="2" t="s">
        <v>942</v>
      </c>
      <c r="Z1259" s="4">
        <v>606</v>
      </c>
      <c r="AA1259" s="4">
        <f>=ROUNDDOWN(121.2,0)</f>
      </c>
      <c r="AB1259" s="5">
        <v>5</v>
      </c>
      <c r="AC1259" s="2" t="s">
        <v>100</v>
      </c>
      <c r="AD1259" s="4"/>
      <c r="AE1259" s="4"/>
      <c r="AF1259" s="6">
        <v>69</v>
      </c>
      <c r="AG1259" s="6"/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 t="s">
        <v>100</v>
      </c>
      <c r="AW1259" s="8" t="s">
        <v>100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/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/>
      <c r="BJ1259" s="4">
        <v>17</v>
      </c>
      <c r="BK1259" s="8">
        <v>453.91</v>
      </c>
      <c r="BL1259" s="2" t="s">
        <v>1598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109</v>
      </c>
      <c r="BV1259" s="2" t="s">
        <v>97</v>
      </c>
      <c r="BW1259" s="2" t="s">
        <v>1426</v>
      </c>
      <c r="BX1259" s="2" t="s">
        <v>1328</v>
      </c>
      <c r="BY1259" s="2" t="s">
        <v>112</v>
      </c>
      <c r="BZ1259" s="2" t="s">
        <v>100</v>
      </c>
    </row>
    <row r="1260">
      <c r="A1260" s="2" t="s">
        <v>4882</v>
      </c>
      <c r="B1260" s="2" t="s">
        <v>4552</v>
      </c>
      <c r="C1260" s="2" t="s">
        <v>88</v>
      </c>
      <c r="D1260" s="2" t="s">
        <v>4758</v>
      </c>
      <c r="E1260" s="2" t="s">
        <v>4759</v>
      </c>
      <c r="F1260" s="2" t="s">
        <v>4873</v>
      </c>
      <c r="G1260" s="2" t="s">
        <v>4874</v>
      </c>
      <c r="H1260" s="2" t="s">
        <v>4654</v>
      </c>
      <c r="I1260" s="2" t="s">
        <v>4875</v>
      </c>
      <c r="J1260" s="2" t="s">
        <v>4876</v>
      </c>
      <c r="K1260" s="2" t="s">
        <v>96</v>
      </c>
      <c r="L1260" s="3">
        <v>15.18</v>
      </c>
      <c r="M1260" s="3">
        <v>15.94</v>
      </c>
      <c r="N1260" s="3">
        <v>32.99</v>
      </c>
      <c r="O1260" s="2" t="s">
        <v>97</v>
      </c>
      <c r="P1260" s="2" t="s">
        <v>98</v>
      </c>
      <c r="Q1260" s="2" t="s">
        <v>99</v>
      </c>
      <c r="R1260" s="2" t="s">
        <v>100</v>
      </c>
      <c r="S1260" s="2" t="s">
        <v>4883</v>
      </c>
      <c r="T1260" s="2" t="s">
        <v>100</v>
      </c>
      <c r="U1260" s="2" t="s">
        <v>1776</v>
      </c>
      <c r="V1260" s="2" t="s">
        <v>473</v>
      </c>
      <c r="W1260" s="2" t="s">
        <v>493</v>
      </c>
      <c r="X1260" s="2" t="s">
        <v>100</v>
      </c>
      <c r="Y1260" s="2" t="s">
        <v>942</v>
      </c>
      <c r="Z1260" s="4">
        <v>741</v>
      </c>
      <c r="AA1260" s="4">
        <f>=ROUNDDOWN(35.2857142857143,0)</f>
      </c>
      <c r="AB1260" s="5">
        <v>21</v>
      </c>
      <c r="AC1260" s="2" t="s">
        <v>100</v>
      </c>
      <c r="AD1260" s="4"/>
      <c r="AE1260" s="4"/>
      <c r="AF1260" s="6">
        <v>69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/>
      <c r="BJ1260" s="4">
        <v>68</v>
      </c>
      <c r="BK1260" s="8">
        <v>1113.46</v>
      </c>
      <c r="BL1260" s="2" t="s">
        <v>4884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109</v>
      </c>
      <c r="BV1260" s="2" t="s">
        <v>97</v>
      </c>
      <c r="BW1260" s="2" t="s">
        <v>4885</v>
      </c>
      <c r="BX1260" s="2" t="s">
        <v>1328</v>
      </c>
      <c r="BY1260" s="2" t="s">
        <v>112</v>
      </c>
      <c r="BZ1260" s="2" t="s">
        <v>149</v>
      </c>
    </row>
    <row r="1261">
      <c r="A1261" s="2" t="s">
        <v>4886</v>
      </c>
      <c r="B1261" s="2" t="s">
        <v>4552</v>
      </c>
      <c r="C1261" s="2" t="s">
        <v>88</v>
      </c>
      <c r="D1261" s="2" t="s">
        <v>4758</v>
      </c>
      <c r="E1261" s="2" t="s">
        <v>4759</v>
      </c>
      <c r="F1261" s="2" t="s">
        <v>4873</v>
      </c>
      <c r="G1261" s="2" t="s">
        <v>4874</v>
      </c>
      <c r="H1261" s="2" t="s">
        <v>4654</v>
      </c>
      <c r="I1261" s="2" t="s">
        <v>4875</v>
      </c>
      <c r="J1261" s="2" t="s">
        <v>4876</v>
      </c>
      <c r="K1261" s="2" t="s">
        <v>223</v>
      </c>
      <c r="L1261" s="3">
        <v>15.18</v>
      </c>
      <c r="M1261" s="3">
        <v>15.94</v>
      </c>
      <c r="N1261" s="3">
        <v>32.99</v>
      </c>
      <c r="O1261" s="2" t="s">
        <v>97</v>
      </c>
      <c r="P1261" s="2" t="s">
        <v>98</v>
      </c>
      <c r="Q1261" s="2" t="s">
        <v>99</v>
      </c>
      <c r="R1261" s="2" t="s">
        <v>100</v>
      </c>
      <c r="S1261" s="2" t="s">
        <v>4887</v>
      </c>
      <c r="T1261" s="2" t="s">
        <v>100</v>
      </c>
      <c r="U1261" s="2" t="s">
        <v>1776</v>
      </c>
      <c r="V1261" s="2" t="s">
        <v>473</v>
      </c>
      <c r="W1261" s="2" t="s">
        <v>493</v>
      </c>
      <c r="X1261" s="2" t="s">
        <v>100</v>
      </c>
      <c r="Y1261" s="2" t="s">
        <v>942</v>
      </c>
      <c r="Z1261" s="4">
        <v>1103</v>
      </c>
      <c r="AA1261" s="4">
        <f>=ROUNDDOWN(61.2777777777778,0)</f>
      </c>
      <c r="AB1261" s="5">
        <v>18</v>
      </c>
      <c r="AC1261" s="2" t="s">
        <v>100</v>
      </c>
      <c r="AD1261" s="4"/>
      <c r="AE1261" s="4"/>
      <c r="AF1261" s="6">
        <v>69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/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/>
      <c r="BJ1261" s="4">
        <v>58</v>
      </c>
      <c r="BK1261" s="8">
        <v>945.6</v>
      </c>
      <c r="BL1261" s="2" t="s">
        <v>4888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109</v>
      </c>
      <c r="BV1261" s="2" t="s">
        <v>97</v>
      </c>
      <c r="BW1261" s="2" t="s">
        <v>1426</v>
      </c>
      <c r="BX1261" s="2" t="s">
        <v>3162</v>
      </c>
      <c r="BY1261" s="2" t="s">
        <v>112</v>
      </c>
      <c r="BZ1261" s="2" t="s">
        <v>100</v>
      </c>
    </row>
    <row r="1262">
      <c r="A1262" s="2" t="s">
        <v>4889</v>
      </c>
      <c r="B1262" s="2" t="s">
        <v>4552</v>
      </c>
      <c r="C1262" s="2" t="s">
        <v>88</v>
      </c>
      <c r="D1262" s="2" t="s">
        <v>4758</v>
      </c>
      <c r="E1262" s="2" t="s">
        <v>4759</v>
      </c>
      <c r="F1262" s="2" t="s">
        <v>4873</v>
      </c>
      <c r="G1262" s="2" t="s">
        <v>4874</v>
      </c>
      <c r="H1262" s="2" t="s">
        <v>4654</v>
      </c>
      <c r="I1262" s="2" t="s">
        <v>4875</v>
      </c>
      <c r="J1262" s="2" t="s">
        <v>4855</v>
      </c>
      <c r="K1262" s="2" t="s">
        <v>223</v>
      </c>
      <c r="L1262" s="3">
        <v>25.3</v>
      </c>
      <c r="M1262" s="3">
        <v>26.56</v>
      </c>
      <c r="N1262" s="3">
        <v>54.99</v>
      </c>
      <c r="O1262" s="2" t="s">
        <v>97</v>
      </c>
      <c r="P1262" s="2" t="s">
        <v>98</v>
      </c>
      <c r="Q1262" s="2" t="s">
        <v>99</v>
      </c>
      <c r="R1262" s="2" t="s">
        <v>100</v>
      </c>
      <c r="S1262" s="2" t="s">
        <v>4887</v>
      </c>
      <c r="T1262" s="2" t="s">
        <v>100</v>
      </c>
      <c r="U1262" s="2" t="s">
        <v>1776</v>
      </c>
      <c r="V1262" s="2" t="s">
        <v>473</v>
      </c>
      <c r="W1262" s="2" t="s">
        <v>493</v>
      </c>
      <c r="X1262" s="2" t="s">
        <v>100</v>
      </c>
      <c r="Y1262" s="2" t="s">
        <v>942</v>
      </c>
      <c r="Z1262" s="4">
        <v>475</v>
      </c>
      <c r="AA1262" s="4">
        <f>=ROUNDDOWN(47.5,0)</f>
      </c>
      <c r="AB1262" s="5">
        <v>10</v>
      </c>
      <c r="AC1262" s="2" t="s">
        <v>100</v>
      </c>
      <c r="AD1262" s="4"/>
      <c r="AE1262" s="4"/>
      <c r="AF1262" s="6">
        <v>69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/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/>
      <c r="BJ1262" s="4">
        <v>39</v>
      </c>
      <c r="BK1262" s="8">
        <v>1054.9</v>
      </c>
      <c r="BL1262" s="2" t="s">
        <v>4890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109</v>
      </c>
      <c r="BV1262" s="2" t="s">
        <v>97</v>
      </c>
      <c r="BW1262" s="2" t="s">
        <v>1426</v>
      </c>
      <c r="BX1262" s="2" t="s">
        <v>4891</v>
      </c>
      <c r="BY1262" s="2" t="s">
        <v>112</v>
      </c>
      <c r="BZ1262" s="2" t="s">
        <v>100</v>
      </c>
    </row>
    <row r="1263">
      <c r="A1263" s="2" t="s">
        <v>4892</v>
      </c>
      <c r="B1263" s="2" t="s">
        <v>4552</v>
      </c>
      <c r="C1263" s="2" t="s">
        <v>88</v>
      </c>
      <c r="D1263" s="2" t="s">
        <v>4758</v>
      </c>
      <c r="E1263" s="2" t="s">
        <v>4759</v>
      </c>
      <c r="F1263" s="2" t="s">
        <v>4893</v>
      </c>
      <c r="G1263" s="2" t="s">
        <v>4894</v>
      </c>
      <c r="H1263" s="2" t="s">
        <v>4895</v>
      </c>
      <c r="I1263" s="2" t="s">
        <v>4896</v>
      </c>
      <c r="J1263" s="2" t="s">
        <v>4897</v>
      </c>
      <c r="K1263" s="2" t="s">
        <v>4362</v>
      </c>
      <c r="L1263" s="3">
        <v>13.29</v>
      </c>
      <c r="M1263" s="3">
        <v>13.95</v>
      </c>
      <c r="N1263" s="3">
        <v>26.99</v>
      </c>
      <c r="O1263" s="2" t="s">
        <v>97</v>
      </c>
      <c r="P1263" s="2" t="s">
        <v>98</v>
      </c>
      <c r="Q1263" s="2" t="s">
        <v>99</v>
      </c>
      <c r="R1263" s="2" t="s">
        <v>100</v>
      </c>
      <c r="S1263" s="2" t="s">
        <v>4898</v>
      </c>
      <c r="T1263" s="2" t="s">
        <v>100</v>
      </c>
      <c r="U1263" s="2" t="s">
        <v>1776</v>
      </c>
      <c r="V1263" s="2" t="s">
        <v>461</v>
      </c>
      <c r="W1263" s="2" t="s">
        <v>609</v>
      </c>
      <c r="X1263" s="2" t="s">
        <v>100</v>
      </c>
      <c r="Y1263" s="2" t="s">
        <v>4899</v>
      </c>
      <c r="Z1263" s="4">
        <v>441</v>
      </c>
      <c r="AA1263" s="4">
        <f>=ROUNDDOWN(33.9230769230769,0)</f>
      </c>
      <c r="AB1263" s="5">
        <v>13</v>
      </c>
      <c r="AC1263" s="2" t="s">
        <v>100</v>
      </c>
      <c r="AD1263" s="4"/>
      <c r="AE1263" s="4"/>
      <c r="AF1263" s="6">
        <v>69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/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/>
      <c r="BJ1263" s="4">
        <v>55</v>
      </c>
      <c r="BK1263" s="8">
        <v>791.03</v>
      </c>
      <c r="BL1263" s="2" t="s">
        <v>4900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109</v>
      </c>
      <c r="BV1263" s="2" t="s">
        <v>97</v>
      </c>
      <c r="BW1263" s="2" t="s">
        <v>1673</v>
      </c>
      <c r="BX1263" s="2" t="s">
        <v>4901</v>
      </c>
      <c r="BY1263" s="2" t="s">
        <v>112</v>
      </c>
      <c r="BZ1263" s="2" t="s">
        <v>100</v>
      </c>
    </row>
    <row r="1264">
      <c r="A1264" s="2" t="s">
        <v>4902</v>
      </c>
      <c r="B1264" s="2" t="s">
        <v>4552</v>
      </c>
      <c r="C1264" s="2" t="s">
        <v>88</v>
      </c>
      <c r="D1264" s="2" t="s">
        <v>4758</v>
      </c>
      <c r="E1264" s="2" t="s">
        <v>4759</v>
      </c>
      <c r="F1264" s="2" t="s">
        <v>4893</v>
      </c>
      <c r="G1264" s="2" t="s">
        <v>4894</v>
      </c>
      <c r="H1264" s="2" t="s">
        <v>4895</v>
      </c>
      <c r="I1264" s="2" t="s">
        <v>4896</v>
      </c>
      <c r="J1264" s="2" t="s">
        <v>4775</v>
      </c>
      <c r="K1264" s="2" t="s">
        <v>4362</v>
      </c>
      <c r="L1264" s="3">
        <v>16.24</v>
      </c>
      <c r="M1264" s="3">
        <v>17.05</v>
      </c>
      <c r="N1264" s="3">
        <v>32.99</v>
      </c>
      <c r="O1264" s="2" t="s">
        <v>97</v>
      </c>
      <c r="P1264" s="2" t="s">
        <v>98</v>
      </c>
      <c r="Q1264" s="2" t="s">
        <v>99</v>
      </c>
      <c r="R1264" s="2" t="s">
        <v>100</v>
      </c>
      <c r="S1264" s="2" t="s">
        <v>4898</v>
      </c>
      <c r="T1264" s="2" t="s">
        <v>100</v>
      </c>
      <c r="U1264" s="2" t="s">
        <v>1776</v>
      </c>
      <c r="V1264" s="2" t="s">
        <v>461</v>
      </c>
      <c r="W1264" s="2" t="s">
        <v>609</v>
      </c>
      <c r="X1264" s="2" t="s">
        <v>100</v>
      </c>
      <c r="Y1264" s="2" t="s">
        <v>4899</v>
      </c>
      <c r="Z1264" s="4">
        <v>550</v>
      </c>
      <c r="AA1264" s="4">
        <f>=ROUNDDOWN(32.3529411764706,0)</f>
      </c>
      <c r="AB1264" s="5">
        <v>17</v>
      </c>
      <c r="AC1264" s="2" t="s">
        <v>100</v>
      </c>
      <c r="AD1264" s="4"/>
      <c r="AE1264" s="4"/>
      <c r="AF1264" s="6">
        <v>69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/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/>
      <c r="BJ1264" s="4">
        <v>53</v>
      </c>
      <c r="BK1264" s="8">
        <v>938.44</v>
      </c>
      <c r="BL1264" s="2" t="s">
        <v>4862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109</v>
      </c>
      <c r="BV1264" s="2" t="s">
        <v>97</v>
      </c>
      <c r="BW1264" s="2" t="s">
        <v>1673</v>
      </c>
      <c r="BX1264" s="2" t="s">
        <v>4903</v>
      </c>
      <c r="BY1264" s="2" t="s">
        <v>112</v>
      </c>
      <c r="BZ1264" s="2" t="s">
        <v>149</v>
      </c>
    </row>
    <row r="1265">
      <c r="A1265" s="2" t="s">
        <v>4904</v>
      </c>
      <c r="B1265" s="2" t="s">
        <v>4552</v>
      </c>
      <c r="C1265" s="2" t="s">
        <v>88</v>
      </c>
      <c r="D1265" s="2" t="s">
        <v>4758</v>
      </c>
      <c r="E1265" s="2" t="s">
        <v>4759</v>
      </c>
      <c r="F1265" s="2" t="s">
        <v>4893</v>
      </c>
      <c r="G1265" s="2" t="s">
        <v>4894</v>
      </c>
      <c r="H1265" s="2" t="s">
        <v>4895</v>
      </c>
      <c r="I1265" s="2" t="s">
        <v>4896</v>
      </c>
      <c r="J1265" s="2" t="s">
        <v>4897</v>
      </c>
      <c r="K1265" s="2" t="s">
        <v>458</v>
      </c>
      <c r="L1265" s="3">
        <v>13.29</v>
      </c>
      <c r="M1265" s="3">
        <v>13.95</v>
      </c>
      <c r="N1265" s="3">
        <v>26.99</v>
      </c>
      <c r="O1265" s="2" t="s">
        <v>97</v>
      </c>
      <c r="P1265" s="2" t="s">
        <v>98</v>
      </c>
      <c r="Q1265" s="2" t="s">
        <v>99</v>
      </c>
      <c r="R1265" s="2" t="s">
        <v>100</v>
      </c>
      <c r="S1265" s="2" t="s">
        <v>4905</v>
      </c>
      <c r="T1265" s="2" t="s">
        <v>100</v>
      </c>
      <c r="U1265" s="2" t="s">
        <v>1776</v>
      </c>
      <c r="V1265" s="2" t="s">
        <v>461</v>
      </c>
      <c r="W1265" s="2" t="s">
        <v>609</v>
      </c>
      <c r="X1265" s="2" t="s">
        <v>100</v>
      </c>
      <c r="Y1265" s="2" t="s">
        <v>4906</v>
      </c>
      <c r="Z1265" s="4">
        <v>541</v>
      </c>
      <c r="AA1265" s="4">
        <f>=ROUNDDOWN(36.0666666666667,0)</f>
      </c>
      <c r="AB1265" s="5">
        <v>15</v>
      </c>
      <c r="AC1265" s="2" t="s">
        <v>100</v>
      </c>
      <c r="AD1265" s="4"/>
      <c r="AE1265" s="4"/>
      <c r="AF1265" s="6">
        <v>69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/>
      <c r="BJ1265" s="4">
        <v>62</v>
      </c>
      <c r="BK1265" s="8">
        <v>889.43</v>
      </c>
      <c r="BL1265" s="2" t="s">
        <v>4907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109</v>
      </c>
      <c r="BV1265" s="2" t="s">
        <v>97</v>
      </c>
      <c r="BW1265" s="2" t="s">
        <v>1673</v>
      </c>
      <c r="BX1265" s="2" t="s">
        <v>4908</v>
      </c>
      <c r="BY1265" s="2" t="s">
        <v>112</v>
      </c>
      <c r="BZ1265" s="2" t="s">
        <v>100</v>
      </c>
    </row>
    <row r="1266">
      <c r="A1266" s="2" t="s">
        <v>4909</v>
      </c>
      <c r="B1266" s="2" t="s">
        <v>4552</v>
      </c>
      <c r="C1266" s="2" t="s">
        <v>88</v>
      </c>
      <c r="D1266" s="2" t="s">
        <v>4758</v>
      </c>
      <c r="E1266" s="2" t="s">
        <v>4759</v>
      </c>
      <c r="F1266" s="2" t="s">
        <v>4910</v>
      </c>
      <c r="G1266" s="2" t="s">
        <v>4910</v>
      </c>
      <c r="H1266" s="2" t="s">
        <v>4910</v>
      </c>
      <c r="I1266" s="2" t="s">
        <v>4911</v>
      </c>
      <c r="J1266" s="2" t="s">
        <v>4897</v>
      </c>
      <c r="K1266" s="2" t="s">
        <v>188</v>
      </c>
      <c r="L1266" s="3">
        <v>13.11</v>
      </c>
      <c r="M1266" s="3">
        <v>13.77</v>
      </c>
      <c r="N1266" s="3">
        <v>26.99</v>
      </c>
      <c r="O1266" s="2" t="s">
        <v>97</v>
      </c>
      <c r="P1266" s="2" t="s">
        <v>98</v>
      </c>
      <c r="Q1266" s="2" t="s">
        <v>99</v>
      </c>
      <c r="R1266" s="2" t="s">
        <v>100</v>
      </c>
      <c r="S1266" s="2" t="s">
        <v>100</v>
      </c>
      <c r="T1266" s="2" t="s">
        <v>100</v>
      </c>
      <c r="U1266" s="2" t="s">
        <v>100</v>
      </c>
      <c r="V1266" s="2" t="s">
        <v>461</v>
      </c>
      <c r="W1266" s="2" t="s">
        <v>609</v>
      </c>
      <c r="X1266" s="2" t="s">
        <v>100</v>
      </c>
      <c r="Y1266" s="2" t="s">
        <v>4912</v>
      </c>
      <c r="Z1266" s="4">
        <v>476</v>
      </c>
      <c r="AA1266" s="4">
        <f>=ROUNDDOWN(47.6,0)</f>
      </c>
      <c r="AB1266" s="5">
        <v>10</v>
      </c>
      <c r="AC1266" s="2" t="s">
        <v>100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/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/>
      <c r="BJ1266" s="4">
        <v>37</v>
      </c>
      <c r="BK1266" s="8">
        <v>523.5</v>
      </c>
      <c r="BL1266" s="2" t="s">
        <v>4913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109</v>
      </c>
      <c r="BV1266" s="2" t="s">
        <v>97</v>
      </c>
      <c r="BW1266" s="2" t="s">
        <v>4809</v>
      </c>
      <c r="BX1266" s="2" t="s">
        <v>4914</v>
      </c>
      <c r="BY1266" s="2" t="s">
        <v>112</v>
      </c>
      <c r="BZ1266" s="2" t="s">
        <v>100</v>
      </c>
    </row>
    <row r="1267">
      <c r="A1267" s="2" t="s">
        <v>4915</v>
      </c>
      <c r="B1267" s="2" t="s">
        <v>4552</v>
      </c>
      <c r="C1267" s="2" t="s">
        <v>88</v>
      </c>
      <c r="D1267" s="2" t="s">
        <v>4758</v>
      </c>
      <c r="E1267" s="2" t="s">
        <v>4759</v>
      </c>
      <c r="F1267" s="2" t="s">
        <v>4910</v>
      </c>
      <c r="G1267" s="2" t="s">
        <v>4910</v>
      </c>
      <c r="H1267" s="2" t="s">
        <v>4910</v>
      </c>
      <c r="I1267" s="2" t="s">
        <v>4911</v>
      </c>
      <c r="J1267" s="2" t="s">
        <v>4876</v>
      </c>
      <c r="K1267" s="2" t="s">
        <v>188</v>
      </c>
      <c r="L1267" s="3">
        <v>18.24</v>
      </c>
      <c r="M1267" s="3">
        <v>19.15</v>
      </c>
      <c r="N1267" s="3">
        <v>36.99</v>
      </c>
      <c r="O1267" s="2" t="s">
        <v>97</v>
      </c>
      <c r="P1267" s="2" t="s">
        <v>98</v>
      </c>
      <c r="Q1267" s="2" t="s">
        <v>99</v>
      </c>
      <c r="R1267" s="2" t="s">
        <v>100</v>
      </c>
      <c r="S1267" s="2" t="s">
        <v>100</v>
      </c>
      <c r="T1267" s="2" t="s">
        <v>100</v>
      </c>
      <c r="U1267" s="2" t="s">
        <v>100</v>
      </c>
      <c r="V1267" s="2" t="s">
        <v>461</v>
      </c>
      <c r="W1267" s="2" t="s">
        <v>609</v>
      </c>
      <c r="X1267" s="2" t="s">
        <v>100</v>
      </c>
      <c r="Y1267" s="2" t="s">
        <v>4912</v>
      </c>
      <c r="Z1267" s="4">
        <v>323</v>
      </c>
      <c r="AA1267" s="4">
        <f>=ROUNDDOWN(29.3636363636364,0)</f>
      </c>
      <c r="AB1267" s="5">
        <v>11</v>
      </c>
      <c r="AC1267" s="2" t="s">
        <v>100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/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/>
      <c r="BJ1267" s="4">
        <v>42</v>
      </c>
      <c r="BK1267" s="8">
        <v>849.74</v>
      </c>
      <c r="BL1267" s="2" t="s">
        <v>4412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109</v>
      </c>
      <c r="BV1267" s="2" t="s">
        <v>97</v>
      </c>
      <c r="BW1267" s="2" t="s">
        <v>4809</v>
      </c>
      <c r="BX1267" s="2" t="s">
        <v>111</v>
      </c>
      <c r="BY1267" s="2" t="s">
        <v>112</v>
      </c>
      <c r="BZ1267" s="2" t="s">
        <v>100</v>
      </c>
    </row>
    <row r="1268">
      <c r="A1268" s="2" t="s">
        <v>4916</v>
      </c>
      <c r="B1268" s="2" t="s">
        <v>4552</v>
      </c>
      <c r="C1268" s="2" t="s">
        <v>88</v>
      </c>
      <c r="D1268" s="2" t="s">
        <v>4758</v>
      </c>
      <c r="E1268" s="2" t="s">
        <v>4759</v>
      </c>
      <c r="F1268" s="2" t="s">
        <v>4910</v>
      </c>
      <c r="G1268" s="2" t="s">
        <v>4910</v>
      </c>
      <c r="H1268" s="2" t="s">
        <v>4910</v>
      </c>
      <c r="I1268" s="2" t="s">
        <v>4911</v>
      </c>
      <c r="J1268" s="2" t="s">
        <v>4917</v>
      </c>
      <c r="K1268" s="2" t="s">
        <v>188</v>
      </c>
      <c r="L1268" s="3">
        <v>29.64</v>
      </c>
      <c r="M1268" s="3">
        <v>31.12</v>
      </c>
      <c r="N1268" s="3">
        <v>61.99</v>
      </c>
      <c r="O1268" s="2" t="s">
        <v>97</v>
      </c>
      <c r="P1268" s="2" t="s">
        <v>98</v>
      </c>
      <c r="Q1268" s="2" t="s">
        <v>99</v>
      </c>
      <c r="R1268" s="2" t="s">
        <v>100</v>
      </c>
      <c r="S1268" s="2" t="s">
        <v>100</v>
      </c>
      <c r="T1268" s="2" t="s">
        <v>100</v>
      </c>
      <c r="U1268" s="2" t="s">
        <v>100</v>
      </c>
      <c r="V1268" s="2" t="s">
        <v>461</v>
      </c>
      <c r="W1268" s="2" t="s">
        <v>609</v>
      </c>
      <c r="X1268" s="2" t="s">
        <v>100</v>
      </c>
      <c r="Y1268" s="2" t="s">
        <v>4912</v>
      </c>
      <c r="Z1268" s="4">
        <v>51</v>
      </c>
      <c r="AA1268" s="4">
        <f>=ROUNDDOWN(8.5,0)</f>
      </c>
      <c r="AB1268" s="5">
        <v>6</v>
      </c>
      <c r="AC1268" s="2" t="s">
        <v>100</v>
      </c>
      <c r="AD1268" s="4"/>
      <c r="AE1268" s="4"/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100</v>
      </c>
      <c r="AW1268" s="8" t="s">
        <v>100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/>
      <c r="BC1268" s="4" t="s">
        <v>100</v>
      </c>
      <c r="BD1268" s="8" t="s">
        <v>100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/>
      <c r="BJ1268" s="4">
        <v>25</v>
      </c>
      <c r="BK1268" s="8">
        <v>841.06</v>
      </c>
      <c r="BL1268" s="2" t="s">
        <v>788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109</v>
      </c>
      <c r="BV1268" s="2" t="s">
        <v>97</v>
      </c>
      <c r="BW1268" s="2" t="s">
        <v>4809</v>
      </c>
      <c r="BX1268" s="2" t="s">
        <v>405</v>
      </c>
      <c r="BY1268" s="2" t="s">
        <v>112</v>
      </c>
      <c r="BZ1268" s="2" t="s">
        <v>100</v>
      </c>
    </row>
    <row r="1269">
      <c r="A1269" s="2" t="s">
        <v>4918</v>
      </c>
      <c r="B1269" s="2" t="s">
        <v>4552</v>
      </c>
      <c r="C1269" s="2" t="s">
        <v>88</v>
      </c>
      <c r="D1269" s="2" t="s">
        <v>4758</v>
      </c>
      <c r="E1269" s="2" t="s">
        <v>4759</v>
      </c>
      <c r="F1269" s="2" t="s">
        <v>4910</v>
      </c>
      <c r="G1269" s="2" t="s">
        <v>4910</v>
      </c>
      <c r="H1269" s="2" t="s">
        <v>4910</v>
      </c>
      <c r="I1269" s="2" t="s">
        <v>4911</v>
      </c>
      <c r="J1269" s="2" t="s">
        <v>4897</v>
      </c>
      <c r="K1269" s="2" t="s">
        <v>96</v>
      </c>
      <c r="L1269" s="3">
        <v>13.11</v>
      </c>
      <c r="M1269" s="3">
        <v>13.77</v>
      </c>
      <c r="N1269" s="3">
        <v>26.99</v>
      </c>
      <c r="O1269" s="2" t="s">
        <v>97</v>
      </c>
      <c r="P1269" s="2" t="s">
        <v>156</v>
      </c>
      <c r="Q1269" s="2" t="s">
        <v>99</v>
      </c>
      <c r="R1269" s="2" t="s">
        <v>100</v>
      </c>
      <c r="S1269" s="2" t="s">
        <v>100</v>
      </c>
      <c r="T1269" s="2" t="s">
        <v>100</v>
      </c>
      <c r="U1269" s="2" t="s">
        <v>100</v>
      </c>
      <c r="V1269" s="2" t="s">
        <v>461</v>
      </c>
      <c r="W1269" s="2" t="s">
        <v>609</v>
      </c>
      <c r="X1269" s="2" t="s">
        <v>100</v>
      </c>
      <c r="Y1269" s="2" t="s">
        <v>4912</v>
      </c>
      <c r="Z1269" s="4">
        <v>404</v>
      </c>
      <c r="AA1269" s="4">
        <f>=ROUNDDOWN(20.2,0)</f>
      </c>
      <c r="AB1269" s="5">
        <v>20</v>
      </c>
      <c r="AC1269" s="2" t="s">
        <v>4919</v>
      </c>
      <c r="AD1269" s="4">
        <v>192</v>
      </c>
      <c r="AE1269" s="4">
        <v>432</v>
      </c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/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/>
      <c r="BJ1269" s="4">
        <v>55</v>
      </c>
      <c r="BK1269" s="8">
        <v>783.42</v>
      </c>
      <c r="BL1269" s="2" t="s">
        <v>4920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109</v>
      </c>
      <c r="BV1269" s="2" t="s">
        <v>97</v>
      </c>
      <c r="BW1269" s="2" t="s">
        <v>4809</v>
      </c>
      <c r="BX1269" s="2" t="s">
        <v>4921</v>
      </c>
      <c r="BY1269" s="2" t="s">
        <v>112</v>
      </c>
      <c r="BZ1269" s="2" t="s">
        <v>100</v>
      </c>
    </row>
    <row r="1270">
      <c r="A1270" s="2" t="s">
        <v>4922</v>
      </c>
      <c r="B1270" s="2" t="s">
        <v>4552</v>
      </c>
      <c r="C1270" s="2" t="s">
        <v>88</v>
      </c>
      <c r="D1270" s="2" t="s">
        <v>4758</v>
      </c>
      <c r="E1270" s="2" t="s">
        <v>4759</v>
      </c>
      <c r="F1270" s="2" t="s">
        <v>4910</v>
      </c>
      <c r="G1270" s="2" t="s">
        <v>4910</v>
      </c>
      <c r="H1270" s="2" t="s">
        <v>4910</v>
      </c>
      <c r="I1270" s="2" t="s">
        <v>4911</v>
      </c>
      <c r="J1270" s="2" t="s">
        <v>4876</v>
      </c>
      <c r="K1270" s="2" t="s">
        <v>96</v>
      </c>
      <c r="L1270" s="3">
        <v>18.24</v>
      </c>
      <c r="M1270" s="3">
        <v>19.15</v>
      </c>
      <c r="N1270" s="3">
        <v>36.99</v>
      </c>
      <c r="O1270" s="2" t="s">
        <v>97</v>
      </c>
      <c r="P1270" s="2" t="s">
        <v>156</v>
      </c>
      <c r="Q1270" s="2" t="s">
        <v>99</v>
      </c>
      <c r="R1270" s="2" t="s">
        <v>100</v>
      </c>
      <c r="S1270" s="2" t="s">
        <v>100</v>
      </c>
      <c r="T1270" s="2" t="s">
        <v>100</v>
      </c>
      <c r="U1270" s="2" t="s">
        <v>100</v>
      </c>
      <c r="V1270" s="2" t="s">
        <v>461</v>
      </c>
      <c r="W1270" s="2" t="s">
        <v>609</v>
      </c>
      <c r="X1270" s="2" t="s">
        <v>100</v>
      </c>
      <c r="Y1270" s="2" t="s">
        <v>4912</v>
      </c>
      <c r="Z1270" s="4">
        <v>353</v>
      </c>
      <c r="AA1270" s="4">
        <f>=ROUNDDOWN(16.0454545454545,0)</f>
      </c>
      <c r="AB1270" s="5">
        <v>22</v>
      </c>
      <c r="AC1270" s="2" t="s">
        <v>4919</v>
      </c>
      <c r="AD1270" s="4">
        <v>300</v>
      </c>
      <c r="AE1270" s="4">
        <v>460</v>
      </c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/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/>
      <c r="BJ1270" s="4">
        <v>64</v>
      </c>
      <c r="BK1270" s="8">
        <v>1293.22</v>
      </c>
      <c r="BL1270" s="2" t="s">
        <v>4923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109</v>
      </c>
      <c r="BV1270" s="2" t="s">
        <v>97</v>
      </c>
      <c r="BW1270" s="2" t="s">
        <v>4809</v>
      </c>
      <c r="BX1270" s="2" t="s">
        <v>111</v>
      </c>
      <c r="BY1270" s="2" t="s">
        <v>112</v>
      </c>
      <c r="BZ1270" s="2" t="s">
        <v>100</v>
      </c>
    </row>
    <row r="1271">
      <c r="A1271" s="2" t="s">
        <v>4924</v>
      </c>
      <c r="B1271" s="2" t="s">
        <v>4552</v>
      </c>
      <c r="C1271" s="2" t="s">
        <v>88</v>
      </c>
      <c r="D1271" s="2" t="s">
        <v>4758</v>
      </c>
      <c r="E1271" s="2" t="s">
        <v>4759</v>
      </c>
      <c r="F1271" s="2" t="s">
        <v>4910</v>
      </c>
      <c r="G1271" s="2" t="s">
        <v>4910</v>
      </c>
      <c r="H1271" s="2" t="s">
        <v>4910</v>
      </c>
      <c r="I1271" s="2" t="s">
        <v>4911</v>
      </c>
      <c r="J1271" s="2" t="s">
        <v>4897</v>
      </c>
      <c r="K1271" s="2" t="s">
        <v>1173</v>
      </c>
      <c r="L1271" s="3">
        <v>13.11</v>
      </c>
      <c r="M1271" s="3">
        <v>13.77</v>
      </c>
      <c r="N1271" s="3">
        <v>26.99</v>
      </c>
      <c r="O1271" s="2" t="s">
        <v>97</v>
      </c>
      <c r="P1271" s="2" t="s">
        <v>98</v>
      </c>
      <c r="Q1271" s="2" t="s">
        <v>99</v>
      </c>
      <c r="R1271" s="2" t="s">
        <v>100</v>
      </c>
      <c r="S1271" s="2" t="s">
        <v>100</v>
      </c>
      <c r="T1271" s="2" t="s">
        <v>100</v>
      </c>
      <c r="U1271" s="2" t="s">
        <v>100</v>
      </c>
      <c r="V1271" s="2" t="s">
        <v>461</v>
      </c>
      <c r="W1271" s="2" t="s">
        <v>609</v>
      </c>
      <c r="X1271" s="2" t="s">
        <v>100</v>
      </c>
      <c r="Y1271" s="2" t="s">
        <v>4912</v>
      </c>
      <c r="Z1271" s="4">
        <v>309</v>
      </c>
      <c r="AA1271" s="4">
        <f>=ROUNDDOWN(19.3125,0)</f>
      </c>
      <c r="AB1271" s="5">
        <v>16</v>
      </c>
      <c r="AC1271" s="2" t="s">
        <v>1142</v>
      </c>
      <c r="AD1271" s="4">
        <v>172</v>
      </c>
      <c r="AE1271" s="4">
        <v>172</v>
      </c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/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/>
      <c r="BJ1271" s="4">
        <v>51</v>
      </c>
      <c r="BK1271" s="8">
        <v>712.9</v>
      </c>
      <c r="BL1271" s="2" t="s">
        <v>4900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109</v>
      </c>
      <c r="BV1271" s="2" t="s">
        <v>97</v>
      </c>
      <c r="BW1271" s="2" t="s">
        <v>4809</v>
      </c>
      <c r="BX1271" s="2" t="s">
        <v>4925</v>
      </c>
      <c r="BY1271" s="2" t="s">
        <v>112</v>
      </c>
      <c r="BZ1271" s="2" t="s">
        <v>149</v>
      </c>
    </row>
    <row r="1272">
      <c r="A1272" s="2" t="s">
        <v>4926</v>
      </c>
      <c r="B1272" s="2" t="s">
        <v>4552</v>
      </c>
      <c r="C1272" s="2" t="s">
        <v>88</v>
      </c>
      <c r="D1272" s="2" t="s">
        <v>4758</v>
      </c>
      <c r="E1272" s="2" t="s">
        <v>4759</v>
      </c>
      <c r="F1272" s="2" t="s">
        <v>4910</v>
      </c>
      <c r="G1272" s="2" t="s">
        <v>4910</v>
      </c>
      <c r="H1272" s="2" t="s">
        <v>4910</v>
      </c>
      <c r="I1272" s="2" t="s">
        <v>4911</v>
      </c>
      <c r="J1272" s="2" t="s">
        <v>4876</v>
      </c>
      <c r="K1272" s="2" t="s">
        <v>1173</v>
      </c>
      <c r="L1272" s="3">
        <v>18.24</v>
      </c>
      <c r="M1272" s="3">
        <v>19.15</v>
      </c>
      <c r="N1272" s="3">
        <v>36.99</v>
      </c>
      <c r="O1272" s="2" t="s">
        <v>97</v>
      </c>
      <c r="P1272" s="2" t="s">
        <v>98</v>
      </c>
      <c r="Q1272" s="2" t="s">
        <v>99</v>
      </c>
      <c r="R1272" s="2" t="s">
        <v>100</v>
      </c>
      <c r="S1272" s="2" t="s">
        <v>100</v>
      </c>
      <c r="T1272" s="2" t="s">
        <v>100</v>
      </c>
      <c r="U1272" s="2" t="s">
        <v>100</v>
      </c>
      <c r="V1272" s="2" t="s">
        <v>461</v>
      </c>
      <c r="W1272" s="2" t="s">
        <v>609</v>
      </c>
      <c r="X1272" s="2" t="s">
        <v>100</v>
      </c>
      <c r="Y1272" s="2" t="s">
        <v>4912</v>
      </c>
      <c r="Z1272" s="4">
        <v>327</v>
      </c>
      <c r="AA1272" s="4">
        <f>=ROUNDDOWN(19.2352941176471,0)</f>
      </c>
      <c r="AB1272" s="5">
        <v>17</v>
      </c>
      <c r="AC1272" s="2" t="s">
        <v>1142</v>
      </c>
      <c r="AD1272" s="4">
        <v>252</v>
      </c>
      <c r="AE1272" s="4">
        <v>252</v>
      </c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100</v>
      </c>
      <c r="AW1272" s="8" t="s">
        <v>100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/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/>
      <c r="BJ1272" s="4">
        <v>77</v>
      </c>
      <c r="BK1272" s="8">
        <v>1553.11</v>
      </c>
      <c r="BL1272" s="2" t="s">
        <v>4927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109</v>
      </c>
      <c r="BV1272" s="2" t="s">
        <v>97</v>
      </c>
      <c r="BW1272" s="2" t="s">
        <v>4809</v>
      </c>
      <c r="BX1272" s="2" t="s">
        <v>4928</v>
      </c>
      <c r="BY1272" s="2" t="s">
        <v>112</v>
      </c>
      <c r="BZ1272" s="2" t="s">
        <v>100</v>
      </c>
    </row>
    <row r="1273">
      <c r="A1273" s="2" t="s">
        <v>4929</v>
      </c>
      <c r="B1273" s="2" t="s">
        <v>4552</v>
      </c>
      <c r="C1273" s="2" t="s">
        <v>88</v>
      </c>
      <c r="D1273" s="2" t="s">
        <v>4758</v>
      </c>
      <c r="E1273" s="2" t="s">
        <v>4759</v>
      </c>
      <c r="F1273" s="2" t="s">
        <v>4910</v>
      </c>
      <c r="G1273" s="2" t="s">
        <v>4910</v>
      </c>
      <c r="H1273" s="2" t="s">
        <v>4910</v>
      </c>
      <c r="I1273" s="2" t="s">
        <v>4911</v>
      </c>
      <c r="J1273" s="2" t="s">
        <v>4917</v>
      </c>
      <c r="K1273" s="2" t="s">
        <v>1173</v>
      </c>
      <c r="L1273" s="3">
        <v>29.64</v>
      </c>
      <c r="M1273" s="3">
        <v>31.12</v>
      </c>
      <c r="N1273" s="3">
        <v>61.99</v>
      </c>
      <c r="O1273" s="2" t="s">
        <v>97</v>
      </c>
      <c r="P1273" s="2" t="s">
        <v>98</v>
      </c>
      <c r="Q1273" s="2" t="s">
        <v>99</v>
      </c>
      <c r="R1273" s="2" t="s">
        <v>100</v>
      </c>
      <c r="S1273" s="2" t="s">
        <v>100</v>
      </c>
      <c r="T1273" s="2" t="s">
        <v>100</v>
      </c>
      <c r="U1273" s="2" t="s">
        <v>100</v>
      </c>
      <c r="V1273" s="2" t="s">
        <v>461</v>
      </c>
      <c r="W1273" s="2" t="s">
        <v>609</v>
      </c>
      <c r="X1273" s="2" t="s">
        <v>100</v>
      </c>
      <c r="Y1273" s="2" t="s">
        <v>4912</v>
      </c>
      <c r="Z1273" s="4">
        <v>219</v>
      </c>
      <c r="AA1273" s="4">
        <f>=ROUNDDOWN(27.375,0)</f>
      </c>
      <c r="AB1273" s="5">
        <v>8</v>
      </c>
      <c r="AC1273" s="2" t="s">
        <v>1142</v>
      </c>
      <c r="AD1273" s="4">
        <v>152</v>
      </c>
      <c r="AE1273" s="4">
        <v>152</v>
      </c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/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/>
      <c r="BJ1273" s="4">
        <v>29</v>
      </c>
      <c r="BK1273" s="8">
        <v>960.72</v>
      </c>
      <c r="BL1273" s="2" t="s">
        <v>4930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109</v>
      </c>
      <c r="BV1273" s="2" t="s">
        <v>97</v>
      </c>
      <c r="BW1273" s="2" t="s">
        <v>4809</v>
      </c>
      <c r="BX1273" s="2" t="s">
        <v>4931</v>
      </c>
      <c r="BY1273" s="2" t="s">
        <v>112</v>
      </c>
      <c r="BZ1273" s="2" t="s">
        <v>100</v>
      </c>
    </row>
    <row r="1274">
      <c r="A1274" s="2" t="s">
        <v>4932</v>
      </c>
      <c r="B1274" s="2" t="s">
        <v>4552</v>
      </c>
      <c r="C1274" s="2" t="s">
        <v>88</v>
      </c>
      <c r="D1274" s="2" t="s">
        <v>4758</v>
      </c>
      <c r="E1274" s="2" t="s">
        <v>4759</v>
      </c>
      <c r="F1274" s="2" t="s">
        <v>4910</v>
      </c>
      <c r="G1274" s="2" t="s">
        <v>4910</v>
      </c>
      <c r="H1274" s="2" t="s">
        <v>4910</v>
      </c>
      <c r="I1274" s="2" t="s">
        <v>4911</v>
      </c>
      <c r="J1274" s="2" t="s">
        <v>4897</v>
      </c>
      <c r="K1274" s="2" t="s">
        <v>4933</v>
      </c>
      <c r="L1274" s="3">
        <v>13.11</v>
      </c>
      <c r="M1274" s="3">
        <v>13.77</v>
      </c>
      <c r="N1274" s="3">
        <v>26.99</v>
      </c>
      <c r="O1274" s="2" t="s">
        <v>97</v>
      </c>
      <c r="P1274" s="2" t="s">
        <v>156</v>
      </c>
      <c r="Q1274" s="2" t="s">
        <v>99</v>
      </c>
      <c r="R1274" s="2" t="s">
        <v>100</v>
      </c>
      <c r="S1274" s="2" t="s">
        <v>100</v>
      </c>
      <c r="T1274" s="2" t="s">
        <v>100</v>
      </c>
      <c r="U1274" s="2" t="s">
        <v>100</v>
      </c>
      <c r="V1274" s="2" t="s">
        <v>461</v>
      </c>
      <c r="W1274" s="2" t="s">
        <v>609</v>
      </c>
      <c r="X1274" s="2" t="s">
        <v>100</v>
      </c>
      <c r="Y1274" s="2" t="s">
        <v>4912</v>
      </c>
      <c r="Z1274" s="4">
        <v>370</v>
      </c>
      <c r="AA1274" s="4">
        <f>=ROUNDDOWN(12.7586206896552,0)</f>
      </c>
      <c r="AB1274" s="5">
        <v>29</v>
      </c>
      <c r="AC1274" s="2" t="s">
        <v>4919</v>
      </c>
      <c r="AD1274" s="4">
        <v>200</v>
      </c>
      <c r="AE1274" s="4">
        <v>512</v>
      </c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100</v>
      </c>
      <c r="AW1274" s="8" t="s">
        <v>100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/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/>
      <c r="BJ1274" s="4">
        <v>98</v>
      </c>
      <c r="BK1274" s="8">
        <v>1336.16</v>
      </c>
      <c r="BL1274" s="2" t="s">
        <v>384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109</v>
      </c>
      <c r="BV1274" s="2" t="s">
        <v>97</v>
      </c>
      <c r="BW1274" s="2" t="s">
        <v>4809</v>
      </c>
      <c r="BX1274" s="2" t="s">
        <v>4934</v>
      </c>
      <c r="BY1274" s="2" t="s">
        <v>112</v>
      </c>
      <c r="BZ1274" s="2" t="s">
        <v>100</v>
      </c>
    </row>
    <row r="1275">
      <c r="A1275" s="2" t="s">
        <v>4935</v>
      </c>
      <c r="B1275" s="2" t="s">
        <v>4552</v>
      </c>
      <c r="C1275" s="2" t="s">
        <v>88</v>
      </c>
      <c r="D1275" s="2" t="s">
        <v>4758</v>
      </c>
      <c r="E1275" s="2" t="s">
        <v>4759</v>
      </c>
      <c r="F1275" s="2" t="s">
        <v>4910</v>
      </c>
      <c r="G1275" s="2" t="s">
        <v>4910</v>
      </c>
      <c r="H1275" s="2" t="s">
        <v>4910</v>
      </c>
      <c r="I1275" s="2" t="s">
        <v>4911</v>
      </c>
      <c r="J1275" s="2" t="s">
        <v>4876</v>
      </c>
      <c r="K1275" s="2" t="s">
        <v>4933</v>
      </c>
      <c r="L1275" s="3">
        <v>18.24</v>
      </c>
      <c r="M1275" s="3">
        <v>19.15</v>
      </c>
      <c r="N1275" s="3">
        <v>36.99</v>
      </c>
      <c r="O1275" s="2" t="s">
        <v>97</v>
      </c>
      <c r="P1275" s="2" t="s">
        <v>156</v>
      </c>
      <c r="Q1275" s="2" t="s">
        <v>99</v>
      </c>
      <c r="R1275" s="2" t="s">
        <v>100</v>
      </c>
      <c r="S1275" s="2" t="s">
        <v>100</v>
      </c>
      <c r="T1275" s="2" t="s">
        <v>100</v>
      </c>
      <c r="U1275" s="2" t="s">
        <v>100</v>
      </c>
      <c r="V1275" s="2" t="s">
        <v>461</v>
      </c>
      <c r="W1275" s="2" t="s">
        <v>609</v>
      </c>
      <c r="X1275" s="2" t="s">
        <v>100</v>
      </c>
      <c r="Y1275" s="2" t="s">
        <v>4912</v>
      </c>
      <c r="Z1275" s="4">
        <v>230</v>
      </c>
      <c r="AA1275" s="4">
        <f>=ROUNDDOWN(8.51851851851852,0)</f>
      </c>
      <c r="AB1275" s="5">
        <v>27</v>
      </c>
      <c r="AC1275" s="2" t="s">
        <v>4919</v>
      </c>
      <c r="AD1275" s="4">
        <v>320</v>
      </c>
      <c r="AE1275" s="4">
        <v>540</v>
      </c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/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/>
      <c r="BJ1275" s="4">
        <v>80</v>
      </c>
      <c r="BK1275" s="8">
        <v>1618.71</v>
      </c>
      <c r="BL1275" s="2" t="s">
        <v>1349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109</v>
      </c>
      <c r="BV1275" s="2" t="s">
        <v>97</v>
      </c>
      <c r="BW1275" s="2" t="s">
        <v>4809</v>
      </c>
      <c r="BX1275" s="2" t="s">
        <v>111</v>
      </c>
      <c r="BY1275" s="2" t="s">
        <v>112</v>
      </c>
      <c r="BZ1275" s="2" t="s">
        <v>100</v>
      </c>
    </row>
    <row r="1276">
      <c r="A1276" s="2" t="s">
        <v>4936</v>
      </c>
      <c r="B1276" s="2" t="s">
        <v>4552</v>
      </c>
      <c r="C1276" s="2" t="s">
        <v>88</v>
      </c>
      <c r="D1276" s="2" t="s">
        <v>4758</v>
      </c>
      <c r="E1276" s="2" t="s">
        <v>4759</v>
      </c>
      <c r="F1276" s="2" t="s">
        <v>4910</v>
      </c>
      <c r="G1276" s="2" t="s">
        <v>4910</v>
      </c>
      <c r="H1276" s="2" t="s">
        <v>4910</v>
      </c>
      <c r="I1276" s="2" t="s">
        <v>4911</v>
      </c>
      <c r="J1276" s="2" t="s">
        <v>4917</v>
      </c>
      <c r="K1276" s="2" t="s">
        <v>4933</v>
      </c>
      <c r="L1276" s="3">
        <v>29.64</v>
      </c>
      <c r="M1276" s="3">
        <v>31.12</v>
      </c>
      <c r="N1276" s="3">
        <v>61.99</v>
      </c>
      <c r="O1276" s="2" t="s">
        <v>97</v>
      </c>
      <c r="P1276" s="2" t="s">
        <v>156</v>
      </c>
      <c r="Q1276" s="2" t="s">
        <v>99</v>
      </c>
      <c r="R1276" s="2" t="s">
        <v>100</v>
      </c>
      <c r="S1276" s="2" t="s">
        <v>100</v>
      </c>
      <c r="T1276" s="2" t="s">
        <v>100</v>
      </c>
      <c r="U1276" s="2" t="s">
        <v>100</v>
      </c>
      <c r="V1276" s="2" t="s">
        <v>461</v>
      </c>
      <c r="W1276" s="2" t="s">
        <v>609</v>
      </c>
      <c r="X1276" s="2" t="s">
        <v>100</v>
      </c>
      <c r="Y1276" s="2" t="s">
        <v>4912</v>
      </c>
      <c r="Z1276" s="4">
        <v>258</v>
      </c>
      <c r="AA1276" s="4">
        <f>=ROUNDDOWN(11.7272727272727,0)</f>
      </c>
      <c r="AB1276" s="5">
        <v>22</v>
      </c>
      <c r="AC1276" s="2" t="s">
        <v>4919</v>
      </c>
      <c r="AD1276" s="4">
        <v>200</v>
      </c>
      <c r="AE1276" s="4">
        <v>400</v>
      </c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/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/>
      <c r="BJ1276" s="4">
        <v>54</v>
      </c>
      <c r="BK1276" s="8">
        <v>1816.84</v>
      </c>
      <c r="BL1276" s="2" t="s">
        <v>4937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109</v>
      </c>
      <c r="BV1276" s="2" t="s">
        <v>97</v>
      </c>
      <c r="BW1276" s="2" t="s">
        <v>4809</v>
      </c>
      <c r="BX1276" s="2" t="s">
        <v>3679</v>
      </c>
      <c r="BY1276" s="2" t="s">
        <v>112</v>
      </c>
      <c r="BZ1276" s="2" t="s">
        <v>100</v>
      </c>
    </row>
    <row r="1277">
      <c r="A1277" s="2" t="s">
        <v>4938</v>
      </c>
      <c r="B1277" s="2" t="s">
        <v>4552</v>
      </c>
      <c r="C1277" s="2" t="s">
        <v>88</v>
      </c>
      <c r="D1277" s="2" t="s">
        <v>4939</v>
      </c>
      <c r="E1277" s="2" t="s">
        <v>4940</v>
      </c>
      <c r="F1277" s="2" t="s">
        <v>4941</v>
      </c>
      <c r="G1277" s="2" t="s">
        <v>4941</v>
      </c>
      <c r="H1277" s="2" t="s">
        <v>4941</v>
      </c>
      <c r="I1277" s="2" t="s">
        <v>4942</v>
      </c>
      <c r="J1277" s="2" t="s">
        <v>3385</v>
      </c>
      <c r="K1277" s="2" t="s">
        <v>3475</v>
      </c>
      <c r="L1277" s="3">
        <v>21.6</v>
      </c>
      <c r="M1277" s="3">
        <v>22.68</v>
      </c>
      <c r="N1277" s="3">
        <v>44.99</v>
      </c>
      <c r="O1277" s="2" t="s">
        <v>97</v>
      </c>
      <c r="P1277" s="2" t="s">
        <v>98</v>
      </c>
      <c r="Q1277" s="2" t="s">
        <v>99</v>
      </c>
      <c r="R1277" s="2" t="s">
        <v>100</v>
      </c>
      <c r="S1277" s="2" t="s">
        <v>100</v>
      </c>
      <c r="T1277" s="2" t="s">
        <v>100</v>
      </c>
      <c r="U1277" s="2" t="s">
        <v>100</v>
      </c>
      <c r="V1277" s="2" t="s">
        <v>547</v>
      </c>
      <c r="W1277" s="2" t="s">
        <v>493</v>
      </c>
      <c r="X1277" s="2" t="s">
        <v>100</v>
      </c>
      <c r="Y1277" s="2" t="s">
        <v>4943</v>
      </c>
      <c r="Z1277" s="4">
        <v>228</v>
      </c>
      <c r="AA1277" s="4">
        <f>=ROUNDDOWN(13.4117647058824,0)</f>
      </c>
      <c r="AB1277" s="5">
        <v>17</v>
      </c>
      <c r="AC1277" s="2" t="s">
        <v>1142</v>
      </c>
      <c r="AD1277" s="4">
        <v>300</v>
      </c>
      <c r="AE1277" s="4">
        <v>300</v>
      </c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1</v>
      </c>
      <c r="AQ1277" s="8">
        <v>21</v>
      </c>
      <c r="AR1277" s="4"/>
      <c r="AS1277" s="8"/>
      <c r="AT1277" s="7"/>
      <c r="AU1277" s="7"/>
      <c r="AV1277" s="4">
        <v>1</v>
      </c>
      <c r="AW1277" s="8">
        <v>21</v>
      </c>
      <c r="AX1277" s="4"/>
      <c r="AY1277" s="8"/>
      <c r="AZ1277" s="7"/>
      <c r="BA1277" s="7"/>
      <c r="BB1277" s="7">
        <v>1</v>
      </c>
      <c r="BC1277" s="4">
        <v>1</v>
      </c>
      <c r="BD1277" s="8">
        <v>21</v>
      </c>
      <c r="BE1277" s="4"/>
      <c r="BF1277" s="8"/>
      <c r="BG1277" s="7"/>
      <c r="BH1277" s="7"/>
      <c r="BI1277" s="7">
        <v>1</v>
      </c>
      <c r="BJ1277" s="4">
        <v>58</v>
      </c>
      <c r="BK1277" s="8">
        <v>1418.42</v>
      </c>
      <c r="BL1277" s="2" t="s">
        <v>4944</v>
      </c>
      <c r="BM1277" s="7">
        <v>0.0172</v>
      </c>
      <c r="BN1277" s="7">
        <v>0.0148</v>
      </c>
      <c r="BO1277" s="4">
        <v>1</v>
      </c>
      <c r="BP1277" s="8">
        <v>21</v>
      </c>
      <c r="BQ1277" s="4"/>
      <c r="BR1277" s="8"/>
      <c r="BS1277" s="7"/>
      <c r="BT1277" s="7"/>
      <c r="BU1277" s="2" t="s">
        <v>109</v>
      </c>
      <c r="BV1277" s="2" t="s">
        <v>97</v>
      </c>
      <c r="BW1277" s="2" t="s">
        <v>4945</v>
      </c>
      <c r="BX1277" s="2" t="s">
        <v>4946</v>
      </c>
      <c r="BY1277" s="2" t="s">
        <v>112</v>
      </c>
      <c r="BZ1277" s="2" t="s">
        <v>100</v>
      </c>
    </row>
    <row r="1278">
      <c r="A1278" s="2" t="s">
        <v>4947</v>
      </c>
      <c r="B1278" s="2" t="s">
        <v>4552</v>
      </c>
      <c r="C1278" s="2" t="s">
        <v>88</v>
      </c>
      <c r="D1278" s="2" t="s">
        <v>4948</v>
      </c>
      <c r="E1278" s="2" t="s">
        <v>4949</v>
      </c>
      <c r="F1278" s="2" t="s">
        <v>812</v>
      </c>
      <c r="G1278" s="2" t="s">
        <v>813</v>
      </c>
      <c r="H1278" s="2" t="s">
        <v>814</v>
      </c>
      <c r="I1278" s="2" t="s">
        <v>4950</v>
      </c>
      <c r="J1278" s="2" t="s">
        <v>4951</v>
      </c>
      <c r="K1278" s="2" t="s">
        <v>1460</v>
      </c>
      <c r="L1278" s="3">
        <v>30.24</v>
      </c>
      <c r="M1278" s="3">
        <v>31.75</v>
      </c>
      <c r="N1278" s="3">
        <v>54.99</v>
      </c>
      <c r="O1278" s="2" t="s">
        <v>97</v>
      </c>
      <c r="P1278" s="2" t="s">
        <v>98</v>
      </c>
      <c r="Q1278" s="2" t="s">
        <v>99</v>
      </c>
      <c r="R1278" s="2" t="s">
        <v>100</v>
      </c>
      <c r="S1278" s="2" t="s">
        <v>4952</v>
      </c>
      <c r="T1278" s="2" t="s">
        <v>190</v>
      </c>
      <c r="U1278" s="2" t="s">
        <v>355</v>
      </c>
      <c r="V1278" s="2" t="s">
        <v>401</v>
      </c>
      <c r="W1278" s="2" t="s">
        <v>104</v>
      </c>
      <c r="X1278" s="2" t="s">
        <v>100</v>
      </c>
      <c r="Y1278" s="2" t="s">
        <v>1418</v>
      </c>
      <c r="Z1278" s="4">
        <v>125</v>
      </c>
      <c r="AA1278" s="4">
        <f>=ROUNDDOWN(12.5,0)</f>
      </c>
      <c r="AB1278" s="5">
        <v>10</v>
      </c>
      <c r="AC1278" s="2" t="s">
        <v>629</v>
      </c>
      <c r="AD1278" s="4">
        <v>200</v>
      </c>
      <c r="AE1278" s="4">
        <v>200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/>
      <c r="BJ1278" s="4">
        <v>31</v>
      </c>
      <c r="BK1278" s="8">
        <v>1089.04</v>
      </c>
      <c r="BL1278" s="2" t="s">
        <v>2390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171</v>
      </c>
      <c r="BV1278" s="2" t="s">
        <v>97</v>
      </c>
      <c r="BW1278" s="2" t="s">
        <v>100</v>
      </c>
      <c r="BX1278" s="2" t="s">
        <v>100</v>
      </c>
      <c r="BY1278" s="2" t="s">
        <v>112</v>
      </c>
      <c r="BZ1278" s="2" t="s">
        <v>149</v>
      </c>
    </row>
    <row r="1279">
      <c r="A1279" s="2" t="s">
        <v>4953</v>
      </c>
      <c r="B1279" s="2" t="s">
        <v>4552</v>
      </c>
      <c r="C1279" s="2" t="s">
        <v>88</v>
      </c>
      <c r="D1279" s="2" t="s">
        <v>4948</v>
      </c>
      <c r="E1279" s="2" t="s">
        <v>4949</v>
      </c>
      <c r="F1279" s="2" t="s">
        <v>812</v>
      </c>
      <c r="G1279" s="2" t="s">
        <v>813</v>
      </c>
      <c r="H1279" s="2" t="s">
        <v>814</v>
      </c>
      <c r="I1279" s="2" t="s">
        <v>4950</v>
      </c>
      <c r="J1279" s="2" t="s">
        <v>4951</v>
      </c>
      <c r="K1279" s="2" t="s">
        <v>223</v>
      </c>
      <c r="L1279" s="3">
        <v>30.24</v>
      </c>
      <c r="M1279" s="3">
        <v>31.75</v>
      </c>
      <c r="N1279" s="3">
        <v>54.99</v>
      </c>
      <c r="O1279" s="2" t="s">
        <v>97</v>
      </c>
      <c r="P1279" s="2" t="s">
        <v>98</v>
      </c>
      <c r="Q1279" s="2" t="s">
        <v>99</v>
      </c>
      <c r="R1279" s="2" t="s">
        <v>100</v>
      </c>
      <c r="S1279" s="2" t="s">
        <v>4954</v>
      </c>
      <c r="T1279" s="2" t="s">
        <v>190</v>
      </c>
      <c r="U1279" s="2" t="s">
        <v>355</v>
      </c>
      <c r="V1279" s="2" t="s">
        <v>401</v>
      </c>
      <c r="W1279" s="2" t="s">
        <v>104</v>
      </c>
      <c r="X1279" s="2" t="s">
        <v>100</v>
      </c>
      <c r="Y1279" s="2" t="s">
        <v>1418</v>
      </c>
      <c r="Z1279" s="4">
        <v>341</v>
      </c>
      <c r="AA1279" s="4">
        <f>=ROUNDDOWN(24.3571428571429,0)</f>
      </c>
      <c r="AB1279" s="5">
        <v>14</v>
      </c>
      <c r="AC1279" s="2" t="s">
        <v>2363</v>
      </c>
      <c r="AD1279" s="4">
        <v>100</v>
      </c>
      <c r="AE1279" s="4">
        <v>300</v>
      </c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/>
      <c r="BJ1279" s="4">
        <v>67</v>
      </c>
      <c r="BK1279" s="8">
        <v>2362.56</v>
      </c>
      <c r="BL1279" s="2" t="s">
        <v>4955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171</v>
      </c>
      <c r="BV1279" s="2" t="s">
        <v>97</v>
      </c>
      <c r="BW1279" s="2" t="s">
        <v>100</v>
      </c>
      <c r="BX1279" s="2" t="s">
        <v>100</v>
      </c>
      <c r="BY1279" s="2" t="s">
        <v>112</v>
      </c>
      <c r="BZ1279" s="2" t="s">
        <v>149</v>
      </c>
    </row>
    <row r="1280">
      <c r="A1280" s="2" t="s">
        <v>4956</v>
      </c>
      <c r="B1280" s="2" t="s">
        <v>4552</v>
      </c>
      <c r="C1280" s="2" t="s">
        <v>88</v>
      </c>
      <c r="D1280" s="2" t="s">
        <v>4948</v>
      </c>
      <c r="E1280" s="2" t="s">
        <v>4949</v>
      </c>
      <c r="F1280" s="2" t="s">
        <v>252</v>
      </c>
      <c r="G1280" s="2" t="s">
        <v>253</v>
      </c>
      <c r="H1280" s="2" t="s">
        <v>254</v>
      </c>
      <c r="I1280" s="2" t="s">
        <v>4957</v>
      </c>
      <c r="J1280" s="2" t="s">
        <v>3385</v>
      </c>
      <c r="K1280" s="2" t="s">
        <v>256</v>
      </c>
      <c r="L1280" s="3">
        <v>33.6</v>
      </c>
      <c r="M1280" s="3">
        <v>35.28</v>
      </c>
      <c r="N1280" s="3">
        <v>69.99</v>
      </c>
      <c r="O1280" s="2" t="s">
        <v>97</v>
      </c>
      <c r="P1280" s="2" t="s">
        <v>123</v>
      </c>
      <c r="Q1280" s="2" t="s">
        <v>99</v>
      </c>
      <c r="R1280" s="2" t="s">
        <v>100</v>
      </c>
      <c r="S1280" s="2" t="s">
        <v>4958</v>
      </c>
      <c r="T1280" s="2" t="s">
        <v>190</v>
      </c>
      <c r="U1280" s="2" t="s">
        <v>355</v>
      </c>
      <c r="V1280" s="2" t="s">
        <v>192</v>
      </c>
      <c r="W1280" s="2" t="s">
        <v>104</v>
      </c>
      <c r="X1280" s="2" t="s">
        <v>142</v>
      </c>
      <c r="Y1280" s="2" t="s">
        <v>2305</v>
      </c>
      <c r="Z1280" s="4">
        <v>546</v>
      </c>
      <c r="AA1280" s="4">
        <f>=ROUNDDOWN(10.92,0)</f>
      </c>
      <c r="AB1280" s="5">
        <v>50</v>
      </c>
      <c r="AC1280" s="2" t="s">
        <v>3277</v>
      </c>
      <c r="AD1280" s="4">
        <v>120</v>
      </c>
      <c r="AE1280" s="4">
        <v>1660</v>
      </c>
      <c r="AF1280" s="6">
        <v>65</v>
      </c>
      <c r="AG1280" s="6">
        <v>48</v>
      </c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/>
      <c r="BJ1280" s="4">
        <v>374</v>
      </c>
      <c r="BK1280" s="8">
        <v>14381.07</v>
      </c>
      <c r="BL1280" s="2" t="s">
        <v>4959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171</v>
      </c>
      <c r="BV1280" s="2" t="s">
        <v>97</v>
      </c>
      <c r="BW1280" s="2" t="s">
        <v>100</v>
      </c>
      <c r="BX1280" s="2" t="s">
        <v>100</v>
      </c>
      <c r="BY1280" s="2" t="s">
        <v>112</v>
      </c>
      <c r="BZ1280" s="2" t="s">
        <v>100</v>
      </c>
    </row>
    <row r="1281">
      <c r="A1281" s="2" t="s">
        <v>4960</v>
      </c>
      <c r="B1281" s="2" t="s">
        <v>4552</v>
      </c>
      <c r="C1281" s="2" t="s">
        <v>88</v>
      </c>
      <c r="D1281" s="2" t="s">
        <v>4948</v>
      </c>
      <c r="E1281" s="2" t="s">
        <v>4949</v>
      </c>
      <c r="F1281" s="2" t="s">
        <v>252</v>
      </c>
      <c r="G1281" s="2" t="s">
        <v>253</v>
      </c>
      <c r="H1281" s="2" t="s">
        <v>254</v>
      </c>
      <c r="I1281" s="2" t="s">
        <v>4957</v>
      </c>
      <c r="J1281" s="2" t="s">
        <v>3385</v>
      </c>
      <c r="K1281" s="2" t="s">
        <v>223</v>
      </c>
      <c r="L1281" s="3">
        <v>33.6</v>
      </c>
      <c r="M1281" s="3">
        <v>35.28</v>
      </c>
      <c r="N1281" s="3">
        <v>69.99</v>
      </c>
      <c r="O1281" s="2" t="s">
        <v>97</v>
      </c>
      <c r="P1281" s="2" t="s">
        <v>123</v>
      </c>
      <c r="Q1281" s="2" t="s">
        <v>99</v>
      </c>
      <c r="R1281" s="2" t="s">
        <v>100</v>
      </c>
      <c r="S1281" s="2" t="s">
        <v>4958</v>
      </c>
      <c r="T1281" s="2" t="s">
        <v>190</v>
      </c>
      <c r="U1281" s="2" t="s">
        <v>355</v>
      </c>
      <c r="V1281" s="2" t="s">
        <v>192</v>
      </c>
      <c r="W1281" s="2" t="s">
        <v>104</v>
      </c>
      <c r="X1281" s="2" t="s">
        <v>142</v>
      </c>
      <c r="Y1281" s="2" t="s">
        <v>4961</v>
      </c>
      <c r="Z1281" s="4">
        <v>863</v>
      </c>
      <c r="AA1281" s="4">
        <f>=ROUNDDOWN(26.1515151515152,0)</f>
      </c>
      <c r="AB1281" s="5">
        <v>33</v>
      </c>
      <c r="AC1281" s="2" t="s">
        <v>3277</v>
      </c>
      <c r="AD1281" s="4">
        <v>300</v>
      </c>
      <c r="AE1281" s="4">
        <v>600</v>
      </c>
      <c r="AF1281" s="6">
        <v>65</v>
      </c>
      <c r="AG1281" s="6">
        <v>48</v>
      </c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/>
      <c r="AW1281" s="8"/>
      <c r="AX1281" s="4"/>
      <c r="AY1281" s="8"/>
      <c r="AZ1281" s="7"/>
      <c r="BA1281" s="7"/>
      <c r="BB1281" s="7"/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/>
      <c r="BJ1281" s="4">
        <v>116</v>
      </c>
      <c r="BK1281" s="8">
        <v>4339.17</v>
      </c>
      <c r="BL1281" s="2" t="s">
        <v>4962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171</v>
      </c>
      <c r="BV1281" s="2" t="s">
        <v>97</v>
      </c>
      <c r="BW1281" s="2" t="s">
        <v>100</v>
      </c>
      <c r="BX1281" s="2" t="s">
        <v>100</v>
      </c>
      <c r="BY1281" s="2" t="s">
        <v>112</v>
      </c>
      <c r="BZ1281" s="2" t="s">
        <v>100</v>
      </c>
    </row>
    <row r="1282">
      <c r="A1282" s="2" t="s">
        <v>4963</v>
      </c>
      <c r="B1282" s="2" t="s">
        <v>4552</v>
      </c>
      <c r="C1282" s="2" t="s">
        <v>88</v>
      </c>
      <c r="D1282" s="2" t="s">
        <v>4948</v>
      </c>
      <c r="E1282" s="2" t="s">
        <v>4949</v>
      </c>
      <c r="F1282" s="2" t="s">
        <v>252</v>
      </c>
      <c r="G1282" s="2" t="s">
        <v>253</v>
      </c>
      <c r="H1282" s="2" t="s">
        <v>254</v>
      </c>
      <c r="I1282" s="2" t="s">
        <v>4957</v>
      </c>
      <c r="J1282" s="2" t="s">
        <v>3385</v>
      </c>
      <c r="K1282" s="2" t="s">
        <v>386</v>
      </c>
      <c r="L1282" s="3">
        <v>33.6</v>
      </c>
      <c r="M1282" s="3">
        <v>35.28</v>
      </c>
      <c r="N1282" s="3">
        <v>69.99</v>
      </c>
      <c r="O1282" s="2" t="s">
        <v>97</v>
      </c>
      <c r="P1282" s="2" t="s">
        <v>123</v>
      </c>
      <c r="Q1282" s="2" t="s">
        <v>99</v>
      </c>
      <c r="R1282" s="2" t="s">
        <v>100</v>
      </c>
      <c r="S1282" s="2" t="s">
        <v>4958</v>
      </c>
      <c r="T1282" s="2" t="s">
        <v>190</v>
      </c>
      <c r="U1282" s="2" t="s">
        <v>355</v>
      </c>
      <c r="V1282" s="2" t="s">
        <v>192</v>
      </c>
      <c r="W1282" s="2" t="s">
        <v>104</v>
      </c>
      <c r="X1282" s="2" t="s">
        <v>142</v>
      </c>
      <c r="Y1282" s="2" t="s">
        <v>2305</v>
      </c>
      <c r="Z1282" s="4">
        <v>657</v>
      </c>
      <c r="AA1282" s="4">
        <f>=ROUNDDOWN(22.6551724137931,0)</f>
      </c>
      <c r="AB1282" s="5">
        <v>29</v>
      </c>
      <c r="AC1282" s="2" t="s">
        <v>3277</v>
      </c>
      <c r="AD1282" s="4">
        <v>120</v>
      </c>
      <c r="AE1282" s="4">
        <v>460</v>
      </c>
      <c r="AF1282" s="6">
        <v>65</v>
      </c>
      <c r="AG1282" s="6">
        <v>48</v>
      </c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/>
      <c r="BJ1282" s="4">
        <v>107</v>
      </c>
      <c r="BK1282" s="8">
        <v>4073.91</v>
      </c>
      <c r="BL1282" s="2" t="s">
        <v>379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171</v>
      </c>
      <c r="BV1282" s="2" t="s">
        <v>97</v>
      </c>
      <c r="BW1282" s="2" t="s">
        <v>100</v>
      </c>
      <c r="BX1282" s="2" t="s">
        <v>100</v>
      </c>
      <c r="BY1282" s="2" t="s">
        <v>112</v>
      </c>
      <c r="BZ1282" s="2" t="s">
        <v>100</v>
      </c>
    </row>
    <row r="1283">
      <c r="A1283" s="2" t="s">
        <v>4964</v>
      </c>
      <c r="B1283" s="2" t="s">
        <v>4552</v>
      </c>
      <c r="C1283" s="2" t="s">
        <v>1797</v>
      </c>
      <c r="D1283" s="2" t="s">
        <v>4553</v>
      </c>
      <c r="E1283" s="2" t="s">
        <v>4554</v>
      </c>
      <c r="F1283" s="2" t="s">
        <v>1914</v>
      </c>
      <c r="G1283" s="2" t="s">
        <v>1915</v>
      </c>
      <c r="H1283" s="2" t="s">
        <v>1916</v>
      </c>
      <c r="I1283" s="2" t="s">
        <v>4965</v>
      </c>
      <c r="J1283" s="2" t="s">
        <v>4556</v>
      </c>
      <c r="K1283" s="2" t="s">
        <v>179</v>
      </c>
      <c r="L1283" s="3">
        <v>12.6</v>
      </c>
      <c r="M1283" s="3">
        <v>13.23</v>
      </c>
      <c r="N1283" s="3">
        <v>29.99</v>
      </c>
      <c r="O1283" s="2" t="s">
        <v>97</v>
      </c>
      <c r="P1283" s="2" t="s">
        <v>98</v>
      </c>
      <c r="Q1283" s="2" t="s">
        <v>99</v>
      </c>
      <c r="R1283" s="2" t="s">
        <v>100</v>
      </c>
      <c r="S1283" s="2" t="s">
        <v>1918</v>
      </c>
      <c r="T1283" s="2" t="s">
        <v>100</v>
      </c>
      <c r="U1283" s="2" t="s">
        <v>1776</v>
      </c>
      <c r="V1283" s="2" t="s">
        <v>733</v>
      </c>
      <c r="W1283" s="2" t="s">
        <v>493</v>
      </c>
      <c r="X1283" s="2" t="s">
        <v>609</v>
      </c>
      <c r="Y1283" s="2" t="s">
        <v>1919</v>
      </c>
      <c r="Z1283" s="4">
        <v>6</v>
      </c>
      <c r="AA1283" s="4">
        <f>=ROUNDDOWN(0.0638297872340426,0)</f>
      </c>
      <c r="AB1283" s="5">
        <v>94</v>
      </c>
      <c r="AC1283" s="2" t="s">
        <v>1094</v>
      </c>
      <c r="AD1283" s="4">
        <v>380</v>
      </c>
      <c r="AE1283" s="4">
        <v>1660</v>
      </c>
      <c r="AF1283" s="6">
        <v>65</v>
      </c>
      <c r="AG1283" s="6">
        <v>73</v>
      </c>
      <c r="AH1283" s="7">
        <v>0.9355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15</v>
      </c>
      <c r="AQ1283" s="8">
        <v>194.85</v>
      </c>
      <c r="AR1283" s="4"/>
      <c r="AS1283" s="8"/>
      <c r="AT1283" s="7"/>
      <c r="AU1283" s="7"/>
      <c r="AV1283" s="4">
        <v>15</v>
      </c>
      <c r="AW1283" s="8">
        <v>194.85</v>
      </c>
      <c r="AX1283" s="4"/>
      <c r="AY1283" s="8"/>
      <c r="AZ1283" s="7"/>
      <c r="BA1283" s="7"/>
      <c r="BB1283" s="7">
        <v>1</v>
      </c>
      <c r="BC1283" s="4">
        <v>15</v>
      </c>
      <c r="BD1283" s="8">
        <v>194.85</v>
      </c>
      <c r="BE1283" s="4"/>
      <c r="BF1283" s="8"/>
      <c r="BG1283" s="7"/>
      <c r="BH1283" s="7"/>
      <c r="BI1283" s="7">
        <v>1</v>
      </c>
      <c r="BJ1283" s="4">
        <v>361</v>
      </c>
      <c r="BK1283" s="8">
        <v>4906.52</v>
      </c>
      <c r="BL1283" s="2" t="s">
        <v>4966</v>
      </c>
      <c r="BM1283" s="7">
        <v>0.0416</v>
      </c>
      <c r="BN1283" s="7">
        <v>0.0397</v>
      </c>
      <c r="BO1283" s="4">
        <v>15</v>
      </c>
      <c r="BP1283" s="8">
        <v>194.85</v>
      </c>
      <c r="BQ1283" s="4"/>
      <c r="BR1283" s="8"/>
      <c r="BS1283" s="7"/>
      <c r="BT1283" s="7"/>
      <c r="BU1283" s="2" t="s">
        <v>109</v>
      </c>
      <c r="BV1283" s="2" t="s">
        <v>97</v>
      </c>
      <c r="BW1283" s="2" t="s">
        <v>3805</v>
      </c>
      <c r="BX1283" s="2" t="s">
        <v>4967</v>
      </c>
      <c r="BY1283" s="2" t="s">
        <v>112</v>
      </c>
      <c r="BZ1283" s="2" t="s">
        <v>100</v>
      </c>
    </row>
    <row r="1284">
      <c r="A1284" s="2" t="s">
        <v>4968</v>
      </c>
      <c r="B1284" s="2" t="s">
        <v>4552</v>
      </c>
      <c r="C1284" s="2" t="s">
        <v>1797</v>
      </c>
      <c r="D1284" s="2" t="s">
        <v>4553</v>
      </c>
      <c r="E1284" s="2" t="s">
        <v>4554</v>
      </c>
      <c r="F1284" s="2" t="s">
        <v>1828</v>
      </c>
      <c r="G1284" s="2" t="s">
        <v>1829</v>
      </c>
      <c r="H1284" s="2" t="s">
        <v>1830</v>
      </c>
      <c r="I1284" s="2" t="s">
        <v>4969</v>
      </c>
      <c r="J1284" s="2" t="s">
        <v>4556</v>
      </c>
      <c r="K1284" s="2" t="s">
        <v>386</v>
      </c>
      <c r="L1284" s="3">
        <v>14.52</v>
      </c>
      <c r="M1284" s="3">
        <v>15.25</v>
      </c>
      <c r="N1284" s="3">
        <v>32.99</v>
      </c>
      <c r="O1284" s="2" t="s">
        <v>97</v>
      </c>
      <c r="P1284" s="2" t="s">
        <v>98</v>
      </c>
      <c r="Q1284" s="2" t="s">
        <v>99</v>
      </c>
      <c r="R1284" s="2" t="s">
        <v>100</v>
      </c>
      <c r="S1284" s="2" t="s">
        <v>1846</v>
      </c>
      <c r="T1284" s="2" t="s">
        <v>438</v>
      </c>
      <c r="U1284" s="2" t="s">
        <v>1776</v>
      </c>
      <c r="V1284" s="2" t="s">
        <v>192</v>
      </c>
      <c r="W1284" s="2" t="s">
        <v>142</v>
      </c>
      <c r="X1284" s="2" t="s">
        <v>194</v>
      </c>
      <c r="Y1284" s="2" t="s">
        <v>4970</v>
      </c>
      <c r="Z1284" s="4">
        <v>623</v>
      </c>
      <c r="AA1284" s="4">
        <f>=ROUNDDOWN(29.6666666666667,0)</f>
      </c>
      <c r="AB1284" s="5">
        <v>21</v>
      </c>
      <c r="AC1284" s="2" t="s">
        <v>2008</v>
      </c>
      <c r="AD1284" s="4">
        <v>288</v>
      </c>
      <c r="AE1284" s="4">
        <v>288</v>
      </c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/>
      <c r="BD1284" s="8"/>
      <c r="BE1284" s="4"/>
      <c r="BF1284" s="8"/>
      <c r="BG1284" s="7"/>
      <c r="BH1284" s="7"/>
      <c r="BI1284" s="7"/>
      <c r="BJ1284" s="4">
        <v>59</v>
      </c>
      <c r="BK1284" s="8">
        <v>912.79</v>
      </c>
      <c r="BL1284" s="2" t="s">
        <v>4971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4972</v>
      </c>
      <c r="BX1284" s="2" t="s">
        <v>4973</v>
      </c>
      <c r="BY1284" s="2" t="s">
        <v>112</v>
      </c>
      <c r="BZ1284" s="2" t="s">
        <v>100</v>
      </c>
    </row>
    <row r="1285">
      <c r="A1285" s="2" t="s">
        <v>4974</v>
      </c>
      <c r="B1285" s="2" t="s">
        <v>4552</v>
      </c>
      <c r="C1285" s="2" t="s">
        <v>3196</v>
      </c>
      <c r="D1285" s="2" t="s">
        <v>4758</v>
      </c>
      <c r="E1285" s="2" t="s">
        <v>4759</v>
      </c>
      <c r="F1285" s="2" t="s">
        <v>4975</v>
      </c>
      <c r="G1285" s="2" t="s">
        <v>4975</v>
      </c>
      <c r="H1285" s="2" t="s">
        <v>4975</v>
      </c>
      <c r="I1285" s="2" t="s">
        <v>4759</v>
      </c>
      <c r="J1285" s="2" t="s">
        <v>4775</v>
      </c>
      <c r="K1285" s="2" t="s">
        <v>673</v>
      </c>
      <c r="L1285" s="3">
        <v>13.8</v>
      </c>
      <c r="M1285" s="3">
        <v>14.49</v>
      </c>
      <c r="N1285" s="3">
        <v>29.99</v>
      </c>
      <c r="O1285" s="2" t="s">
        <v>97</v>
      </c>
      <c r="P1285" s="2" t="s">
        <v>139</v>
      </c>
      <c r="Q1285" s="2" t="s">
        <v>99</v>
      </c>
      <c r="R1285" s="2" t="s">
        <v>100</v>
      </c>
      <c r="S1285" s="2" t="s">
        <v>4976</v>
      </c>
      <c r="T1285" s="2" t="s">
        <v>100</v>
      </c>
      <c r="U1285" s="2" t="s">
        <v>1776</v>
      </c>
      <c r="V1285" s="2" t="s">
        <v>461</v>
      </c>
      <c r="W1285" s="2" t="s">
        <v>1136</v>
      </c>
      <c r="X1285" s="2" t="s">
        <v>100</v>
      </c>
      <c r="Y1285" s="2" t="s">
        <v>4977</v>
      </c>
      <c r="Z1285" s="4">
        <v>1053</v>
      </c>
      <c r="AA1285" s="4">
        <f>=ROUNDDOWN(17.2622950819672,0)</f>
      </c>
      <c r="AB1285" s="5">
        <v>61</v>
      </c>
      <c r="AC1285" s="2" t="s">
        <v>990</v>
      </c>
      <c r="AD1285" s="4">
        <v>60</v>
      </c>
      <c r="AE1285" s="4">
        <v>1870</v>
      </c>
      <c r="AF1285" s="6">
        <v>65</v>
      </c>
      <c r="AG1285" s="6">
        <v>73</v>
      </c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2</v>
      </c>
      <c r="AQ1285" s="8">
        <v>28.86</v>
      </c>
      <c r="AR1285" s="4"/>
      <c r="AS1285" s="8"/>
      <c r="AT1285" s="7"/>
      <c r="AU1285" s="7"/>
      <c r="AV1285" s="4">
        <v>3</v>
      </c>
      <c r="AW1285" s="8">
        <v>51.96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>
        <v>0.5554</v>
      </c>
      <c r="BC1285" s="4">
        <v>5</v>
      </c>
      <c r="BD1285" s="8">
        <v>89.49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>
        <v>0.5806</v>
      </c>
      <c r="BJ1285" s="4">
        <v>192</v>
      </c>
      <c r="BK1285" s="8">
        <v>2922.19</v>
      </c>
      <c r="BL1285" s="2" t="s">
        <v>4978</v>
      </c>
      <c r="BM1285" s="7">
        <v>0.0104</v>
      </c>
      <c r="BN1285" s="7">
        <v>0.0099</v>
      </c>
      <c r="BO1285" s="4">
        <v>2</v>
      </c>
      <c r="BP1285" s="8">
        <v>28.86</v>
      </c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1426</v>
      </c>
      <c r="BX1285" s="2" t="s">
        <v>2313</v>
      </c>
      <c r="BY1285" s="2" t="s">
        <v>112</v>
      </c>
      <c r="BZ1285" s="2" t="s">
        <v>100</v>
      </c>
    </row>
    <row r="1286">
      <c r="A1286" s="2" t="s">
        <v>4979</v>
      </c>
      <c r="B1286" s="2" t="s">
        <v>4552</v>
      </c>
      <c r="C1286" s="2" t="s">
        <v>3196</v>
      </c>
      <c r="D1286" s="2" t="s">
        <v>4758</v>
      </c>
      <c r="E1286" s="2" t="s">
        <v>4759</v>
      </c>
      <c r="F1286" s="2" t="s">
        <v>4975</v>
      </c>
      <c r="G1286" s="2" t="s">
        <v>4975</v>
      </c>
      <c r="H1286" s="2" t="s">
        <v>4975</v>
      </c>
      <c r="I1286" s="2" t="s">
        <v>4759</v>
      </c>
      <c r="J1286" s="2" t="s">
        <v>4764</v>
      </c>
      <c r="K1286" s="2" t="s">
        <v>673</v>
      </c>
      <c r="L1286" s="3">
        <v>21.6</v>
      </c>
      <c r="M1286" s="3">
        <v>22.68</v>
      </c>
      <c r="N1286" s="3">
        <v>44.99</v>
      </c>
      <c r="O1286" s="2" t="s">
        <v>97</v>
      </c>
      <c r="P1286" s="2" t="s">
        <v>139</v>
      </c>
      <c r="Q1286" s="2" t="s">
        <v>99</v>
      </c>
      <c r="R1286" s="2" t="s">
        <v>100</v>
      </c>
      <c r="S1286" s="2" t="s">
        <v>4976</v>
      </c>
      <c r="T1286" s="2" t="s">
        <v>100</v>
      </c>
      <c r="U1286" s="2" t="s">
        <v>1776</v>
      </c>
      <c r="V1286" s="2" t="s">
        <v>461</v>
      </c>
      <c r="W1286" s="2" t="s">
        <v>1136</v>
      </c>
      <c r="X1286" s="2" t="s">
        <v>100</v>
      </c>
      <c r="Y1286" s="2" t="s">
        <v>4977</v>
      </c>
      <c r="Z1286" s="4">
        <v>731</v>
      </c>
      <c r="AA1286" s="4">
        <f>=ROUNDDOWN(13.2909090909091,0)</f>
      </c>
      <c r="AB1286" s="5">
        <v>55</v>
      </c>
      <c r="AC1286" s="2" t="s">
        <v>990</v>
      </c>
      <c r="AD1286" s="4">
        <v>160</v>
      </c>
      <c r="AE1286" s="4">
        <v>1860</v>
      </c>
      <c r="AF1286" s="6">
        <v>65</v>
      </c>
      <c r="AG1286" s="6">
        <v>73</v>
      </c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1</v>
      </c>
      <c r="AQ1286" s="8">
        <v>23.1</v>
      </c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0.4446</v>
      </c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 t="s">
        <v>100</v>
      </c>
      <c r="BJ1286" s="4">
        <v>191</v>
      </c>
      <c r="BK1286" s="8">
        <v>4526.43</v>
      </c>
      <c r="BL1286" s="2" t="s">
        <v>4980</v>
      </c>
      <c r="BM1286" s="7">
        <v>0.0052</v>
      </c>
      <c r="BN1286" s="7">
        <v>0.0051</v>
      </c>
      <c r="BO1286" s="4">
        <v>1</v>
      </c>
      <c r="BP1286" s="8">
        <v>23.1</v>
      </c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1426</v>
      </c>
      <c r="BX1286" s="2" t="s">
        <v>2313</v>
      </c>
      <c r="BY1286" s="2" t="s">
        <v>112</v>
      </c>
      <c r="BZ1286" s="2" t="s">
        <v>100</v>
      </c>
    </row>
    <row r="1287">
      <c r="A1287" s="2" t="s">
        <v>4981</v>
      </c>
      <c r="B1287" s="2" t="s">
        <v>4552</v>
      </c>
      <c r="C1287" s="2" t="s">
        <v>3196</v>
      </c>
      <c r="D1287" s="2" t="s">
        <v>4758</v>
      </c>
      <c r="E1287" s="2" t="s">
        <v>4759</v>
      </c>
      <c r="F1287" s="2" t="s">
        <v>4975</v>
      </c>
      <c r="G1287" s="2" t="s">
        <v>4975</v>
      </c>
      <c r="H1287" s="2" t="s">
        <v>4975</v>
      </c>
      <c r="I1287" s="2" t="s">
        <v>4759</v>
      </c>
      <c r="J1287" s="2" t="s">
        <v>4771</v>
      </c>
      <c r="K1287" s="2" t="s">
        <v>673</v>
      </c>
      <c r="L1287" s="3">
        <v>31.2</v>
      </c>
      <c r="M1287" s="3">
        <v>32.76</v>
      </c>
      <c r="N1287" s="3">
        <v>64.99</v>
      </c>
      <c r="O1287" s="2" t="s">
        <v>97</v>
      </c>
      <c r="P1287" s="2" t="s">
        <v>139</v>
      </c>
      <c r="Q1287" s="2" t="s">
        <v>99</v>
      </c>
      <c r="R1287" s="2" t="s">
        <v>100</v>
      </c>
      <c r="S1287" s="2" t="s">
        <v>4976</v>
      </c>
      <c r="T1287" s="2" t="s">
        <v>100</v>
      </c>
      <c r="U1287" s="2" t="s">
        <v>1776</v>
      </c>
      <c r="V1287" s="2" t="s">
        <v>461</v>
      </c>
      <c r="W1287" s="2" t="s">
        <v>1136</v>
      </c>
      <c r="X1287" s="2" t="s">
        <v>100</v>
      </c>
      <c r="Y1287" s="2" t="s">
        <v>4977</v>
      </c>
      <c r="Z1287" s="4">
        <v>434</v>
      </c>
      <c r="AA1287" s="4">
        <f>=ROUNDDOWN(11.4210526315789,0)</f>
      </c>
      <c r="AB1287" s="5">
        <v>38</v>
      </c>
      <c r="AC1287" s="2" t="s">
        <v>990</v>
      </c>
      <c r="AD1287" s="4">
        <v>120</v>
      </c>
      <c r="AE1287" s="4">
        <v>1250</v>
      </c>
      <c r="AF1287" s="6">
        <v>65</v>
      </c>
      <c r="AG1287" s="6">
        <v>73</v>
      </c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/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 t="s">
        <v>100</v>
      </c>
      <c r="BJ1287" s="4">
        <v>135</v>
      </c>
      <c r="BK1287" s="8">
        <v>4688.47</v>
      </c>
      <c r="BL1287" s="2" t="s">
        <v>4982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109</v>
      </c>
      <c r="BV1287" s="2" t="s">
        <v>97</v>
      </c>
      <c r="BW1287" s="2" t="s">
        <v>1426</v>
      </c>
      <c r="BX1287" s="2" t="s">
        <v>2313</v>
      </c>
      <c r="BY1287" s="2" t="s">
        <v>112</v>
      </c>
      <c r="BZ1287" s="2" t="s">
        <v>100</v>
      </c>
    </row>
    <row r="1288">
      <c r="A1288" s="2" t="s">
        <v>4983</v>
      </c>
      <c r="B1288" s="2" t="s">
        <v>4552</v>
      </c>
      <c r="C1288" s="2" t="s">
        <v>3196</v>
      </c>
      <c r="D1288" s="2" t="s">
        <v>4758</v>
      </c>
      <c r="E1288" s="2" t="s">
        <v>4759</v>
      </c>
      <c r="F1288" s="2" t="s">
        <v>4975</v>
      </c>
      <c r="G1288" s="2" t="s">
        <v>4975</v>
      </c>
      <c r="H1288" s="2" t="s">
        <v>4975</v>
      </c>
      <c r="I1288" s="2" t="s">
        <v>4759</v>
      </c>
      <c r="J1288" s="2" t="s">
        <v>4984</v>
      </c>
      <c r="K1288" s="2" t="s">
        <v>673</v>
      </c>
      <c r="L1288" s="3">
        <v>13.8</v>
      </c>
      <c r="M1288" s="3">
        <v>14.49</v>
      </c>
      <c r="N1288" s="3">
        <v>29.99</v>
      </c>
      <c r="O1288" s="2" t="s">
        <v>97</v>
      </c>
      <c r="P1288" s="2" t="s">
        <v>139</v>
      </c>
      <c r="Q1288" s="2" t="s">
        <v>99</v>
      </c>
      <c r="R1288" s="2" t="s">
        <v>100</v>
      </c>
      <c r="S1288" s="2" t="s">
        <v>4976</v>
      </c>
      <c r="T1288" s="2" t="s">
        <v>100</v>
      </c>
      <c r="U1288" s="2" t="s">
        <v>1776</v>
      </c>
      <c r="V1288" s="2" t="s">
        <v>461</v>
      </c>
      <c r="W1288" s="2" t="s">
        <v>1136</v>
      </c>
      <c r="X1288" s="2" t="s">
        <v>100</v>
      </c>
      <c r="Y1288" s="2" t="s">
        <v>4977</v>
      </c>
      <c r="Z1288" s="4">
        <v>586</v>
      </c>
      <c r="AA1288" s="4">
        <f>=ROUNDDOWN(12.2083333333333,0)</f>
      </c>
      <c r="AB1288" s="5">
        <v>48</v>
      </c>
      <c r="AC1288" s="2" t="s">
        <v>990</v>
      </c>
      <c r="AD1288" s="4">
        <v>150</v>
      </c>
      <c r="AE1288" s="4">
        <v>1550</v>
      </c>
      <c r="AF1288" s="6">
        <v>65</v>
      </c>
      <c r="AG1288" s="6">
        <v>73</v>
      </c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/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 t="s">
        <v>100</v>
      </c>
      <c r="BJ1288" s="4">
        <v>165</v>
      </c>
      <c r="BK1288" s="8">
        <v>2502.93</v>
      </c>
      <c r="BL1288" s="2" t="s">
        <v>4985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109</v>
      </c>
      <c r="BV1288" s="2" t="s">
        <v>97</v>
      </c>
      <c r="BW1288" s="2" t="s">
        <v>1426</v>
      </c>
      <c r="BX1288" s="2" t="s">
        <v>4986</v>
      </c>
      <c r="BY1288" s="2" t="s">
        <v>112</v>
      </c>
      <c r="BZ1288" s="2" t="s">
        <v>149</v>
      </c>
    </row>
    <row r="1289">
      <c r="A1289" s="2" t="s">
        <v>4987</v>
      </c>
      <c r="B1289" s="2" t="s">
        <v>4552</v>
      </c>
      <c r="C1289" s="2" t="s">
        <v>3196</v>
      </c>
      <c r="D1289" s="2" t="s">
        <v>4758</v>
      </c>
      <c r="E1289" s="2" t="s">
        <v>4759</v>
      </c>
      <c r="F1289" s="2" t="s">
        <v>4975</v>
      </c>
      <c r="G1289" s="2" t="s">
        <v>4975</v>
      </c>
      <c r="H1289" s="2" t="s">
        <v>4975</v>
      </c>
      <c r="I1289" s="2" t="s">
        <v>4759</v>
      </c>
      <c r="J1289" s="2" t="s">
        <v>4764</v>
      </c>
      <c r="K1289" s="2" t="s">
        <v>96</v>
      </c>
      <c r="L1289" s="3">
        <v>21.6</v>
      </c>
      <c r="M1289" s="3">
        <v>22.68</v>
      </c>
      <c r="N1289" s="3">
        <v>44.99</v>
      </c>
      <c r="O1289" s="2" t="s">
        <v>97</v>
      </c>
      <c r="P1289" s="2" t="s">
        <v>139</v>
      </c>
      <c r="Q1289" s="2" t="s">
        <v>99</v>
      </c>
      <c r="R1289" s="2" t="s">
        <v>100</v>
      </c>
      <c r="S1289" s="2" t="s">
        <v>4988</v>
      </c>
      <c r="T1289" s="2" t="s">
        <v>100</v>
      </c>
      <c r="U1289" s="2" t="s">
        <v>100</v>
      </c>
      <c r="V1289" s="2" t="s">
        <v>461</v>
      </c>
      <c r="W1289" s="2" t="s">
        <v>4989</v>
      </c>
      <c r="X1289" s="2" t="s">
        <v>100</v>
      </c>
      <c r="Y1289" s="2" t="s">
        <v>144</v>
      </c>
      <c r="Z1289" s="4">
        <v>1131</v>
      </c>
      <c r="AA1289" s="4">
        <f>=ROUNDDOWN(29,0)</f>
      </c>
      <c r="AB1289" s="5">
        <v>39</v>
      </c>
      <c r="AC1289" s="2" t="s">
        <v>990</v>
      </c>
      <c r="AD1289" s="4">
        <v>210</v>
      </c>
      <c r="AE1289" s="4">
        <v>960</v>
      </c>
      <c r="AF1289" s="6">
        <v>65</v>
      </c>
      <c r="AG1289" s="6">
        <v>73</v>
      </c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1</v>
      </c>
      <c r="AQ1289" s="8">
        <v>23.1</v>
      </c>
      <c r="AR1289" s="4"/>
      <c r="AS1289" s="8"/>
      <c r="AT1289" s="7"/>
      <c r="AU1289" s="7"/>
      <c r="AV1289" s="4">
        <v>2</v>
      </c>
      <c r="AW1289" s="8">
        <v>37.53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>
        <v>0.6155</v>
      </c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>
        <v>0.4194</v>
      </c>
      <c r="BJ1289" s="4">
        <v>138</v>
      </c>
      <c r="BK1289" s="8">
        <v>3219.7</v>
      </c>
      <c r="BL1289" s="2" t="s">
        <v>4772</v>
      </c>
      <c r="BM1289" s="7">
        <v>0.0072</v>
      </c>
      <c r="BN1289" s="7">
        <v>0.0072</v>
      </c>
      <c r="BO1289" s="4">
        <v>1</v>
      </c>
      <c r="BP1289" s="8">
        <v>23.1</v>
      </c>
      <c r="BQ1289" s="4"/>
      <c r="BR1289" s="8"/>
      <c r="BS1289" s="7"/>
      <c r="BT1289" s="7"/>
      <c r="BU1289" s="2" t="s">
        <v>109</v>
      </c>
      <c r="BV1289" s="2" t="s">
        <v>97</v>
      </c>
      <c r="BW1289" s="2" t="s">
        <v>4768</v>
      </c>
      <c r="BX1289" s="2" t="s">
        <v>4990</v>
      </c>
      <c r="BY1289" s="2" t="s">
        <v>112</v>
      </c>
      <c r="BZ1289" s="2" t="s">
        <v>100</v>
      </c>
    </row>
    <row r="1290">
      <c r="A1290" s="2" t="s">
        <v>4991</v>
      </c>
      <c r="B1290" s="2" t="s">
        <v>4552</v>
      </c>
      <c r="C1290" s="2" t="s">
        <v>3196</v>
      </c>
      <c r="D1290" s="2" t="s">
        <v>4758</v>
      </c>
      <c r="E1290" s="2" t="s">
        <v>4759</v>
      </c>
      <c r="F1290" s="2" t="s">
        <v>4975</v>
      </c>
      <c r="G1290" s="2" t="s">
        <v>4975</v>
      </c>
      <c r="H1290" s="2" t="s">
        <v>4975</v>
      </c>
      <c r="I1290" s="2" t="s">
        <v>4759</v>
      </c>
      <c r="J1290" s="2" t="s">
        <v>4984</v>
      </c>
      <c r="K1290" s="2" t="s">
        <v>96</v>
      </c>
      <c r="L1290" s="3">
        <v>13.8</v>
      </c>
      <c r="M1290" s="3">
        <v>14.49</v>
      </c>
      <c r="N1290" s="3">
        <v>29.99</v>
      </c>
      <c r="O1290" s="2" t="s">
        <v>97</v>
      </c>
      <c r="P1290" s="2" t="s">
        <v>139</v>
      </c>
      <c r="Q1290" s="2" t="s">
        <v>99</v>
      </c>
      <c r="R1290" s="2" t="s">
        <v>100</v>
      </c>
      <c r="S1290" s="2" t="s">
        <v>4988</v>
      </c>
      <c r="T1290" s="2" t="s">
        <v>100</v>
      </c>
      <c r="U1290" s="2" t="s">
        <v>100</v>
      </c>
      <c r="V1290" s="2" t="s">
        <v>461</v>
      </c>
      <c r="W1290" s="2" t="s">
        <v>4989</v>
      </c>
      <c r="X1290" s="2" t="s">
        <v>100</v>
      </c>
      <c r="Y1290" s="2" t="s">
        <v>144</v>
      </c>
      <c r="Z1290" s="4">
        <v>911</v>
      </c>
      <c r="AA1290" s="4">
        <f>=ROUNDDOWN(22.219512195122,0)</f>
      </c>
      <c r="AB1290" s="5">
        <v>41</v>
      </c>
      <c r="AC1290" s="2" t="s">
        <v>990</v>
      </c>
      <c r="AD1290" s="4">
        <v>170</v>
      </c>
      <c r="AE1290" s="4">
        <v>1090</v>
      </c>
      <c r="AF1290" s="6">
        <v>65</v>
      </c>
      <c r="AG1290" s="6">
        <v>73</v>
      </c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1</v>
      </c>
      <c r="AQ1290" s="8">
        <v>14.43</v>
      </c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>
        <v>0.3845</v>
      </c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 t="s">
        <v>100</v>
      </c>
      <c r="BJ1290" s="4">
        <v>124</v>
      </c>
      <c r="BK1290" s="8">
        <v>1851.14</v>
      </c>
      <c r="BL1290" s="2" t="s">
        <v>4772</v>
      </c>
      <c r="BM1290" s="7">
        <v>0.0081</v>
      </c>
      <c r="BN1290" s="7">
        <v>0.0078</v>
      </c>
      <c r="BO1290" s="4">
        <v>1</v>
      </c>
      <c r="BP1290" s="8">
        <v>14.43</v>
      </c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4768</v>
      </c>
      <c r="BX1290" s="2" t="s">
        <v>402</v>
      </c>
      <c r="BY1290" s="2" t="s">
        <v>112</v>
      </c>
      <c r="BZ1290" s="2" t="s">
        <v>100</v>
      </c>
    </row>
    <row r="1291">
      <c r="A1291" s="2" t="s">
        <v>4992</v>
      </c>
      <c r="B1291" s="2" t="s">
        <v>4552</v>
      </c>
      <c r="C1291" s="2" t="s">
        <v>3196</v>
      </c>
      <c r="D1291" s="2" t="s">
        <v>4758</v>
      </c>
      <c r="E1291" s="2" t="s">
        <v>4759</v>
      </c>
      <c r="F1291" s="2" t="s">
        <v>4975</v>
      </c>
      <c r="G1291" s="2" t="s">
        <v>4975</v>
      </c>
      <c r="H1291" s="2" t="s">
        <v>4975</v>
      </c>
      <c r="I1291" s="2" t="s">
        <v>4759</v>
      </c>
      <c r="J1291" s="2" t="s">
        <v>4775</v>
      </c>
      <c r="K1291" s="2" t="s">
        <v>179</v>
      </c>
      <c r="L1291" s="3">
        <v>13.8</v>
      </c>
      <c r="M1291" s="3">
        <v>14.49</v>
      </c>
      <c r="N1291" s="3">
        <v>29.99</v>
      </c>
      <c r="O1291" s="2" t="s">
        <v>97</v>
      </c>
      <c r="P1291" s="2" t="s">
        <v>123</v>
      </c>
      <c r="Q1291" s="2" t="s">
        <v>99</v>
      </c>
      <c r="R1291" s="2" t="s">
        <v>100</v>
      </c>
      <c r="S1291" s="2" t="s">
        <v>4993</v>
      </c>
      <c r="T1291" s="2" t="s">
        <v>100</v>
      </c>
      <c r="U1291" s="2" t="s">
        <v>1776</v>
      </c>
      <c r="V1291" s="2" t="s">
        <v>461</v>
      </c>
      <c r="W1291" s="2" t="s">
        <v>1136</v>
      </c>
      <c r="X1291" s="2" t="s">
        <v>100</v>
      </c>
      <c r="Y1291" s="2" t="s">
        <v>4994</v>
      </c>
      <c r="Z1291" s="4">
        <v>758</v>
      </c>
      <c r="AA1291" s="4">
        <f>=ROUNDDOWN(22.969696969697,0)</f>
      </c>
      <c r="AB1291" s="5">
        <v>33</v>
      </c>
      <c r="AC1291" s="2" t="s">
        <v>990</v>
      </c>
      <c r="AD1291" s="4">
        <v>110</v>
      </c>
      <c r="AE1291" s="4">
        <v>840</v>
      </c>
      <c r="AF1291" s="6">
        <v>65</v>
      </c>
      <c r="AG1291" s="6">
        <v>73</v>
      </c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/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 t="s">
        <v>100</v>
      </c>
      <c r="BJ1291" s="4">
        <v>125</v>
      </c>
      <c r="BK1291" s="8">
        <v>1892.47</v>
      </c>
      <c r="BL1291" s="2" t="s">
        <v>4995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171</v>
      </c>
      <c r="BV1291" s="2" t="s">
        <v>97</v>
      </c>
      <c r="BW1291" s="2" t="s">
        <v>100</v>
      </c>
      <c r="BX1291" s="2" t="s">
        <v>100</v>
      </c>
      <c r="BY1291" s="2" t="s">
        <v>112</v>
      </c>
      <c r="BZ1291" s="2" t="s">
        <v>149</v>
      </c>
    </row>
    <row r="1292">
      <c r="A1292" s="2" t="s">
        <v>4996</v>
      </c>
      <c r="B1292" s="2" t="s">
        <v>4552</v>
      </c>
      <c r="C1292" s="2" t="s">
        <v>3196</v>
      </c>
      <c r="D1292" s="2" t="s">
        <v>4758</v>
      </c>
      <c r="E1292" s="2" t="s">
        <v>4759</v>
      </c>
      <c r="F1292" s="2" t="s">
        <v>4975</v>
      </c>
      <c r="G1292" s="2" t="s">
        <v>4975</v>
      </c>
      <c r="H1292" s="2" t="s">
        <v>4975</v>
      </c>
      <c r="I1292" s="2" t="s">
        <v>4759</v>
      </c>
      <c r="J1292" s="2" t="s">
        <v>4764</v>
      </c>
      <c r="K1292" s="2" t="s">
        <v>179</v>
      </c>
      <c r="L1292" s="3">
        <v>21.6</v>
      </c>
      <c r="M1292" s="3">
        <v>22.68</v>
      </c>
      <c r="N1292" s="3">
        <v>44.99</v>
      </c>
      <c r="O1292" s="2" t="s">
        <v>97</v>
      </c>
      <c r="P1292" s="2" t="s">
        <v>123</v>
      </c>
      <c r="Q1292" s="2" t="s">
        <v>99</v>
      </c>
      <c r="R1292" s="2" t="s">
        <v>100</v>
      </c>
      <c r="S1292" s="2" t="s">
        <v>4993</v>
      </c>
      <c r="T1292" s="2" t="s">
        <v>100</v>
      </c>
      <c r="U1292" s="2" t="s">
        <v>1776</v>
      </c>
      <c r="V1292" s="2" t="s">
        <v>461</v>
      </c>
      <c r="W1292" s="2" t="s">
        <v>1136</v>
      </c>
      <c r="X1292" s="2" t="s">
        <v>100</v>
      </c>
      <c r="Y1292" s="2" t="s">
        <v>4994</v>
      </c>
      <c r="Z1292" s="4">
        <v>671</v>
      </c>
      <c r="AA1292" s="4">
        <f>=ROUNDDOWN(27.9583333333333,0)</f>
      </c>
      <c r="AB1292" s="5">
        <v>24</v>
      </c>
      <c r="AC1292" s="2" t="s">
        <v>990</v>
      </c>
      <c r="AD1292" s="4">
        <v>140</v>
      </c>
      <c r="AE1292" s="4">
        <v>700</v>
      </c>
      <c r="AF1292" s="6">
        <v>65</v>
      </c>
      <c r="AG1292" s="6">
        <v>73</v>
      </c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100</v>
      </c>
      <c r="AW1292" s="8" t="s">
        <v>100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/>
      <c r="BC1292" s="4" t="s">
        <v>100</v>
      </c>
      <c r="BD1292" s="8" t="s">
        <v>100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 t="s">
        <v>100</v>
      </c>
      <c r="BJ1292" s="4">
        <v>70</v>
      </c>
      <c r="BK1292" s="8">
        <v>1641.66</v>
      </c>
      <c r="BL1292" s="2" t="s">
        <v>1349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171</v>
      </c>
      <c r="BV1292" s="2" t="s">
        <v>97</v>
      </c>
      <c r="BW1292" s="2" t="s">
        <v>100</v>
      </c>
      <c r="BX1292" s="2" t="s">
        <v>100</v>
      </c>
      <c r="BY1292" s="2" t="s">
        <v>112</v>
      </c>
      <c r="BZ1292" s="2" t="s">
        <v>100</v>
      </c>
    </row>
    <row r="1293">
      <c r="A1293" s="2" t="s">
        <v>4997</v>
      </c>
      <c r="B1293" s="2" t="s">
        <v>4552</v>
      </c>
      <c r="C1293" s="2" t="s">
        <v>3196</v>
      </c>
      <c r="D1293" s="2" t="s">
        <v>4758</v>
      </c>
      <c r="E1293" s="2" t="s">
        <v>4759</v>
      </c>
      <c r="F1293" s="2" t="s">
        <v>4975</v>
      </c>
      <c r="G1293" s="2" t="s">
        <v>4975</v>
      </c>
      <c r="H1293" s="2" t="s">
        <v>4975</v>
      </c>
      <c r="I1293" s="2" t="s">
        <v>4759</v>
      </c>
      <c r="J1293" s="2" t="s">
        <v>4771</v>
      </c>
      <c r="K1293" s="2" t="s">
        <v>179</v>
      </c>
      <c r="L1293" s="3">
        <v>31.2</v>
      </c>
      <c r="M1293" s="3">
        <v>32.76</v>
      </c>
      <c r="N1293" s="3">
        <v>64.99</v>
      </c>
      <c r="O1293" s="2" t="s">
        <v>97</v>
      </c>
      <c r="P1293" s="2" t="s">
        <v>123</v>
      </c>
      <c r="Q1293" s="2" t="s">
        <v>99</v>
      </c>
      <c r="R1293" s="2" t="s">
        <v>100</v>
      </c>
      <c r="S1293" s="2" t="s">
        <v>4993</v>
      </c>
      <c r="T1293" s="2" t="s">
        <v>100</v>
      </c>
      <c r="U1293" s="2" t="s">
        <v>1776</v>
      </c>
      <c r="V1293" s="2" t="s">
        <v>461</v>
      </c>
      <c r="W1293" s="2" t="s">
        <v>1136</v>
      </c>
      <c r="X1293" s="2" t="s">
        <v>100</v>
      </c>
      <c r="Y1293" s="2" t="s">
        <v>4994</v>
      </c>
      <c r="Z1293" s="4">
        <v>434</v>
      </c>
      <c r="AA1293" s="4">
        <f>=ROUNDDOWN(21.7,0)</f>
      </c>
      <c r="AB1293" s="5">
        <v>20</v>
      </c>
      <c r="AC1293" s="2" t="s">
        <v>990</v>
      </c>
      <c r="AD1293" s="4">
        <v>80</v>
      </c>
      <c r="AE1293" s="4">
        <v>370</v>
      </c>
      <c r="AF1293" s="6">
        <v>65</v>
      </c>
      <c r="AG1293" s="6">
        <v>73</v>
      </c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/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 t="s">
        <v>100</v>
      </c>
      <c r="BJ1293" s="4">
        <v>73</v>
      </c>
      <c r="BK1293" s="8">
        <v>2525.34</v>
      </c>
      <c r="BL1293" s="2" t="s">
        <v>4998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171</v>
      </c>
      <c r="BV1293" s="2" t="s">
        <v>97</v>
      </c>
      <c r="BW1293" s="2" t="s">
        <v>100</v>
      </c>
      <c r="BX1293" s="2" t="s">
        <v>100</v>
      </c>
      <c r="BY1293" s="2" t="s">
        <v>112</v>
      </c>
      <c r="BZ1293" s="2" t="s">
        <v>100</v>
      </c>
    </row>
    <row r="1294">
      <c r="A1294" s="2" t="s">
        <v>4999</v>
      </c>
      <c r="B1294" s="2" t="s">
        <v>4552</v>
      </c>
      <c r="C1294" s="2" t="s">
        <v>3196</v>
      </c>
      <c r="D1294" s="2" t="s">
        <v>4758</v>
      </c>
      <c r="E1294" s="2" t="s">
        <v>4759</v>
      </c>
      <c r="F1294" s="2" t="s">
        <v>4975</v>
      </c>
      <c r="G1294" s="2" t="s">
        <v>4975</v>
      </c>
      <c r="H1294" s="2" t="s">
        <v>4975</v>
      </c>
      <c r="I1294" s="2" t="s">
        <v>4759</v>
      </c>
      <c r="J1294" s="2" t="s">
        <v>4984</v>
      </c>
      <c r="K1294" s="2" t="s">
        <v>179</v>
      </c>
      <c r="L1294" s="3">
        <v>13.8</v>
      </c>
      <c r="M1294" s="3">
        <v>14.49</v>
      </c>
      <c r="N1294" s="3">
        <v>29.99</v>
      </c>
      <c r="O1294" s="2" t="s">
        <v>97</v>
      </c>
      <c r="P1294" s="2" t="s">
        <v>123</v>
      </c>
      <c r="Q1294" s="2" t="s">
        <v>99</v>
      </c>
      <c r="R1294" s="2" t="s">
        <v>100</v>
      </c>
      <c r="S1294" s="2" t="s">
        <v>4993</v>
      </c>
      <c r="T1294" s="2" t="s">
        <v>100</v>
      </c>
      <c r="U1294" s="2" t="s">
        <v>1776</v>
      </c>
      <c r="V1294" s="2" t="s">
        <v>461</v>
      </c>
      <c r="W1294" s="2" t="s">
        <v>1136</v>
      </c>
      <c r="X1294" s="2" t="s">
        <v>100</v>
      </c>
      <c r="Y1294" s="2" t="s">
        <v>4994</v>
      </c>
      <c r="Z1294" s="4">
        <v>511</v>
      </c>
      <c r="AA1294" s="4">
        <f>=ROUNDDOWN(18.25,0)</f>
      </c>
      <c r="AB1294" s="5">
        <v>28</v>
      </c>
      <c r="AC1294" s="2" t="s">
        <v>990</v>
      </c>
      <c r="AD1294" s="4">
        <v>70</v>
      </c>
      <c r="AE1294" s="4">
        <v>570</v>
      </c>
      <c r="AF1294" s="6">
        <v>65</v>
      </c>
      <c r="AG1294" s="6">
        <v>73</v>
      </c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100</v>
      </c>
      <c r="AW1294" s="8" t="s">
        <v>100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/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 t="s">
        <v>100</v>
      </c>
      <c r="BJ1294" s="4">
        <v>98</v>
      </c>
      <c r="BK1294" s="8">
        <v>1491.86</v>
      </c>
      <c r="BL1294" s="2" t="s">
        <v>5000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171</v>
      </c>
      <c r="BV1294" s="2" t="s">
        <v>97</v>
      </c>
      <c r="BW1294" s="2" t="s">
        <v>100</v>
      </c>
      <c r="BX1294" s="2" t="s">
        <v>100</v>
      </c>
      <c r="BY1294" s="2" t="s">
        <v>112</v>
      </c>
      <c r="BZ1294" s="2" t="s">
        <v>149</v>
      </c>
    </row>
    <row r="1295">
      <c r="A1295" s="2" t="s">
        <v>5001</v>
      </c>
      <c r="B1295" s="2" t="s">
        <v>4552</v>
      </c>
      <c r="C1295" s="2" t="s">
        <v>3196</v>
      </c>
      <c r="D1295" s="2" t="s">
        <v>4758</v>
      </c>
      <c r="E1295" s="2" t="s">
        <v>4759</v>
      </c>
      <c r="F1295" s="2" t="s">
        <v>4975</v>
      </c>
      <c r="G1295" s="2" t="s">
        <v>4975</v>
      </c>
      <c r="H1295" s="2" t="s">
        <v>4975</v>
      </c>
      <c r="I1295" s="2" t="s">
        <v>4759</v>
      </c>
      <c r="J1295" s="2" t="s">
        <v>4775</v>
      </c>
      <c r="K1295" s="2" t="s">
        <v>1373</v>
      </c>
      <c r="L1295" s="3">
        <v>13.8</v>
      </c>
      <c r="M1295" s="3">
        <v>14.49</v>
      </c>
      <c r="N1295" s="3">
        <v>29.99</v>
      </c>
      <c r="O1295" s="2" t="s">
        <v>97</v>
      </c>
      <c r="P1295" s="2" t="s">
        <v>123</v>
      </c>
      <c r="Q1295" s="2" t="s">
        <v>99</v>
      </c>
      <c r="R1295" s="2" t="s">
        <v>100</v>
      </c>
      <c r="S1295" s="2" t="s">
        <v>5002</v>
      </c>
      <c r="T1295" s="2" t="s">
        <v>100</v>
      </c>
      <c r="U1295" s="2" t="s">
        <v>100</v>
      </c>
      <c r="V1295" s="2" t="s">
        <v>461</v>
      </c>
      <c r="W1295" s="2" t="s">
        <v>4989</v>
      </c>
      <c r="X1295" s="2" t="s">
        <v>100</v>
      </c>
      <c r="Y1295" s="2" t="s">
        <v>144</v>
      </c>
      <c r="Z1295" s="4">
        <v>599</v>
      </c>
      <c r="AA1295" s="4">
        <f>=ROUNDDOWN(15.7631578947368,0)</f>
      </c>
      <c r="AB1295" s="5">
        <v>38</v>
      </c>
      <c r="AC1295" s="2" t="s">
        <v>990</v>
      </c>
      <c r="AD1295" s="4">
        <v>90</v>
      </c>
      <c r="AE1295" s="4">
        <v>1200</v>
      </c>
      <c r="AF1295" s="6">
        <v>65</v>
      </c>
      <c r="AG1295" s="6">
        <v>73</v>
      </c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/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120</v>
      </c>
      <c r="BK1295" s="8">
        <v>1835.66</v>
      </c>
      <c r="BL1295" s="2" t="s">
        <v>5003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109</v>
      </c>
      <c r="BV1295" s="2" t="s">
        <v>97</v>
      </c>
      <c r="BW1295" s="2" t="s">
        <v>4768</v>
      </c>
      <c r="BX1295" s="2" t="s">
        <v>3497</v>
      </c>
      <c r="BY1295" s="2" t="s">
        <v>112</v>
      </c>
      <c r="BZ1295" s="2" t="s">
        <v>100</v>
      </c>
    </row>
    <row r="1296">
      <c r="A1296" s="2" t="s">
        <v>5004</v>
      </c>
      <c r="B1296" s="2" t="s">
        <v>4552</v>
      </c>
      <c r="C1296" s="2" t="s">
        <v>3196</v>
      </c>
      <c r="D1296" s="2" t="s">
        <v>4758</v>
      </c>
      <c r="E1296" s="2" t="s">
        <v>4759</v>
      </c>
      <c r="F1296" s="2" t="s">
        <v>4975</v>
      </c>
      <c r="G1296" s="2" t="s">
        <v>4975</v>
      </c>
      <c r="H1296" s="2" t="s">
        <v>4975</v>
      </c>
      <c r="I1296" s="2" t="s">
        <v>4759</v>
      </c>
      <c r="J1296" s="2" t="s">
        <v>4764</v>
      </c>
      <c r="K1296" s="2" t="s">
        <v>1373</v>
      </c>
      <c r="L1296" s="3">
        <v>21.6</v>
      </c>
      <c r="M1296" s="3">
        <v>22.68</v>
      </c>
      <c r="N1296" s="3">
        <v>44.99</v>
      </c>
      <c r="O1296" s="2" t="s">
        <v>97</v>
      </c>
      <c r="P1296" s="2" t="s">
        <v>123</v>
      </c>
      <c r="Q1296" s="2" t="s">
        <v>99</v>
      </c>
      <c r="R1296" s="2" t="s">
        <v>100</v>
      </c>
      <c r="S1296" s="2" t="s">
        <v>5002</v>
      </c>
      <c r="T1296" s="2" t="s">
        <v>100</v>
      </c>
      <c r="U1296" s="2" t="s">
        <v>100</v>
      </c>
      <c r="V1296" s="2" t="s">
        <v>461</v>
      </c>
      <c r="W1296" s="2" t="s">
        <v>4989</v>
      </c>
      <c r="X1296" s="2" t="s">
        <v>100</v>
      </c>
      <c r="Y1296" s="2" t="s">
        <v>144</v>
      </c>
      <c r="Z1296" s="4">
        <v>648</v>
      </c>
      <c r="AA1296" s="4">
        <f>=ROUNDDOWN(19.0588235294118,0)</f>
      </c>
      <c r="AB1296" s="5">
        <v>34</v>
      </c>
      <c r="AC1296" s="2" t="s">
        <v>990</v>
      </c>
      <c r="AD1296" s="4">
        <v>110</v>
      </c>
      <c r="AE1296" s="4">
        <v>1030</v>
      </c>
      <c r="AF1296" s="6">
        <v>65</v>
      </c>
      <c r="AG1296" s="6">
        <v>73</v>
      </c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100</v>
      </c>
      <c r="AW1296" s="8" t="s">
        <v>100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/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 t="s">
        <v>100</v>
      </c>
      <c r="BJ1296" s="4">
        <v>119</v>
      </c>
      <c r="BK1296" s="8">
        <v>2788.36</v>
      </c>
      <c r="BL1296" s="2" t="s">
        <v>5005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109</v>
      </c>
      <c r="BV1296" s="2" t="s">
        <v>97</v>
      </c>
      <c r="BW1296" s="2" t="s">
        <v>4768</v>
      </c>
      <c r="BX1296" s="2" t="s">
        <v>505</v>
      </c>
      <c r="BY1296" s="2" t="s">
        <v>112</v>
      </c>
      <c r="BZ1296" s="2" t="s">
        <v>100</v>
      </c>
    </row>
    <row r="1297">
      <c r="A1297" s="2" t="s">
        <v>5006</v>
      </c>
      <c r="B1297" s="2" t="s">
        <v>4552</v>
      </c>
      <c r="C1297" s="2" t="s">
        <v>3196</v>
      </c>
      <c r="D1297" s="2" t="s">
        <v>4758</v>
      </c>
      <c r="E1297" s="2" t="s">
        <v>4759</v>
      </c>
      <c r="F1297" s="2" t="s">
        <v>4975</v>
      </c>
      <c r="G1297" s="2" t="s">
        <v>4975</v>
      </c>
      <c r="H1297" s="2" t="s">
        <v>4975</v>
      </c>
      <c r="I1297" s="2" t="s">
        <v>4759</v>
      </c>
      <c r="J1297" s="2" t="s">
        <v>4771</v>
      </c>
      <c r="K1297" s="2" t="s">
        <v>1373</v>
      </c>
      <c r="L1297" s="3">
        <v>31.2</v>
      </c>
      <c r="M1297" s="3">
        <v>32.76</v>
      </c>
      <c r="N1297" s="3">
        <v>64.99</v>
      </c>
      <c r="O1297" s="2" t="s">
        <v>97</v>
      </c>
      <c r="P1297" s="2" t="s">
        <v>123</v>
      </c>
      <c r="Q1297" s="2" t="s">
        <v>99</v>
      </c>
      <c r="R1297" s="2" t="s">
        <v>100</v>
      </c>
      <c r="S1297" s="2" t="s">
        <v>5002</v>
      </c>
      <c r="T1297" s="2" t="s">
        <v>100</v>
      </c>
      <c r="U1297" s="2" t="s">
        <v>100</v>
      </c>
      <c r="V1297" s="2" t="s">
        <v>461</v>
      </c>
      <c r="W1297" s="2" t="s">
        <v>4989</v>
      </c>
      <c r="X1297" s="2" t="s">
        <v>100</v>
      </c>
      <c r="Y1297" s="2" t="s">
        <v>144</v>
      </c>
      <c r="Z1297" s="4">
        <v>481</v>
      </c>
      <c r="AA1297" s="4">
        <f>=ROUNDDOWN(22.9047619047619,0)</f>
      </c>
      <c r="AB1297" s="5">
        <v>21</v>
      </c>
      <c r="AC1297" s="2" t="s">
        <v>832</v>
      </c>
      <c r="AD1297" s="4">
        <v>40</v>
      </c>
      <c r="AE1297" s="4">
        <v>510</v>
      </c>
      <c r="AF1297" s="6">
        <v>65</v>
      </c>
      <c r="AG1297" s="6">
        <v>73</v>
      </c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100</v>
      </c>
      <c r="AW1297" s="8" t="s">
        <v>100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/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 t="s">
        <v>100</v>
      </c>
      <c r="BJ1297" s="4">
        <v>71</v>
      </c>
      <c r="BK1297" s="8">
        <v>2489.54</v>
      </c>
      <c r="BL1297" s="2" t="s">
        <v>4998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109</v>
      </c>
      <c r="BV1297" s="2" t="s">
        <v>97</v>
      </c>
      <c r="BW1297" s="2" t="s">
        <v>4768</v>
      </c>
      <c r="BX1297" s="2" t="s">
        <v>5007</v>
      </c>
      <c r="BY1297" s="2" t="s">
        <v>112</v>
      </c>
      <c r="BZ1297" s="2" t="s">
        <v>100</v>
      </c>
    </row>
    <row r="1298">
      <c r="A1298" s="2" t="s">
        <v>5008</v>
      </c>
      <c r="B1298" s="2" t="s">
        <v>4552</v>
      </c>
      <c r="C1298" s="2" t="s">
        <v>3196</v>
      </c>
      <c r="D1298" s="2" t="s">
        <v>4758</v>
      </c>
      <c r="E1298" s="2" t="s">
        <v>4759</v>
      </c>
      <c r="F1298" s="2" t="s">
        <v>4975</v>
      </c>
      <c r="G1298" s="2" t="s">
        <v>4975</v>
      </c>
      <c r="H1298" s="2" t="s">
        <v>4975</v>
      </c>
      <c r="I1298" s="2" t="s">
        <v>4759</v>
      </c>
      <c r="J1298" s="2" t="s">
        <v>4984</v>
      </c>
      <c r="K1298" s="2" t="s">
        <v>1373</v>
      </c>
      <c r="L1298" s="3">
        <v>13.8</v>
      </c>
      <c r="M1298" s="3">
        <v>14.49</v>
      </c>
      <c r="N1298" s="3">
        <v>29.99</v>
      </c>
      <c r="O1298" s="2" t="s">
        <v>97</v>
      </c>
      <c r="P1298" s="2" t="s">
        <v>123</v>
      </c>
      <c r="Q1298" s="2" t="s">
        <v>99</v>
      </c>
      <c r="R1298" s="2" t="s">
        <v>100</v>
      </c>
      <c r="S1298" s="2" t="s">
        <v>5002</v>
      </c>
      <c r="T1298" s="2" t="s">
        <v>100</v>
      </c>
      <c r="U1298" s="2" t="s">
        <v>100</v>
      </c>
      <c r="V1298" s="2" t="s">
        <v>461</v>
      </c>
      <c r="W1298" s="2" t="s">
        <v>4989</v>
      </c>
      <c r="X1298" s="2" t="s">
        <v>100</v>
      </c>
      <c r="Y1298" s="2" t="s">
        <v>144</v>
      </c>
      <c r="Z1298" s="4">
        <v>384</v>
      </c>
      <c r="AA1298" s="4">
        <f>=ROUNDDOWN(13.7142857142857,0)</f>
      </c>
      <c r="AB1298" s="5">
        <v>28</v>
      </c>
      <c r="AC1298" s="2" t="s">
        <v>990</v>
      </c>
      <c r="AD1298" s="4">
        <v>90</v>
      </c>
      <c r="AE1298" s="4">
        <v>890</v>
      </c>
      <c r="AF1298" s="6">
        <v>65</v>
      </c>
      <c r="AG1298" s="6">
        <v>73</v>
      </c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/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 t="s">
        <v>100</v>
      </c>
      <c r="BJ1298" s="4">
        <v>83</v>
      </c>
      <c r="BK1298" s="8">
        <v>1252.39</v>
      </c>
      <c r="BL1298" s="2" t="s">
        <v>5009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109</v>
      </c>
      <c r="BV1298" s="2" t="s">
        <v>97</v>
      </c>
      <c r="BW1298" s="2" t="s">
        <v>4768</v>
      </c>
      <c r="BX1298" s="2" t="s">
        <v>3736</v>
      </c>
      <c r="BY1298" s="2" t="s">
        <v>112</v>
      </c>
      <c r="BZ1298" s="2" t="s">
        <v>100</v>
      </c>
    </row>
    <row r="1299">
      <c r="A1299" s="2" t="s">
        <v>5010</v>
      </c>
      <c r="B1299" s="2" t="s">
        <v>4552</v>
      </c>
      <c r="C1299" s="2" t="s">
        <v>3196</v>
      </c>
      <c r="D1299" s="2" t="s">
        <v>4758</v>
      </c>
      <c r="E1299" s="2" t="s">
        <v>4759</v>
      </c>
      <c r="F1299" s="2" t="s">
        <v>4975</v>
      </c>
      <c r="G1299" s="2" t="s">
        <v>4975</v>
      </c>
      <c r="H1299" s="2" t="s">
        <v>4975</v>
      </c>
      <c r="I1299" s="2" t="s">
        <v>4759</v>
      </c>
      <c r="J1299" s="2" t="s">
        <v>4775</v>
      </c>
      <c r="K1299" s="2" t="s">
        <v>458</v>
      </c>
      <c r="L1299" s="3">
        <v>13.8</v>
      </c>
      <c r="M1299" s="3">
        <v>14.49</v>
      </c>
      <c r="N1299" s="3">
        <v>29.99</v>
      </c>
      <c r="O1299" s="2" t="s">
        <v>97</v>
      </c>
      <c r="P1299" s="2" t="s">
        <v>139</v>
      </c>
      <c r="Q1299" s="2" t="s">
        <v>99</v>
      </c>
      <c r="R1299" s="2" t="s">
        <v>100</v>
      </c>
      <c r="S1299" s="2" t="s">
        <v>5011</v>
      </c>
      <c r="T1299" s="2" t="s">
        <v>100</v>
      </c>
      <c r="U1299" s="2" t="s">
        <v>100</v>
      </c>
      <c r="V1299" s="2" t="s">
        <v>461</v>
      </c>
      <c r="W1299" s="2" t="s">
        <v>4989</v>
      </c>
      <c r="X1299" s="2" t="s">
        <v>100</v>
      </c>
      <c r="Y1299" s="2" t="s">
        <v>144</v>
      </c>
      <c r="Z1299" s="4">
        <v>1477</v>
      </c>
      <c r="AA1299" s="4">
        <f>=ROUNDDOWN(25.4655172413793,0)</f>
      </c>
      <c r="AB1299" s="5">
        <v>58</v>
      </c>
      <c r="AC1299" s="2" t="s">
        <v>990</v>
      </c>
      <c r="AD1299" s="4">
        <v>350</v>
      </c>
      <c r="AE1299" s="4">
        <v>1540</v>
      </c>
      <c r="AF1299" s="6">
        <v>65</v>
      </c>
      <c r="AG1299" s="6">
        <v>73</v>
      </c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 t="s">
        <v>100</v>
      </c>
      <c r="AW1299" s="8" t="s">
        <v>100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/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 t="s">
        <v>100</v>
      </c>
      <c r="BJ1299" s="4">
        <v>236</v>
      </c>
      <c r="BK1299" s="8">
        <v>3491.91</v>
      </c>
      <c r="BL1299" s="2" t="s">
        <v>5005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4768</v>
      </c>
      <c r="BX1299" s="2" t="s">
        <v>5012</v>
      </c>
      <c r="BY1299" s="2" t="s">
        <v>112</v>
      </c>
      <c r="BZ1299" s="2" t="s">
        <v>100</v>
      </c>
    </row>
    <row r="1300">
      <c r="A1300" s="2" t="s">
        <v>5013</v>
      </c>
      <c r="B1300" s="2" t="s">
        <v>4552</v>
      </c>
      <c r="C1300" s="2" t="s">
        <v>3196</v>
      </c>
      <c r="D1300" s="2" t="s">
        <v>4758</v>
      </c>
      <c r="E1300" s="2" t="s">
        <v>4759</v>
      </c>
      <c r="F1300" s="2" t="s">
        <v>4975</v>
      </c>
      <c r="G1300" s="2" t="s">
        <v>4975</v>
      </c>
      <c r="H1300" s="2" t="s">
        <v>4975</v>
      </c>
      <c r="I1300" s="2" t="s">
        <v>4759</v>
      </c>
      <c r="J1300" s="2" t="s">
        <v>4764</v>
      </c>
      <c r="K1300" s="2" t="s">
        <v>458</v>
      </c>
      <c r="L1300" s="3">
        <v>21.6</v>
      </c>
      <c r="M1300" s="3">
        <v>22.68</v>
      </c>
      <c r="N1300" s="3">
        <v>44.99</v>
      </c>
      <c r="O1300" s="2" t="s">
        <v>97</v>
      </c>
      <c r="P1300" s="2" t="s">
        <v>139</v>
      </c>
      <c r="Q1300" s="2" t="s">
        <v>99</v>
      </c>
      <c r="R1300" s="2" t="s">
        <v>100</v>
      </c>
      <c r="S1300" s="2" t="s">
        <v>5011</v>
      </c>
      <c r="T1300" s="2" t="s">
        <v>100</v>
      </c>
      <c r="U1300" s="2" t="s">
        <v>100</v>
      </c>
      <c r="V1300" s="2" t="s">
        <v>461</v>
      </c>
      <c r="W1300" s="2" t="s">
        <v>4989</v>
      </c>
      <c r="X1300" s="2" t="s">
        <v>100</v>
      </c>
      <c r="Y1300" s="2" t="s">
        <v>144</v>
      </c>
      <c r="Z1300" s="4">
        <v>1225</v>
      </c>
      <c r="AA1300" s="4">
        <f>=ROUNDDOWN(31.4102564102564,0)</f>
      </c>
      <c r="AB1300" s="5">
        <v>39</v>
      </c>
      <c r="AC1300" s="2" t="s">
        <v>990</v>
      </c>
      <c r="AD1300" s="4">
        <v>100</v>
      </c>
      <c r="AE1300" s="4">
        <v>760</v>
      </c>
      <c r="AF1300" s="6">
        <v>65</v>
      </c>
      <c r="AG1300" s="6">
        <v>73</v>
      </c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/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 t="s">
        <v>100</v>
      </c>
      <c r="BJ1300" s="4">
        <v>161</v>
      </c>
      <c r="BK1300" s="8">
        <v>3735.95</v>
      </c>
      <c r="BL1300" s="2" t="s">
        <v>4828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4768</v>
      </c>
      <c r="BX1300" s="2" t="s">
        <v>1718</v>
      </c>
      <c r="BY1300" s="2" t="s">
        <v>112</v>
      </c>
      <c r="BZ1300" s="2" t="s">
        <v>100</v>
      </c>
    </row>
    <row r="1301">
      <c r="A1301" s="2" t="s">
        <v>5014</v>
      </c>
      <c r="B1301" s="2" t="s">
        <v>4552</v>
      </c>
      <c r="C1301" s="2" t="s">
        <v>3196</v>
      </c>
      <c r="D1301" s="2" t="s">
        <v>4758</v>
      </c>
      <c r="E1301" s="2" t="s">
        <v>4759</v>
      </c>
      <c r="F1301" s="2" t="s">
        <v>4975</v>
      </c>
      <c r="G1301" s="2" t="s">
        <v>4975</v>
      </c>
      <c r="H1301" s="2" t="s">
        <v>4975</v>
      </c>
      <c r="I1301" s="2" t="s">
        <v>4759</v>
      </c>
      <c r="J1301" s="2" t="s">
        <v>4771</v>
      </c>
      <c r="K1301" s="2" t="s">
        <v>458</v>
      </c>
      <c r="L1301" s="3">
        <v>31.2</v>
      </c>
      <c r="M1301" s="3">
        <v>32.76</v>
      </c>
      <c r="N1301" s="3">
        <v>64.99</v>
      </c>
      <c r="O1301" s="2" t="s">
        <v>97</v>
      </c>
      <c r="P1301" s="2" t="s">
        <v>317</v>
      </c>
      <c r="Q1301" s="2" t="s">
        <v>99</v>
      </c>
      <c r="R1301" s="2" t="s">
        <v>100</v>
      </c>
      <c r="S1301" s="2" t="s">
        <v>5011</v>
      </c>
      <c r="T1301" s="2" t="s">
        <v>100</v>
      </c>
      <c r="U1301" s="2" t="s">
        <v>100</v>
      </c>
      <c r="V1301" s="2" t="s">
        <v>461</v>
      </c>
      <c r="W1301" s="2" t="s">
        <v>4989</v>
      </c>
      <c r="X1301" s="2" t="s">
        <v>100</v>
      </c>
      <c r="Y1301" s="2" t="s">
        <v>144</v>
      </c>
      <c r="Z1301" s="4">
        <v>1063</v>
      </c>
      <c r="AA1301" s="4">
        <f>=ROUNDDOWN(28.7297297297297,0)</f>
      </c>
      <c r="AB1301" s="5">
        <v>37</v>
      </c>
      <c r="AC1301" s="2" t="s">
        <v>990</v>
      </c>
      <c r="AD1301" s="4">
        <v>50</v>
      </c>
      <c r="AE1301" s="4">
        <v>650</v>
      </c>
      <c r="AF1301" s="6">
        <v>65</v>
      </c>
      <c r="AG1301" s="6">
        <v>73</v>
      </c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/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 t="s">
        <v>100</v>
      </c>
      <c r="BJ1301" s="4">
        <v>129</v>
      </c>
      <c r="BK1301" s="8">
        <v>4489.32</v>
      </c>
      <c r="BL1301" s="2" t="s">
        <v>5005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109</v>
      </c>
      <c r="BV1301" s="2" t="s">
        <v>97</v>
      </c>
      <c r="BW1301" s="2" t="s">
        <v>4768</v>
      </c>
      <c r="BX1301" s="2" t="s">
        <v>505</v>
      </c>
      <c r="BY1301" s="2" t="s">
        <v>112</v>
      </c>
      <c r="BZ1301" s="2" t="s">
        <v>100</v>
      </c>
    </row>
    <row r="1302">
      <c r="A1302" s="2" t="s">
        <v>5015</v>
      </c>
      <c r="B1302" s="2" t="s">
        <v>4552</v>
      </c>
      <c r="C1302" s="2" t="s">
        <v>3196</v>
      </c>
      <c r="D1302" s="2" t="s">
        <v>4758</v>
      </c>
      <c r="E1302" s="2" t="s">
        <v>4759</v>
      </c>
      <c r="F1302" s="2" t="s">
        <v>4975</v>
      </c>
      <c r="G1302" s="2" t="s">
        <v>4975</v>
      </c>
      <c r="H1302" s="2" t="s">
        <v>4975</v>
      </c>
      <c r="I1302" s="2" t="s">
        <v>4759</v>
      </c>
      <c r="J1302" s="2" t="s">
        <v>4984</v>
      </c>
      <c r="K1302" s="2" t="s">
        <v>458</v>
      </c>
      <c r="L1302" s="3">
        <v>13.8</v>
      </c>
      <c r="M1302" s="3">
        <v>14.49</v>
      </c>
      <c r="N1302" s="3">
        <v>29.99</v>
      </c>
      <c r="O1302" s="2" t="s">
        <v>97</v>
      </c>
      <c r="P1302" s="2" t="s">
        <v>139</v>
      </c>
      <c r="Q1302" s="2" t="s">
        <v>99</v>
      </c>
      <c r="R1302" s="2" t="s">
        <v>100</v>
      </c>
      <c r="S1302" s="2" t="s">
        <v>5011</v>
      </c>
      <c r="T1302" s="2" t="s">
        <v>100</v>
      </c>
      <c r="U1302" s="2" t="s">
        <v>100</v>
      </c>
      <c r="V1302" s="2" t="s">
        <v>461</v>
      </c>
      <c r="W1302" s="2" t="s">
        <v>4989</v>
      </c>
      <c r="X1302" s="2" t="s">
        <v>100</v>
      </c>
      <c r="Y1302" s="2" t="s">
        <v>144</v>
      </c>
      <c r="Z1302" s="4">
        <v>633</v>
      </c>
      <c r="AA1302" s="4">
        <f>=ROUNDDOWN(19.1818181818182,0)</f>
      </c>
      <c r="AB1302" s="5">
        <v>33</v>
      </c>
      <c r="AC1302" s="2" t="s">
        <v>990</v>
      </c>
      <c r="AD1302" s="4">
        <v>160</v>
      </c>
      <c r="AE1302" s="4">
        <v>730</v>
      </c>
      <c r="AF1302" s="6">
        <v>65</v>
      </c>
      <c r="AG1302" s="6">
        <v>73</v>
      </c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 t="s">
        <v>100</v>
      </c>
      <c r="AW1302" s="8" t="s">
        <v>100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/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 t="s">
        <v>100</v>
      </c>
      <c r="BJ1302" s="4">
        <v>121</v>
      </c>
      <c r="BK1302" s="8">
        <v>1806.55</v>
      </c>
      <c r="BL1302" s="2" t="s">
        <v>1271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109</v>
      </c>
      <c r="BV1302" s="2" t="s">
        <v>97</v>
      </c>
      <c r="BW1302" s="2" t="s">
        <v>4768</v>
      </c>
      <c r="BX1302" s="2" t="s">
        <v>2280</v>
      </c>
      <c r="BY1302" s="2" t="s">
        <v>112</v>
      </c>
      <c r="BZ1302" s="2" t="s">
        <v>100</v>
      </c>
    </row>
    <row r="1303">
      <c r="A1303" s="2" t="s">
        <v>5016</v>
      </c>
      <c r="B1303" s="2" t="s">
        <v>4552</v>
      </c>
      <c r="C1303" s="2" t="s">
        <v>3196</v>
      </c>
      <c r="D1303" s="2" t="s">
        <v>4758</v>
      </c>
      <c r="E1303" s="2" t="s">
        <v>4759</v>
      </c>
      <c r="F1303" s="2" t="s">
        <v>5017</v>
      </c>
      <c r="G1303" s="2" t="s">
        <v>5017</v>
      </c>
      <c r="H1303" s="2" t="s">
        <v>5017</v>
      </c>
      <c r="I1303" s="2" t="s">
        <v>5018</v>
      </c>
      <c r="J1303" s="2" t="s">
        <v>4876</v>
      </c>
      <c r="K1303" s="2" t="s">
        <v>96</v>
      </c>
      <c r="L1303" s="3">
        <v>16.56</v>
      </c>
      <c r="M1303" s="3">
        <v>17.39</v>
      </c>
      <c r="N1303" s="3">
        <v>34.99</v>
      </c>
      <c r="O1303" s="2" t="s">
        <v>97</v>
      </c>
      <c r="P1303" s="2" t="s">
        <v>139</v>
      </c>
      <c r="Q1303" s="2" t="s">
        <v>99</v>
      </c>
      <c r="R1303" s="2" t="s">
        <v>100</v>
      </c>
      <c r="S1303" s="2" t="s">
        <v>5019</v>
      </c>
      <c r="T1303" s="2" t="s">
        <v>190</v>
      </c>
      <c r="U1303" s="2" t="s">
        <v>1776</v>
      </c>
      <c r="V1303" s="2" t="s">
        <v>461</v>
      </c>
      <c r="W1303" s="2" t="s">
        <v>609</v>
      </c>
      <c r="X1303" s="2" t="s">
        <v>142</v>
      </c>
      <c r="Y1303" s="2" t="s">
        <v>5020</v>
      </c>
      <c r="Z1303" s="4">
        <v>1400</v>
      </c>
      <c r="AA1303" s="4">
        <f>=ROUNDDOWN(26.4150943396226,0)</f>
      </c>
      <c r="AB1303" s="5">
        <v>53</v>
      </c>
      <c r="AC1303" s="2" t="s">
        <v>990</v>
      </c>
      <c r="AD1303" s="4">
        <v>272</v>
      </c>
      <c r="AE1303" s="4">
        <v>992</v>
      </c>
      <c r="AF1303" s="6">
        <v>69</v>
      </c>
      <c r="AG1303" s="6">
        <v>77</v>
      </c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/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/>
      <c r="BJ1303" s="4">
        <v>170</v>
      </c>
      <c r="BK1303" s="8">
        <v>3330.96</v>
      </c>
      <c r="BL1303" s="2" t="s">
        <v>5021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171</v>
      </c>
      <c r="BV1303" s="2" t="s">
        <v>97</v>
      </c>
      <c r="BW1303" s="2" t="s">
        <v>100</v>
      </c>
      <c r="BX1303" s="2" t="s">
        <v>100</v>
      </c>
      <c r="BY1303" s="2" t="s">
        <v>112</v>
      </c>
      <c r="BZ1303" s="2" t="s">
        <v>149</v>
      </c>
    </row>
    <row r="1304">
      <c r="A1304" s="2" t="s">
        <v>5022</v>
      </c>
      <c r="B1304" s="2" t="s">
        <v>4552</v>
      </c>
      <c r="C1304" s="2" t="s">
        <v>3196</v>
      </c>
      <c r="D1304" s="2" t="s">
        <v>4758</v>
      </c>
      <c r="E1304" s="2" t="s">
        <v>4759</v>
      </c>
      <c r="F1304" s="2" t="s">
        <v>5017</v>
      </c>
      <c r="G1304" s="2" t="s">
        <v>5017</v>
      </c>
      <c r="H1304" s="2" t="s">
        <v>5017</v>
      </c>
      <c r="I1304" s="2" t="s">
        <v>5018</v>
      </c>
      <c r="J1304" s="2" t="s">
        <v>4771</v>
      </c>
      <c r="K1304" s="2" t="s">
        <v>96</v>
      </c>
      <c r="L1304" s="3">
        <v>30.24</v>
      </c>
      <c r="M1304" s="3">
        <v>31.75</v>
      </c>
      <c r="N1304" s="3">
        <v>64.99</v>
      </c>
      <c r="O1304" s="2" t="s">
        <v>97</v>
      </c>
      <c r="P1304" s="2" t="s">
        <v>139</v>
      </c>
      <c r="Q1304" s="2" t="s">
        <v>99</v>
      </c>
      <c r="R1304" s="2" t="s">
        <v>100</v>
      </c>
      <c r="S1304" s="2" t="s">
        <v>5019</v>
      </c>
      <c r="T1304" s="2" t="s">
        <v>190</v>
      </c>
      <c r="U1304" s="2" t="s">
        <v>1776</v>
      </c>
      <c r="V1304" s="2" t="s">
        <v>461</v>
      </c>
      <c r="W1304" s="2" t="s">
        <v>609</v>
      </c>
      <c r="X1304" s="2" t="s">
        <v>142</v>
      </c>
      <c r="Y1304" s="2" t="s">
        <v>5020</v>
      </c>
      <c r="Z1304" s="4">
        <v>767</v>
      </c>
      <c r="AA1304" s="4">
        <f>=ROUNDDOWN(25.5666666666667,0)</f>
      </c>
      <c r="AB1304" s="5">
        <v>30</v>
      </c>
      <c r="AC1304" s="2" t="s">
        <v>990</v>
      </c>
      <c r="AD1304" s="4">
        <v>140</v>
      </c>
      <c r="AE1304" s="4">
        <v>612</v>
      </c>
      <c r="AF1304" s="6">
        <v>69</v>
      </c>
      <c r="AG1304" s="6">
        <v>77</v>
      </c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/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/>
      <c r="BJ1304" s="4">
        <v>110</v>
      </c>
      <c r="BK1304" s="8">
        <v>3977.01</v>
      </c>
      <c r="BL1304" s="2" t="s">
        <v>5023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171</v>
      </c>
      <c r="BV1304" s="2" t="s">
        <v>97</v>
      </c>
      <c r="BW1304" s="2" t="s">
        <v>100</v>
      </c>
      <c r="BX1304" s="2" t="s">
        <v>100</v>
      </c>
      <c r="BY1304" s="2" t="s">
        <v>112</v>
      </c>
      <c r="BZ1304" s="2" t="s">
        <v>149</v>
      </c>
    </row>
    <row r="1305">
      <c r="A1305" s="2" t="s">
        <v>5024</v>
      </c>
      <c r="B1305" s="2" t="s">
        <v>4552</v>
      </c>
      <c r="C1305" s="2" t="s">
        <v>3449</v>
      </c>
      <c r="D1305" s="2" t="s">
        <v>4553</v>
      </c>
      <c r="E1305" s="2" t="s">
        <v>4554</v>
      </c>
      <c r="F1305" s="2" t="s">
        <v>5025</v>
      </c>
      <c r="G1305" s="2" t="s">
        <v>5026</v>
      </c>
      <c r="H1305" s="2" t="s">
        <v>5027</v>
      </c>
      <c r="I1305" s="2" t="s">
        <v>5028</v>
      </c>
      <c r="J1305" s="2" t="s">
        <v>4556</v>
      </c>
      <c r="K1305" s="2" t="s">
        <v>325</v>
      </c>
      <c r="L1305" s="3">
        <v>13.2</v>
      </c>
      <c r="M1305" s="3">
        <v>13.86</v>
      </c>
      <c r="N1305" s="3">
        <v>29.99</v>
      </c>
      <c r="O1305" s="2" t="s">
        <v>97</v>
      </c>
      <c r="P1305" s="2" t="s">
        <v>98</v>
      </c>
      <c r="Q1305" s="2" t="s">
        <v>99</v>
      </c>
      <c r="R1305" s="2" t="s">
        <v>100</v>
      </c>
      <c r="S1305" s="2" t="s">
        <v>5029</v>
      </c>
      <c r="T1305" s="2" t="s">
        <v>100</v>
      </c>
      <c r="U1305" s="2" t="s">
        <v>100</v>
      </c>
      <c r="V1305" s="2" t="s">
        <v>473</v>
      </c>
      <c r="W1305" s="2" t="s">
        <v>493</v>
      </c>
      <c r="X1305" s="2" t="s">
        <v>100</v>
      </c>
      <c r="Y1305" s="2" t="s">
        <v>5030</v>
      </c>
      <c r="Z1305" s="4">
        <v>464</v>
      </c>
      <c r="AA1305" s="4">
        <f>=ROUNDDOWN(14.5,0)</f>
      </c>
      <c r="AB1305" s="5">
        <v>32</v>
      </c>
      <c r="AC1305" s="2" t="s">
        <v>2690</v>
      </c>
      <c r="AD1305" s="4">
        <v>200</v>
      </c>
      <c r="AE1305" s="4">
        <v>600</v>
      </c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1</v>
      </c>
      <c r="AQ1305" s="8">
        <v>14.43</v>
      </c>
      <c r="AR1305" s="4"/>
      <c r="AS1305" s="8"/>
      <c r="AT1305" s="7"/>
      <c r="AU1305" s="7"/>
      <c r="AV1305" s="4">
        <v>1</v>
      </c>
      <c r="AW1305" s="8">
        <v>14.43</v>
      </c>
      <c r="AX1305" s="4"/>
      <c r="AY1305" s="8"/>
      <c r="AZ1305" s="7"/>
      <c r="BA1305" s="7"/>
      <c r="BB1305" s="7">
        <v>1</v>
      </c>
      <c r="BC1305" s="4">
        <v>2</v>
      </c>
      <c r="BD1305" s="8">
        <v>28.86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>
        <v>0.5</v>
      </c>
      <c r="BJ1305" s="4">
        <v>110</v>
      </c>
      <c r="BK1305" s="8">
        <v>1561.45</v>
      </c>
      <c r="BL1305" s="2" t="s">
        <v>5031</v>
      </c>
      <c r="BM1305" s="7">
        <v>0.0091</v>
      </c>
      <c r="BN1305" s="7">
        <v>0.0092</v>
      </c>
      <c r="BO1305" s="4">
        <v>1</v>
      </c>
      <c r="BP1305" s="8">
        <v>14.43</v>
      </c>
      <c r="BQ1305" s="4"/>
      <c r="BR1305" s="8"/>
      <c r="BS1305" s="7"/>
      <c r="BT1305" s="7"/>
      <c r="BU1305" s="2" t="s">
        <v>109</v>
      </c>
      <c r="BV1305" s="2" t="s">
        <v>97</v>
      </c>
      <c r="BW1305" s="2" t="s">
        <v>4146</v>
      </c>
      <c r="BX1305" s="2" t="s">
        <v>5032</v>
      </c>
      <c r="BY1305" s="2" t="s">
        <v>112</v>
      </c>
      <c r="BZ1305" s="2" t="s">
        <v>149</v>
      </c>
    </row>
    <row r="1306">
      <c r="A1306" s="2" t="s">
        <v>5033</v>
      </c>
      <c r="B1306" s="2" t="s">
        <v>4552</v>
      </c>
      <c r="C1306" s="2" t="s">
        <v>3449</v>
      </c>
      <c r="D1306" s="2" t="s">
        <v>4553</v>
      </c>
      <c r="E1306" s="2" t="s">
        <v>4554</v>
      </c>
      <c r="F1306" s="2" t="s">
        <v>5025</v>
      </c>
      <c r="G1306" s="2" t="s">
        <v>5026</v>
      </c>
      <c r="H1306" s="2" t="s">
        <v>5027</v>
      </c>
      <c r="I1306" s="2" t="s">
        <v>5028</v>
      </c>
      <c r="J1306" s="2" t="s">
        <v>4556</v>
      </c>
      <c r="K1306" s="2" t="s">
        <v>5034</v>
      </c>
      <c r="L1306" s="3">
        <v>13.2</v>
      </c>
      <c r="M1306" s="3">
        <v>13.86</v>
      </c>
      <c r="N1306" s="3">
        <v>29.99</v>
      </c>
      <c r="O1306" s="2" t="s">
        <v>97</v>
      </c>
      <c r="P1306" s="2" t="s">
        <v>98</v>
      </c>
      <c r="Q1306" s="2" t="s">
        <v>99</v>
      </c>
      <c r="R1306" s="2" t="s">
        <v>100</v>
      </c>
      <c r="S1306" s="2" t="s">
        <v>5035</v>
      </c>
      <c r="T1306" s="2" t="s">
        <v>100</v>
      </c>
      <c r="U1306" s="2" t="s">
        <v>100</v>
      </c>
      <c r="V1306" s="2" t="s">
        <v>473</v>
      </c>
      <c r="W1306" s="2" t="s">
        <v>493</v>
      </c>
      <c r="X1306" s="2" t="s">
        <v>100</v>
      </c>
      <c r="Y1306" s="2" t="s">
        <v>5030</v>
      </c>
      <c r="Z1306" s="4">
        <v>202</v>
      </c>
      <c r="AA1306" s="4">
        <f>=ROUNDDOWN(6.3125,0)</f>
      </c>
      <c r="AB1306" s="5">
        <v>32</v>
      </c>
      <c r="AC1306" s="2" t="s">
        <v>2690</v>
      </c>
      <c r="AD1306" s="4">
        <v>300</v>
      </c>
      <c r="AE1306" s="4">
        <v>900</v>
      </c>
      <c r="AF1306" s="6">
        <v>64</v>
      </c>
      <c r="AG1306" s="6"/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1</v>
      </c>
      <c r="AQ1306" s="8">
        <v>14.43</v>
      </c>
      <c r="AR1306" s="4"/>
      <c r="AS1306" s="8"/>
      <c r="AT1306" s="7"/>
      <c r="AU1306" s="7"/>
      <c r="AV1306" s="4">
        <v>1</v>
      </c>
      <c r="AW1306" s="8">
        <v>14.43</v>
      </c>
      <c r="AX1306" s="4"/>
      <c r="AY1306" s="8"/>
      <c r="AZ1306" s="7"/>
      <c r="BA1306" s="7"/>
      <c r="BB1306" s="7">
        <v>1</v>
      </c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>
        <v>0.5</v>
      </c>
      <c r="BJ1306" s="4">
        <v>124</v>
      </c>
      <c r="BK1306" s="8">
        <v>1831.17</v>
      </c>
      <c r="BL1306" s="2" t="s">
        <v>5036</v>
      </c>
      <c r="BM1306" s="7">
        <v>0.0081</v>
      </c>
      <c r="BN1306" s="7">
        <v>0.0079</v>
      </c>
      <c r="BO1306" s="4">
        <v>1</v>
      </c>
      <c r="BP1306" s="8">
        <v>14.43</v>
      </c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4146</v>
      </c>
      <c r="BX1306" s="2" t="s">
        <v>5037</v>
      </c>
      <c r="BY1306" s="2" t="s">
        <v>112</v>
      </c>
      <c r="BZ1306" s="2" t="s">
        <v>149</v>
      </c>
    </row>
    <row r="1307">
      <c r="A1307" s="2" t="s">
        <v>5038</v>
      </c>
      <c r="B1307" s="2" t="s">
        <v>4552</v>
      </c>
      <c r="C1307" s="2" t="s">
        <v>3449</v>
      </c>
      <c r="D1307" s="2" t="s">
        <v>4948</v>
      </c>
      <c r="E1307" s="2" t="s">
        <v>4949</v>
      </c>
      <c r="F1307" s="2" t="s">
        <v>5039</v>
      </c>
      <c r="G1307" s="2" t="s">
        <v>5040</v>
      </c>
      <c r="H1307" s="2" t="s">
        <v>5041</v>
      </c>
      <c r="I1307" s="2" t="s">
        <v>5042</v>
      </c>
      <c r="J1307" s="2" t="s">
        <v>3385</v>
      </c>
      <c r="K1307" s="2" t="s">
        <v>96</v>
      </c>
      <c r="L1307" s="3">
        <v>26.4</v>
      </c>
      <c r="M1307" s="3">
        <v>27.72</v>
      </c>
      <c r="N1307" s="3">
        <v>54.99</v>
      </c>
      <c r="O1307" s="2" t="s">
        <v>97</v>
      </c>
      <c r="P1307" s="2" t="s">
        <v>156</v>
      </c>
      <c r="Q1307" s="2" t="s">
        <v>99</v>
      </c>
      <c r="R1307" s="2" t="s">
        <v>100</v>
      </c>
      <c r="S1307" s="2" t="s">
        <v>5043</v>
      </c>
      <c r="T1307" s="2" t="s">
        <v>100</v>
      </c>
      <c r="U1307" s="2" t="s">
        <v>100</v>
      </c>
      <c r="V1307" s="2" t="s">
        <v>3038</v>
      </c>
      <c r="W1307" s="2" t="s">
        <v>609</v>
      </c>
      <c r="X1307" s="2" t="s">
        <v>100</v>
      </c>
      <c r="Y1307" s="2" t="s">
        <v>144</v>
      </c>
      <c r="Z1307" s="4">
        <v>177</v>
      </c>
      <c r="AA1307" s="4">
        <f>=ROUNDDOWN(12.6428571428571,0)</f>
      </c>
      <c r="AB1307" s="5">
        <v>14</v>
      </c>
      <c r="AC1307" s="2" t="s">
        <v>5044</v>
      </c>
      <c r="AD1307" s="4">
        <v>500</v>
      </c>
      <c r="AE1307" s="4">
        <v>500</v>
      </c>
      <c r="AF1307" s="6">
        <v>69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>
        <v>20</v>
      </c>
      <c r="BK1307" s="8">
        <v>571.28</v>
      </c>
      <c r="BL1307" s="2" t="s">
        <v>5045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109</v>
      </c>
      <c r="BV1307" s="2" t="s">
        <v>97</v>
      </c>
      <c r="BW1307" s="2" t="s">
        <v>4568</v>
      </c>
      <c r="BX1307" s="2" t="s">
        <v>5046</v>
      </c>
      <c r="BY1307" s="2" t="s">
        <v>112</v>
      </c>
      <c r="BZ1307" s="2" t="s">
        <v>100</v>
      </c>
    </row>
    <row r="1308">
      <c r="A1308" s="2" t="s">
        <v>5047</v>
      </c>
      <c r="B1308" s="2" t="s">
        <v>4552</v>
      </c>
      <c r="C1308" s="2" t="s">
        <v>2357</v>
      </c>
      <c r="D1308" s="2" t="s">
        <v>4553</v>
      </c>
      <c r="E1308" s="2" t="s">
        <v>4554</v>
      </c>
      <c r="F1308" s="2" t="s">
        <v>2434</v>
      </c>
      <c r="G1308" s="2" t="s">
        <v>2434</v>
      </c>
      <c r="H1308" s="2" t="s">
        <v>2434</v>
      </c>
      <c r="I1308" s="2" t="s">
        <v>5048</v>
      </c>
      <c r="J1308" s="2" t="s">
        <v>4556</v>
      </c>
      <c r="K1308" s="2" t="s">
        <v>523</v>
      </c>
      <c r="L1308" s="3">
        <v>20.5</v>
      </c>
      <c r="M1308" s="3">
        <v>21.52</v>
      </c>
      <c r="N1308" s="3">
        <v>42.99</v>
      </c>
      <c r="O1308" s="2" t="s">
        <v>97</v>
      </c>
      <c r="P1308" s="2" t="s">
        <v>98</v>
      </c>
      <c r="Q1308" s="2" t="s">
        <v>99</v>
      </c>
      <c r="R1308" s="2" t="s">
        <v>100</v>
      </c>
      <c r="S1308" s="2" t="s">
        <v>2408</v>
      </c>
      <c r="T1308" s="2" t="s">
        <v>100</v>
      </c>
      <c r="U1308" s="2" t="s">
        <v>100</v>
      </c>
      <c r="V1308" s="2" t="s">
        <v>269</v>
      </c>
      <c r="W1308" s="2" t="s">
        <v>270</v>
      </c>
      <c r="X1308" s="2" t="s">
        <v>100</v>
      </c>
      <c r="Y1308" s="2" t="s">
        <v>144</v>
      </c>
      <c r="Z1308" s="4">
        <v>157</v>
      </c>
      <c r="AA1308" s="4">
        <f>=ROUNDDOWN(8.26315789473684,0)</f>
      </c>
      <c r="AB1308" s="5">
        <v>19</v>
      </c>
      <c r="AC1308" s="2" t="s">
        <v>1094</v>
      </c>
      <c r="AD1308" s="4">
        <v>212</v>
      </c>
      <c r="AE1308" s="4">
        <v>704</v>
      </c>
      <c r="AF1308" s="6">
        <v>69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1</v>
      </c>
      <c r="AQ1308" s="8">
        <v>22.7</v>
      </c>
      <c r="AR1308" s="4"/>
      <c r="AS1308" s="8"/>
      <c r="AT1308" s="7"/>
      <c r="AU1308" s="7"/>
      <c r="AV1308" s="4">
        <v>1</v>
      </c>
      <c r="AW1308" s="8">
        <v>22.7</v>
      </c>
      <c r="AX1308" s="4"/>
      <c r="AY1308" s="8"/>
      <c r="AZ1308" s="7"/>
      <c r="BA1308" s="7"/>
      <c r="BB1308" s="7">
        <v>1</v>
      </c>
      <c r="BC1308" s="4">
        <v>1</v>
      </c>
      <c r="BD1308" s="8">
        <v>22.7</v>
      </c>
      <c r="BE1308" s="4"/>
      <c r="BF1308" s="8"/>
      <c r="BG1308" s="7"/>
      <c r="BH1308" s="7"/>
      <c r="BI1308" s="7">
        <v>1</v>
      </c>
      <c r="BJ1308" s="4">
        <v>148</v>
      </c>
      <c r="BK1308" s="8">
        <v>3219.04</v>
      </c>
      <c r="BL1308" s="2" t="s">
        <v>4599</v>
      </c>
      <c r="BM1308" s="7">
        <v>0.0068</v>
      </c>
      <c r="BN1308" s="7">
        <v>0.0071</v>
      </c>
      <c r="BO1308" s="4">
        <v>1</v>
      </c>
      <c r="BP1308" s="8">
        <v>22.7</v>
      </c>
      <c r="BQ1308" s="4"/>
      <c r="BR1308" s="8"/>
      <c r="BS1308" s="7"/>
      <c r="BT1308" s="7"/>
      <c r="BU1308" s="2" t="s">
        <v>109</v>
      </c>
      <c r="BV1308" s="2" t="s">
        <v>97</v>
      </c>
      <c r="BW1308" s="2" t="s">
        <v>5049</v>
      </c>
      <c r="BX1308" s="2" t="s">
        <v>5050</v>
      </c>
      <c r="BY1308" s="2" t="s">
        <v>112</v>
      </c>
      <c r="BZ1308" s="2" t="s">
        <v>100</v>
      </c>
    </row>
    <row r="1309">
      <c r="A1309" s="2" t="s">
        <v>5051</v>
      </c>
      <c r="B1309" s="2" t="s">
        <v>4552</v>
      </c>
      <c r="C1309" s="2" t="s">
        <v>2357</v>
      </c>
      <c r="D1309" s="2" t="s">
        <v>4553</v>
      </c>
      <c r="E1309" s="2" t="s">
        <v>4554</v>
      </c>
      <c r="F1309" s="2" t="s">
        <v>2377</v>
      </c>
      <c r="G1309" s="2" t="s">
        <v>2377</v>
      </c>
      <c r="H1309" s="2" t="s">
        <v>2377</v>
      </c>
      <c r="I1309" s="2" t="s">
        <v>5052</v>
      </c>
      <c r="J1309" s="2" t="s">
        <v>4556</v>
      </c>
      <c r="K1309" s="2" t="s">
        <v>256</v>
      </c>
      <c r="L1309" s="3">
        <v>20.5</v>
      </c>
      <c r="M1309" s="3">
        <v>21.53</v>
      </c>
      <c r="N1309" s="3">
        <v>42.99</v>
      </c>
      <c r="O1309" s="2" t="s">
        <v>97</v>
      </c>
      <c r="P1309" s="2" t="s">
        <v>98</v>
      </c>
      <c r="Q1309" s="2" t="s">
        <v>99</v>
      </c>
      <c r="R1309" s="2" t="s">
        <v>100</v>
      </c>
      <c r="S1309" s="2" t="s">
        <v>2379</v>
      </c>
      <c r="T1309" s="2" t="s">
        <v>190</v>
      </c>
      <c r="U1309" s="2" t="s">
        <v>1776</v>
      </c>
      <c r="V1309" s="2" t="s">
        <v>2380</v>
      </c>
      <c r="W1309" s="2" t="s">
        <v>270</v>
      </c>
      <c r="X1309" s="2" t="s">
        <v>525</v>
      </c>
      <c r="Y1309" s="2" t="s">
        <v>5053</v>
      </c>
      <c r="Z1309" s="4">
        <v>135</v>
      </c>
      <c r="AA1309" s="4">
        <f>=ROUNDDOWN(16.875,0)</f>
      </c>
      <c r="AB1309" s="5">
        <v>8</v>
      </c>
      <c r="AC1309" s="2" t="s">
        <v>1468</v>
      </c>
      <c r="AD1309" s="4">
        <v>240</v>
      </c>
      <c r="AE1309" s="4">
        <v>350</v>
      </c>
      <c r="AF1309" s="6">
        <v>69</v>
      </c>
      <c r="AG1309" s="6"/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/>
      <c r="BD1309" s="8"/>
      <c r="BE1309" s="4"/>
      <c r="BF1309" s="8"/>
      <c r="BG1309" s="7"/>
      <c r="BH1309" s="7"/>
      <c r="BI1309" s="7"/>
      <c r="BJ1309" s="4">
        <v>30</v>
      </c>
      <c r="BK1309" s="8">
        <v>697.56</v>
      </c>
      <c r="BL1309" s="2" t="s">
        <v>5054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171</v>
      </c>
      <c r="BV1309" s="2" t="s">
        <v>97</v>
      </c>
      <c r="BW1309" s="2" t="s">
        <v>100</v>
      </c>
      <c r="BX1309" s="2" t="s">
        <v>100</v>
      </c>
      <c r="BY1309" s="2" t="s">
        <v>112</v>
      </c>
      <c r="BZ1309" s="2" t="s">
        <v>100</v>
      </c>
    </row>
    <row r="1310">
      <c r="A1310" s="2" t="s">
        <v>5055</v>
      </c>
      <c r="B1310" s="2" t="s">
        <v>4552</v>
      </c>
      <c r="C1310" s="2" t="s">
        <v>2357</v>
      </c>
      <c r="D1310" s="2" t="s">
        <v>4553</v>
      </c>
      <c r="E1310" s="2" t="s">
        <v>4554</v>
      </c>
      <c r="F1310" s="2" t="s">
        <v>2407</v>
      </c>
      <c r="G1310" s="2" t="s">
        <v>2407</v>
      </c>
      <c r="H1310" s="2" t="s">
        <v>2407</v>
      </c>
      <c r="I1310" s="2" t="s">
        <v>5048</v>
      </c>
      <c r="J1310" s="2" t="s">
        <v>4556</v>
      </c>
      <c r="K1310" s="2" t="s">
        <v>236</v>
      </c>
      <c r="L1310" s="3">
        <v>20.5</v>
      </c>
      <c r="M1310" s="3">
        <v>21.52</v>
      </c>
      <c r="N1310" s="3">
        <v>42.99</v>
      </c>
      <c r="O1310" s="2" t="s">
        <v>97</v>
      </c>
      <c r="P1310" s="2" t="s">
        <v>707</v>
      </c>
      <c r="Q1310" s="2" t="s">
        <v>99</v>
      </c>
      <c r="R1310" s="2" t="s">
        <v>100</v>
      </c>
      <c r="S1310" s="2" t="s">
        <v>2408</v>
      </c>
      <c r="T1310" s="2" t="s">
        <v>100</v>
      </c>
      <c r="U1310" s="2" t="s">
        <v>100</v>
      </c>
      <c r="V1310" s="2" t="s">
        <v>269</v>
      </c>
      <c r="W1310" s="2" t="s">
        <v>270</v>
      </c>
      <c r="X1310" s="2" t="s">
        <v>100</v>
      </c>
      <c r="Y1310" s="2" t="s">
        <v>144</v>
      </c>
      <c r="Z1310" s="4">
        <v>81</v>
      </c>
      <c r="AA1310" s="4">
        <f>=ROUNDDOWN(13.5,0)</f>
      </c>
      <c r="AB1310" s="5">
        <v>6</v>
      </c>
      <c r="AC1310" s="2" t="s">
        <v>1767</v>
      </c>
      <c r="AD1310" s="4">
        <v>132</v>
      </c>
      <c r="AE1310" s="4">
        <v>414</v>
      </c>
      <c r="AF1310" s="6">
        <v>69</v>
      </c>
      <c r="AG1310" s="6"/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/>
      <c r="BD1310" s="8"/>
      <c r="BE1310" s="4"/>
      <c r="BF1310" s="8"/>
      <c r="BG1310" s="7"/>
      <c r="BH1310" s="7"/>
      <c r="BI1310" s="7"/>
      <c r="BJ1310" s="4">
        <v>19</v>
      </c>
      <c r="BK1310" s="8">
        <v>413.52</v>
      </c>
      <c r="BL1310" s="2" t="s">
        <v>5056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109</v>
      </c>
      <c r="BV1310" s="2" t="s">
        <v>97</v>
      </c>
      <c r="BW1310" s="2" t="s">
        <v>5049</v>
      </c>
      <c r="BX1310" s="2" t="s">
        <v>5057</v>
      </c>
      <c r="BY1310" s="2" t="s">
        <v>112</v>
      </c>
      <c r="BZ1310" s="2" t="s">
        <v>100</v>
      </c>
    </row>
    <row r="1311">
      <c r="A1311" s="2" t="s">
        <v>5058</v>
      </c>
      <c r="B1311" s="2" t="s">
        <v>4552</v>
      </c>
      <c r="C1311" s="2" t="s">
        <v>4028</v>
      </c>
      <c r="D1311" s="2" t="s">
        <v>4553</v>
      </c>
      <c r="E1311" s="2" t="s">
        <v>4554</v>
      </c>
      <c r="F1311" s="2" t="s">
        <v>5059</v>
      </c>
      <c r="G1311" s="2" t="s">
        <v>5060</v>
      </c>
      <c r="H1311" s="2" t="s">
        <v>5061</v>
      </c>
      <c r="I1311" s="2" t="s">
        <v>5062</v>
      </c>
      <c r="J1311" s="2" t="s">
        <v>5063</v>
      </c>
      <c r="K1311" s="2" t="s">
        <v>96</v>
      </c>
      <c r="L1311" s="3">
        <v>18.92</v>
      </c>
      <c r="M1311" s="3">
        <v>19.87</v>
      </c>
      <c r="N1311" s="3">
        <v>42.99</v>
      </c>
      <c r="O1311" s="2" t="s">
        <v>97</v>
      </c>
      <c r="P1311" s="2" t="s">
        <v>98</v>
      </c>
      <c r="Q1311" s="2" t="s">
        <v>99</v>
      </c>
      <c r="R1311" s="2" t="s">
        <v>100</v>
      </c>
      <c r="S1311" s="2" t="s">
        <v>5064</v>
      </c>
      <c r="T1311" s="2" t="s">
        <v>190</v>
      </c>
      <c r="U1311" s="2" t="s">
        <v>1776</v>
      </c>
      <c r="V1311" s="2" t="s">
        <v>367</v>
      </c>
      <c r="W1311" s="2" t="s">
        <v>493</v>
      </c>
      <c r="X1311" s="2" t="s">
        <v>609</v>
      </c>
      <c r="Y1311" s="2" t="s">
        <v>4605</v>
      </c>
      <c r="Z1311" s="4">
        <v>126</v>
      </c>
      <c r="AA1311" s="4">
        <f>=ROUNDDOWN(12.6,0)</f>
      </c>
      <c r="AB1311" s="5">
        <v>10</v>
      </c>
      <c r="AC1311" s="2" t="s">
        <v>100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1</v>
      </c>
      <c r="AQ1311" s="8">
        <v>21.84</v>
      </c>
      <c r="AR1311" s="4"/>
      <c r="AS1311" s="8"/>
      <c r="AT1311" s="7"/>
      <c r="AU1311" s="7"/>
      <c r="AV1311" s="4">
        <v>1</v>
      </c>
      <c r="AW1311" s="8">
        <v>21.84</v>
      </c>
      <c r="AX1311" s="4"/>
      <c r="AY1311" s="8"/>
      <c r="AZ1311" s="7"/>
      <c r="BA1311" s="7"/>
      <c r="BB1311" s="7">
        <v>1</v>
      </c>
      <c r="BC1311" s="4">
        <v>1</v>
      </c>
      <c r="BD1311" s="8">
        <v>21.84</v>
      </c>
      <c r="BE1311" s="4"/>
      <c r="BF1311" s="8"/>
      <c r="BG1311" s="7"/>
      <c r="BH1311" s="7"/>
      <c r="BI1311" s="7">
        <v>1</v>
      </c>
      <c r="BJ1311" s="4">
        <v>30</v>
      </c>
      <c r="BK1311" s="8">
        <v>638.78</v>
      </c>
      <c r="BL1311" s="2" t="s">
        <v>4476</v>
      </c>
      <c r="BM1311" s="7">
        <v>0.0333</v>
      </c>
      <c r="BN1311" s="7">
        <v>0.0342</v>
      </c>
      <c r="BO1311" s="4">
        <v>1</v>
      </c>
      <c r="BP1311" s="8">
        <v>21.84</v>
      </c>
      <c r="BQ1311" s="4"/>
      <c r="BR1311" s="8"/>
      <c r="BS1311" s="7"/>
      <c r="BT1311" s="7"/>
      <c r="BU1311" s="2" t="s">
        <v>109</v>
      </c>
      <c r="BV1311" s="2" t="s">
        <v>97</v>
      </c>
      <c r="BW1311" s="2" t="s">
        <v>4668</v>
      </c>
      <c r="BX1311" s="2" t="s">
        <v>5065</v>
      </c>
      <c r="BY1311" s="2" t="s">
        <v>112</v>
      </c>
      <c r="BZ1311" s="2" t="s">
        <v>149</v>
      </c>
    </row>
    <row r="1312">
      <c r="A1312" s="2" t="s">
        <v>5066</v>
      </c>
      <c r="B1312" s="2" t="s">
        <v>4552</v>
      </c>
      <c r="C1312" s="2" t="s">
        <v>4028</v>
      </c>
      <c r="D1312" s="2" t="s">
        <v>4553</v>
      </c>
      <c r="E1312" s="2" t="s">
        <v>4554</v>
      </c>
      <c r="F1312" s="2" t="s">
        <v>5067</v>
      </c>
      <c r="G1312" s="2" t="s">
        <v>5068</v>
      </c>
      <c r="H1312" s="2" t="s">
        <v>5069</v>
      </c>
      <c r="I1312" s="2" t="s">
        <v>5070</v>
      </c>
      <c r="J1312" s="2" t="s">
        <v>5063</v>
      </c>
      <c r="K1312" s="2" t="s">
        <v>5071</v>
      </c>
      <c r="L1312" s="3">
        <v>19.8</v>
      </c>
      <c r="M1312" s="3">
        <v>20.79</v>
      </c>
      <c r="N1312" s="3">
        <v>44.99</v>
      </c>
      <c r="O1312" s="2" t="s">
        <v>97</v>
      </c>
      <c r="P1312" s="2" t="s">
        <v>98</v>
      </c>
      <c r="Q1312" s="2" t="s">
        <v>99</v>
      </c>
      <c r="R1312" s="2" t="s">
        <v>100</v>
      </c>
      <c r="S1312" s="2" t="s">
        <v>5072</v>
      </c>
      <c r="T1312" s="2" t="s">
        <v>100</v>
      </c>
      <c r="U1312" s="2" t="s">
        <v>1776</v>
      </c>
      <c r="V1312" s="2" t="s">
        <v>461</v>
      </c>
      <c r="W1312" s="2" t="s">
        <v>609</v>
      </c>
      <c r="X1312" s="2" t="s">
        <v>193</v>
      </c>
      <c r="Y1312" s="2" t="s">
        <v>4427</v>
      </c>
      <c r="Z1312" s="4">
        <v>3</v>
      </c>
      <c r="AA1312" s="4">
        <f>=ROUNDDOWN(0.333333333333333,0)</f>
      </c>
      <c r="AB1312" s="5">
        <v>9</v>
      </c>
      <c r="AC1312" s="2" t="s">
        <v>4620</v>
      </c>
      <c r="AD1312" s="4">
        <v>200</v>
      </c>
      <c r="AE1312" s="4">
        <v>440</v>
      </c>
      <c r="AF1312" s="6">
        <v>66</v>
      </c>
      <c r="AG1312" s="6"/>
      <c r="AH1312" s="7">
        <v>0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/>
      <c r="BJ1312" s="4"/>
      <c r="BK1312" s="8"/>
      <c r="BL1312" s="2" t="s">
        <v>100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109</v>
      </c>
      <c r="BV1312" s="2" t="s">
        <v>97</v>
      </c>
      <c r="BW1312" s="2" t="s">
        <v>4607</v>
      </c>
      <c r="BX1312" s="2" t="s">
        <v>5073</v>
      </c>
      <c r="BY1312" s="2" t="s">
        <v>112</v>
      </c>
      <c r="BZ1312" s="2" t="s">
        <v>149</v>
      </c>
    </row>
    <row r="1313">
      <c r="A1313" s="2" t="s">
        <v>5074</v>
      </c>
      <c r="B1313" s="2" t="s">
        <v>4552</v>
      </c>
      <c r="C1313" s="2" t="s">
        <v>4028</v>
      </c>
      <c r="D1313" s="2" t="s">
        <v>4553</v>
      </c>
      <c r="E1313" s="2" t="s">
        <v>4554</v>
      </c>
      <c r="F1313" s="2" t="s">
        <v>5067</v>
      </c>
      <c r="G1313" s="2" t="s">
        <v>5068</v>
      </c>
      <c r="H1313" s="2" t="s">
        <v>5069</v>
      </c>
      <c r="I1313" s="2" t="s">
        <v>5075</v>
      </c>
      <c r="J1313" s="2" t="s">
        <v>5063</v>
      </c>
      <c r="K1313" s="2" t="s">
        <v>4816</v>
      </c>
      <c r="L1313" s="3">
        <v>19.8</v>
      </c>
      <c r="M1313" s="3">
        <v>20.79</v>
      </c>
      <c r="N1313" s="3">
        <v>44.99</v>
      </c>
      <c r="O1313" s="2" t="s">
        <v>97</v>
      </c>
      <c r="P1313" s="2" t="s">
        <v>98</v>
      </c>
      <c r="Q1313" s="2" t="s">
        <v>99</v>
      </c>
      <c r="R1313" s="2" t="s">
        <v>100</v>
      </c>
      <c r="S1313" s="2" t="s">
        <v>5076</v>
      </c>
      <c r="T1313" s="2" t="s">
        <v>190</v>
      </c>
      <c r="U1313" s="2" t="s">
        <v>1776</v>
      </c>
      <c r="V1313" s="2" t="s">
        <v>461</v>
      </c>
      <c r="W1313" s="2" t="s">
        <v>609</v>
      </c>
      <c r="X1313" s="2" t="s">
        <v>193</v>
      </c>
      <c r="Y1313" s="2" t="s">
        <v>5077</v>
      </c>
      <c r="Z1313" s="4">
        <v>3</v>
      </c>
      <c r="AA1313" s="4">
        <f>=ROUNDDOWN(0.212765957446809,0)</f>
      </c>
      <c r="AB1313" s="5">
        <v>14.1</v>
      </c>
      <c r="AC1313" s="2" t="s">
        <v>4620</v>
      </c>
      <c r="AD1313" s="4">
        <v>240</v>
      </c>
      <c r="AE1313" s="4">
        <v>600</v>
      </c>
      <c r="AF1313" s="6">
        <v>66</v>
      </c>
      <c r="AG1313" s="6"/>
      <c r="AH1313" s="7">
        <v>0.2581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/>
      <c r="BJ1313" s="4">
        <v>13</v>
      </c>
      <c r="BK1313" s="8">
        <v>286.74</v>
      </c>
      <c r="BL1313" s="2" t="s">
        <v>5078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109</v>
      </c>
      <c r="BV1313" s="2" t="s">
        <v>97</v>
      </c>
      <c r="BW1313" s="2" t="s">
        <v>4972</v>
      </c>
      <c r="BX1313" s="2" t="s">
        <v>5079</v>
      </c>
      <c r="BY1313" s="2" t="s">
        <v>112</v>
      </c>
      <c r="BZ1313" s="2" t="s">
        <v>149</v>
      </c>
    </row>
    <row r="1314">
      <c r="A1314" s="2" t="s">
        <v>5080</v>
      </c>
      <c r="B1314" s="2" t="s">
        <v>4552</v>
      </c>
      <c r="C1314" s="2" t="s">
        <v>2238</v>
      </c>
      <c r="D1314" s="2" t="s">
        <v>4553</v>
      </c>
      <c r="E1314" s="2" t="s">
        <v>4554</v>
      </c>
      <c r="F1314" s="2" t="s">
        <v>5081</v>
      </c>
      <c r="G1314" s="2" t="s">
        <v>5082</v>
      </c>
      <c r="H1314" s="2" t="s">
        <v>5083</v>
      </c>
      <c r="I1314" s="2" t="s">
        <v>5084</v>
      </c>
      <c r="J1314" s="2" t="s">
        <v>4556</v>
      </c>
      <c r="K1314" s="2" t="s">
        <v>5085</v>
      </c>
      <c r="L1314" s="3">
        <v>13.2</v>
      </c>
      <c r="M1314" s="3">
        <v>13.86</v>
      </c>
      <c r="N1314" s="3">
        <v>29.99</v>
      </c>
      <c r="O1314" s="2" t="s">
        <v>97</v>
      </c>
      <c r="P1314" s="2" t="s">
        <v>98</v>
      </c>
      <c r="Q1314" s="2" t="s">
        <v>99</v>
      </c>
      <c r="R1314" s="2" t="s">
        <v>100</v>
      </c>
      <c r="S1314" s="2" t="s">
        <v>5086</v>
      </c>
      <c r="T1314" s="2" t="s">
        <v>438</v>
      </c>
      <c r="U1314" s="2" t="s">
        <v>1776</v>
      </c>
      <c r="V1314" s="2" t="s">
        <v>141</v>
      </c>
      <c r="W1314" s="2" t="s">
        <v>142</v>
      </c>
      <c r="X1314" s="2" t="s">
        <v>100</v>
      </c>
      <c r="Y1314" s="2" t="s">
        <v>1418</v>
      </c>
      <c r="Z1314" s="4">
        <v>419</v>
      </c>
      <c r="AA1314" s="4">
        <f>=ROUNDDOWN(32.2307692307692,0)</f>
      </c>
      <c r="AB1314" s="5">
        <v>13</v>
      </c>
      <c r="AC1314" s="2" t="s">
        <v>100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/>
      <c r="AW1314" s="8"/>
      <c r="AX1314" s="4"/>
      <c r="AY1314" s="8"/>
      <c r="AZ1314" s="7"/>
      <c r="BA1314" s="7"/>
      <c r="BB1314" s="7"/>
      <c r="BC1314" s="4"/>
      <c r="BD1314" s="8"/>
      <c r="BE1314" s="4"/>
      <c r="BF1314" s="8"/>
      <c r="BG1314" s="7"/>
      <c r="BH1314" s="7"/>
      <c r="BI1314" s="7"/>
      <c r="BJ1314" s="4">
        <v>35</v>
      </c>
      <c r="BK1314" s="8">
        <v>581.87</v>
      </c>
      <c r="BL1314" s="2" t="s">
        <v>5087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171</v>
      </c>
      <c r="BV1314" s="2" t="s">
        <v>97</v>
      </c>
      <c r="BW1314" s="2" t="s">
        <v>100</v>
      </c>
      <c r="BX1314" s="2" t="s">
        <v>100</v>
      </c>
      <c r="BY1314" s="2" t="s">
        <v>112</v>
      </c>
      <c r="BZ1314" s="2" t="s">
        <v>149</v>
      </c>
    </row>
    <row r="1315">
      <c r="A1315" s="2" t="s">
        <v>5088</v>
      </c>
      <c r="B1315" s="2" t="s">
        <v>4552</v>
      </c>
      <c r="C1315" s="2" t="s">
        <v>2238</v>
      </c>
      <c r="D1315" s="2" t="s">
        <v>4553</v>
      </c>
      <c r="E1315" s="2" t="s">
        <v>4554</v>
      </c>
      <c r="F1315" s="2" t="s">
        <v>2291</v>
      </c>
      <c r="G1315" s="2" t="s">
        <v>2292</v>
      </c>
      <c r="H1315" s="2" t="s">
        <v>2293</v>
      </c>
      <c r="I1315" s="2" t="s">
        <v>5089</v>
      </c>
      <c r="J1315" s="2" t="s">
        <v>4556</v>
      </c>
      <c r="K1315" s="2" t="s">
        <v>179</v>
      </c>
      <c r="L1315" s="3">
        <v>11.17</v>
      </c>
      <c r="M1315" s="3">
        <v>11.73</v>
      </c>
      <c r="N1315" s="3">
        <v>24.99</v>
      </c>
      <c r="O1315" s="2" t="s">
        <v>97</v>
      </c>
      <c r="P1315" s="2" t="s">
        <v>98</v>
      </c>
      <c r="Q1315" s="2" t="s">
        <v>99</v>
      </c>
      <c r="R1315" s="2" t="s">
        <v>100</v>
      </c>
      <c r="S1315" s="2" t="s">
        <v>2304</v>
      </c>
      <c r="T1315" s="2" t="s">
        <v>438</v>
      </c>
      <c r="U1315" s="2" t="s">
        <v>1776</v>
      </c>
      <c r="V1315" s="2" t="s">
        <v>141</v>
      </c>
      <c r="W1315" s="2" t="s">
        <v>104</v>
      </c>
      <c r="X1315" s="2" t="s">
        <v>100</v>
      </c>
      <c r="Y1315" s="2" t="s">
        <v>2305</v>
      </c>
      <c r="Z1315" s="4">
        <v>639</v>
      </c>
      <c r="AA1315" s="4">
        <f>=ROUNDDOWN(33.6315789473684,0)</f>
      </c>
      <c r="AB1315" s="5">
        <v>19</v>
      </c>
      <c r="AC1315" s="2" t="s">
        <v>100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/>
      <c r="BJ1315" s="4">
        <v>57</v>
      </c>
      <c r="BK1315" s="8">
        <v>700.61</v>
      </c>
      <c r="BL1315" s="2" t="s">
        <v>384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171</v>
      </c>
      <c r="BV1315" s="2" t="s">
        <v>97</v>
      </c>
      <c r="BW1315" s="2" t="s">
        <v>100</v>
      </c>
      <c r="BX1315" s="2" t="s">
        <v>100</v>
      </c>
      <c r="BY1315" s="2" t="s">
        <v>112</v>
      </c>
      <c r="BZ1315" s="2" t="s">
        <v>149</v>
      </c>
    </row>
    <row r="1316">
      <c r="A1316" s="2" t="s">
        <v>5090</v>
      </c>
      <c r="B1316" s="2" t="s">
        <v>4552</v>
      </c>
      <c r="C1316" s="2" t="s">
        <v>2238</v>
      </c>
      <c r="D1316" s="2" t="s">
        <v>4553</v>
      </c>
      <c r="E1316" s="2" t="s">
        <v>4554</v>
      </c>
      <c r="F1316" s="2" t="s">
        <v>2291</v>
      </c>
      <c r="G1316" s="2" t="s">
        <v>2292</v>
      </c>
      <c r="H1316" s="2" t="s">
        <v>2293</v>
      </c>
      <c r="I1316" s="2" t="s">
        <v>5089</v>
      </c>
      <c r="J1316" s="2" t="s">
        <v>4556</v>
      </c>
      <c r="K1316" s="2" t="s">
        <v>1173</v>
      </c>
      <c r="L1316" s="3">
        <v>11.17</v>
      </c>
      <c r="M1316" s="3">
        <v>11.73</v>
      </c>
      <c r="N1316" s="3">
        <v>24.99</v>
      </c>
      <c r="O1316" s="2" t="s">
        <v>97</v>
      </c>
      <c r="P1316" s="2" t="s">
        <v>123</v>
      </c>
      <c r="Q1316" s="2" t="s">
        <v>99</v>
      </c>
      <c r="R1316" s="2" t="s">
        <v>100</v>
      </c>
      <c r="S1316" s="2" t="s">
        <v>5091</v>
      </c>
      <c r="T1316" s="2" t="s">
        <v>438</v>
      </c>
      <c r="U1316" s="2" t="s">
        <v>1776</v>
      </c>
      <c r="V1316" s="2" t="s">
        <v>141</v>
      </c>
      <c r="W1316" s="2" t="s">
        <v>104</v>
      </c>
      <c r="X1316" s="2" t="s">
        <v>100</v>
      </c>
      <c r="Y1316" s="2" t="s">
        <v>2228</v>
      </c>
      <c r="Z1316" s="4">
        <v>1232</v>
      </c>
      <c r="AA1316" s="4">
        <f>=ROUNDDOWN(19.5555555555556,0)</f>
      </c>
      <c r="AB1316" s="5">
        <v>63</v>
      </c>
      <c r="AC1316" s="2" t="s">
        <v>312</v>
      </c>
      <c r="AD1316" s="4">
        <v>700</v>
      </c>
      <c r="AE1316" s="4">
        <v>1500</v>
      </c>
      <c r="AF1316" s="6">
        <v>69</v>
      </c>
      <c r="AG1316" s="6">
        <v>77</v>
      </c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/>
      <c r="BJ1316" s="4">
        <v>347</v>
      </c>
      <c r="BK1316" s="8">
        <v>4235.41</v>
      </c>
      <c r="BL1316" s="2" t="s">
        <v>5092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109</v>
      </c>
      <c r="BV1316" s="2" t="s">
        <v>97</v>
      </c>
      <c r="BW1316" s="2" t="s">
        <v>1673</v>
      </c>
      <c r="BX1316" s="2" t="s">
        <v>5093</v>
      </c>
      <c r="BY1316" s="2" t="s">
        <v>112</v>
      </c>
      <c r="BZ1316" s="2" t="s">
        <v>149</v>
      </c>
    </row>
    <row r="1317">
      <c r="A1317" s="2" t="s">
        <v>5094</v>
      </c>
      <c r="B1317" s="2" t="s">
        <v>4552</v>
      </c>
      <c r="C1317" s="2" t="s">
        <v>5095</v>
      </c>
      <c r="D1317" s="2" t="s">
        <v>4758</v>
      </c>
      <c r="E1317" s="2" t="s">
        <v>4759</v>
      </c>
      <c r="F1317" s="2" t="s">
        <v>5096</v>
      </c>
      <c r="G1317" s="2" t="s">
        <v>5096</v>
      </c>
      <c r="H1317" s="2" t="s">
        <v>5096</v>
      </c>
      <c r="I1317" s="2" t="s">
        <v>5097</v>
      </c>
      <c r="J1317" s="2" t="s">
        <v>4876</v>
      </c>
      <c r="K1317" s="2" t="s">
        <v>96</v>
      </c>
      <c r="L1317" s="3">
        <v>17.5</v>
      </c>
      <c r="M1317" s="3">
        <v>18.38</v>
      </c>
      <c r="N1317" s="3">
        <v>34.99</v>
      </c>
      <c r="O1317" s="2" t="s">
        <v>97</v>
      </c>
      <c r="P1317" s="2" t="s">
        <v>98</v>
      </c>
      <c r="Q1317" s="2" t="s">
        <v>99</v>
      </c>
      <c r="R1317" s="2" t="s">
        <v>100</v>
      </c>
      <c r="S1317" s="2" t="s">
        <v>5098</v>
      </c>
      <c r="T1317" s="2" t="s">
        <v>190</v>
      </c>
      <c r="U1317" s="2" t="s">
        <v>1776</v>
      </c>
      <c r="V1317" s="2" t="s">
        <v>461</v>
      </c>
      <c r="W1317" s="2" t="s">
        <v>142</v>
      </c>
      <c r="X1317" s="2" t="s">
        <v>100</v>
      </c>
      <c r="Y1317" s="2" t="s">
        <v>5099</v>
      </c>
      <c r="Z1317" s="4">
        <v>277</v>
      </c>
      <c r="AA1317" s="4">
        <f>=ROUNDDOWN(27.7,0)</f>
      </c>
      <c r="AB1317" s="5">
        <v>10</v>
      </c>
      <c r="AC1317" s="2" t="s">
        <v>832</v>
      </c>
      <c r="AD1317" s="4">
        <v>108</v>
      </c>
      <c r="AE1317" s="4">
        <v>270</v>
      </c>
      <c r="AF1317" s="6">
        <v>67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/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/>
      <c r="BJ1317" s="4">
        <v>28</v>
      </c>
      <c r="BK1317" s="8">
        <v>560.59</v>
      </c>
      <c r="BL1317" s="2" t="s">
        <v>5100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171</v>
      </c>
      <c r="BV1317" s="2" t="s">
        <v>97</v>
      </c>
      <c r="BW1317" s="2" t="s">
        <v>100</v>
      </c>
      <c r="BX1317" s="2" t="s">
        <v>100</v>
      </c>
      <c r="BY1317" s="2" t="s">
        <v>112</v>
      </c>
      <c r="BZ1317" s="2" t="s">
        <v>100</v>
      </c>
    </row>
    <row r="1318">
      <c r="A1318" s="2" t="s">
        <v>5101</v>
      </c>
      <c r="B1318" s="2" t="s">
        <v>4552</v>
      </c>
      <c r="C1318" s="2" t="s">
        <v>5095</v>
      </c>
      <c r="D1318" s="2" t="s">
        <v>4758</v>
      </c>
      <c r="E1318" s="2" t="s">
        <v>4759</v>
      </c>
      <c r="F1318" s="2" t="s">
        <v>5096</v>
      </c>
      <c r="G1318" s="2" t="s">
        <v>5096</v>
      </c>
      <c r="H1318" s="2" t="s">
        <v>5096</v>
      </c>
      <c r="I1318" s="2" t="s">
        <v>5097</v>
      </c>
      <c r="J1318" s="2" t="s">
        <v>4764</v>
      </c>
      <c r="K1318" s="2" t="s">
        <v>96</v>
      </c>
      <c r="L1318" s="3">
        <v>21.5</v>
      </c>
      <c r="M1318" s="3">
        <v>22.58</v>
      </c>
      <c r="N1318" s="3">
        <v>44.99</v>
      </c>
      <c r="O1318" s="2" t="s">
        <v>97</v>
      </c>
      <c r="P1318" s="2" t="s">
        <v>98</v>
      </c>
      <c r="Q1318" s="2" t="s">
        <v>99</v>
      </c>
      <c r="R1318" s="2" t="s">
        <v>100</v>
      </c>
      <c r="S1318" s="2" t="s">
        <v>5098</v>
      </c>
      <c r="T1318" s="2" t="s">
        <v>190</v>
      </c>
      <c r="U1318" s="2" t="s">
        <v>1776</v>
      </c>
      <c r="V1318" s="2" t="s">
        <v>461</v>
      </c>
      <c r="W1318" s="2" t="s">
        <v>142</v>
      </c>
      <c r="X1318" s="2" t="s">
        <v>100</v>
      </c>
      <c r="Y1318" s="2" t="s">
        <v>5099</v>
      </c>
      <c r="Z1318" s="4">
        <v>204</v>
      </c>
      <c r="AA1318" s="4">
        <f>=ROUNDDOWN(22.6666666666667,0)</f>
      </c>
      <c r="AB1318" s="5">
        <v>9</v>
      </c>
      <c r="AC1318" s="2" t="s">
        <v>832</v>
      </c>
      <c r="AD1318" s="4">
        <v>90</v>
      </c>
      <c r="AE1318" s="4">
        <v>390</v>
      </c>
      <c r="AF1318" s="6">
        <v>67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/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/>
      <c r="BJ1318" s="4">
        <v>22</v>
      </c>
      <c r="BK1318" s="8">
        <v>546.58</v>
      </c>
      <c r="BL1318" s="2" t="s">
        <v>5102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171</v>
      </c>
      <c r="BV1318" s="2" t="s">
        <v>97</v>
      </c>
      <c r="BW1318" s="2" t="s">
        <v>100</v>
      </c>
      <c r="BX1318" s="2" t="s">
        <v>100</v>
      </c>
      <c r="BY1318" s="2" t="s">
        <v>112</v>
      </c>
      <c r="BZ1318" s="2" t="s">
        <v>100</v>
      </c>
    </row>
    <row r="1319">
      <c r="A1319" s="2" t="s">
        <v>5103</v>
      </c>
      <c r="B1319" s="2" t="s">
        <v>4552</v>
      </c>
      <c r="C1319" s="2" t="s">
        <v>5095</v>
      </c>
      <c r="D1319" s="2" t="s">
        <v>4758</v>
      </c>
      <c r="E1319" s="2" t="s">
        <v>4759</v>
      </c>
      <c r="F1319" s="2" t="s">
        <v>5096</v>
      </c>
      <c r="G1319" s="2" t="s">
        <v>5096</v>
      </c>
      <c r="H1319" s="2" t="s">
        <v>5096</v>
      </c>
      <c r="I1319" s="2" t="s">
        <v>5097</v>
      </c>
      <c r="J1319" s="2" t="s">
        <v>4771</v>
      </c>
      <c r="K1319" s="2" t="s">
        <v>96</v>
      </c>
      <c r="L1319" s="3">
        <v>35</v>
      </c>
      <c r="M1319" s="3">
        <v>36.75</v>
      </c>
      <c r="N1319" s="3">
        <v>74.99</v>
      </c>
      <c r="O1319" s="2" t="s">
        <v>97</v>
      </c>
      <c r="P1319" s="2" t="s">
        <v>98</v>
      </c>
      <c r="Q1319" s="2" t="s">
        <v>99</v>
      </c>
      <c r="R1319" s="2" t="s">
        <v>100</v>
      </c>
      <c r="S1319" s="2" t="s">
        <v>5098</v>
      </c>
      <c r="T1319" s="2" t="s">
        <v>190</v>
      </c>
      <c r="U1319" s="2" t="s">
        <v>1776</v>
      </c>
      <c r="V1319" s="2" t="s">
        <v>461</v>
      </c>
      <c r="W1319" s="2" t="s">
        <v>142</v>
      </c>
      <c r="X1319" s="2" t="s">
        <v>100</v>
      </c>
      <c r="Y1319" s="2" t="s">
        <v>5099</v>
      </c>
      <c r="Z1319" s="4">
        <v>193</v>
      </c>
      <c r="AA1319" s="4">
        <f>=ROUNDDOWN(24.125,0)</f>
      </c>
      <c r="AB1319" s="5">
        <v>8</v>
      </c>
      <c r="AC1319" s="2" t="s">
        <v>832</v>
      </c>
      <c r="AD1319" s="4">
        <v>78</v>
      </c>
      <c r="AE1319" s="4">
        <v>132</v>
      </c>
      <c r="AF1319" s="6">
        <v>67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/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/>
      <c r="BJ1319" s="4">
        <v>26</v>
      </c>
      <c r="BK1319" s="8">
        <v>1038.85</v>
      </c>
      <c r="BL1319" s="2" t="s">
        <v>5100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171</v>
      </c>
      <c r="BV1319" s="2" t="s">
        <v>97</v>
      </c>
      <c r="BW1319" s="2" t="s">
        <v>100</v>
      </c>
      <c r="BX1319" s="2" t="s">
        <v>100</v>
      </c>
      <c r="BY1319" s="2" t="s">
        <v>112</v>
      </c>
      <c r="BZ1319" s="2" t="s">
        <v>100</v>
      </c>
    </row>
    <row r="1320">
      <c r="A1320" s="2" t="s">
        <v>5104</v>
      </c>
      <c r="B1320" s="2" t="s">
        <v>4552</v>
      </c>
      <c r="C1320" s="2" t="s">
        <v>5095</v>
      </c>
      <c r="D1320" s="2" t="s">
        <v>4758</v>
      </c>
      <c r="E1320" s="2" t="s">
        <v>4759</v>
      </c>
      <c r="F1320" s="2" t="s">
        <v>5096</v>
      </c>
      <c r="G1320" s="2" t="s">
        <v>5096</v>
      </c>
      <c r="H1320" s="2" t="s">
        <v>5096</v>
      </c>
      <c r="I1320" s="2" t="s">
        <v>5097</v>
      </c>
      <c r="J1320" s="2" t="s">
        <v>4876</v>
      </c>
      <c r="K1320" s="2" t="s">
        <v>1373</v>
      </c>
      <c r="L1320" s="3">
        <v>17.5</v>
      </c>
      <c r="M1320" s="3">
        <v>18.38</v>
      </c>
      <c r="N1320" s="3">
        <v>34.99</v>
      </c>
      <c r="O1320" s="2" t="s">
        <v>97</v>
      </c>
      <c r="P1320" s="2" t="s">
        <v>98</v>
      </c>
      <c r="Q1320" s="2" t="s">
        <v>99</v>
      </c>
      <c r="R1320" s="2" t="s">
        <v>100</v>
      </c>
      <c r="S1320" s="2" t="s">
        <v>5105</v>
      </c>
      <c r="T1320" s="2" t="s">
        <v>190</v>
      </c>
      <c r="U1320" s="2" t="s">
        <v>1776</v>
      </c>
      <c r="V1320" s="2" t="s">
        <v>461</v>
      </c>
      <c r="W1320" s="2" t="s">
        <v>142</v>
      </c>
      <c r="X1320" s="2" t="s">
        <v>100</v>
      </c>
      <c r="Y1320" s="2" t="s">
        <v>5099</v>
      </c>
      <c r="Z1320" s="4">
        <v>270</v>
      </c>
      <c r="AA1320" s="4">
        <f>=ROUNDDOWN(27,0)</f>
      </c>
      <c r="AB1320" s="5">
        <v>10</v>
      </c>
      <c r="AC1320" s="2" t="s">
        <v>173</v>
      </c>
      <c r="AD1320" s="4">
        <v>240</v>
      </c>
      <c r="AE1320" s="4">
        <v>240</v>
      </c>
      <c r="AF1320" s="6">
        <v>67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/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/>
      <c r="BJ1320" s="4">
        <v>46</v>
      </c>
      <c r="BK1320" s="8">
        <v>911.68</v>
      </c>
      <c r="BL1320" s="2" t="s">
        <v>5106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171</v>
      </c>
      <c r="BV1320" s="2" t="s">
        <v>97</v>
      </c>
      <c r="BW1320" s="2" t="s">
        <v>100</v>
      </c>
      <c r="BX1320" s="2" t="s">
        <v>100</v>
      </c>
      <c r="BY1320" s="2" t="s">
        <v>112</v>
      </c>
      <c r="BZ1320" s="2" t="s">
        <v>100</v>
      </c>
    </row>
    <row r="1321">
      <c r="A1321" s="2" t="s">
        <v>5107</v>
      </c>
      <c r="B1321" s="2" t="s">
        <v>4552</v>
      </c>
      <c r="C1321" s="2" t="s">
        <v>5095</v>
      </c>
      <c r="D1321" s="2" t="s">
        <v>4758</v>
      </c>
      <c r="E1321" s="2" t="s">
        <v>4759</v>
      </c>
      <c r="F1321" s="2" t="s">
        <v>5096</v>
      </c>
      <c r="G1321" s="2" t="s">
        <v>5096</v>
      </c>
      <c r="H1321" s="2" t="s">
        <v>5096</v>
      </c>
      <c r="I1321" s="2" t="s">
        <v>5097</v>
      </c>
      <c r="J1321" s="2" t="s">
        <v>4764</v>
      </c>
      <c r="K1321" s="2" t="s">
        <v>1373</v>
      </c>
      <c r="L1321" s="3">
        <v>21.5</v>
      </c>
      <c r="M1321" s="3">
        <v>22.58</v>
      </c>
      <c r="N1321" s="3">
        <v>44.99</v>
      </c>
      <c r="O1321" s="2" t="s">
        <v>97</v>
      </c>
      <c r="P1321" s="2" t="s">
        <v>98</v>
      </c>
      <c r="Q1321" s="2" t="s">
        <v>99</v>
      </c>
      <c r="R1321" s="2" t="s">
        <v>100</v>
      </c>
      <c r="S1321" s="2" t="s">
        <v>5105</v>
      </c>
      <c r="T1321" s="2" t="s">
        <v>190</v>
      </c>
      <c r="U1321" s="2" t="s">
        <v>1776</v>
      </c>
      <c r="V1321" s="2" t="s">
        <v>461</v>
      </c>
      <c r="W1321" s="2" t="s">
        <v>142</v>
      </c>
      <c r="X1321" s="2" t="s">
        <v>100</v>
      </c>
      <c r="Y1321" s="2" t="s">
        <v>5099</v>
      </c>
      <c r="Z1321" s="4">
        <v>174</v>
      </c>
      <c r="AA1321" s="4">
        <f>=ROUNDDOWN(21.75,0)</f>
      </c>
      <c r="AB1321" s="5">
        <v>8</v>
      </c>
      <c r="AC1321" s="2" t="s">
        <v>173</v>
      </c>
      <c r="AD1321" s="4">
        <v>216</v>
      </c>
      <c r="AE1321" s="4">
        <v>216</v>
      </c>
      <c r="AF1321" s="6">
        <v>67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/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/>
      <c r="BJ1321" s="4">
        <v>31</v>
      </c>
      <c r="BK1321" s="8">
        <v>748.2</v>
      </c>
      <c r="BL1321" s="2" t="s">
        <v>4649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171</v>
      </c>
      <c r="BV1321" s="2" t="s">
        <v>97</v>
      </c>
      <c r="BW1321" s="2" t="s">
        <v>100</v>
      </c>
      <c r="BX1321" s="2" t="s">
        <v>100</v>
      </c>
      <c r="BY1321" s="2" t="s">
        <v>112</v>
      </c>
      <c r="BZ1321" s="2" t="s">
        <v>100</v>
      </c>
    </row>
    <row r="1322">
      <c r="A1322" s="2" t="s">
        <v>5108</v>
      </c>
      <c r="B1322" s="2" t="s">
        <v>4552</v>
      </c>
      <c r="C1322" s="2" t="s">
        <v>5095</v>
      </c>
      <c r="D1322" s="2" t="s">
        <v>4758</v>
      </c>
      <c r="E1322" s="2" t="s">
        <v>4759</v>
      </c>
      <c r="F1322" s="2" t="s">
        <v>5096</v>
      </c>
      <c r="G1322" s="2" t="s">
        <v>5096</v>
      </c>
      <c r="H1322" s="2" t="s">
        <v>5096</v>
      </c>
      <c r="I1322" s="2" t="s">
        <v>5097</v>
      </c>
      <c r="J1322" s="2" t="s">
        <v>4771</v>
      </c>
      <c r="K1322" s="2" t="s">
        <v>1373</v>
      </c>
      <c r="L1322" s="3">
        <v>35</v>
      </c>
      <c r="M1322" s="3">
        <v>36.75</v>
      </c>
      <c r="N1322" s="3">
        <v>74.99</v>
      </c>
      <c r="O1322" s="2" t="s">
        <v>97</v>
      </c>
      <c r="P1322" s="2" t="s">
        <v>98</v>
      </c>
      <c r="Q1322" s="2" t="s">
        <v>99</v>
      </c>
      <c r="R1322" s="2" t="s">
        <v>100</v>
      </c>
      <c r="S1322" s="2" t="s">
        <v>5105</v>
      </c>
      <c r="T1322" s="2" t="s">
        <v>190</v>
      </c>
      <c r="U1322" s="2" t="s">
        <v>1776</v>
      </c>
      <c r="V1322" s="2" t="s">
        <v>461</v>
      </c>
      <c r="W1322" s="2" t="s">
        <v>142</v>
      </c>
      <c r="X1322" s="2" t="s">
        <v>100</v>
      </c>
      <c r="Y1322" s="2" t="s">
        <v>5099</v>
      </c>
      <c r="Z1322" s="4">
        <v>268</v>
      </c>
      <c r="AA1322" s="4">
        <f>=ROUNDDOWN(44.6666666666667,0)</f>
      </c>
      <c r="AB1322" s="5">
        <v>6</v>
      </c>
      <c r="AC1322" s="2" t="s">
        <v>173</v>
      </c>
      <c r="AD1322" s="4">
        <v>60</v>
      </c>
      <c r="AE1322" s="4">
        <v>60</v>
      </c>
      <c r="AF1322" s="6">
        <v>67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/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/>
      <c r="BJ1322" s="4">
        <v>22</v>
      </c>
      <c r="BK1322" s="8">
        <v>870.82</v>
      </c>
      <c r="BL1322" s="2" t="s">
        <v>5109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171</v>
      </c>
      <c r="BV1322" s="2" t="s">
        <v>97</v>
      </c>
      <c r="BW1322" s="2" t="s">
        <v>100</v>
      </c>
      <c r="BX1322" s="2" t="s">
        <v>100</v>
      </c>
      <c r="BY1322" s="2" t="s">
        <v>112</v>
      </c>
      <c r="BZ1322" s="2" t="s">
        <v>100</v>
      </c>
    </row>
    <row r="1323">
      <c r="A1323" s="2" t="s">
        <v>5110</v>
      </c>
      <c r="B1323" s="2" t="s">
        <v>4552</v>
      </c>
      <c r="C1323" s="2" t="s">
        <v>5095</v>
      </c>
      <c r="D1323" s="2" t="s">
        <v>4758</v>
      </c>
      <c r="E1323" s="2" t="s">
        <v>4759</v>
      </c>
      <c r="F1323" s="2" t="s">
        <v>5096</v>
      </c>
      <c r="G1323" s="2" t="s">
        <v>5096</v>
      </c>
      <c r="H1323" s="2" t="s">
        <v>5096</v>
      </c>
      <c r="I1323" s="2" t="s">
        <v>5097</v>
      </c>
      <c r="J1323" s="2" t="s">
        <v>4876</v>
      </c>
      <c r="K1323" s="2" t="s">
        <v>458</v>
      </c>
      <c r="L1323" s="3">
        <v>17.5</v>
      </c>
      <c r="M1323" s="3">
        <v>18.38</v>
      </c>
      <c r="N1323" s="3">
        <v>34.99</v>
      </c>
      <c r="O1323" s="2" t="s">
        <v>97</v>
      </c>
      <c r="P1323" s="2" t="s">
        <v>98</v>
      </c>
      <c r="Q1323" s="2" t="s">
        <v>99</v>
      </c>
      <c r="R1323" s="2" t="s">
        <v>100</v>
      </c>
      <c r="S1323" s="2" t="s">
        <v>5111</v>
      </c>
      <c r="T1323" s="2" t="s">
        <v>190</v>
      </c>
      <c r="U1323" s="2" t="s">
        <v>1776</v>
      </c>
      <c r="V1323" s="2" t="s">
        <v>461</v>
      </c>
      <c r="W1323" s="2" t="s">
        <v>142</v>
      </c>
      <c r="X1323" s="2" t="s">
        <v>100</v>
      </c>
      <c r="Y1323" s="2" t="s">
        <v>5099</v>
      </c>
      <c r="Z1323" s="4">
        <v>277</v>
      </c>
      <c r="AA1323" s="4">
        <f>=ROUNDDOWN(25.1818181818182,0)</f>
      </c>
      <c r="AB1323" s="5">
        <v>11</v>
      </c>
      <c r="AC1323" s="2" t="s">
        <v>832</v>
      </c>
      <c r="AD1323" s="4">
        <v>102</v>
      </c>
      <c r="AE1323" s="4">
        <v>102</v>
      </c>
      <c r="AF1323" s="6">
        <v>67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/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/>
      <c r="BJ1323" s="4">
        <v>31</v>
      </c>
      <c r="BK1323" s="8">
        <v>607.9</v>
      </c>
      <c r="BL1323" s="2" t="s">
        <v>5112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171</v>
      </c>
      <c r="BV1323" s="2" t="s">
        <v>97</v>
      </c>
      <c r="BW1323" s="2" t="s">
        <v>100</v>
      </c>
      <c r="BX1323" s="2" t="s">
        <v>100</v>
      </c>
      <c r="BY1323" s="2" t="s">
        <v>112</v>
      </c>
      <c r="BZ1323" s="2" t="s">
        <v>100</v>
      </c>
    </row>
    <row r="1324">
      <c r="A1324" s="2" t="s">
        <v>5113</v>
      </c>
      <c r="B1324" s="2" t="s">
        <v>4552</v>
      </c>
      <c r="C1324" s="2" t="s">
        <v>5095</v>
      </c>
      <c r="D1324" s="2" t="s">
        <v>4758</v>
      </c>
      <c r="E1324" s="2" t="s">
        <v>4759</v>
      </c>
      <c r="F1324" s="2" t="s">
        <v>5096</v>
      </c>
      <c r="G1324" s="2" t="s">
        <v>5096</v>
      </c>
      <c r="H1324" s="2" t="s">
        <v>5096</v>
      </c>
      <c r="I1324" s="2" t="s">
        <v>5097</v>
      </c>
      <c r="J1324" s="2" t="s">
        <v>4764</v>
      </c>
      <c r="K1324" s="2" t="s">
        <v>458</v>
      </c>
      <c r="L1324" s="3">
        <v>21.5</v>
      </c>
      <c r="M1324" s="3">
        <v>22.58</v>
      </c>
      <c r="N1324" s="3">
        <v>44.99</v>
      </c>
      <c r="O1324" s="2" t="s">
        <v>97</v>
      </c>
      <c r="P1324" s="2" t="s">
        <v>98</v>
      </c>
      <c r="Q1324" s="2" t="s">
        <v>99</v>
      </c>
      <c r="R1324" s="2" t="s">
        <v>100</v>
      </c>
      <c r="S1324" s="2" t="s">
        <v>5111</v>
      </c>
      <c r="T1324" s="2" t="s">
        <v>190</v>
      </c>
      <c r="U1324" s="2" t="s">
        <v>1776</v>
      </c>
      <c r="V1324" s="2" t="s">
        <v>461</v>
      </c>
      <c r="W1324" s="2" t="s">
        <v>142</v>
      </c>
      <c r="X1324" s="2" t="s">
        <v>100</v>
      </c>
      <c r="Y1324" s="2" t="s">
        <v>5099</v>
      </c>
      <c r="Z1324" s="4">
        <v>261</v>
      </c>
      <c r="AA1324" s="4">
        <f>=ROUNDDOWN(26.1,0)</f>
      </c>
      <c r="AB1324" s="5">
        <v>10</v>
      </c>
      <c r="AC1324" s="2" t="s">
        <v>832</v>
      </c>
      <c r="AD1324" s="4">
        <v>96</v>
      </c>
      <c r="AE1324" s="4">
        <v>96</v>
      </c>
      <c r="AF1324" s="6">
        <v>67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/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/>
      <c r="BJ1324" s="4">
        <v>24</v>
      </c>
      <c r="BK1324" s="8">
        <v>583.2</v>
      </c>
      <c r="BL1324" s="2" t="s">
        <v>1154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171</v>
      </c>
      <c r="BV1324" s="2" t="s">
        <v>97</v>
      </c>
      <c r="BW1324" s="2" t="s">
        <v>100</v>
      </c>
      <c r="BX1324" s="2" t="s">
        <v>100</v>
      </c>
      <c r="BY1324" s="2" t="s">
        <v>112</v>
      </c>
      <c r="BZ1324" s="2" t="s">
        <v>100</v>
      </c>
    </row>
    <row r="1325">
      <c r="A1325" s="2" t="s">
        <v>5114</v>
      </c>
      <c r="B1325" s="2" t="s">
        <v>4552</v>
      </c>
      <c r="C1325" s="2" t="s">
        <v>5095</v>
      </c>
      <c r="D1325" s="2" t="s">
        <v>4758</v>
      </c>
      <c r="E1325" s="2" t="s">
        <v>4759</v>
      </c>
      <c r="F1325" s="2" t="s">
        <v>5096</v>
      </c>
      <c r="G1325" s="2" t="s">
        <v>5096</v>
      </c>
      <c r="H1325" s="2" t="s">
        <v>5096</v>
      </c>
      <c r="I1325" s="2" t="s">
        <v>5097</v>
      </c>
      <c r="J1325" s="2" t="s">
        <v>4771</v>
      </c>
      <c r="K1325" s="2" t="s">
        <v>458</v>
      </c>
      <c r="L1325" s="3">
        <v>35</v>
      </c>
      <c r="M1325" s="3">
        <v>36.75</v>
      </c>
      <c r="N1325" s="3">
        <v>74.99</v>
      </c>
      <c r="O1325" s="2" t="s">
        <v>97</v>
      </c>
      <c r="P1325" s="2" t="s">
        <v>98</v>
      </c>
      <c r="Q1325" s="2" t="s">
        <v>99</v>
      </c>
      <c r="R1325" s="2" t="s">
        <v>100</v>
      </c>
      <c r="S1325" s="2" t="s">
        <v>5111</v>
      </c>
      <c r="T1325" s="2" t="s">
        <v>190</v>
      </c>
      <c r="U1325" s="2" t="s">
        <v>1776</v>
      </c>
      <c r="V1325" s="2" t="s">
        <v>461</v>
      </c>
      <c r="W1325" s="2" t="s">
        <v>142</v>
      </c>
      <c r="X1325" s="2" t="s">
        <v>100</v>
      </c>
      <c r="Y1325" s="2" t="s">
        <v>5099</v>
      </c>
      <c r="Z1325" s="4">
        <v>250</v>
      </c>
      <c r="AA1325" s="4">
        <f>=ROUNDDOWN(27.7777777777778,0)</f>
      </c>
      <c r="AB1325" s="5">
        <v>9</v>
      </c>
      <c r="AC1325" s="2" t="s">
        <v>832</v>
      </c>
      <c r="AD1325" s="4">
        <v>90</v>
      </c>
      <c r="AE1325" s="4">
        <v>90</v>
      </c>
      <c r="AF1325" s="6">
        <v>67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/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/>
      <c r="BJ1325" s="4">
        <v>39</v>
      </c>
      <c r="BK1325" s="8">
        <v>1523.86</v>
      </c>
      <c r="BL1325" s="2" t="s">
        <v>5115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171</v>
      </c>
      <c r="BV1325" s="2" t="s">
        <v>97</v>
      </c>
      <c r="BW1325" s="2" t="s">
        <v>100</v>
      </c>
      <c r="BX1325" s="2" t="s">
        <v>100</v>
      </c>
      <c r="BY1325" s="2" t="s">
        <v>112</v>
      </c>
      <c r="BZ1325" s="2" t="s">
        <v>100</v>
      </c>
    </row>
    <row r="1326">
      <c r="A1326" s="2" t="s">
        <v>5116</v>
      </c>
      <c r="B1326" s="2" t="s">
        <v>4552</v>
      </c>
      <c r="C1326" s="2" t="s">
        <v>2831</v>
      </c>
      <c r="D1326" s="2" t="s">
        <v>4758</v>
      </c>
      <c r="E1326" s="2" t="s">
        <v>4759</v>
      </c>
      <c r="F1326" s="2" t="s">
        <v>3841</v>
      </c>
      <c r="G1326" s="2" t="s">
        <v>3841</v>
      </c>
      <c r="H1326" s="2" t="s">
        <v>3841</v>
      </c>
      <c r="I1326" s="2" t="s">
        <v>5117</v>
      </c>
      <c r="J1326" s="2" t="s">
        <v>5118</v>
      </c>
      <c r="K1326" s="2" t="s">
        <v>96</v>
      </c>
      <c r="L1326" s="3">
        <v>22.5</v>
      </c>
      <c r="M1326" s="3">
        <v>23.63</v>
      </c>
      <c r="N1326" s="3">
        <v>49.99</v>
      </c>
      <c r="O1326" s="2" t="s">
        <v>97</v>
      </c>
      <c r="P1326" s="2" t="s">
        <v>156</v>
      </c>
      <c r="Q1326" s="2" t="s">
        <v>99</v>
      </c>
      <c r="R1326" s="2" t="s">
        <v>100</v>
      </c>
      <c r="S1326" s="2" t="s">
        <v>5119</v>
      </c>
      <c r="T1326" s="2" t="s">
        <v>190</v>
      </c>
      <c r="U1326" s="2" t="s">
        <v>1776</v>
      </c>
      <c r="V1326" s="2" t="s">
        <v>473</v>
      </c>
      <c r="W1326" s="2" t="s">
        <v>686</v>
      </c>
      <c r="X1326" s="2" t="s">
        <v>2999</v>
      </c>
      <c r="Y1326" s="2" t="s">
        <v>5120</v>
      </c>
      <c r="Z1326" s="4">
        <v>390</v>
      </c>
      <c r="AA1326" s="4">
        <f>=ROUNDDOWN(6.5,0)</f>
      </c>
      <c r="AB1326" s="5">
        <v>60</v>
      </c>
      <c r="AC1326" s="2" t="s">
        <v>130</v>
      </c>
      <c r="AD1326" s="4">
        <v>660</v>
      </c>
      <c r="AE1326" s="4">
        <v>1260</v>
      </c>
      <c r="AF1326" s="6">
        <v>67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100</v>
      </c>
      <c r="AW1326" s="8" t="s">
        <v>100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/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/>
      <c r="BJ1326" s="4">
        <v>135</v>
      </c>
      <c r="BK1326" s="8">
        <v>3336.27</v>
      </c>
      <c r="BL1326" s="2" t="s">
        <v>5121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2551</v>
      </c>
      <c r="BV1326" s="2" t="s">
        <v>97</v>
      </c>
      <c r="BW1326" s="2" t="s">
        <v>100</v>
      </c>
      <c r="BX1326" s="2" t="s">
        <v>100</v>
      </c>
      <c r="BY1326" s="2" t="s">
        <v>112</v>
      </c>
      <c r="BZ1326" s="2" t="s">
        <v>100</v>
      </c>
    </row>
    <row r="1327">
      <c r="A1327" s="2" t="s">
        <v>5122</v>
      </c>
      <c r="B1327" s="2" t="s">
        <v>4552</v>
      </c>
      <c r="C1327" s="2" t="s">
        <v>2831</v>
      </c>
      <c r="D1327" s="2" t="s">
        <v>4758</v>
      </c>
      <c r="E1327" s="2" t="s">
        <v>4759</v>
      </c>
      <c r="F1327" s="2" t="s">
        <v>3841</v>
      </c>
      <c r="G1327" s="2" t="s">
        <v>3841</v>
      </c>
      <c r="H1327" s="2" t="s">
        <v>3841</v>
      </c>
      <c r="I1327" s="2" t="s">
        <v>5117</v>
      </c>
      <c r="J1327" s="2" t="s">
        <v>5123</v>
      </c>
      <c r="K1327" s="2" t="s">
        <v>96</v>
      </c>
      <c r="L1327" s="3">
        <v>13.7</v>
      </c>
      <c r="M1327" s="3">
        <v>14.39</v>
      </c>
      <c r="N1327" s="3">
        <v>31.99</v>
      </c>
      <c r="O1327" s="2" t="s">
        <v>97</v>
      </c>
      <c r="P1327" s="2" t="s">
        <v>123</v>
      </c>
      <c r="Q1327" s="2" t="s">
        <v>99</v>
      </c>
      <c r="R1327" s="2" t="s">
        <v>100</v>
      </c>
      <c r="S1327" s="2" t="s">
        <v>5119</v>
      </c>
      <c r="T1327" s="2" t="s">
        <v>190</v>
      </c>
      <c r="U1327" s="2" t="s">
        <v>1776</v>
      </c>
      <c r="V1327" s="2" t="s">
        <v>473</v>
      </c>
      <c r="W1327" s="2" t="s">
        <v>686</v>
      </c>
      <c r="X1327" s="2" t="s">
        <v>2999</v>
      </c>
      <c r="Y1327" s="2" t="s">
        <v>5124</v>
      </c>
      <c r="Z1327" s="4">
        <v>624</v>
      </c>
      <c r="AA1327" s="4">
        <f>=ROUNDDOWN(6.24,0)</f>
      </c>
      <c r="AB1327" s="5">
        <v>100</v>
      </c>
      <c r="AC1327" s="2" t="s">
        <v>130</v>
      </c>
      <c r="AD1327" s="4">
        <v>700</v>
      </c>
      <c r="AE1327" s="4">
        <v>2420</v>
      </c>
      <c r="AF1327" s="6">
        <v>67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/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/>
      <c r="BJ1327" s="4">
        <v>242</v>
      </c>
      <c r="BK1327" s="8">
        <v>3661.05</v>
      </c>
      <c r="BL1327" s="2" t="s">
        <v>5125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2551</v>
      </c>
      <c r="BV1327" s="2" t="s">
        <v>97</v>
      </c>
      <c r="BW1327" s="2" t="s">
        <v>100</v>
      </c>
      <c r="BX1327" s="2" t="s">
        <v>100</v>
      </c>
      <c r="BY1327" s="2" t="s">
        <v>112</v>
      </c>
      <c r="BZ1327" s="2" t="s">
        <v>149</v>
      </c>
    </row>
    <row r="1328">
      <c r="A1328" s="2" t="s">
        <v>5126</v>
      </c>
      <c r="B1328" s="2" t="s">
        <v>4552</v>
      </c>
      <c r="C1328" s="2" t="s">
        <v>2831</v>
      </c>
      <c r="D1328" s="2" t="s">
        <v>4758</v>
      </c>
      <c r="E1328" s="2" t="s">
        <v>4759</v>
      </c>
      <c r="F1328" s="2" t="s">
        <v>3841</v>
      </c>
      <c r="G1328" s="2" t="s">
        <v>3841</v>
      </c>
      <c r="H1328" s="2" t="s">
        <v>3841</v>
      </c>
      <c r="I1328" s="2" t="s">
        <v>5117</v>
      </c>
      <c r="J1328" s="2" t="s">
        <v>5118</v>
      </c>
      <c r="K1328" s="2" t="s">
        <v>446</v>
      </c>
      <c r="L1328" s="3">
        <v>22.5</v>
      </c>
      <c r="M1328" s="3">
        <v>23.63</v>
      </c>
      <c r="N1328" s="3">
        <v>49.99</v>
      </c>
      <c r="O1328" s="2" t="s">
        <v>97</v>
      </c>
      <c r="P1328" s="2" t="s">
        <v>156</v>
      </c>
      <c r="Q1328" s="2" t="s">
        <v>99</v>
      </c>
      <c r="R1328" s="2" t="s">
        <v>100</v>
      </c>
      <c r="S1328" s="2" t="s">
        <v>5127</v>
      </c>
      <c r="T1328" s="2" t="s">
        <v>190</v>
      </c>
      <c r="U1328" s="2" t="s">
        <v>1776</v>
      </c>
      <c r="V1328" s="2" t="s">
        <v>473</v>
      </c>
      <c r="W1328" s="2" t="s">
        <v>686</v>
      </c>
      <c r="X1328" s="2" t="s">
        <v>2999</v>
      </c>
      <c r="Y1328" s="2" t="s">
        <v>5128</v>
      </c>
      <c r="Z1328" s="4">
        <v>367</v>
      </c>
      <c r="AA1328" s="4">
        <f>=ROUNDDOWN(5.91935483870968,0)</f>
      </c>
      <c r="AB1328" s="5">
        <v>62</v>
      </c>
      <c r="AC1328" s="2" t="s">
        <v>130</v>
      </c>
      <c r="AD1328" s="4">
        <v>660</v>
      </c>
      <c r="AE1328" s="4">
        <v>1260</v>
      </c>
      <c r="AF1328" s="6">
        <v>67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/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/>
      <c r="BJ1328" s="4">
        <v>169</v>
      </c>
      <c r="BK1328" s="8">
        <v>4168.39</v>
      </c>
      <c r="BL1328" s="2" t="s">
        <v>5129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2551</v>
      </c>
      <c r="BV1328" s="2" t="s">
        <v>97</v>
      </c>
      <c r="BW1328" s="2" t="s">
        <v>100</v>
      </c>
      <c r="BX1328" s="2" t="s">
        <v>100</v>
      </c>
      <c r="BY1328" s="2" t="s">
        <v>112</v>
      </c>
      <c r="BZ1328" s="2" t="s">
        <v>100</v>
      </c>
    </row>
    <row r="1329">
      <c r="A1329" s="2" t="s">
        <v>5130</v>
      </c>
      <c r="B1329" s="2" t="s">
        <v>4552</v>
      </c>
      <c r="C1329" s="2" t="s">
        <v>2831</v>
      </c>
      <c r="D1329" s="2" t="s">
        <v>4758</v>
      </c>
      <c r="E1329" s="2" t="s">
        <v>4759</v>
      </c>
      <c r="F1329" s="2" t="s">
        <v>3841</v>
      </c>
      <c r="G1329" s="2" t="s">
        <v>3841</v>
      </c>
      <c r="H1329" s="2" t="s">
        <v>3841</v>
      </c>
      <c r="I1329" s="2" t="s">
        <v>5117</v>
      </c>
      <c r="J1329" s="2" t="s">
        <v>5123</v>
      </c>
      <c r="K1329" s="2" t="s">
        <v>446</v>
      </c>
      <c r="L1329" s="3">
        <v>13.7</v>
      </c>
      <c r="M1329" s="3">
        <v>14.39</v>
      </c>
      <c r="N1329" s="3">
        <v>31.99</v>
      </c>
      <c r="O1329" s="2" t="s">
        <v>97</v>
      </c>
      <c r="P1329" s="2" t="s">
        <v>123</v>
      </c>
      <c r="Q1329" s="2" t="s">
        <v>99</v>
      </c>
      <c r="R1329" s="2" t="s">
        <v>100</v>
      </c>
      <c r="S1329" s="2" t="s">
        <v>5127</v>
      </c>
      <c r="T1329" s="2" t="s">
        <v>190</v>
      </c>
      <c r="U1329" s="2" t="s">
        <v>1776</v>
      </c>
      <c r="V1329" s="2" t="s">
        <v>473</v>
      </c>
      <c r="W1329" s="2" t="s">
        <v>686</v>
      </c>
      <c r="X1329" s="2" t="s">
        <v>2999</v>
      </c>
      <c r="Y1329" s="2" t="s">
        <v>5131</v>
      </c>
      <c r="Z1329" s="4">
        <v>455</v>
      </c>
      <c r="AA1329" s="4">
        <f>=ROUNDDOWN(4.13636363636364,0)</f>
      </c>
      <c r="AB1329" s="5">
        <v>110</v>
      </c>
      <c r="AC1329" s="2" t="s">
        <v>130</v>
      </c>
      <c r="AD1329" s="4">
        <v>800</v>
      </c>
      <c r="AE1329" s="4">
        <v>2540</v>
      </c>
      <c r="AF1329" s="6">
        <v>67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/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/>
      <c r="BJ1329" s="4">
        <v>329</v>
      </c>
      <c r="BK1329" s="8">
        <v>5051.84</v>
      </c>
      <c r="BL1329" s="2" t="s">
        <v>5132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2551</v>
      </c>
      <c r="BV1329" s="2" t="s">
        <v>97</v>
      </c>
      <c r="BW1329" s="2" t="s">
        <v>100</v>
      </c>
      <c r="BX1329" s="2" t="s">
        <v>100</v>
      </c>
      <c r="BY1329" s="2" t="s">
        <v>112</v>
      </c>
      <c r="BZ1329" s="2" t="s">
        <v>149</v>
      </c>
    </row>
    <row r="1330">
      <c r="A1330" s="2" t="s">
        <v>5133</v>
      </c>
      <c r="B1330" s="2" t="s">
        <v>4552</v>
      </c>
      <c r="C1330" s="2" t="s">
        <v>2831</v>
      </c>
      <c r="D1330" s="2" t="s">
        <v>4553</v>
      </c>
      <c r="E1330" s="2" t="s">
        <v>4554</v>
      </c>
      <c r="F1330" s="2" t="s">
        <v>2863</v>
      </c>
      <c r="G1330" s="2" t="s">
        <v>2863</v>
      </c>
      <c r="H1330" s="2" t="s">
        <v>2863</v>
      </c>
      <c r="I1330" s="2" t="s">
        <v>5134</v>
      </c>
      <c r="J1330" s="2" t="s">
        <v>4556</v>
      </c>
      <c r="K1330" s="2" t="s">
        <v>471</v>
      </c>
      <c r="L1330" s="3">
        <v>17.6</v>
      </c>
      <c r="M1330" s="3">
        <v>18.48</v>
      </c>
      <c r="N1330" s="3">
        <v>39.99</v>
      </c>
      <c r="O1330" s="2" t="s">
        <v>97</v>
      </c>
      <c r="P1330" s="2" t="s">
        <v>98</v>
      </c>
      <c r="Q1330" s="2" t="s">
        <v>99</v>
      </c>
      <c r="R1330" s="2" t="s">
        <v>100</v>
      </c>
      <c r="S1330" s="2" t="s">
        <v>2865</v>
      </c>
      <c r="T1330" s="2" t="s">
        <v>100</v>
      </c>
      <c r="U1330" s="2" t="s">
        <v>100</v>
      </c>
      <c r="V1330" s="2" t="s">
        <v>473</v>
      </c>
      <c r="W1330" s="2" t="s">
        <v>493</v>
      </c>
      <c r="X1330" s="2" t="s">
        <v>100</v>
      </c>
      <c r="Y1330" s="2" t="s">
        <v>144</v>
      </c>
      <c r="Z1330" s="4">
        <v>525</v>
      </c>
      <c r="AA1330" s="4">
        <f>=ROUNDDOWN(20.1923076923077,0)</f>
      </c>
      <c r="AB1330" s="5">
        <v>26</v>
      </c>
      <c r="AC1330" s="2" t="s">
        <v>2870</v>
      </c>
      <c r="AD1330" s="4">
        <v>152</v>
      </c>
      <c r="AE1330" s="4">
        <v>304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/>
      <c r="AW1330" s="8"/>
      <c r="AX1330" s="4"/>
      <c r="AY1330" s="8"/>
      <c r="AZ1330" s="7"/>
      <c r="BA1330" s="7"/>
      <c r="BB1330" s="7"/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/>
      <c r="BJ1330" s="4">
        <v>116</v>
      </c>
      <c r="BK1330" s="8">
        <v>2205.76</v>
      </c>
      <c r="BL1330" s="2" t="s">
        <v>2844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2551</v>
      </c>
      <c r="BV1330" s="2" t="s">
        <v>97</v>
      </c>
      <c r="BW1330" s="2" t="s">
        <v>100</v>
      </c>
      <c r="BX1330" s="2" t="s">
        <v>100</v>
      </c>
      <c r="BY1330" s="2" t="s">
        <v>112</v>
      </c>
      <c r="BZ1330" s="2" t="s">
        <v>149</v>
      </c>
    </row>
    <row r="1331">
      <c r="A1331" s="2" t="s">
        <v>5135</v>
      </c>
      <c r="B1331" s="2" t="s">
        <v>4552</v>
      </c>
      <c r="C1331" s="2" t="s">
        <v>2831</v>
      </c>
      <c r="D1331" s="2" t="s">
        <v>4553</v>
      </c>
      <c r="E1331" s="2" t="s">
        <v>4554</v>
      </c>
      <c r="F1331" s="2" t="s">
        <v>2863</v>
      </c>
      <c r="G1331" s="2" t="s">
        <v>2863</v>
      </c>
      <c r="H1331" s="2" t="s">
        <v>2863</v>
      </c>
      <c r="I1331" s="2" t="s">
        <v>5134</v>
      </c>
      <c r="J1331" s="2" t="s">
        <v>4556</v>
      </c>
      <c r="K1331" s="2" t="s">
        <v>223</v>
      </c>
      <c r="L1331" s="3">
        <v>17.6</v>
      </c>
      <c r="M1331" s="3">
        <v>18.48</v>
      </c>
      <c r="N1331" s="3">
        <v>39.99</v>
      </c>
      <c r="O1331" s="2" t="s">
        <v>97</v>
      </c>
      <c r="P1331" s="2" t="s">
        <v>98</v>
      </c>
      <c r="Q1331" s="2" t="s">
        <v>99</v>
      </c>
      <c r="R1331" s="2" t="s">
        <v>100</v>
      </c>
      <c r="S1331" s="2" t="s">
        <v>2872</v>
      </c>
      <c r="T1331" s="2" t="s">
        <v>100</v>
      </c>
      <c r="U1331" s="2" t="s">
        <v>100</v>
      </c>
      <c r="V1331" s="2" t="s">
        <v>473</v>
      </c>
      <c r="W1331" s="2" t="s">
        <v>493</v>
      </c>
      <c r="X1331" s="2" t="s">
        <v>100</v>
      </c>
      <c r="Y1331" s="2" t="s">
        <v>144</v>
      </c>
      <c r="Z1331" s="4">
        <v>931</v>
      </c>
      <c r="AA1331" s="4">
        <f>=ROUNDDOWN(20.2391304347826,0)</f>
      </c>
      <c r="AB1331" s="5">
        <v>46</v>
      </c>
      <c r="AC1331" s="2" t="s">
        <v>2870</v>
      </c>
      <c r="AD1331" s="4">
        <v>200</v>
      </c>
      <c r="AE1331" s="4">
        <v>700</v>
      </c>
      <c r="AF1331" s="6">
        <v>65</v>
      </c>
      <c r="AG1331" s="6">
        <v>73</v>
      </c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/>
      <c r="BJ1331" s="4">
        <v>180</v>
      </c>
      <c r="BK1331" s="8">
        <v>3431.67</v>
      </c>
      <c r="BL1331" s="2" t="s">
        <v>2486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2551</v>
      </c>
      <c r="BV1331" s="2" t="s">
        <v>97</v>
      </c>
      <c r="BW1331" s="2" t="s">
        <v>100</v>
      </c>
      <c r="BX1331" s="2" t="s">
        <v>100</v>
      </c>
      <c r="BY1331" s="2" t="s">
        <v>112</v>
      </c>
      <c r="BZ1331" s="2" t="s">
        <v>149</v>
      </c>
    </row>
    <row r="1332">
      <c r="A1332" s="2" t="s">
        <v>5136</v>
      </c>
      <c r="B1332" s="2" t="s">
        <v>4552</v>
      </c>
      <c r="C1332" s="2" t="s">
        <v>2831</v>
      </c>
      <c r="D1332" s="2" t="s">
        <v>4553</v>
      </c>
      <c r="E1332" s="2" t="s">
        <v>4554</v>
      </c>
      <c r="F1332" s="2" t="s">
        <v>2863</v>
      </c>
      <c r="G1332" s="2" t="s">
        <v>2863</v>
      </c>
      <c r="H1332" s="2" t="s">
        <v>2863</v>
      </c>
      <c r="I1332" s="2" t="s">
        <v>5134</v>
      </c>
      <c r="J1332" s="2" t="s">
        <v>4556</v>
      </c>
      <c r="K1332" s="2" t="s">
        <v>626</v>
      </c>
      <c r="L1332" s="3">
        <v>17.6</v>
      </c>
      <c r="M1332" s="3">
        <v>18.48</v>
      </c>
      <c r="N1332" s="3">
        <v>39.99</v>
      </c>
      <c r="O1332" s="2" t="s">
        <v>97</v>
      </c>
      <c r="P1332" s="2" t="s">
        <v>98</v>
      </c>
      <c r="Q1332" s="2" t="s">
        <v>99</v>
      </c>
      <c r="R1332" s="2" t="s">
        <v>100</v>
      </c>
      <c r="S1332" s="2" t="s">
        <v>2877</v>
      </c>
      <c r="T1332" s="2" t="s">
        <v>100</v>
      </c>
      <c r="U1332" s="2" t="s">
        <v>100</v>
      </c>
      <c r="V1332" s="2" t="s">
        <v>473</v>
      </c>
      <c r="W1332" s="2" t="s">
        <v>493</v>
      </c>
      <c r="X1332" s="2" t="s">
        <v>100</v>
      </c>
      <c r="Y1332" s="2" t="s">
        <v>144</v>
      </c>
      <c r="Z1332" s="4">
        <v>315</v>
      </c>
      <c r="AA1332" s="4">
        <f>=ROUNDDOWN(28.6363636363636,0)</f>
      </c>
      <c r="AB1332" s="5">
        <v>11</v>
      </c>
      <c r="AC1332" s="2" t="s">
        <v>100</v>
      </c>
      <c r="AD1332" s="4"/>
      <c r="AE1332" s="4"/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/>
      <c r="BJ1332" s="4">
        <v>36</v>
      </c>
      <c r="BK1332" s="8">
        <v>688.38</v>
      </c>
      <c r="BL1332" s="2" t="s">
        <v>384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2551</v>
      </c>
      <c r="BV1332" s="2" t="s">
        <v>97</v>
      </c>
      <c r="BW1332" s="2" t="s">
        <v>100</v>
      </c>
      <c r="BX1332" s="2" t="s">
        <v>100</v>
      </c>
      <c r="BY1332" s="2" t="s">
        <v>112</v>
      </c>
      <c r="BZ1332" s="2" t="s">
        <v>149</v>
      </c>
    </row>
    <row r="1333">
      <c r="A1333" s="2" t="s">
        <v>5137</v>
      </c>
      <c r="B1333" s="2" t="s">
        <v>4552</v>
      </c>
      <c r="C1333" s="2" t="s">
        <v>2831</v>
      </c>
      <c r="D1333" s="2" t="s">
        <v>4553</v>
      </c>
      <c r="E1333" s="2" t="s">
        <v>4554</v>
      </c>
      <c r="F1333" s="2" t="s">
        <v>2889</v>
      </c>
      <c r="G1333" s="2" t="s">
        <v>2889</v>
      </c>
      <c r="H1333" s="2" t="s">
        <v>2889</v>
      </c>
      <c r="I1333" s="2" t="s">
        <v>5138</v>
      </c>
      <c r="J1333" s="2" t="s">
        <v>4556</v>
      </c>
      <c r="K1333" s="2" t="s">
        <v>2890</v>
      </c>
      <c r="L1333" s="3">
        <v>24</v>
      </c>
      <c r="M1333" s="3">
        <v>25.2</v>
      </c>
      <c r="N1333" s="3">
        <v>49.99</v>
      </c>
      <c r="O1333" s="2" t="s">
        <v>97</v>
      </c>
      <c r="P1333" s="2" t="s">
        <v>98</v>
      </c>
      <c r="Q1333" s="2" t="s">
        <v>99</v>
      </c>
      <c r="R1333" s="2" t="s">
        <v>100</v>
      </c>
      <c r="S1333" s="2" t="s">
        <v>2891</v>
      </c>
      <c r="T1333" s="2" t="s">
        <v>100</v>
      </c>
      <c r="U1333" s="2" t="s">
        <v>1776</v>
      </c>
      <c r="V1333" s="2" t="s">
        <v>367</v>
      </c>
      <c r="W1333" s="2" t="s">
        <v>2999</v>
      </c>
      <c r="X1333" s="2" t="s">
        <v>686</v>
      </c>
      <c r="Y1333" s="2" t="s">
        <v>5139</v>
      </c>
      <c r="Z1333" s="4">
        <v>217</v>
      </c>
      <c r="AA1333" s="4">
        <f>=ROUNDDOWN(16.6923076923077,0)</f>
      </c>
      <c r="AB1333" s="5">
        <v>13</v>
      </c>
      <c r="AC1333" s="2" t="s">
        <v>5140</v>
      </c>
      <c r="AD1333" s="4">
        <v>100</v>
      </c>
      <c r="AE1333" s="4">
        <v>200</v>
      </c>
      <c r="AF1333" s="6">
        <v>67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/>
      <c r="AW1333" s="8"/>
      <c r="AX1333" s="4"/>
      <c r="AY1333" s="8"/>
      <c r="AZ1333" s="7"/>
      <c r="BA1333" s="7"/>
      <c r="BB1333" s="7"/>
      <c r="BC1333" s="4"/>
      <c r="BD1333" s="8"/>
      <c r="BE1333" s="4"/>
      <c r="BF1333" s="8"/>
      <c r="BG1333" s="7"/>
      <c r="BH1333" s="7"/>
      <c r="BI1333" s="7"/>
      <c r="BJ1333" s="4">
        <v>18</v>
      </c>
      <c r="BK1333" s="8">
        <v>506.43</v>
      </c>
      <c r="BL1333" s="2" t="s">
        <v>5141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2551</v>
      </c>
      <c r="BV1333" s="2" t="s">
        <v>97</v>
      </c>
      <c r="BW1333" s="2" t="s">
        <v>100</v>
      </c>
      <c r="BX1333" s="2" t="s">
        <v>100</v>
      </c>
      <c r="BY1333" s="2" t="s">
        <v>112</v>
      </c>
      <c r="BZ1333" s="2" t="s">
        <v>149</v>
      </c>
    </row>
    <row r="1334">
      <c r="A1334" s="2" t="s">
        <v>5142</v>
      </c>
      <c r="B1334" s="2" t="s">
        <v>4552</v>
      </c>
      <c r="C1334" s="2" t="s">
        <v>2831</v>
      </c>
      <c r="D1334" s="2" t="s">
        <v>4553</v>
      </c>
      <c r="E1334" s="2" t="s">
        <v>4554</v>
      </c>
      <c r="F1334" s="2" t="s">
        <v>2910</v>
      </c>
      <c r="G1334" s="2" t="s">
        <v>2910</v>
      </c>
      <c r="H1334" s="2" t="s">
        <v>2910</v>
      </c>
      <c r="I1334" s="2" t="s">
        <v>5143</v>
      </c>
      <c r="J1334" s="2" t="s">
        <v>4556</v>
      </c>
      <c r="K1334" s="2" t="s">
        <v>545</v>
      </c>
      <c r="L1334" s="3">
        <v>22.33</v>
      </c>
      <c r="M1334" s="3">
        <v>23.45</v>
      </c>
      <c r="N1334" s="3">
        <v>46.99</v>
      </c>
      <c r="O1334" s="2" t="s">
        <v>97</v>
      </c>
      <c r="P1334" s="2" t="s">
        <v>98</v>
      </c>
      <c r="Q1334" s="2" t="s">
        <v>99</v>
      </c>
      <c r="R1334" s="2" t="s">
        <v>100</v>
      </c>
      <c r="S1334" s="2" t="s">
        <v>5144</v>
      </c>
      <c r="T1334" s="2" t="s">
        <v>190</v>
      </c>
      <c r="U1334" s="2" t="s">
        <v>1776</v>
      </c>
      <c r="V1334" s="2" t="s">
        <v>473</v>
      </c>
      <c r="W1334" s="2" t="s">
        <v>2835</v>
      </c>
      <c r="X1334" s="2" t="s">
        <v>580</v>
      </c>
      <c r="Y1334" s="2" t="s">
        <v>5145</v>
      </c>
      <c r="Z1334" s="4">
        <v>776</v>
      </c>
      <c r="AA1334" s="4">
        <f>=ROUNDDOWN(20.4210526315789,0)</f>
      </c>
      <c r="AB1334" s="5">
        <v>38</v>
      </c>
      <c r="AC1334" s="2" t="s">
        <v>3082</v>
      </c>
      <c r="AD1334" s="4">
        <v>600</v>
      </c>
      <c r="AE1334" s="4">
        <v>600</v>
      </c>
      <c r="AF1334" s="6">
        <v>69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/>
      <c r="BJ1334" s="4">
        <v>164</v>
      </c>
      <c r="BK1334" s="8">
        <v>4359.45</v>
      </c>
      <c r="BL1334" s="2" t="s">
        <v>5146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2551</v>
      </c>
      <c r="BV1334" s="2" t="s">
        <v>97</v>
      </c>
      <c r="BW1334" s="2" t="s">
        <v>100</v>
      </c>
      <c r="BX1334" s="2" t="s">
        <v>100</v>
      </c>
      <c r="BY1334" s="2" t="s">
        <v>112</v>
      </c>
      <c r="BZ1334" s="2" t="s">
        <v>149</v>
      </c>
    </row>
    <row r="1335">
      <c r="A1335" s="2" t="s">
        <v>5147</v>
      </c>
      <c r="B1335" s="2" t="s">
        <v>4552</v>
      </c>
      <c r="C1335" s="2" t="s">
        <v>2831</v>
      </c>
      <c r="D1335" s="2" t="s">
        <v>4553</v>
      </c>
      <c r="E1335" s="2" t="s">
        <v>4554</v>
      </c>
      <c r="F1335" s="2" t="s">
        <v>2910</v>
      </c>
      <c r="G1335" s="2" t="s">
        <v>2910</v>
      </c>
      <c r="H1335" s="2" t="s">
        <v>2910</v>
      </c>
      <c r="I1335" s="2" t="s">
        <v>5143</v>
      </c>
      <c r="J1335" s="2" t="s">
        <v>4556</v>
      </c>
      <c r="K1335" s="2" t="s">
        <v>1373</v>
      </c>
      <c r="L1335" s="3">
        <v>22.33</v>
      </c>
      <c r="M1335" s="3">
        <v>23.45</v>
      </c>
      <c r="N1335" s="3">
        <v>46.99</v>
      </c>
      <c r="O1335" s="2" t="s">
        <v>97</v>
      </c>
      <c r="P1335" s="2" t="s">
        <v>317</v>
      </c>
      <c r="Q1335" s="2" t="s">
        <v>99</v>
      </c>
      <c r="R1335" s="2" t="s">
        <v>100</v>
      </c>
      <c r="S1335" s="2" t="s">
        <v>5148</v>
      </c>
      <c r="T1335" s="2" t="s">
        <v>190</v>
      </c>
      <c r="U1335" s="2" t="s">
        <v>1776</v>
      </c>
      <c r="V1335" s="2" t="s">
        <v>473</v>
      </c>
      <c r="W1335" s="2" t="s">
        <v>2835</v>
      </c>
      <c r="X1335" s="2" t="s">
        <v>580</v>
      </c>
      <c r="Y1335" s="2" t="s">
        <v>2884</v>
      </c>
      <c r="Z1335" s="4">
        <v>634</v>
      </c>
      <c r="AA1335" s="4">
        <f>=ROUNDDOWN(3.9625,0)</f>
      </c>
      <c r="AB1335" s="5">
        <v>160</v>
      </c>
      <c r="AC1335" s="2" t="s">
        <v>897</v>
      </c>
      <c r="AD1335" s="4">
        <v>120</v>
      </c>
      <c r="AE1335" s="4">
        <v>5020</v>
      </c>
      <c r="AF1335" s="6">
        <v>69</v>
      </c>
      <c r="AG1335" s="6">
        <v>77</v>
      </c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/>
      <c r="BJ1335" s="4">
        <v>631</v>
      </c>
      <c r="BK1335" s="8">
        <v>16768.36</v>
      </c>
      <c r="BL1335" s="2" t="s">
        <v>5149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2551</v>
      </c>
      <c r="BV1335" s="2" t="s">
        <v>97</v>
      </c>
      <c r="BW1335" s="2" t="s">
        <v>100</v>
      </c>
      <c r="BX1335" s="2" t="s">
        <v>100</v>
      </c>
      <c r="BY1335" s="2" t="s">
        <v>112</v>
      </c>
      <c r="BZ1335" s="2" t="s">
        <v>149</v>
      </c>
    </row>
    <row r="1336">
      <c r="A1336" s="2" t="s">
        <v>5150</v>
      </c>
      <c r="B1336" s="2" t="s">
        <v>4552</v>
      </c>
      <c r="C1336" s="2" t="s">
        <v>2831</v>
      </c>
      <c r="D1336" s="2" t="s">
        <v>4553</v>
      </c>
      <c r="E1336" s="2" t="s">
        <v>4554</v>
      </c>
      <c r="F1336" s="2" t="s">
        <v>2988</v>
      </c>
      <c r="G1336" s="2" t="s">
        <v>2988</v>
      </c>
      <c r="H1336" s="2" t="s">
        <v>2988</v>
      </c>
      <c r="I1336" s="2" t="s">
        <v>5151</v>
      </c>
      <c r="J1336" s="2" t="s">
        <v>4556</v>
      </c>
      <c r="K1336" s="2" t="s">
        <v>2997</v>
      </c>
      <c r="L1336" s="3">
        <v>18.92</v>
      </c>
      <c r="M1336" s="3">
        <v>19.87</v>
      </c>
      <c r="N1336" s="3">
        <v>42.99</v>
      </c>
      <c r="O1336" s="2" t="s">
        <v>97</v>
      </c>
      <c r="P1336" s="2" t="s">
        <v>98</v>
      </c>
      <c r="Q1336" s="2" t="s">
        <v>99</v>
      </c>
      <c r="R1336" s="2" t="s">
        <v>100</v>
      </c>
      <c r="S1336" s="2" t="s">
        <v>2998</v>
      </c>
      <c r="T1336" s="2" t="s">
        <v>190</v>
      </c>
      <c r="U1336" s="2" t="s">
        <v>1776</v>
      </c>
      <c r="V1336" s="2" t="s">
        <v>2883</v>
      </c>
      <c r="W1336" s="2" t="s">
        <v>493</v>
      </c>
      <c r="X1336" s="2" t="s">
        <v>193</v>
      </c>
      <c r="Y1336" s="2" t="s">
        <v>5152</v>
      </c>
      <c r="Z1336" s="4">
        <v>2</v>
      </c>
      <c r="AA1336" s="4">
        <f>=ROUNDDOWN(0.0769230769230769,0)</f>
      </c>
      <c r="AB1336" s="5">
        <v>26</v>
      </c>
      <c r="AC1336" s="2" t="s">
        <v>2363</v>
      </c>
      <c r="AD1336" s="4">
        <v>280</v>
      </c>
      <c r="AE1336" s="4">
        <v>480</v>
      </c>
      <c r="AF1336" s="6">
        <v>64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/>
      <c r="AW1336" s="8"/>
      <c r="AX1336" s="4"/>
      <c r="AY1336" s="8"/>
      <c r="AZ1336" s="7"/>
      <c r="BA1336" s="7"/>
      <c r="BB1336" s="7"/>
      <c r="BC1336" s="4"/>
      <c r="BD1336" s="8"/>
      <c r="BE1336" s="4"/>
      <c r="BF1336" s="8"/>
      <c r="BG1336" s="7"/>
      <c r="BH1336" s="7"/>
      <c r="BI1336" s="7"/>
      <c r="BJ1336" s="4">
        <v>87</v>
      </c>
      <c r="BK1336" s="8">
        <v>1883.31</v>
      </c>
      <c r="BL1336" s="2" t="s">
        <v>5153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2551</v>
      </c>
      <c r="BV1336" s="2" t="s">
        <v>97</v>
      </c>
      <c r="BW1336" s="2" t="s">
        <v>100</v>
      </c>
      <c r="BX1336" s="2" t="s">
        <v>100</v>
      </c>
      <c r="BY1336" s="2" t="s">
        <v>112</v>
      </c>
      <c r="BZ1336" s="2" t="s">
        <v>149</v>
      </c>
    </row>
    <row r="1337">
      <c r="A1337" s="2" t="s">
        <v>5154</v>
      </c>
      <c r="B1337" s="2" t="s">
        <v>5155</v>
      </c>
      <c r="C1337" s="2" t="s">
        <v>5095</v>
      </c>
      <c r="D1337" s="2" t="s">
        <v>5156</v>
      </c>
      <c r="E1337" s="2" t="s">
        <v>5157</v>
      </c>
      <c r="F1337" s="2" t="s">
        <v>5158</v>
      </c>
      <c r="G1337" s="2" t="s">
        <v>5158</v>
      </c>
      <c r="H1337" s="2" t="s">
        <v>5158</v>
      </c>
      <c r="I1337" s="2" t="s">
        <v>5159</v>
      </c>
      <c r="J1337" s="2" t="s">
        <v>1443</v>
      </c>
      <c r="K1337" s="2" t="s">
        <v>1373</v>
      </c>
      <c r="L1337" s="3">
        <v>49.12</v>
      </c>
      <c r="M1337" s="3">
        <v>51.58</v>
      </c>
      <c r="N1337" s="3">
        <v>104.99</v>
      </c>
      <c r="O1337" s="2" t="s">
        <v>97</v>
      </c>
      <c r="P1337" s="2" t="s">
        <v>123</v>
      </c>
      <c r="Q1337" s="2" t="s">
        <v>99</v>
      </c>
      <c r="R1337" s="2" t="s">
        <v>100</v>
      </c>
      <c r="S1337" s="2" t="s">
        <v>5160</v>
      </c>
      <c r="T1337" s="2" t="s">
        <v>5161</v>
      </c>
      <c r="U1337" s="2" t="s">
        <v>1776</v>
      </c>
      <c r="V1337" s="2" t="s">
        <v>461</v>
      </c>
      <c r="W1337" s="2" t="s">
        <v>609</v>
      </c>
      <c r="X1337" s="2" t="s">
        <v>525</v>
      </c>
      <c r="Y1337" s="2" t="s">
        <v>144</v>
      </c>
      <c r="Z1337" s="4">
        <v>248</v>
      </c>
      <c r="AA1337" s="4">
        <f>=ROUNDDOWN(12.4,0)</f>
      </c>
      <c r="AB1337" s="5">
        <v>20</v>
      </c>
      <c r="AC1337" s="2" t="s">
        <v>100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>
        <v>6</v>
      </c>
      <c r="AW1337" s="8">
        <v>529.2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/>
      <c r="BC1337" s="4">
        <v>29</v>
      </c>
      <c r="BD1337" s="8">
        <v>2224.8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>
        <v>0.2379</v>
      </c>
      <c r="BJ1337" s="4">
        <v>25</v>
      </c>
      <c r="BK1337" s="8">
        <v>1357.89</v>
      </c>
      <c r="BL1337" s="2" t="s">
        <v>5162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5163</v>
      </c>
      <c r="BX1337" s="2" t="s">
        <v>5164</v>
      </c>
      <c r="BY1337" s="2" t="s">
        <v>112</v>
      </c>
      <c r="BZ1337" s="2" t="s">
        <v>100</v>
      </c>
    </row>
    <row r="1338">
      <c r="A1338" s="2" t="s">
        <v>5165</v>
      </c>
      <c r="B1338" s="2" t="s">
        <v>5155</v>
      </c>
      <c r="C1338" s="2" t="s">
        <v>5095</v>
      </c>
      <c r="D1338" s="2" t="s">
        <v>5156</v>
      </c>
      <c r="E1338" s="2" t="s">
        <v>5157</v>
      </c>
      <c r="F1338" s="2" t="s">
        <v>5158</v>
      </c>
      <c r="G1338" s="2" t="s">
        <v>5158</v>
      </c>
      <c r="H1338" s="2" t="s">
        <v>5158</v>
      </c>
      <c r="I1338" s="2" t="s">
        <v>5159</v>
      </c>
      <c r="J1338" s="2" t="s">
        <v>490</v>
      </c>
      <c r="K1338" s="2" t="s">
        <v>1373</v>
      </c>
      <c r="L1338" s="3">
        <v>54.72</v>
      </c>
      <c r="M1338" s="3">
        <v>57.46</v>
      </c>
      <c r="N1338" s="3">
        <v>114.99</v>
      </c>
      <c r="O1338" s="2" t="s">
        <v>97</v>
      </c>
      <c r="P1338" s="2" t="s">
        <v>123</v>
      </c>
      <c r="Q1338" s="2" t="s">
        <v>99</v>
      </c>
      <c r="R1338" s="2" t="s">
        <v>100</v>
      </c>
      <c r="S1338" s="2" t="s">
        <v>5160</v>
      </c>
      <c r="T1338" s="2" t="s">
        <v>5161</v>
      </c>
      <c r="U1338" s="2" t="s">
        <v>1776</v>
      </c>
      <c r="V1338" s="2" t="s">
        <v>461</v>
      </c>
      <c r="W1338" s="2" t="s">
        <v>609</v>
      </c>
      <c r="X1338" s="2" t="s">
        <v>525</v>
      </c>
      <c r="Y1338" s="2" t="s">
        <v>1108</v>
      </c>
      <c r="Z1338" s="4">
        <v>100</v>
      </c>
      <c r="AA1338" s="4">
        <f>=ROUNDDOWN(3.44827586206897,0)</f>
      </c>
      <c r="AB1338" s="5">
        <v>29</v>
      </c>
      <c r="AC1338" s="2" t="s">
        <v>173</v>
      </c>
      <c r="AD1338" s="4">
        <v>200</v>
      </c>
      <c r="AE1338" s="4">
        <v>200</v>
      </c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/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 t="s">
        <v>100</v>
      </c>
      <c r="BJ1338" s="4">
        <v>20</v>
      </c>
      <c r="BK1338" s="8">
        <v>1173.93</v>
      </c>
      <c r="BL1338" s="2" t="s">
        <v>5166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5163</v>
      </c>
      <c r="BX1338" s="2" t="s">
        <v>5167</v>
      </c>
      <c r="BY1338" s="2" t="s">
        <v>112</v>
      </c>
      <c r="BZ1338" s="2" t="s">
        <v>100</v>
      </c>
    </row>
    <row r="1339">
      <c r="A1339" s="2" t="s">
        <v>5168</v>
      </c>
      <c r="B1339" s="2" t="s">
        <v>5155</v>
      </c>
      <c r="C1339" s="2" t="s">
        <v>5095</v>
      </c>
      <c r="D1339" s="2" t="s">
        <v>5156</v>
      </c>
      <c r="E1339" s="2" t="s">
        <v>5157</v>
      </c>
      <c r="F1339" s="2" t="s">
        <v>5158</v>
      </c>
      <c r="G1339" s="2" t="s">
        <v>5158</v>
      </c>
      <c r="H1339" s="2" t="s">
        <v>5158</v>
      </c>
      <c r="I1339" s="2" t="s">
        <v>5159</v>
      </c>
      <c r="J1339" s="2" t="s">
        <v>95</v>
      </c>
      <c r="K1339" s="2" t="s">
        <v>1373</v>
      </c>
      <c r="L1339" s="3">
        <v>74.29</v>
      </c>
      <c r="M1339" s="3">
        <v>78</v>
      </c>
      <c r="N1339" s="3">
        <v>154.99</v>
      </c>
      <c r="O1339" s="2" t="s">
        <v>97</v>
      </c>
      <c r="P1339" s="2" t="s">
        <v>123</v>
      </c>
      <c r="Q1339" s="2" t="s">
        <v>99</v>
      </c>
      <c r="R1339" s="2" t="s">
        <v>100</v>
      </c>
      <c r="S1339" s="2" t="s">
        <v>5160</v>
      </c>
      <c r="T1339" s="2" t="s">
        <v>5161</v>
      </c>
      <c r="U1339" s="2" t="s">
        <v>1776</v>
      </c>
      <c r="V1339" s="2" t="s">
        <v>461</v>
      </c>
      <c r="W1339" s="2" t="s">
        <v>609</v>
      </c>
      <c r="X1339" s="2" t="s">
        <v>525</v>
      </c>
      <c r="Y1339" s="2" t="s">
        <v>144</v>
      </c>
      <c r="Z1339" s="4">
        <v>245</v>
      </c>
      <c r="AA1339" s="4">
        <f>=ROUNDDOWN(5.32608695652174,0)</f>
      </c>
      <c r="AB1339" s="5">
        <v>46</v>
      </c>
      <c r="AC1339" s="2" t="s">
        <v>173</v>
      </c>
      <c r="AD1339" s="4">
        <v>150</v>
      </c>
      <c r="AE1339" s="4">
        <v>150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2</v>
      </c>
      <c r="AQ1339" s="8">
        <v>162</v>
      </c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>
        <v>0.3061</v>
      </c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 t="s">
        <v>100</v>
      </c>
      <c r="BJ1339" s="4">
        <v>36</v>
      </c>
      <c r="BK1339" s="8">
        <v>2927.45</v>
      </c>
      <c r="BL1339" s="2" t="s">
        <v>5169</v>
      </c>
      <c r="BM1339" s="7">
        <v>0.0556</v>
      </c>
      <c r="BN1339" s="7">
        <v>0.0553</v>
      </c>
      <c r="BO1339" s="4">
        <v>2</v>
      </c>
      <c r="BP1339" s="8">
        <v>162</v>
      </c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5163</v>
      </c>
      <c r="BX1339" s="2" t="s">
        <v>5170</v>
      </c>
      <c r="BY1339" s="2" t="s">
        <v>112</v>
      </c>
      <c r="BZ1339" s="2" t="s">
        <v>100</v>
      </c>
    </row>
    <row r="1340">
      <c r="A1340" s="2" t="s">
        <v>5171</v>
      </c>
      <c r="B1340" s="2" t="s">
        <v>5155</v>
      </c>
      <c r="C1340" s="2" t="s">
        <v>5095</v>
      </c>
      <c r="D1340" s="2" t="s">
        <v>5156</v>
      </c>
      <c r="E1340" s="2" t="s">
        <v>5157</v>
      </c>
      <c r="F1340" s="2" t="s">
        <v>5158</v>
      </c>
      <c r="G1340" s="2" t="s">
        <v>5158</v>
      </c>
      <c r="H1340" s="2" t="s">
        <v>5158</v>
      </c>
      <c r="I1340" s="2" t="s">
        <v>5159</v>
      </c>
      <c r="J1340" s="2" t="s">
        <v>114</v>
      </c>
      <c r="K1340" s="2" t="s">
        <v>1373</v>
      </c>
      <c r="L1340" s="3">
        <v>84.84</v>
      </c>
      <c r="M1340" s="3">
        <v>89.08</v>
      </c>
      <c r="N1340" s="3">
        <v>174.99</v>
      </c>
      <c r="O1340" s="2" t="s">
        <v>97</v>
      </c>
      <c r="P1340" s="2" t="s">
        <v>123</v>
      </c>
      <c r="Q1340" s="2" t="s">
        <v>99</v>
      </c>
      <c r="R1340" s="2" t="s">
        <v>100</v>
      </c>
      <c r="S1340" s="2" t="s">
        <v>5160</v>
      </c>
      <c r="T1340" s="2" t="s">
        <v>5161</v>
      </c>
      <c r="U1340" s="2" t="s">
        <v>1776</v>
      </c>
      <c r="V1340" s="2" t="s">
        <v>461</v>
      </c>
      <c r="W1340" s="2" t="s">
        <v>609</v>
      </c>
      <c r="X1340" s="2" t="s">
        <v>525</v>
      </c>
      <c r="Y1340" s="2" t="s">
        <v>1116</v>
      </c>
      <c r="Z1340" s="4">
        <v>339</v>
      </c>
      <c r="AA1340" s="4">
        <f>=ROUNDDOWN(8.07142857142857,0)</f>
      </c>
      <c r="AB1340" s="5">
        <v>42</v>
      </c>
      <c r="AC1340" s="2" t="s">
        <v>173</v>
      </c>
      <c r="AD1340" s="4">
        <v>150</v>
      </c>
      <c r="AE1340" s="4">
        <v>150</v>
      </c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4</v>
      </c>
      <c r="AQ1340" s="8">
        <v>367.2</v>
      </c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>
        <v>0.6939</v>
      </c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 t="s">
        <v>100</v>
      </c>
      <c r="BJ1340" s="4">
        <v>31</v>
      </c>
      <c r="BK1340" s="8">
        <v>2897.81</v>
      </c>
      <c r="BL1340" s="2" t="s">
        <v>5172</v>
      </c>
      <c r="BM1340" s="7">
        <v>0.129</v>
      </c>
      <c r="BN1340" s="7">
        <v>0.1267</v>
      </c>
      <c r="BO1340" s="4">
        <v>4</v>
      </c>
      <c r="BP1340" s="8">
        <v>367.2</v>
      </c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5163</v>
      </c>
      <c r="BX1340" s="2" t="s">
        <v>5173</v>
      </c>
      <c r="BY1340" s="2" t="s">
        <v>112</v>
      </c>
      <c r="BZ1340" s="2" t="s">
        <v>100</v>
      </c>
    </row>
    <row r="1341">
      <c r="A1341" s="2" t="s">
        <v>5174</v>
      </c>
      <c r="B1341" s="2" t="s">
        <v>5155</v>
      </c>
      <c r="C1341" s="2" t="s">
        <v>5095</v>
      </c>
      <c r="D1341" s="2" t="s">
        <v>5156</v>
      </c>
      <c r="E1341" s="2" t="s">
        <v>5157</v>
      </c>
      <c r="F1341" s="2" t="s">
        <v>5158</v>
      </c>
      <c r="G1341" s="2" t="s">
        <v>5158</v>
      </c>
      <c r="H1341" s="2" t="s">
        <v>5158</v>
      </c>
      <c r="I1341" s="2" t="s">
        <v>5159</v>
      </c>
      <c r="J1341" s="2" t="s">
        <v>1443</v>
      </c>
      <c r="K1341" s="2" t="s">
        <v>96</v>
      </c>
      <c r="L1341" s="3">
        <v>49.12</v>
      </c>
      <c r="M1341" s="3">
        <v>51.58</v>
      </c>
      <c r="N1341" s="3">
        <v>104.99</v>
      </c>
      <c r="O1341" s="2" t="s">
        <v>97</v>
      </c>
      <c r="P1341" s="2" t="s">
        <v>139</v>
      </c>
      <c r="Q1341" s="2" t="s">
        <v>99</v>
      </c>
      <c r="R1341" s="2" t="s">
        <v>100</v>
      </c>
      <c r="S1341" s="2" t="s">
        <v>5175</v>
      </c>
      <c r="T1341" s="2" t="s">
        <v>5161</v>
      </c>
      <c r="U1341" s="2" t="s">
        <v>1776</v>
      </c>
      <c r="V1341" s="2" t="s">
        <v>461</v>
      </c>
      <c r="W1341" s="2" t="s">
        <v>609</v>
      </c>
      <c r="X1341" s="2" t="s">
        <v>525</v>
      </c>
      <c r="Y1341" s="2" t="s">
        <v>5176</v>
      </c>
      <c r="Z1341" s="4">
        <v>371</v>
      </c>
      <c r="AA1341" s="4">
        <f>=ROUNDDOWN(15.4583333333333,0)</f>
      </c>
      <c r="AB1341" s="5">
        <v>24</v>
      </c>
      <c r="AC1341" s="2" t="s">
        <v>100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1</v>
      </c>
      <c r="AQ1341" s="8">
        <v>54</v>
      </c>
      <c r="AR1341" s="4"/>
      <c r="AS1341" s="8"/>
      <c r="AT1341" s="7"/>
      <c r="AU1341" s="7"/>
      <c r="AV1341" s="4">
        <v>6</v>
      </c>
      <c r="AW1341" s="8">
        <v>426.6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>
        <v>0.1266</v>
      </c>
      <c r="BC1341" s="4" t="s">
        <v>100</v>
      </c>
      <c r="BD1341" s="8" t="s">
        <v>100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>
        <v>0.1917</v>
      </c>
      <c r="BJ1341" s="4">
        <v>18</v>
      </c>
      <c r="BK1341" s="8">
        <v>948.99</v>
      </c>
      <c r="BL1341" s="2" t="s">
        <v>5177</v>
      </c>
      <c r="BM1341" s="7">
        <v>0.0556</v>
      </c>
      <c r="BN1341" s="7">
        <v>0.0569</v>
      </c>
      <c r="BO1341" s="4">
        <v>1</v>
      </c>
      <c r="BP1341" s="8">
        <v>54</v>
      </c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1824</v>
      </c>
      <c r="BX1341" s="2" t="s">
        <v>1030</v>
      </c>
      <c r="BY1341" s="2" t="s">
        <v>112</v>
      </c>
      <c r="BZ1341" s="2" t="s">
        <v>100</v>
      </c>
    </row>
    <row r="1342">
      <c r="A1342" s="2" t="s">
        <v>5178</v>
      </c>
      <c r="B1342" s="2" t="s">
        <v>5155</v>
      </c>
      <c r="C1342" s="2" t="s">
        <v>5095</v>
      </c>
      <c r="D1342" s="2" t="s">
        <v>5156</v>
      </c>
      <c r="E1342" s="2" t="s">
        <v>5157</v>
      </c>
      <c r="F1342" s="2" t="s">
        <v>5158</v>
      </c>
      <c r="G1342" s="2" t="s">
        <v>5158</v>
      </c>
      <c r="H1342" s="2" t="s">
        <v>5158</v>
      </c>
      <c r="I1342" s="2" t="s">
        <v>5159</v>
      </c>
      <c r="J1342" s="2" t="s">
        <v>490</v>
      </c>
      <c r="K1342" s="2" t="s">
        <v>96</v>
      </c>
      <c r="L1342" s="3">
        <v>54.72</v>
      </c>
      <c r="M1342" s="3">
        <v>57.46</v>
      </c>
      <c r="N1342" s="3">
        <v>114.99</v>
      </c>
      <c r="O1342" s="2" t="s">
        <v>97</v>
      </c>
      <c r="P1342" s="2" t="s">
        <v>139</v>
      </c>
      <c r="Q1342" s="2" t="s">
        <v>99</v>
      </c>
      <c r="R1342" s="2" t="s">
        <v>100</v>
      </c>
      <c r="S1342" s="2" t="s">
        <v>5175</v>
      </c>
      <c r="T1342" s="2" t="s">
        <v>5161</v>
      </c>
      <c r="U1342" s="2" t="s">
        <v>1776</v>
      </c>
      <c r="V1342" s="2" t="s">
        <v>461</v>
      </c>
      <c r="W1342" s="2" t="s">
        <v>609</v>
      </c>
      <c r="X1342" s="2" t="s">
        <v>525</v>
      </c>
      <c r="Y1342" s="2" t="s">
        <v>5179</v>
      </c>
      <c r="Z1342" s="4">
        <v>365</v>
      </c>
      <c r="AA1342" s="4">
        <f>=ROUNDDOWN(13.0357142857143,0)</f>
      </c>
      <c r="AB1342" s="5">
        <v>28</v>
      </c>
      <c r="AC1342" s="2" t="s">
        <v>100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2</v>
      </c>
      <c r="AQ1342" s="8">
        <v>118.8</v>
      </c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0.2785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13</v>
      </c>
      <c r="BK1342" s="8">
        <v>767.56</v>
      </c>
      <c r="BL1342" s="2" t="s">
        <v>5180</v>
      </c>
      <c r="BM1342" s="7">
        <v>0.1538</v>
      </c>
      <c r="BN1342" s="7">
        <v>0.1548</v>
      </c>
      <c r="BO1342" s="4">
        <v>2</v>
      </c>
      <c r="BP1342" s="8">
        <v>118.8</v>
      </c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1824</v>
      </c>
      <c r="BX1342" s="2" t="s">
        <v>870</v>
      </c>
      <c r="BY1342" s="2" t="s">
        <v>112</v>
      </c>
      <c r="BZ1342" s="2" t="s">
        <v>100</v>
      </c>
    </row>
    <row r="1343">
      <c r="A1343" s="2" t="s">
        <v>5181</v>
      </c>
      <c r="B1343" s="2" t="s">
        <v>5155</v>
      </c>
      <c r="C1343" s="2" t="s">
        <v>5095</v>
      </c>
      <c r="D1343" s="2" t="s">
        <v>5156</v>
      </c>
      <c r="E1343" s="2" t="s">
        <v>5157</v>
      </c>
      <c r="F1343" s="2" t="s">
        <v>5158</v>
      </c>
      <c r="G1343" s="2" t="s">
        <v>5158</v>
      </c>
      <c r="H1343" s="2" t="s">
        <v>5158</v>
      </c>
      <c r="I1343" s="2" t="s">
        <v>5159</v>
      </c>
      <c r="J1343" s="2" t="s">
        <v>95</v>
      </c>
      <c r="K1343" s="2" t="s">
        <v>96</v>
      </c>
      <c r="L1343" s="3">
        <v>74.29</v>
      </c>
      <c r="M1343" s="3">
        <v>78</v>
      </c>
      <c r="N1343" s="3">
        <v>154.99</v>
      </c>
      <c r="O1343" s="2" t="s">
        <v>97</v>
      </c>
      <c r="P1343" s="2" t="s">
        <v>139</v>
      </c>
      <c r="Q1343" s="2" t="s">
        <v>99</v>
      </c>
      <c r="R1343" s="2" t="s">
        <v>100</v>
      </c>
      <c r="S1343" s="2" t="s">
        <v>5175</v>
      </c>
      <c r="T1343" s="2" t="s">
        <v>5161</v>
      </c>
      <c r="U1343" s="2" t="s">
        <v>1776</v>
      </c>
      <c r="V1343" s="2" t="s">
        <v>461</v>
      </c>
      <c r="W1343" s="2" t="s">
        <v>609</v>
      </c>
      <c r="X1343" s="2" t="s">
        <v>525</v>
      </c>
      <c r="Y1343" s="2" t="s">
        <v>144</v>
      </c>
      <c r="Z1343" s="4">
        <v>389</v>
      </c>
      <c r="AA1343" s="4">
        <f>=ROUNDDOWN(9.26190476190476,0)</f>
      </c>
      <c r="AB1343" s="5">
        <v>42</v>
      </c>
      <c r="AC1343" s="2" t="s">
        <v>173</v>
      </c>
      <c r="AD1343" s="4">
        <v>270</v>
      </c>
      <c r="AE1343" s="4">
        <v>270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2</v>
      </c>
      <c r="AQ1343" s="8">
        <v>162</v>
      </c>
      <c r="AR1343" s="4"/>
      <c r="AS1343" s="8"/>
      <c r="AT1343" s="7"/>
      <c r="AU1343" s="7"/>
      <c r="AV1343" s="4" t="s">
        <v>100</v>
      </c>
      <c r="AW1343" s="8" t="s">
        <v>100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>
        <v>0.3797</v>
      </c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 t="s">
        <v>100</v>
      </c>
      <c r="BJ1343" s="4">
        <v>8</v>
      </c>
      <c r="BK1343" s="8">
        <v>625.96</v>
      </c>
      <c r="BL1343" s="2" t="s">
        <v>5182</v>
      </c>
      <c r="BM1343" s="7">
        <v>0.25</v>
      </c>
      <c r="BN1343" s="7">
        <v>0.2588</v>
      </c>
      <c r="BO1343" s="4">
        <v>2</v>
      </c>
      <c r="BP1343" s="8">
        <v>162</v>
      </c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1824</v>
      </c>
      <c r="BX1343" s="2" t="s">
        <v>1900</v>
      </c>
      <c r="BY1343" s="2" t="s">
        <v>112</v>
      </c>
      <c r="BZ1343" s="2" t="s">
        <v>100</v>
      </c>
    </row>
    <row r="1344">
      <c r="A1344" s="2" t="s">
        <v>5183</v>
      </c>
      <c r="B1344" s="2" t="s">
        <v>5155</v>
      </c>
      <c r="C1344" s="2" t="s">
        <v>5095</v>
      </c>
      <c r="D1344" s="2" t="s">
        <v>5156</v>
      </c>
      <c r="E1344" s="2" t="s">
        <v>5157</v>
      </c>
      <c r="F1344" s="2" t="s">
        <v>5158</v>
      </c>
      <c r="G1344" s="2" t="s">
        <v>5158</v>
      </c>
      <c r="H1344" s="2" t="s">
        <v>5158</v>
      </c>
      <c r="I1344" s="2" t="s">
        <v>5159</v>
      </c>
      <c r="J1344" s="2" t="s">
        <v>114</v>
      </c>
      <c r="K1344" s="2" t="s">
        <v>96</v>
      </c>
      <c r="L1344" s="3">
        <v>84.84</v>
      </c>
      <c r="M1344" s="3">
        <v>89.08</v>
      </c>
      <c r="N1344" s="3">
        <v>174.99</v>
      </c>
      <c r="O1344" s="2" t="s">
        <v>97</v>
      </c>
      <c r="P1344" s="2" t="s">
        <v>139</v>
      </c>
      <c r="Q1344" s="2" t="s">
        <v>99</v>
      </c>
      <c r="R1344" s="2" t="s">
        <v>100</v>
      </c>
      <c r="S1344" s="2" t="s">
        <v>5175</v>
      </c>
      <c r="T1344" s="2" t="s">
        <v>5161</v>
      </c>
      <c r="U1344" s="2" t="s">
        <v>1776</v>
      </c>
      <c r="V1344" s="2" t="s">
        <v>461</v>
      </c>
      <c r="W1344" s="2" t="s">
        <v>609</v>
      </c>
      <c r="X1344" s="2" t="s">
        <v>525</v>
      </c>
      <c r="Y1344" s="2" t="s">
        <v>5179</v>
      </c>
      <c r="Z1344" s="4">
        <v>873</v>
      </c>
      <c r="AA1344" s="4">
        <f>=ROUNDDOWN(22.3846153846154,0)</f>
      </c>
      <c r="AB1344" s="5">
        <v>39</v>
      </c>
      <c r="AC1344" s="2" t="s">
        <v>100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1</v>
      </c>
      <c r="AQ1344" s="8">
        <v>91.8</v>
      </c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>
        <v>0.2152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 t="s">
        <v>100</v>
      </c>
      <c r="BJ1344" s="4">
        <v>31</v>
      </c>
      <c r="BK1344" s="8">
        <v>2864.01</v>
      </c>
      <c r="BL1344" s="2" t="s">
        <v>5184</v>
      </c>
      <c r="BM1344" s="7">
        <v>0.0323</v>
      </c>
      <c r="BN1344" s="7">
        <v>0.0321</v>
      </c>
      <c r="BO1344" s="4">
        <v>1</v>
      </c>
      <c r="BP1344" s="8">
        <v>91.8</v>
      </c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1824</v>
      </c>
      <c r="BX1344" s="2" t="s">
        <v>516</v>
      </c>
      <c r="BY1344" s="2" t="s">
        <v>112</v>
      </c>
      <c r="BZ1344" s="2" t="s">
        <v>100</v>
      </c>
    </row>
    <row r="1345">
      <c r="A1345" s="2" t="s">
        <v>5185</v>
      </c>
      <c r="B1345" s="2" t="s">
        <v>5155</v>
      </c>
      <c r="C1345" s="2" t="s">
        <v>5095</v>
      </c>
      <c r="D1345" s="2" t="s">
        <v>5156</v>
      </c>
      <c r="E1345" s="2" t="s">
        <v>5157</v>
      </c>
      <c r="F1345" s="2" t="s">
        <v>5158</v>
      </c>
      <c r="G1345" s="2" t="s">
        <v>5158</v>
      </c>
      <c r="H1345" s="2" t="s">
        <v>5158</v>
      </c>
      <c r="I1345" s="2" t="s">
        <v>5159</v>
      </c>
      <c r="J1345" s="2" t="s">
        <v>1443</v>
      </c>
      <c r="K1345" s="2" t="s">
        <v>138</v>
      </c>
      <c r="L1345" s="3">
        <v>49.12</v>
      </c>
      <c r="M1345" s="3">
        <v>51.58</v>
      </c>
      <c r="N1345" s="3">
        <v>104.99</v>
      </c>
      <c r="O1345" s="2" t="s">
        <v>97</v>
      </c>
      <c r="P1345" s="2" t="s">
        <v>98</v>
      </c>
      <c r="Q1345" s="2" t="s">
        <v>99</v>
      </c>
      <c r="R1345" s="2" t="s">
        <v>100</v>
      </c>
      <c r="S1345" s="2" t="s">
        <v>5186</v>
      </c>
      <c r="T1345" s="2" t="s">
        <v>5161</v>
      </c>
      <c r="U1345" s="2" t="s">
        <v>1776</v>
      </c>
      <c r="V1345" s="2" t="s">
        <v>461</v>
      </c>
      <c r="W1345" s="2" t="s">
        <v>609</v>
      </c>
      <c r="X1345" s="2" t="s">
        <v>525</v>
      </c>
      <c r="Y1345" s="2" t="s">
        <v>144</v>
      </c>
      <c r="Z1345" s="4">
        <v>108</v>
      </c>
      <c r="AA1345" s="4">
        <f>=ROUNDDOWN(8.30769230769231,0)</f>
      </c>
      <c r="AB1345" s="5">
        <v>13</v>
      </c>
      <c r="AC1345" s="2" t="s">
        <v>173</v>
      </c>
      <c r="AD1345" s="4">
        <v>160</v>
      </c>
      <c r="AE1345" s="4">
        <v>160</v>
      </c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1</v>
      </c>
      <c r="AQ1345" s="8">
        <v>54</v>
      </c>
      <c r="AR1345" s="4"/>
      <c r="AS1345" s="8"/>
      <c r="AT1345" s="7"/>
      <c r="AU1345" s="7"/>
      <c r="AV1345" s="4">
        <v>5</v>
      </c>
      <c r="AW1345" s="8">
        <v>410.4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>
        <v>0.1316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>
        <v>0.1845</v>
      </c>
      <c r="BJ1345" s="4">
        <v>9</v>
      </c>
      <c r="BK1345" s="8">
        <v>496.44</v>
      </c>
      <c r="BL1345" s="2" t="s">
        <v>5187</v>
      </c>
      <c r="BM1345" s="7">
        <v>0.1111</v>
      </c>
      <c r="BN1345" s="7">
        <v>0.1088</v>
      </c>
      <c r="BO1345" s="4">
        <v>1</v>
      </c>
      <c r="BP1345" s="8">
        <v>54</v>
      </c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5163</v>
      </c>
      <c r="BX1345" s="2" t="s">
        <v>4187</v>
      </c>
      <c r="BY1345" s="2" t="s">
        <v>112</v>
      </c>
      <c r="BZ1345" s="2" t="s">
        <v>100</v>
      </c>
    </row>
    <row r="1346">
      <c r="A1346" s="2" t="s">
        <v>5188</v>
      </c>
      <c r="B1346" s="2" t="s">
        <v>5155</v>
      </c>
      <c r="C1346" s="2" t="s">
        <v>5095</v>
      </c>
      <c r="D1346" s="2" t="s">
        <v>5156</v>
      </c>
      <c r="E1346" s="2" t="s">
        <v>5157</v>
      </c>
      <c r="F1346" s="2" t="s">
        <v>5158</v>
      </c>
      <c r="G1346" s="2" t="s">
        <v>5158</v>
      </c>
      <c r="H1346" s="2" t="s">
        <v>5158</v>
      </c>
      <c r="I1346" s="2" t="s">
        <v>5159</v>
      </c>
      <c r="J1346" s="2" t="s">
        <v>490</v>
      </c>
      <c r="K1346" s="2" t="s">
        <v>138</v>
      </c>
      <c r="L1346" s="3">
        <v>54.72</v>
      </c>
      <c r="M1346" s="3">
        <v>57.46</v>
      </c>
      <c r="N1346" s="3">
        <v>114.99</v>
      </c>
      <c r="O1346" s="2" t="s">
        <v>97</v>
      </c>
      <c r="P1346" s="2" t="s">
        <v>98</v>
      </c>
      <c r="Q1346" s="2" t="s">
        <v>99</v>
      </c>
      <c r="R1346" s="2" t="s">
        <v>100</v>
      </c>
      <c r="S1346" s="2" t="s">
        <v>5186</v>
      </c>
      <c r="T1346" s="2" t="s">
        <v>5161</v>
      </c>
      <c r="U1346" s="2" t="s">
        <v>1776</v>
      </c>
      <c r="V1346" s="2" t="s">
        <v>461</v>
      </c>
      <c r="W1346" s="2" t="s">
        <v>609</v>
      </c>
      <c r="X1346" s="2" t="s">
        <v>525</v>
      </c>
      <c r="Y1346" s="2" t="s">
        <v>144</v>
      </c>
      <c r="Z1346" s="4">
        <v>228</v>
      </c>
      <c r="AA1346" s="4">
        <f>=ROUNDDOWN(22.8,0)</f>
      </c>
      <c r="AB1346" s="5">
        <v>10</v>
      </c>
      <c r="AC1346" s="2" t="s">
        <v>100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 t="s">
        <v>100</v>
      </c>
      <c r="AW1346" s="8" t="s">
        <v>100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/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 t="s">
        <v>100</v>
      </c>
      <c r="BJ1346" s="4">
        <v>4</v>
      </c>
      <c r="BK1346" s="8">
        <v>234.62</v>
      </c>
      <c r="BL1346" s="2" t="s">
        <v>734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5163</v>
      </c>
      <c r="BX1346" s="2" t="s">
        <v>5189</v>
      </c>
      <c r="BY1346" s="2" t="s">
        <v>112</v>
      </c>
      <c r="BZ1346" s="2" t="s">
        <v>100</v>
      </c>
    </row>
    <row r="1347">
      <c r="A1347" s="2" t="s">
        <v>5190</v>
      </c>
      <c r="B1347" s="2" t="s">
        <v>5155</v>
      </c>
      <c r="C1347" s="2" t="s">
        <v>5095</v>
      </c>
      <c r="D1347" s="2" t="s">
        <v>5156</v>
      </c>
      <c r="E1347" s="2" t="s">
        <v>5157</v>
      </c>
      <c r="F1347" s="2" t="s">
        <v>5158</v>
      </c>
      <c r="G1347" s="2" t="s">
        <v>5158</v>
      </c>
      <c r="H1347" s="2" t="s">
        <v>5158</v>
      </c>
      <c r="I1347" s="2" t="s">
        <v>5159</v>
      </c>
      <c r="J1347" s="2" t="s">
        <v>95</v>
      </c>
      <c r="K1347" s="2" t="s">
        <v>138</v>
      </c>
      <c r="L1347" s="3">
        <v>74.29</v>
      </c>
      <c r="M1347" s="3">
        <v>78</v>
      </c>
      <c r="N1347" s="3">
        <v>154.99</v>
      </c>
      <c r="O1347" s="2" t="s">
        <v>97</v>
      </c>
      <c r="P1347" s="2" t="s">
        <v>98</v>
      </c>
      <c r="Q1347" s="2" t="s">
        <v>99</v>
      </c>
      <c r="R1347" s="2" t="s">
        <v>100</v>
      </c>
      <c r="S1347" s="2" t="s">
        <v>5186</v>
      </c>
      <c r="T1347" s="2" t="s">
        <v>5161</v>
      </c>
      <c r="U1347" s="2" t="s">
        <v>1776</v>
      </c>
      <c r="V1347" s="2" t="s">
        <v>461</v>
      </c>
      <c r="W1347" s="2" t="s">
        <v>609</v>
      </c>
      <c r="X1347" s="2" t="s">
        <v>525</v>
      </c>
      <c r="Y1347" s="2" t="s">
        <v>144</v>
      </c>
      <c r="Z1347" s="4">
        <v>493</v>
      </c>
      <c r="AA1347" s="4">
        <f>=ROUNDDOWN(32.8666666666667,0)</f>
      </c>
      <c r="AB1347" s="5">
        <v>15</v>
      </c>
      <c r="AC1347" s="2" t="s">
        <v>100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1</v>
      </c>
      <c r="AQ1347" s="8">
        <v>81</v>
      </c>
      <c r="AR1347" s="4"/>
      <c r="AS1347" s="8"/>
      <c r="AT1347" s="7"/>
      <c r="AU1347" s="7"/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>
        <v>0.1974</v>
      </c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 t="s">
        <v>100</v>
      </c>
      <c r="BJ1347" s="4">
        <v>8</v>
      </c>
      <c r="BK1347" s="8">
        <v>641.11</v>
      </c>
      <c r="BL1347" s="2" t="s">
        <v>5191</v>
      </c>
      <c r="BM1347" s="7">
        <v>0.125</v>
      </c>
      <c r="BN1347" s="7">
        <v>0.1263</v>
      </c>
      <c r="BO1347" s="4">
        <v>1</v>
      </c>
      <c r="BP1347" s="8">
        <v>81</v>
      </c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5163</v>
      </c>
      <c r="BX1347" s="2" t="s">
        <v>5192</v>
      </c>
      <c r="BY1347" s="2" t="s">
        <v>112</v>
      </c>
      <c r="BZ1347" s="2" t="s">
        <v>100</v>
      </c>
    </row>
    <row r="1348">
      <c r="A1348" s="2" t="s">
        <v>5193</v>
      </c>
      <c r="B1348" s="2" t="s">
        <v>5155</v>
      </c>
      <c r="C1348" s="2" t="s">
        <v>5095</v>
      </c>
      <c r="D1348" s="2" t="s">
        <v>5156</v>
      </c>
      <c r="E1348" s="2" t="s">
        <v>5157</v>
      </c>
      <c r="F1348" s="2" t="s">
        <v>5158</v>
      </c>
      <c r="G1348" s="2" t="s">
        <v>5158</v>
      </c>
      <c r="H1348" s="2" t="s">
        <v>5158</v>
      </c>
      <c r="I1348" s="2" t="s">
        <v>5159</v>
      </c>
      <c r="J1348" s="2" t="s">
        <v>114</v>
      </c>
      <c r="K1348" s="2" t="s">
        <v>138</v>
      </c>
      <c r="L1348" s="3">
        <v>84.84</v>
      </c>
      <c r="M1348" s="3">
        <v>89.08</v>
      </c>
      <c r="N1348" s="3">
        <v>174.99</v>
      </c>
      <c r="O1348" s="2" t="s">
        <v>97</v>
      </c>
      <c r="P1348" s="2" t="s">
        <v>98</v>
      </c>
      <c r="Q1348" s="2" t="s">
        <v>99</v>
      </c>
      <c r="R1348" s="2" t="s">
        <v>100</v>
      </c>
      <c r="S1348" s="2" t="s">
        <v>5186</v>
      </c>
      <c r="T1348" s="2" t="s">
        <v>5161</v>
      </c>
      <c r="U1348" s="2" t="s">
        <v>1776</v>
      </c>
      <c r="V1348" s="2" t="s">
        <v>461</v>
      </c>
      <c r="W1348" s="2" t="s">
        <v>609</v>
      </c>
      <c r="X1348" s="2" t="s">
        <v>525</v>
      </c>
      <c r="Y1348" s="2" t="s">
        <v>144</v>
      </c>
      <c r="Z1348" s="4">
        <v>294</v>
      </c>
      <c r="AA1348" s="4">
        <f>=ROUNDDOWN(14.7,0)</f>
      </c>
      <c r="AB1348" s="5">
        <v>20</v>
      </c>
      <c r="AC1348" s="2" t="s">
        <v>100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3</v>
      </c>
      <c r="AQ1348" s="8">
        <v>275.4</v>
      </c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>
        <v>0.6711</v>
      </c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 t="s">
        <v>100</v>
      </c>
      <c r="BJ1348" s="4">
        <v>14</v>
      </c>
      <c r="BK1348" s="8">
        <v>1301.26</v>
      </c>
      <c r="BL1348" s="2" t="s">
        <v>5194</v>
      </c>
      <c r="BM1348" s="7">
        <v>0.2143</v>
      </c>
      <c r="BN1348" s="7">
        <v>0.2116</v>
      </c>
      <c r="BO1348" s="4">
        <v>3</v>
      </c>
      <c r="BP1348" s="8">
        <v>275.4</v>
      </c>
      <c r="BQ1348" s="4"/>
      <c r="BR1348" s="8"/>
      <c r="BS1348" s="7"/>
      <c r="BT1348" s="7"/>
      <c r="BU1348" s="2" t="s">
        <v>109</v>
      </c>
      <c r="BV1348" s="2" t="s">
        <v>97</v>
      </c>
      <c r="BW1348" s="2" t="s">
        <v>5163</v>
      </c>
      <c r="BX1348" s="2" t="s">
        <v>5195</v>
      </c>
      <c r="BY1348" s="2" t="s">
        <v>112</v>
      </c>
      <c r="BZ1348" s="2" t="s">
        <v>100</v>
      </c>
    </row>
    <row r="1349">
      <c r="A1349" s="2" t="s">
        <v>5196</v>
      </c>
      <c r="B1349" s="2" t="s">
        <v>5155</v>
      </c>
      <c r="C1349" s="2" t="s">
        <v>5095</v>
      </c>
      <c r="D1349" s="2" t="s">
        <v>5156</v>
      </c>
      <c r="E1349" s="2" t="s">
        <v>5157</v>
      </c>
      <c r="F1349" s="2" t="s">
        <v>5158</v>
      </c>
      <c r="G1349" s="2" t="s">
        <v>5158</v>
      </c>
      <c r="H1349" s="2" t="s">
        <v>5158</v>
      </c>
      <c r="I1349" s="2" t="s">
        <v>5159</v>
      </c>
      <c r="J1349" s="2" t="s">
        <v>1443</v>
      </c>
      <c r="K1349" s="2" t="s">
        <v>3876</v>
      </c>
      <c r="L1349" s="3">
        <v>49.12</v>
      </c>
      <c r="M1349" s="3">
        <v>51.58</v>
      </c>
      <c r="N1349" s="3">
        <v>104.99</v>
      </c>
      <c r="O1349" s="2" t="s">
        <v>97</v>
      </c>
      <c r="P1349" s="2" t="s">
        <v>156</v>
      </c>
      <c r="Q1349" s="2" t="s">
        <v>99</v>
      </c>
      <c r="R1349" s="2" t="s">
        <v>100</v>
      </c>
      <c r="S1349" s="2" t="s">
        <v>5197</v>
      </c>
      <c r="T1349" s="2" t="s">
        <v>5161</v>
      </c>
      <c r="U1349" s="2" t="s">
        <v>1776</v>
      </c>
      <c r="V1349" s="2" t="s">
        <v>461</v>
      </c>
      <c r="W1349" s="2" t="s">
        <v>609</v>
      </c>
      <c r="X1349" s="2" t="s">
        <v>525</v>
      </c>
      <c r="Y1349" s="2" t="s">
        <v>144</v>
      </c>
      <c r="Z1349" s="4">
        <v>179</v>
      </c>
      <c r="AA1349" s="4">
        <f>=ROUNDDOWN(13.7692307692308,0)</f>
      </c>
      <c r="AB1349" s="5">
        <v>13</v>
      </c>
      <c r="AC1349" s="2" t="s">
        <v>100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1</v>
      </c>
      <c r="AQ1349" s="8">
        <v>54</v>
      </c>
      <c r="AR1349" s="4"/>
      <c r="AS1349" s="8"/>
      <c r="AT1349" s="7"/>
      <c r="AU1349" s="7"/>
      <c r="AV1349" s="4">
        <v>5</v>
      </c>
      <c r="AW1349" s="8">
        <v>388.8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>
        <v>0.1389</v>
      </c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>
        <v>0.1748</v>
      </c>
      <c r="BJ1349" s="4">
        <v>9</v>
      </c>
      <c r="BK1349" s="8">
        <v>498.6</v>
      </c>
      <c r="BL1349" s="2" t="s">
        <v>5198</v>
      </c>
      <c r="BM1349" s="7">
        <v>0.1111</v>
      </c>
      <c r="BN1349" s="7">
        <v>0.1083</v>
      </c>
      <c r="BO1349" s="4">
        <v>1</v>
      </c>
      <c r="BP1349" s="8">
        <v>54</v>
      </c>
      <c r="BQ1349" s="4"/>
      <c r="BR1349" s="8"/>
      <c r="BS1349" s="7"/>
      <c r="BT1349" s="7"/>
      <c r="BU1349" s="2" t="s">
        <v>109</v>
      </c>
      <c r="BV1349" s="2" t="s">
        <v>97</v>
      </c>
      <c r="BW1349" s="2" t="s">
        <v>5163</v>
      </c>
      <c r="BX1349" s="2" t="s">
        <v>5199</v>
      </c>
      <c r="BY1349" s="2" t="s">
        <v>112</v>
      </c>
      <c r="BZ1349" s="2" t="s">
        <v>100</v>
      </c>
    </row>
    <row r="1350">
      <c r="A1350" s="2" t="s">
        <v>5200</v>
      </c>
      <c r="B1350" s="2" t="s">
        <v>5155</v>
      </c>
      <c r="C1350" s="2" t="s">
        <v>5095</v>
      </c>
      <c r="D1350" s="2" t="s">
        <v>5156</v>
      </c>
      <c r="E1350" s="2" t="s">
        <v>5157</v>
      </c>
      <c r="F1350" s="2" t="s">
        <v>5158</v>
      </c>
      <c r="G1350" s="2" t="s">
        <v>5158</v>
      </c>
      <c r="H1350" s="2" t="s">
        <v>5158</v>
      </c>
      <c r="I1350" s="2" t="s">
        <v>5159</v>
      </c>
      <c r="J1350" s="2" t="s">
        <v>490</v>
      </c>
      <c r="K1350" s="2" t="s">
        <v>3876</v>
      </c>
      <c r="L1350" s="3">
        <v>54.72</v>
      </c>
      <c r="M1350" s="3">
        <v>57.46</v>
      </c>
      <c r="N1350" s="3">
        <v>114.99</v>
      </c>
      <c r="O1350" s="2" t="s">
        <v>97</v>
      </c>
      <c r="P1350" s="2" t="s">
        <v>156</v>
      </c>
      <c r="Q1350" s="2" t="s">
        <v>99</v>
      </c>
      <c r="R1350" s="2" t="s">
        <v>100</v>
      </c>
      <c r="S1350" s="2" t="s">
        <v>5197</v>
      </c>
      <c r="T1350" s="2" t="s">
        <v>5161</v>
      </c>
      <c r="U1350" s="2" t="s">
        <v>1776</v>
      </c>
      <c r="V1350" s="2" t="s">
        <v>461</v>
      </c>
      <c r="W1350" s="2" t="s">
        <v>609</v>
      </c>
      <c r="X1350" s="2" t="s">
        <v>525</v>
      </c>
      <c r="Y1350" s="2" t="s">
        <v>144</v>
      </c>
      <c r="Z1350" s="4">
        <v>270</v>
      </c>
      <c r="AA1350" s="4">
        <f>=ROUNDDOWN(15,0)</f>
      </c>
      <c r="AB1350" s="5">
        <v>18</v>
      </c>
      <c r="AC1350" s="2" t="s">
        <v>100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/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 t="s">
        <v>100</v>
      </c>
      <c r="BJ1350" s="4">
        <v>15</v>
      </c>
      <c r="BK1350" s="8">
        <v>889.43</v>
      </c>
      <c r="BL1350" s="2" t="s">
        <v>5201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5163</v>
      </c>
      <c r="BX1350" s="2" t="s">
        <v>5202</v>
      </c>
      <c r="BY1350" s="2" t="s">
        <v>112</v>
      </c>
      <c r="BZ1350" s="2" t="s">
        <v>100</v>
      </c>
    </row>
    <row r="1351">
      <c r="A1351" s="2" t="s">
        <v>5203</v>
      </c>
      <c r="B1351" s="2" t="s">
        <v>5155</v>
      </c>
      <c r="C1351" s="2" t="s">
        <v>5095</v>
      </c>
      <c r="D1351" s="2" t="s">
        <v>5156</v>
      </c>
      <c r="E1351" s="2" t="s">
        <v>5157</v>
      </c>
      <c r="F1351" s="2" t="s">
        <v>5158</v>
      </c>
      <c r="G1351" s="2" t="s">
        <v>5158</v>
      </c>
      <c r="H1351" s="2" t="s">
        <v>5158</v>
      </c>
      <c r="I1351" s="2" t="s">
        <v>5159</v>
      </c>
      <c r="J1351" s="2" t="s">
        <v>95</v>
      </c>
      <c r="K1351" s="2" t="s">
        <v>3876</v>
      </c>
      <c r="L1351" s="3">
        <v>74.29</v>
      </c>
      <c r="M1351" s="3">
        <v>78</v>
      </c>
      <c r="N1351" s="3">
        <v>154.99</v>
      </c>
      <c r="O1351" s="2" t="s">
        <v>97</v>
      </c>
      <c r="P1351" s="2" t="s">
        <v>156</v>
      </c>
      <c r="Q1351" s="2" t="s">
        <v>99</v>
      </c>
      <c r="R1351" s="2" t="s">
        <v>100</v>
      </c>
      <c r="S1351" s="2" t="s">
        <v>5197</v>
      </c>
      <c r="T1351" s="2" t="s">
        <v>5161</v>
      </c>
      <c r="U1351" s="2" t="s">
        <v>1776</v>
      </c>
      <c r="V1351" s="2" t="s">
        <v>461</v>
      </c>
      <c r="W1351" s="2" t="s">
        <v>609</v>
      </c>
      <c r="X1351" s="2" t="s">
        <v>525</v>
      </c>
      <c r="Y1351" s="2" t="s">
        <v>144</v>
      </c>
      <c r="Z1351" s="4">
        <v>458</v>
      </c>
      <c r="AA1351" s="4">
        <f>=ROUNDDOWN(11.7435897435897,0)</f>
      </c>
      <c r="AB1351" s="5">
        <v>39</v>
      </c>
      <c r="AC1351" s="2" t="s">
        <v>100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3</v>
      </c>
      <c r="AQ1351" s="8">
        <v>243</v>
      </c>
      <c r="AR1351" s="4"/>
      <c r="AS1351" s="8"/>
      <c r="AT1351" s="7"/>
      <c r="AU1351" s="7"/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>
        <v>0.625</v>
      </c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 t="s">
        <v>100</v>
      </c>
      <c r="BJ1351" s="4">
        <v>22</v>
      </c>
      <c r="BK1351" s="8">
        <v>1780.45</v>
      </c>
      <c r="BL1351" s="2" t="s">
        <v>1808</v>
      </c>
      <c r="BM1351" s="7">
        <v>0.1364</v>
      </c>
      <c r="BN1351" s="7">
        <v>0.1365</v>
      </c>
      <c r="BO1351" s="4">
        <v>3</v>
      </c>
      <c r="BP1351" s="8">
        <v>243</v>
      </c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5163</v>
      </c>
      <c r="BX1351" s="2" t="s">
        <v>160</v>
      </c>
      <c r="BY1351" s="2" t="s">
        <v>112</v>
      </c>
      <c r="BZ1351" s="2" t="s">
        <v>100</v>
      </c>
    </row>
    <row r="1352">
      <c r="A1352" s="2" t="s">
        <v>5204</v>
      </c>
      <c r="B1352" s="2" t="s">
        <v>5155</v>
      </c>
      <c r="C1352" s="2" t="s">
        <v>5095</v>
      </c>
      <c r="D1352" s="2" t="s">
        <v>5156</v>
      </c>
      <c r="E1352" s="2" t="s">
        <v>5157</v>
      </c>
      <c r="F1352" s="2" t="s">
        <v>5158</v>
      </c>
      <c r="G1352" s="2" t="s">
        <v>5158</v>
      </c>
      <c r="H1352" s="2" t="s">
        <v>5158</v>
      </c>
      <c r="I1352" s="2" t="s">
        <v>5159</v>
      </c>
      <c r="J1352" s="2" t="s">
        <v>114</v>
      </c>
      <c r="K1352" s="2" t="s">
        <v>3876</v>
      </c>
      <c r="L1352" s="3">
        <v>84.84</v>
      </c>
      <c r="M1352" s="3">
        <v>89.08</v>
      </c>
      <c r="N1352" s="3">
        <v>174.99</v>
      </c>
      <c r="O1352" s="2" t="s">
        <v>97</v>
      </c>
      <c r="P1352" s="2" t="s">
        <v>156</v>
      </c>
      <c r="Q1352" s="2" t="s">
        <v>99</v>
      </c>
      <c r="R1352" s="2" t="s">
        <v>100</v>
      </c>
      <c r="S1352" s="2" t="s">
        <v>5197</v>
      </c>
      <c r="T1352" s="2" t="s">
        <v>5161</v>
      </c>
      <c r="U1352" s="2" t="s">
        <v>1776</v>
      </c>
      <c r="V1352" s="2" t="s">
        <v>461</v>
      </c>
      <c r="W1352" s="2" t="s">
        <v>609</v>
      </c>
      <c r="X1352" s="2" t="s">
        <v>525</v>
      </c>
      <c r="Y1352" s="2" t="s">
        <v>5179</v>
      </c>
      <c r="Z1352" s="4">
        <v>419</v>
      </c>
      <c r="AA1352" s="4">
        <f>=ROUNDDOWN(16.1153846153846,0)</f>
      </c>
      <c r="AB1352" s="5">
        <v>26</v>
      </c>
      <c r="AC1352" s="2" t="s">
        <v>100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1</v>
      </c>
      <c r="AQ1352" s="8">
        <v>91.8</v>
      </c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>
        <v>0.2361</v>
      </c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 t="s">
        <v>100</v>
      </c>
      <c r="BJ1352" s="4">
        <v>26</v>
      </c>
      <c r="BK1352" s="8">
        <v>2457.16</v>
      </c>
      <c r="BL1352" s="2" t="s">
        <v>5205</v>
      </c>
      <c r="BM1352" s="7">
        <v>0.0385</v>
      </c>
      <c r="BN1352" s="7">
        <v>0.0374</v>
      </c>
      <c r="BO1352" s="4">
        <v>1</v>
      </c>
      <c r="BP1352" s="8">
        <v>91.8</v>
      </c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5163</v>
      </c>
      <c r="BX1352" s="2" t="s">
        <v>5173</v>
      </c>
      <c r="BY1352" s="2" t="s">
        <v>112</v>
      </c>
      <c r="BZ1352" s="2" t="s">
        <v>100</v>
      </c>
    </row>
    <row r="1353">
      <c r="A1353" s="2" t="s">
        <v>5206</v>
      </c>
      <c r="B1353" s="2" t="s">
        <v>5155</v>
      </c>
      <c r="C1353" s="2" t="s">
        <v>5095</v>
      </c>
      <c r="D1353" s="2" t="s">
        <v>5156</v>
      </c>
      <c r="E1353" s="2" t="s">
        <v>5157</v>
      </c>
      <c r="F1353" s="2" t="s">
        <v>5158</v>
      </c>
      <c r="G1353" s="2" t="s">
        <v>5158</v>
      </c>
      <c r="H1353" s="2" t="s">
        <v>5158</v>
      </c>
      <c r="I1353" s="2" t="s">
        <v>5159</v>
      </c>
      <c r="J1353" s="2" t="s">
        <v>1443</v>
      </c>
      <c r="K1353" s="2" t="s">
        <v>256</v>
      </c>
      <c r="L1353" s="3">
        <v>49.12</v>
      </c>
      <c r="M1353" s="3">
        <v>51.58</v>
      </c>
      <c r="N1353" s="3">
        <v>104.99</v>
      </c>
      <c r="O1353" s="2" t="s">
        <v>97</v>
      </c>
      <c r="P1353" s="2" t="s">
        <v>98</v>
      </c>
      <c r="Q1353" s="2" t="s">
        <v>99</v>
      </c>
      <c r="R1353" s="2" t="s">
        <v>100</v>
      </c>
      <c r="S1353" s="2" t="s">
        <v>5207</v>
      </c>
      <c r="T1353" s="2" t="s">
        <v>5161</v>
      </c>
      <c r="U1353" s="2" t="s">
        <v>1776</v>
      </c>
      <c r="V1353" s="2" t="s">
        <v>461</v>
      </c>
      <c r="W1353" s="2" t="s">
        <v>609</v>
      </c>
      <c r="X1353" s="2" t="s">
        <v>525</v>
      </c>
      <c r="Y1353" s="2" t="s">
        <v>144</v>
      </c>
      <c r="Z1353" s="4">
        <v>54</v>
      </c>
      <c r="AA1353" s="4">
        <f>=ROUNDDOWN(4.90909090909091,0)</f>
      </c>
      <c r="AB1353" s="5">
        <v>11</v>
      </c>
      <c r="AC1353" s="2" t="s">
        <v>173</v>
      </c>
      <c r="AD1353" s="4">
        <v>180</v>
      </c>
      <c r="AE1353" s="4">
        <v>180</v>
      </c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2</v>
      </c>
      <c r="AQ1353" s="8">
        <v>108</v>
      </c>
      <c r="AR1353" s="4"/>
      <c r="AS1353" s="8"/>
      <c r="AT1353" s="7"/>
      <c r="AU1353" s="7"/>
      <c r="AV1353" s="4">
        <v>5</v>
      </c>
      <c r="AW1353" s="8">
        <v>318.6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0.339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>
        <v>0.1432</v>
      </c>
      <c r="BJ1353" s="4">
        <v>11</v>
      </c>
      <c r="BK1353" s="8">
        <v>587.15</v>
      </c>
      <c r="BL1353" s="2" t="s">
        <v>5208</v>
      </c>
      <c r="BM1353" s="7">
        <v>0.1818</v>
      </c>
      <c r="BN1353" s="7">
        <v>0.1839</v>
      </c>
      <c r="BO1353" s="4">
        <v>2</v>
      </c>
      <c r="BP1353" s="8">
        <v>108</v>
      </c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5163</v>
      </c>
      <c r="BX1353" s="2" t="s">
        <v>5209</v>
      </c>
      <c r="BY1353" s="2" t="s">
        <v>112</v>
      </c>
      <c r="BZ1353" s="2" t="s">
        <v>100</v>
      </c>
    </row>
    <row r="1354">
      <c r="A1354" s="2" t="s">
        <v>5210</v>
      </c>
      <c r="B1354" s="2" t="s">
        <v>5155</v>
      </c>
      <c r="C1354" s="2" t="s">
        <v>5095</v>
      </c>
      <c r="D1354" s="2" t="s">
        <v>5156</v>
      </c>
      <c r="E1354" s="2" t="s">
        <v>5157</v>
      </c>
      <c r="F1354" s="2" t="s">
        <v>5158</v>
      </c>
      <c r="G1354" s="2" t="s">
        <v>5158</v>
      </c>
      <c r="H1354" s="2" t="s">
        <v>5158</v>
      </c>
      <c r="I1354" s="2" t="s">
        <v>5159</v>
      </c>
      <c r="J1354" s="2" t="s">
        <v>490</v>
      </c>
      <c r="K1354" s="2" t="s">
        <v>256</v>
      </c>
      <c r="L1354" s="3">
        <v>54.72</v>
      </c>
      <c r="M1354" s="3">
        <v>57.46</v>
      </c>
      <c r="N1354" s="3">
        <v>114.99</v>
      </c>
      <c r="O1354" s="2" t="s">
        <v>97</v>
      </c>
      <c r="P1354" s="2" t="s">
        <v>98</v>
      </c>
      <c r="Q1354" s="2" t="s">
        <v>99</v>
      </c>
      <c r="R1354" s="2" t="s">
        <v>100</v>
      </c>
      <c r="S1354" s="2" t="s">
        <v>5207</v>
      </c>
      <c r="T1354" s="2" t="s">
        <v>5161</v>
      </c>
      <c r="U1354" s="2" t="s">
        <v>1776</v>
      </c>
      <c r="V1354" s="2" t="s">
        <v>461</v>
      </c>
      <c r="W1354" s="2" t="s">
        <v>609</v>
      </c>
      <c r="X1354" s="2" t="s">
        <v>525</v>
      </c>
      <c r="Y1354" s="2" t="s">
        <v>144</v>
      </c>
      <c r="Z1354" s="4">
        <v>95</v>
      </c>
      <c r="AA1354" s="4">
        <f>=ROUNDDOWN(8.63636363636364,0)</f>
      </c>
      <c r="AB1354" s="5">
        <v>11</v>
      </c>
      <c r="AC1354" s="2" t="s">
        <v>100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2</v>
      </c>
      <c r="AQ1354" s="8">
        <v>118.8</v>
      </c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>
        <v>0.3729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 t="s">
        <v>100</v>
      </c>
      <c r="BJ1354" s="4">
        <v>16</v>
      </c>
      <c r="BK1354" s="8">
        <v>925.97</v>
      </c>
      <c r="BL1354" s="2" t="s">
        <v>5211</v>
      </c>
      <c r="BM1354" s="7">
        <v>0.125</v>
      </c>
      <c r="BN1354" s="7">
        <v>0.1283</v>
      </c>
      <c r="BO1354" s="4">
        <v>2</v>
      </c>
      <c r="BP1354" s="8">
        <v>118.8</v>
      </c>
      <c r="BQ1354" s="4"/>
      <c r="BR1354" s="8"/>
      <c r="BS1354" s="7"/>
      <c r="BT1354" s="7"/>
      <c r="BU1354" s="2" t="s">
        <v>109</v>
      </c>
      <c r="BV1354" s="2" t="s">
        <v>97</v>
      </c>
      <c r="BW1354" s="2" t="s">
        <v>5163</v>
      </c>
      <c r="BX1354" s="2" t="s">
        <v>5212</v>
      </c>
      <c r="BY1354" s="2" t="s">
        <v>112</v>
      </c>
      <c r="BZ1354" s="2" t="s">
        <v>100</v>
      </c>
    </row>
    <row r="1355">
      <c r="A1355" s="2" t="s">
        <v>5213</v>
      </c>
      <c r="B1355" s="2" t="s">
        <v>5155</v>
      </c>
      <c r="C1355" s="2" t="s">
        <v>5095</v>
      </c>
      <c r="D1355" s="2" t="s">
        <v>5156</v>
      </c>
      <c r="E1355" s="2" t="s">
        <v>5157</v>
      </c>
      <c r="F1355" s="2" t="s">
        <v>5158</v>
      </c>
      <c r="G1355" s="2" t="s">
        <v>5158</v>
      </c>
      <c r="H1355" s="2" t="s">
        <v>5158</v>
      </c>
      <c r="I1355" s="2" t="s">
        <v>5159</v>
      </c>
      <c r="J1355" s="2" t="s">
        <v>95</v>
      </c>
      <c r="K1355" s="2" t="s">
        <v>256</v>
      </c>
      <c r="L1355" s="3">
        <v>74.29</v>
      </c>
      <c r="M1355" s="3">
        <v>78</v>
      </c>
      <c r="N1355" s="3">
        <v>154.99</v>
      </c>
      <c r="O1355" s="2" t="s">
        <v>97</v>
      </c>
      <c r="P1355" s="2" t="s">
        <v>98</v>
      </c>
      <c r="Q1355" s="2" t="s">
        <v>99</v>
      </c>
      <c r="R1355" s="2" t="s">
        <v>100</v>
      </c>
      <c r="S1355" s="2" t="s">
        <v>5207</v>
      </c>
      <c r="T1355" s="2" t="s">
        <v>5161</v>
      </c>
      <c r="U1355" s="2" t="s">
        <v>1776</v>
      </c>
      <c r="V1355" s="2" t="s">
        <v>461</v>
      </c>
      <c r="W1355" s="2" t="s">
        <v>609</v>
      </c>
      <c r="X1355" s="2" t="s">
        <v>525</v>
      </c>
      <c r="Y1355" s="2" t="s">
        <v>144</v>
      </c>
      <c r="Z1355" s="4">
        <v>226</v>
      </c>
      <c r="AA1355" s="4">
        <f>=ROUNDDOWN(14.125,0)</f>
      </c>
      <c r="AB1355" s="5">
        <v>16</v>
      </c>
      <c r="AC1355" s="2" t="s">
        <v>100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/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 t="s">
        <v>100</v>
      </c>
      <c r="BJ1355" s="4">
        <v>12</v>
      </c>
      <c r="BK1355" s="8">
        <v>943.06</v>
      </c>
      <c r="BL1355" s="2" t="s">
        <v>3119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109</v>
      </c>
      <c r="BV1355" s="2" t="s">
        <v>97</v>
      </c>
      <c r="BW1355" s="2" t="s">
        <v>5163</v>
      </c>
      <c r="BX1355" s="2" t="s">
        <v>5214</v>
      </c>
      <c r="BY1355" s="2" t="s">
        <v>112</v>
      </c>
      <c r="BZ1355" s="2" t="s">
        <v>100</v>
      </c>
    </row>
    <row r="1356">
      <c r="A1356" s="2" t="s">
        <v>5215</v>
      </c>
      <c r="B1356" s="2" t="s">
        <v>5155</v>
      </c>
      <c r="C1356" s="2" t="s">
        <v>5095</v>
      </c>
      <c r="D1356" s="2" t="s">
        <v>5156</v>
      </c>
      <c r="E1356" s="2" t="s">
        <v>5157</v>
      </c>
      <c r="F1356" s="2" t="s">
        <v>5158</v>
      </c>
      <c r="G1356" s="2" t="s">
        <v>5158</v>
      </c>
      <c r="H1356" s="2" t="s">
        <v>5158</v>
      </c>
      <c r="I1356" s="2" t="s">
        <v>5159</v>
      </c>
      <c r="J1356" s="2" t="s">
        <v>114</v>
      </c>
      <c r="K1356" s="2" t="s">
        <v>256</v>
      </c>
      <c r="L1356" s="3">
        <v>84.84</v>
      </c>
      <c r="M1356" s="3">
        <v>89.08</v>
      </c>
      <c r="N1356" s="3">
        <v>174.99</v>
      </c>
      <c r="O1356" s="2" t="s">
        <v>97</v>
      </c>
      <c r="P1356" s="2" t="s">
        <v>98</v>
      </c>
      <c r="Q1356" s="2" t="s">
        <v>99</v>
      </c>
      <c r="R1356" s="2" t="s">
        <v>100</v>
      </c>
      <c r="S1356" s="2" t="s">
        <v>5207</v>
      </c>
      <c r="T1356" s="2" t="s">
        <v>5161</v>
      </c>
      <c r="U1356" s="2" t="s">
        <v>1776</v>
      </c>
      <c r="V1356" s="2" t="s">
        <v>461</v>
      </c>
      <c r="W1356" s="2" t="s">
        <v>609</v>
      </c>
      <c r="X1356" s="2" t="s">
        <v>525</v>
      </c>
      <c r="Y1356" s="2" t="s">
        <v>5179</v>
      </c>
      <c r="Z1356" s="4">
        <v>229</v>
      </c>
      <c r="AA1356" s="4">
        <f>=ROUNDDOWN(19.0833333333333,0)</f>
      </c>
      <c r="AB1356" s="5">
        <v>12</v>
      </c>
      <c r="AC1356" s="2" t="s">
        <v>100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1</v>
      </c>
      <c r="AQ1356" s="8">
        <v>91.8</v>
      </c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>
        <v>0.2881</v>
      </c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 t="s">
        <v>100</v>
      </c>
      <c r="BJ1356" s="4">
        <v>21</v>
      </c>
      <c r="BK1356" s="8">
        <v>1976.45</v>
      </c>
      <c r="BL1356" s="2" t="s">
        <v>5191</v>
      </c>
      <c r="BM1356" s="7">
        <v>0.0476</v>
      </c>
      <c r="BN1356" s="7">
        <v>0.0464</v>
      </c>
      <c r="BO1356" s="4">
        <v>1</v>
      </c>
      <c r="BP1356" s="8">
        <v>91.8</v>
      </c>
      <c r="BQ1356" s="4"/>
      <c r="BR1356" s="8"/>
      <c r="BS1356" s="7"/>
      <c r="BT1356" s="7"/>
      <c r="BU1356" s="2" t="s">
        <v>109</v>
      </c>
      <c r="BV1356" s="2" t="s">
        <v>97</v>
      </c>
      <c r="BW1356" s="2" t="s">
        <v>5163</v>
      </c>
      <c r="BX1356" s="2" t="s">
        <v>5216</v>
      </c>
      <c r="BY1356" s="2" t="s">
        <v>112</v>
      </c>
      <c r="BZ1356" s="2" t="s">
        <v>100</v>
      </c>
    </row>
    <row r="1357">
      <c r="A1357" s="2" t="s">
        <v>5217</v>
      </c>
      <c r="B1357" s="2" t="s">
        <v>5155</v>
      </c>
      <c r="C1357" s="2" t="s">
        <v>5095</v>
      </c>
      <c r="D1357" s="2" t="s">
        <v>5156</v>
      </c>
      <c r="E1357" s="2" t="s">
        <v>5157</v>
      </c>
      <c r="F1357" s="2" t="s">
        <v>5158</v>
      </c>
      <c r="G1357" s="2" t="s">
        <v>5158</v>
      </c>
      <c r="H1357" s="2" t="s">
        <v>5158</v>
      </c>
      <c r="I1357" s="2" t="s">
        <v>5159</v>
      </c>
      <c r="J1357" s="2" t="s">
        <v>1443</v>
      </c>
      <c r="K1357" s="2" t="s">
        <v>179</v>
      </c>
      <c r="L1357" s="3">
        <v>49.12</v>
      </c>
      <c r="M1357" s="3">
        <v>51.58</v>
      </c>
      <c r="N1357" s="3">
        <v>104.99</v>
      </c>
      <c r="O1357" s="2" t="s">
        <v>97</v>
      </c>
      <c r="P1357" s="2" t="s">
        <v>123</v>
      </c>
      <c r="Q1357" s="2" t="s">
        <v>99</v>
      </c>
      <c r="R1357" s="2" t="s">
        <v>100</v>
      </c>
      <c r="S1357" s="2" t="s">
        <v>5218</v>
      </c>
      <c r="T1357" s="2" t="s">
        <v>5161</v>
      </c>
      <c r="U1357" s="2" t="s">
        <v>1776</v>
      </c>
      <c r="V1357" s="2" t="s">
        <v>461</v>
      </c>
      <c r="W1357" s="2" t="s">
        <v>609</v>
      </c>
      <c r="X1357" s="2" t="s">
        <v>525</v>
      </c>
      <c r="Y1357" s="2" t="s">
        <v>5179</v>
      </c>
      <c r="Z1357" s="4">
        <v>448</v>
      </c>
      <c r="AA1357" s="4">
        <f>=ROUNDDOWN(34.4615384615385,0)</f>
      </c>
      <c r="AB1357" s="5">
        <v>13</v>
      </c>
      <c r="AC1357" s="2" t="s">
        <v>100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>
        <v>2</v>
      </c>
      <c r="AW1357" s="8">
        <v>151.2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/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>
        <v>0.068</v>
      </c>
      <c r="BJ1357" s="4">
        <v>15</v>
      </c>
      <c r="BK1357" s="8">
        <v>799.87</v>
      </c>
      <c r="BL1357" s="2" t="s">
        <v>5219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5163</v>
      </c>
      <c r="BX1357" s="2" t="s">
        <v>5220</v>
      </c>
      <c r="BY1357" s="2" t="s">
        <v>112</v>
      </c>
      <c r="BZ1357" s="2" t="s">
        <v>100</v>
      </c>
    </row>
    <row r="1358">
      <c r="A1358" s="2" t="s">
        <v>5221</v>
      </c>
      <c r="B1358" s="2" t="s">
        <v>5155</v>
      </c>
      <c r="C1358" s="2" t="s">
        <v>5095</v>
      </c>
      <c r="D1358" s="2" t="s">
        <v>5156</v>
      </c>
      <c r="E1358" s="2" t="s">
        <v>5157</v>
      </c>
      <c r="F1358" s="2" t="s">
        <v>5158</v>
      </c>
      <c r="G1358" s="2" t="s">
        <v>5158</v>
      </c>
      <c r="H1358" s="2" t="s">
        <v>5158</v>
      </c>
      <c r="I1358" s="2" t="s">
        <v>5159</v>
      </c>
      <c r="J1358" s="2" t="s">
        <v>490</v>
      </c>
      <c r="K1358" s="2" t="s">
        <v>179</v>
      </c>
      <c r="L1358" s="3">
        <v>54.72</v>
      </c>
      <c r="M1358" s="3">
        <v>57.46</v>
      </c>
      <c r="N1358" s="3">
        <v>114.99</v>
      </c>
      <c r="O1358" s="2" t="s">
        <v>97</v>
      </c>
      <c r="P1358" s="2" t="s">
        <v>123</v>
      </c>
      <c r="Q1358" s="2" t="s">
        <v>99</v>
      </c>
      <c r="R1358" s="2" t="s">
        <v>100</v>
      </c>
      <c r="S1358" s="2" t="s">
        <v>5218</v>
      </c>
      <c r="T1358" s="2" t="s">
        <v>5161</v>
      </c>
      <c r="U1358" s="2" t="s">
        <v>1776</v>
      </c>
      <c r="V1358" s="2" t="s">
        <v>461</v>
      </c>
      <c r="W1358" s="2" t="s">
        <v>609</v>
      </c>
      <c r="X1358" s="2" t="s">
        <v>525</v>
      </c>
      <c r="Y1358" s="2" t="s">
        <v>144</v>
      </c>
      <c r="Z1358" s="4">
        <v>262</v>
      </c>
      <c r="AA1358" s="4">
        <f>=ROUNDDOWN(14.5555555555556,0)</f>
      </c>
      <c r="AB1358" s="5">
        <v>18</v>
      </c>
      <c r="AC1358" s="2" t="s">
        <v>100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1</v>
      </c>
      <c r="AQ1358" s="8">
        <v>59.4</v>
      </c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>
        <v>0.3929</v>
      </c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 t="s">
        <v>100</v>
      </c>
      <c r="BJ1358" s="4">
        <v>9</v>
      </c>
      <c r="BK1358" s="8">
        <v>530.56</v>
      </c>
      <c r="BL1358" s="2" t="s">
        <v>5222</v>
      </c>
      <c r="BM1358" s="7">
        <v>0.1111</v>
      </c>
      <c r="BN1358" s="7">
        <v>0.112</v>
      </c>
      <c r="BO1358" s="4">
        <v>1</v>
      </c>
      <c r="BP1358" s="8">
        <v>59.4</v>
      </c>
      <c r="BQ1358" s="4"/>
      <c r="BR1358" s="8"/>
      <c r="BS1358" s="7"/>
      <c r="BT1358" s="7"/>
      <c r="BU1358" s="2" t="s">
        <v>109</v>
      </c>
      <c r="BV1358" s="2" t="s">
        <v>97</v>
      </c>
      <c r="BW1358" s="2" t="s">
        <v>5163</v>
      </c>
      <c r="BX1358" s="2" t="s">
        <v>5223</v>
      </c>
      <c r="BY1358" s="2" t="s">
        <v>112</v>
      </c>
      <c r="BZ1358" s="2" t="s">
        <v>100</v>
      </c>
    </row>
    <row r="1359">
      <c r="A1359" s="2" t="s">
        <v>5224</v>
      </c>
      <c r="B1359" s="2" t="s">
        <v>5155</v>
      </c>
      <c r="C1359" s="2" t="s">
        <v>5095</v>
      </c>
      <c r="D1359" s="2" t="s">
        <v>5156</v>
      </c>
      <c r="E1359" s="2" t="s">
        <v>5157</v>
      </c>
      <c r="F1359" s="2" t="s">
        <v>5158</v>
      </c>
      <c r="G1359" s="2" t="s">
        <v>5158</v>
      </c>
      <c r="H1359" s="2" t="s">
        <v>5158</v>
      </c>
      <c r="I1359" s="2" t="s">
        <v>5159</v>
      </c>
      <c r="J1359" s="2" t="s">
        <v>95</v>
      </c>
      <c r="K1359" s="2" t="s">
        <v>179</v>
      </c>
      <c r="L1359" s="3">
        <v>74.29</v>
      </c>
      <c r="M1359" s="3">
        <v>78</v>
      </c>
      <c r="N1359" s="3">
        <v>154.99</v>
      </c>
      <c r="O1359" s="2" t="s">
        <v>97</v>
      </c>
      <c r="P1359" s="2" t="s">
        <v>123</v>
      </c>
      <c r="Q1359" s="2" t="s">
        <v>99</v>
      </c>
      <c r="R1359" s="2" t="s">
        <v>100</v>
      </c>
      <c r="S1359" s="2" t="s">
        <v>5218</v>
      </c>
      <c r="T1359" s="2" t="s">
        <v>5161</v>
      </c>
      <c r="U1359" s="2" t="s">
        <v>1776</v>
      </c>
      <c r="V1359" s="2" t="s">
        <v>461</v>
      </c>
      <c r="W1359" s="2" t="s">
        <v>609</v>
      </c>
      <c r="X1359" s="2" t="s">
        <v>525</v>
      </c>
      <c r="Y1359" s="2" t="s">
        <v>144</v>
      </c>
      <c r="Z1359" s="4"/>
      <c r="AA1359" s="4">
        <f>=ROUNDDOWN({0},0)</f>
      </c>
      <c r="AB1359" s="5">
        <v>44</v>
      </c>
      <c r="AC1359" s="2" t="s">
        <v>173</v>
      </c>
      <c r="AD1359" s="4">
        <v>280</v>
      </c>
      <c r="AE1359" s="4">
        <v>280</v>
      </c>
      <c r="AF1359" s="6">
        <v>65</v>
      </c>
      <c r="AG1359" s="6"/>
      <c r="AH1359" s="7">
        <v>0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/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 t="s">
        <v>100</v>
      </c>
      <c r="BJ1359" s="4"/>
      <c r="BK1359" s="8"/>
      <c r="BL1359" s="2" t="s">
        <v>100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109</v>
      </c>
      <c r="BV1359" s="2" t="s">
        <v>97</v>
      </c>
      <c r="BW1359" s="2" t="s">
        <v>5163</v>
      </c>
      <c r="BX1359" s="2" t="s">
        <v>5225</v>
      </c>
      <c r="BY1359" s="2" t="s">
        <v>112</v>
      </c>
      <c r="BZ1359" s="2" t="s">
        <v>100</v>
      </c>
    </row>
    <row r="1360">
      <c r="A1360" s="2" t="s">
        <v>5226</v>
      </c>
      <c r="B1360" s="2" t="s">
        <v>5155</v>
      </c>
      <c r="C1360" s="2" t="s">
        <v>5095</v>
      </c>
      <c r="D1360" s="2" t="s">
        <v>5156</v>
      </c>
      <c r="E1360" s="2" t="s">
        <v>5157</v>
      </c>
      <c r="F1360" s="2" t="s">
        <v>5158</v>
      </c>
      <c r="G1360" s="2" t="s">
        <v>5158</v>
      </c>
      <c r="H1360" s="2" t="s">
        <v>5158</v>
      </c>
      <c r="I1360" s="2" t="s">
        <v>5159</v>
      </c>
      <c r="J1360" s="2" t="s">
        <v>114</v>
      </c>
      <c r="K1360" s="2" t="s">
        <v>179</v>
      </c>
      <c r="L1360" s="3">
        <v>84.84</v>
      </c>
      <c r="M1360" s="3">
        <v>89.08</v>
      </c>
      <c r="N1360" s="3">
        <v>174.99</v>
      </c>
      <c r="O1360" s="2" t="s">
        <v>97</v>
      </c>
      <c r="P1360" s="2" t="s">
        <v>123</v>
      </c>
      <c r="Q1360" s="2" t="s">
        <v>99</v>
      </c>
      <c r="R1360" s="2" t="s">
        <v>100</v>
      </c>
      <c r="S1360" s="2" t="s">
        <v>5218</v>
      </c>
      <c r="T1360" s="2" t="s">
        <v>5161</v>
      </c>
      <c r="U1360" s="2" t="s">
        <v>1776</v>
      </c>
      <c r="V1360" s="2" t="s">
        <v>461</v>
      </c>
      <c r="W1360" s="2" t="s">
        <v>609</v>
      </c>
      <c r="X1360" s="2" t="s">
        <v>525</v>
      </c>
      <c r="Y1360" s="2" t="s">
        <v>144</v>
      </c>
      <c r="Z1360" s="4">
        <v>255</v>
      </c>
      <c r="AA1360" s="4">
        <f>=ROUNDDOWN(8.79310344827586,0)</f>
      </c>
      <c r="AB1360" s="5">
        <v>29</v>
      </c>
      <c r="AC1360" s="2" t="s">
        <v>173</v>
      </c>
      <c r="AD1360" s="4">
        <v>150</v>
      </c>
      <c r="AE1360" s="4">
        <v>150</v>
      </c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1</v>
      </c>
      <c r="AQ1360" s="8">
        <v>91.8</v>
      </c>
      <c r="AR1360" s="4"/>
      <c r="AS1360" s="8"/>
      <c r="AT1360" s="7"/>
      <c r="AU1360" s="7"/>
      <c r="AV1360" s="4" t="s">
        <v>100</v>
      </c>
      <c r="AW1360" s="8" t="s">
        <v>100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>
        <v>0.6071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 t="s">
        <v>100</v>
      </c>
      <c r="BJ1360" s="4">
        <v>21</v>
      </c>
      <c r="BK1360" s="8">
        <v>1928.81</v>
      </c>
      <c r="BL1360" s="2" t="s">
        <v>5187</v>
      </c>
      <c r="BM1360" s="7">
        <v>0.0476</v>
      </c>
      <c r="BN1360" s="7">
        <v>0.0476</v>
      </c>
      <c r="BO1360" s="4">
        <v>1</v>
      </c>
      <c r="BP1360" s="8">
        <v>91.8</v>
      </c>
      <c r="BQ1360" s="4"/>
      <c r="BR1360" s="8"/>
      <c r="BS1360" s="7"/>
      <c r="BT1360" s="7"/>
      <c r="BU1360" s="2" t="s">
        <v>109</v>
      </c>
      <c r="BV1360" s="2" t="s">
        <v>97</v>
      </c>
      <c r="BW1360" s="2" t="s">
        <v>5163</v>
      </c>
      <c r="BX1360" s="2" t="s">
        <v>163</v>
      </c>
      <c r="BY1360" s="2" t="s">
        <v>112</v>
      </c>
      <c r="BZ1360" s="2" t="s">
        <v>100</v>
      </c>
    </row>
    <row r="1361">
      <c r="A1361" s="2" t="s">
        <v>5227</v>
      </c>
      <c r="B1361" s="2" t="s">
        <v>5155</v>
      </c>
      <c r="C1361" s="2" t="s">
        <v>5095</v>
      </c>
      <c r="D1361" s="2" t="s">
        <v>5156</v>
      </c>
      <c r="E1361" s="2" t="s">
        <v>5157</v>
      </c>
      <c r="F1361" s="2" t="s">
        <v>5158</v>
      </c>
      <c r="G1361" s="2" t="s">
        <v>5158</v>
      </c>
      <c r="H1361" s="2" t="s">
        <v>5158</v>
      </c>
      <c r="I1361" s="2" t="s">
        <v>5159</v>
      </c>
      <c r="J1361" s="2" t="s">
        <v>1443</v>
      </c>
      <c r="K1361" s="2" t="s">
        <v>223</v>
      </c>
      <c r="L1361" s="3">
        <v>49.12</v>
      </c>
      <c r="M1361" s="3">
        <v>51.58</v>
      </c>
      <c r="N1361" s="3">
        <v>104.99</v>
      </c>
      <c r="O1361" s="2" t="s">
        <v>97</v>
      </c>
      <c r="P1361" s="2" t="s">
        <v>98</v>
      </c>
      <c r="Q1361" s="2" t="s">
        <v>99</v>
      </c>
      <c r="R1361" s="2" t="s">
        <v>100</v>
      </c>
      <c r="S1361" s="2" t="s">
        <v>100</v>
      </c>
      <c r="T1361" s="2" t="s">
        <v>5161</v>
      </c>
      <c r="U1361" s="2" t="s">
        <v>1776</v>
      </c>
      <c r="V1361" s="2" t="s">
        <v>461</v>
      </c>
      <c r="W1361" s="2" t="s">
        <v>609</v>
      </c>
      <c r="X1361" s="2" t="s">
        <v>525</v>
      </c>
      <c r="Y1361" s="2" t="s">
        <v>5228</v>
      </c>
      <c r="Z1361" s="4">
        <v>426</v>
      </c>
      <c r="AA1361" s="4">
        <f>=ROUNDDOWN(23.6666666666667,0)</f>
      </c>
      <c r="AB1361" s="5">
        <v>18</v>
      </c>
      <c r="AC1361" s="2" t="s">
        <v>100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100</v>
      </c>
      <c r="AW1361" s="8" t="s">
        <v>100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/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 t="s">
        <v>100</v>
      </c>
      <c r="BJ1361" s="4">
        <v>11</v>
      </c>
      <c r="BK1361" s="8">
        <v>617.8</v>
      </c>
      <c r="BL1361" s="2" t="s">
        <v>1721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171</v>
      </c>
      <c r="BV1361" s="2" t="s">
        <v>97</v>
      </c>
      <c r="BW1361" s="2" t="s">
        <v>100</v>
      </c>
      <c r="BX1361" s="2" t="s">
        <v>100</v>
      </c>
      <c r="BY1361" s="2" t="s">
        <v>112</v>
      </c>
      <c r="BZ1361" s="2" t="s">
        <v>100</v>
      </c>
    </row>
    <row r="1362">
      <c r="A1362" s="2" t="s">
        <v>5229</v>
      </c>
      <c r="B1362" s="2" t="s">
        <v>5155</v>
      </c>
      <c r="C1362" s="2" t="s">
        <v>5095</v>
      </c>
      <c r="D1362" s="2" t="s">
        <v>5156</v>
      </c>
      <c r="E1362" s="2" t="s">
        <v>5157</v>
      </c>
      <c r="F1362" s="2" t="s">
        <v>5158</v>
      </c>
      <c r="G1362" s="2" t="s">
        <v>5158</v>
      </c>
      <c r="H1362" s="2" t="s">
        <v>5158</v>
      </c>
      <c r="I1362" s="2" t="s">
        <v>5159</v>
      </c>
      <c r="J1362" s="2" t="s">
        <v>490</v>
      </c>
      <c r="K1362" s="2" t="s">
        <v>223</v>
      </c>
      <c r="L1362" s="3">
        <v>54.72</v>
      </c>
      <c r="M1362" s="3">
        <v>57.46</v>
      </c>
      <c r="N1362" s="3">
        <v>114.99</v>
      </c>
      <c r="O1362" s="2" t="s">
        <v>97</v>
      </c>
      <c r="P1362" s="2" t="s">
        <v>98</v>
      </c>
      <c r="Q1362" s="2" t="s">
        <v>99</v>
      </c>
      <c r="R1362" s="2" t="s">
        <v>100</v>
      </c>
      <c r="S1362" s="2" t="s">
        <v>100</v>
      </c>
      <c r="T1362" s="2" t="s">
        <v>5161</v>
      </c>
      <c r="U1362" s="2" t="s">
        <v>1776</v>
      </c>
      <c r="V1362" s="2" t="s">
        <v>461</v>
      </c>
      <c r="W1362" s="2" t="s">
        <v>609</v>
      </c>
      <c r="X1362" s="2" t="s">
        <v>525</v>
      </c>
      <c r="Y1362" s="2" t="s">
        <v>5228</v>
      </c>
      <c r="Z1362" s="4">
        <v>94</v>
      </c>
      <c r="AA1362" s="4">
        <f>=ROUNDDOWN(6.26666666666667,0)</f>
      </c>
      <c r="AB1362" s="5">
        <v>15</v>
      </c>
      <c r="AC1362" s="2" t="s">
        <v>173</v>
      </c>
      <c r="AD1362" s="4">
        <v>190</v>
      </c>
      <c r="AE1362" s="4">
        <v>190</v>
      </c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/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 t="s">
        <v>100</v>
      </c>
      <c r="BJ1362" s="4">
        <v>16</v>
      </c>
      <c r="BK1362" s="8">
        <v>975.53</v>
      </c>
      <c r="BL1362" s="2" t="s">
        <v>5230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171</v>
      </c>
      <c r="BV1362" s="2" t="s">
        <v>97</v>
      </c>
      <c r="BW1362" s="2" t="s">
        <v>100</v>
      </c>
      <c r="BX1362" s="2" t="s">
        <v>100</v>
      </c>
      <c r="BY1362" s="2" t="s">
        <v>112</v>
      </c>
      <c r="BZ1362" s="2" t="s">
        <v>100</v>
      </c>
    </row>
    <row r="1363">
      <c r="A1363" s="2" t="s">
        <v>5231</v>
      </c>
      <c r="B1363" s="2" t="s">
        <v>5155</v>
      </c>
      <c r="C1363" s="2" t="s">
        <v>5095</v>
      </c>
      <c r="D1363" s="2" t="s">
        <v>5156</v>
      </c>
      <c r="E1363" s="2" t="s">
        <v>5157</v>
      </c>
      <c r="F1363" s="2" t="s">
        <v>5158</v>
      </c>
      <c r="G1363" s="2" t="s">
        <v>5158</v>
      </c>
      <c r="H1363" s="2" t="s">
        <v>5158</v>
      </c>
      <c r="I1363" s="2" t="s">
        <v>5159</v>
      </c>
      <c r="J1363" s="2" t="s">
        <v>95</v>
      </c>
      <c r="K1363" s="2" t="s">
        <v>223</v>
      </c>
      <c r="L1363" s="3">
        <v>74.29</v>
      </c>
      <c r="M1363" s="3">
        <v>78</v>
      </c>
      <c r="N1363" s="3">
        <v>154.99</v>
      </c>
      <c r="O1363" s="2" t="s">
        <v>97</v>
      </c>
      <c r="P1363" s="2" t="s">
        <v>98</v>
      </c>
      <c r="Q1363" s="2" t="s">
        <v>99</v>
      </c>
      <c r="R1363" s="2" t="s">
        <v>100</v>
      </c>
      <c r="S1363" s="2" t="s">
        <v>100</v>
      </c>
      <c r="T1363" s="2" t="s">
        <v>5161</v>
      </c>
      <c r="U1363" s="2" t="s">
        <v>1776</v>
      </c>
      <c r="V1363" s="2" t="s">
        <v>461</v>
      </c>
      <c r="W1363" s="2" t="s">
        <v>609</v>
      </c>
      <c r="X1363" s="2" t="s">
        <v>525</v>
      </c>
      <c r="Y1363" s="2" t="s">
        <v>5228</v>
      </c>
      <c r="Z1363" s="4">
        <v>252</v>
      </c>
      <c r="AA1363" s="4">
        <f>=ROUNDDOWN(14,0)</f>
      </c>
      <c r="AB1363" s="5">
        <v>18</v>
      </c>
      <c r="AC1363" s="2" t="s">
        <v>100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/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 t="s">
        <v>100</v>
      </c>
      <c r="BJ1363" s="4">
        <v>7</v>
      </c>
      <c r="BK1363" s="8">
        <v>559.88</v>
      </c>
      <c r="BL1363" s="2" t="s">
        <v>5201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171</v>
      </c>
      <c r="BV1363" s="2" t="s">
        <v>97</v>
      </c>
      <c r="BW1363" s="2" t="s">
        <v>100</v>
      </c>
      <c r="BX1363" s="2" t="s">
        <v>100</v>
      </c>
      <c r="BY1363" s="2" t="s">
        <v>112</v>
      </c>
      <c r="BZ1363" s="2" t="s">
        <v>100</v>
      </c>
    </row>
    <row r="1364">
      <c r="A1364" s="2" t="s">
        <v>5232</v>
      </c>
      <c r="B1364" s="2" t="s">
        <v>5155</v>
      </c>
      <c r="C1364" s="2" t="s">
        <v>5095</v>
      </c>
      <c r="D1364" s="2" t="s">
        <v>5156</v>
      </c>
      <c r="E1364" s="2" t="s">
        <v>5157</v>
      </c>
      <c r="F1364" s="2" t="s">
        <v>5158</v>
      </c>
      <c r="G1364" s="2" t="s">
        <v>5158</v>
      </c>
      <c r="H1364" s="2" t="s">
        <v>5158</v>
      </c>
      <c r="I1364" s="2" t="s">
        <v>5159</v>
      </c>
      <c r="J1364" s="2" t="s">
        <v>114</v>
      </c>
      <c r="K1364" s="2" t="s">
        <v>223</v>
      </c>
      <c r="L1364" s="3">
        <v>84.84</v>
      </c>
      <c r="M1364" s="3">
        <v>89.08</v>
      </c>
      <c r="N1364" s="3">
        <v>174.99</v>
      </c>
      <c r="O1364" s="2" t="s">
        <v>97</v>
      </c>
      <c r="P1364" s="2" t="s">
        <v>98</v>
      </c>
      <c r="Q1364" s="2" t="s">
        <v>99</v>
      </c>
      <c r="R1364" s="2" t="s">
        <v>100</v>
      </c>
      <c r="S1364" s="2" t="s">
        <v>100</v>
      </c>
      <c r="T1364" s="2" t="s">
        <v>5161</v>
      </c>
      <c r="U1364" s="2" t="s">
        <v>1776</v>
      </c>
      <c r="V1364" s="2" t="s">
        <v>461</v>
      </c>
      <c r="W1364" s="2" t="s">
        <v>609</v>
      </c>
      <c r="X1364" s="2" t="s">
        <v>525</v>
      </c>
      <c r="Y1364" s="2" t="s">
        <v>5228</v>
      </c>
      <c r="Z1364" s="4">
        <v>297</v>
      </c>
      <c r="AA1364" s="4">
        <f>=ROUNDDOWN(18.5625,0)</f>
      </c>
      <c r="AB1364" s="5">
        <v>16</v>
      </c>
      <c r="AC1364" s="2" t="s">
        <v>100</v>
      </c>
      <c r="AD1364" s="4"/>
      <c r="AE1364" s="4"/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/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 t="s">
        <v>100</v>
      </c>
      <c r="BJ1364" s="4">
        <v>5</v>
      </c>
      <c r="BK1364" s="8">
        <v>456.45</v>
      </c>
      <c r="BL1364" s="2" t="s">
        <v>3025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171</v>
      </c>
      <c r="BV1364" s="2" t="s">
        <v>97</v>
      </c>
      <c r="BW1364" s="2" t="s">
        <v>100</v>
      </c>
      <c r="BX1364" s="2" t="s">
        <v>100</v>
      </c>
      <c r="BY1364" s="2" t="s">
        <v>112</v>
      </c>
      <c r="BZ1364" s="2" t="s">
        <v>100</v>
      </c>
    </row>
    <row r="1365">
      <c r="A1365" s="2" t="s">
        <v>5233</v>
      </c>
      <c r="B1365" s="2" t="s">
        <v>5155</v>
      </c>
      <c r="C1365" s="2" t="s">
        <v>5095</v>
      </c>
      <c r="D1365" s="2" t="s">
        <v>5156</v>
      </c>
      <c r="E1365" s="2" t="s">
        <v>5157</v>
      </c>
      <c r="F1365" s="2" t="s">
        <v>5234</v>
      </c>
      <c r="G1365" s="2" t="s">
        <v>5234</v>
      </c>
      <c r="H1365" s="2" t="s">
        <v>5234</v>
      </c>
      <c r="I1365" s="2" t="s">
        <v>5235</v>
      </c>
      <c r="J1365" s="2" t="s">
        <v>1443</v>
      </c>
      <c r="K1365" s="2" t="s">
        <v>5236</v>
      </c>
      <c r="L1365" s="3">
        <v>47</v>
      </c>
      <c r="M1365" s="3">
        <v>49.35</v>
      </c>
      <c r="N1365" s="3">
        <v>99.99</v>
      </c>
      <c r="O1365" s="2" t="s">
        <v>97</v>
      </c>
      <c r="P1365" s="2" t="s">
        <v>139</v>
      </c>
      <c r="Q1365" s="2" t="s">
        <v>99</v>
      </c>
      <c r="R1365" s="2" t="s">
        <v>100</v>
      </c>
      <c r="S1365" s="2" t="s">
        <v>5237</v>
      </c>
      <c r="T1365" s="2" t="s">
        <v>4296</v>
      </c>
      <c r="U1365" s="2" t="s">
        <v>100</v>
      </c>
      <c r="V1365" s="2" t="s">
        <v>461</v>
      </c>
      <c r="W1365" s="2" t="s">
        <v>609</v>
      </c>
      <c r="X1365" s="2" t="s">
        <v>100</v>
      </c>
      <c r="Y1365" s="2" t="s">
        <v>503</v>
      </c>
      <c r="Z1365" s="4"/>
      <c r="AA1365" s="4">
        <f>=ROUNDDOWN({0},0)</f>
      </c>
      <c r="AB1365" s="5">
        <v>23</v>
      </c>
      <c r="AC1365" s="2" t="s">
        <v>173</v>
      </c>
      <c r="AD1365" s="4">
        <v>150</v>
      </c>
      <c r="AE1365" s="4">
        <v>150</v>
      </c>
      <c r="AF1365" s="6">
        <v>65</v>
      </c>
      <c r="AG1365" s="6"/>
      <c r="AH1365" s="7">
        <v>0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>
        <v>4</v>
      </c>
      <c r="AW1365" s="8">
        <v>348.36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/>
      <c r="BC1365" s="4">
        <v>14</v>
      </c>
      <c r="BD1365" s="8">
        <v>1137.64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>
        <v>0.3062</v>
      </c>
      <c r="BJ1365" s="4"/>
      <c r="BK1365" s="8"/>
      <c r="BL1365" s="2" t="s">
        <v>100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109</v>
      </c>
      <c r="BV1365" s="2" t="s">
        <v>97</v>
      </c>
      <c r="BW1365" s="2" t="s">
        <v>1824</v>
      </c>
      <c r="BX1365" s="2" t="s">
        <v>1898</v>
      </c>
      <c r="BY1365" s="2" t="s">
        <v>112</v>
      </c>
      <c r="BZ1365" s="2" t="s">
        <v>100</v>
      </c>
    </row>
    <row r="1366">
      <c r="A1366" s="2" t="s">
        <v>5238</v>
      </c>
      <c r="B1366" s="2" t="s">
        <v>5155</v>
      </c>
      <c r="C1366" s="2" t="s">
        <v>5095</v>
      </c>
      <c r="D1366" s="2" t="s">
        <v>5156</v>
      </c>
      <c r="E1366" s="2" t="s">
        <v>5157</v>
      </c>
      <c r="F1366" s="2" t="s">
        <v>5234</v>
      </c>
      <c r="G1366" s="2" t="s">
        <v>5234</v>
      </c>
      <c r="H1366" s="2" t="s">
        <v>5234</v>
      </c>
      <c r="I1366" s="2" t="s">
        <v>5235</v>
      </c>
      <c r="J1366" s="2" t="s">
        <v>490</v>
      </c>
      <c r="K1366" s="2" t="s">
        <v>5236</v>
      </c>
      <c r="L1366" s="3">
        <v>52.8</v>
      </c>
      <c r="M1366" s="3">
        <v>55.44</v>
      </c>
      <c r="N1366" s="3">
        <v>109.99</v>
      </c>
      <c r="O1366" s="2" t="s">
        <v>97</v>
      </c>
      <c r="P1366" s="2" t="s">
        <v>139</v>
      </c>
      <c r="Q1366" s="2" t="s">
        <v>99</v>
      </c>
      <c r="R1366" s="2" t="s">
        <v>100</v>
      </c>
      <c r="S1366" s="2" t="s">
        <v>5237</v>
      </c>
      <c r="T1366" s="2" t="s">
        <v>4296</v>
      </c>
      <c r="U1366" s="2" t="s">
        <v>100</v>
      </c>
      <c r="V1366" s="2" t="s">
        <v>461</v>
      </c>
      <c r="W1366" s="2" t="s">
        <v>609</v>
      </c>
      <c r="X1366" s="2" t="s">
        <v>100</v>
      </c>
      <c r="Y1366" s="2" t="s">
        <v>503</v>
      </c>
      <c r="Z1366" s="4"/>
      <c r="AA1366" s="4">
        <f>=ROUNDDOWN({0},0)</f>
      </c>
      <c r="AB1366" s="5">
        <v>25</v>
      </c>
      <c r="AC1366" s="2" t="s">
        <v>173</v>
      </c>
      <c r="AD1366" s="4">
        <v>160</v>
      </c>
      <c r="AE1366" s="4">
        <v>160</v>
      </c>
      <c r="AF1366" s="6">
        <v>65</v>
      </c>
      <c r="AG1366" s="6"/>
      <c r="AH1366" s="7">
        <v>0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/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 t="s">
        <v>100</v>
      </c>
      <c r="BJ1366" s="4"/>
      <c r="BK1366" s="8"/>
      <c r="BL1366" s="2" t="s">
        <v>100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109</v>
      </c>
      <c r="BV1366" s="2" t="s">
        <v>97</v>
      </c>
      <c r="BW1366" s="2" t="s">
        <v>1824</v>
      </c>
      <c r="BX1366" s="2" t="s">
        <v>5239</v>
      </c>
      <c r="BY1366" s="2" t="s">
        <v>112</v>
      </c>
      <c r="BZ1366" s="2" t="s">
        <v>100</v>
      </c>
    </row>
    <row r="1367">
      <c r="A1367" s="2" t="s">
        <v>5240</v>
      </c>
      <c r="B1367" s="2" t="s">
        <v>5155</v>
      </c>
      <c r="C1367" s="2" t="s">
        <v>5095</v>
      </c>
      <c r="D1367" s="2" t="s">
        <v>5156</v>
      </c>
      <c r="E1367" s="2" t="s">
        <v>5157</v>
      </c>
      <c r="F1367" s="2" t="s">
        <v>5234</v>
      </c>
      <c r="G1367" s="2" t="s">
        <v>5234</v>
      </c>
      <c r="H1367" s="2" t="s">
        <v>5234</v>
      </c>
      <c r="I1367" s="2" t="s">
        <v>5235</v>
      </c>
      <c r="J1367" s="2" t="s">
        <v>95</v>
      </c>
      <c r="K1367" s="2" t="s">
        <v>5236</v>
      </c>
      <c r="L1367" s="3">
        <v>73.5</v>
      </c>
      <c r="M1367" s="3">
        <v>77.18</v>
      </c>
      <c r="N1367" s="3">
        <v>149.99</v>
      </c>
      <c r="O1367" s="2" t="s">
        <v>97</v>
      </c>
      <c r="P1367" s="2" t="s">
        <v>139</v>
      </c>
      <c r="Q1367" s="2" t="s">
        <v>99</v>
      </c>
      <c r="R1367" s="2" t="s">
        <v>100</v>
      </c>
      <c r="S1367" s="2" t="s">
        <v>5237</v>
      </c>
      <c r="T1367" s="2" t="s">
        <v>4296</v>
      </c>
      <c r="U1367" s="2" t="s">
        <v>100</v>
      </c>
      <c r="V1367" s="2" t="s">
        <v>461</v>
      </c>
      <c r="W1367" s="2" t="s">
        <v>609</v>
      </c>
      <c r="X1367" s="2" t="s">
        <v>100</v>
      </c>
      <c r="Y1367" s="2" t="s">
        <v>144</v>
      </c>
      <c r="Z1367" s="4">
        <v>2</v>
      </c>
      <c r="AA1367" s="4">
        <f>=ROUNDDOWN(0.0384615384615385,0)</f>
      </c>
      <c r="AB1367" s="5">
        <v>52</v>
      </c>
      <c r="AC1367" s="2" t="s">
        <v>173</v>
      </c>
      <c r="AD1367" s="4">
        <v>310</v>
      </c>
      <c r="AE1367" s="4">
        <v>310</v>
      </c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/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 t="s">
        <v>100</v>
      </c>
      <c r="BJ1367" s="4">
        <v>27</v>
      </c>
      <c r="BK1367" s="8">
        <v>2041.99</v>
      </c>
      <c r="BL1367" s="2" t="s">
        <v>5241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109</v>
      </c>
      <c r="BV1367" s="2" t="s">
        <v>97</v>
      </c>
      <c r="BW1367" s="2" t="s">
        <v>1824</v>
      </c>
      <c r="BX1367" s="2" t="s">
        <v>1660</v>
      </c>
      <c r="BY1367" s="2" t="s">
        <v>112</v>
      </c>
      <c r="BZ1367" s="2" t="s">
        <v>100</v>
      </c>
    </row>
    <row r="1368">
      <c r="A1368" s="2" t="s">
        <v>5242</v>
      </c>
      <c r="B1368" s="2" t="s">
        <v>5155</v>
      </c>
      <c r="C1368" s="2" t="s">
        <v>5095</v>
      </c>
      <c r="D1368" s="2" t="s">
        <v>5156</v>
      </c>
      <c r="E1368" s="2" t="s">
        <v>5157</v>
      </c>
      <c r="F1368" s="2" t="s">
        <v>5234</v>
      </c>
      <c r="G1368" s="2" t="s">
        <v>5234</v>
      </c>
      <c r="H1368" s="2" t="s">
        <v>5234</v>
      </c>
      <c r="I1368" s="2" t="s">
        <v>5235</v>
      </c>
      <c r="J1368" s="2" t="s">
        <v>114</v>
      </c>
      <c r="K1368" s="2" t="s">
        <v>5236</v>
      </c>
      <c r="L1368" s="3">
        <v>85</v>
      </c>
      <c r="M1368" s="3">
        <v>89.25</v>
      </c>
      <c r="N1368" s="3">
        <v>169.99</v>
      </c>
      <c r="O1368" s="2" t="s">
        <v>97</v>
      </c>
      <c r="P1368" s="2" t="s">
        <v>139</v>
      </c>
      <c r="Q1368" s="2" t="s">
        <v>99</v>
      </c>
      <c r="R1368" s="2" t="s">
        <v>100</v>
      </c>
      <c r="S1368" s="2" t="s">
        <v>5237</v>
      </c>
      <c r="T1368" s="2" t="s">
        <v>4296</v>
      </c>
      <c r="U1368" s="2" t="s">
        <v>100</v>
      </c>
      <c r="V1368" s="2" t="s">
        <v>461</v>
      </c>
      <c r="W1368" s="2" t="s">
        <v>609</v>
      </c>
      <c r="X1368" s="2" t="s">
        <v>100</v>
      </c>
      <c r="Y1368" s="2" t="s">
        <v>144</v>
      </c>
      <c r="Z1368" s="4">
        <v>175</v>
      </c>
      <c r="AA1368" s="4">
        <f>=ROUNDDOWN(3.125,0)</f>
      </c>
      <c r="AB1368" s="5">
        <v>56</v>
      </c>
      <c r="AC1368" s="2" t="s">
        <v>173</v>
      </c>
      <c r="AD1368" s="4">
        <v>330</v>
      </c>
      <c r="AE1368" s="4">
        <v>330</v>
      </c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4</v>
      </c>
      <c r="AQ1368" s="8">
        <v>348.36</v>
      </c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>
        <v>1</v>
      </c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 t="s">
        <v>100</v>
      </c>
      <c r="BJ1368" s="4">
        <v>22</v>
      </c>
      <c r="BK1368" s="8">
        <v>1955.3</v>
      </c>
      <c r="BL1368" s="2" t="s">
        <v>5243</v>
      </c>
      <c r="BM1368" s="7">
        <v>0.1818</v>
      </c>
      <c r="BN1368" s="7">
        <v>0.1782</v>
      </c>
      <c r="BO1368" s="4">
        <v>4</v>
      </c>
      <c r="BP1368" s="8">
        <v>348.36</v>
      </c>
      <c r="BQ1368" s="4"/>
      <c r="BR1368" s="8"/>
      <c r="BS1368" s="7"/>
      <c r="BT1368" s="7"/>
      <c r="BU1368" s="2" t="s">
        <v>109</v>
      </c>
      <c r="BV1368" s="2" t="s">
        <v>97</v>
      </c>
      <c r="BW1368" s="2" t="s">
        <v>1824</v>
      </c>
      <c r="BX1368" s="2" t="s">
        <v>5244</v>
      </c>
      <c r="BY1368" s="2" t="s">
        <v>112</v>
      </c>
      <c r="BZ1368" s="2" t="s">
        <v>100</v>
      </c>
    </row>
    <row r="1369">
      <c r="A1369" s="2" t="s">
        <v>5245</v>
      </c>
      <c r="B1369" s="2" t="s">
        <v>5155</v>
      </c>
      <c r="C1369" s="2" t="s">
        <v>5095</v>
      </c>
      <c r="D1369" s="2" t="s">
        <v>5156</v>
      </c>
      <c r="E1369" s="2" t="s">
        <v>5157</v>
      </c>
      <c r="F1369" s="2" t="s">
        <v>5234</v>
      </c>
      <c r="G1369" s="2" t="s">
        <v>5234</v>
      </c>
      <c r="H1369" s="2" t="s">
        <v>5234</v>
      </c>
      <c r="I1369" s="2" t="s">
        <v>5235</v>
      </c>
      <c r="J1369" s="2" t="s">
        <v>1443</v>
      </c>
      <c r="K1369" s="2" t="s">
        <v>236</v>
      </c>
      <c r="L1369" s="3">
        <v>47</v>
      </c>
      <c r="M1369" s="3">
        <v>49.35</v>
      </c>
      <c r="N1369" s="3">
        <v>99.99</v>
      </c>
      <c r="O1369" s="2" t="s">
        <v>97</v>
      </c>
      <c r="P1369" s="2" t="s">
        <v>98</v>
      </c>
      <c r="Q1369" s="2" t="s">
        <v>99</v>
      </c>
      <c r="R1369" s="2" t="s">
        <v>100</v>
      </c>
      <c r="S1369" s="2" t="s">
        <v>5246</v>
      </c>
      <c r="T1369" s="2" t="s">
        <v>4296</v>
      </c>
      <c r="U1369" s="2" t="s">
        <v>100</v>
      </c>
      <c r="V1369" s="2" t="s">
        <v>461</v>
      </c>
      <c r="W1369" s="2" t="s">
        <v>609</v>
      </c>
      <c r="X1369" s="2" t="s">
        <v>100</v>
      </c>
      <c r="Y1369" s="2" t="s">
        <v>144</v>
      </c>
      <c r="Z1369" s="4">
        <v>3</v>
      </c>
      <c r="AA1369" s="4">
        <f>=ROUNDDOWN(0.3,0)</f>
      </c>
      <c r="AB1369" s="5">
        <v>10</v>
      </c>
      <c r="AC1369" s="2" t="s">
        <v>173</v>
      </c>
      <c r="AD1369" s="4">
        <v>150</v>
      </c>
      <c r="AE1369" s="4">
        <v>150</v>
      </c>
      <c r="AF1369" s="6">
        <v>65</v>
      </c>
      <c r="AG1369" s="6"/>
      <c r="AH1369" s="7">
        <v>0.9355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>
        <v>3</v>
      </c>
      <c r="AW1369" s="8">
        <v>261.27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/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>
        <v>0.2297</v>
      </c>
      <c r="BJ1369" s="4">
        <v>20</v>
      </c>
      <c r="BK1369" s="8">
        <v>967.92</v>
      </c>
      <c r="BL1369" s="2" t="s">
        <v>5247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109</v>
      </c>
      <c r="BV1369" s="2" t="s">
        <v>97</v>
      </c>
      <c r="BW1369" s="2" t="s">
        <v>1824</v>
      </c>
      <c r="BX1369" s="2" t="s">
        <v>873</v>
      </c>
      <c r="BY1369" s="2" t="s">
        <v>112</v>
      </c>
      <c r="BZ1369" s="2" t="s">
        <v>100</v>
      </c>
    </row>
    <row r="1370">
      <c r="A1370" s="2" t="s">
        <v>5248</v>
      </c>
      <c r="B1370" s="2" t="s">
        <v>5155</v>
      </c>
      <c r="C1370" s="2" t="s">
        <v>5095</v>
      </c>
      <c r="D1370" s="2" t="s">
        <v>5156</v>
      </c>
      <c r="E1370" s="2" t="s">
        <v>5157</v>
      </c>
      <c r="F1370" s="2" t="s">
        <v>5234</v>
      </c>
      <c r="G1370" s="2" t="s">
        <v>5234</v>
      </c>
      <c r="H1370" s="2" t="s">
        <v>5234</v>
      </c>
      <c r="I1370" s="2" t="s">
        <v>5235</v>
      </c>
      <c r="J1370" s="2" t="s">
        <v>490</v>
      </c>
      <c r="K1370" s="2" t="s">
        <v>236</v>
      </c>
      <c r="L1370" s="3">
        <v>52.8</v>
      </c>
      <c r="M1370" s="3">
        <v>55.44</v>
      </c>
      <c r="N1370" s="3">
        <v>109.99</v>
      </c>
      <c r="O1370" s="2" t="s">
        <v>97</v>
      </c>
      <c r="P1370" s="2" t="s">
        <v>98</v>
      </c>
      <c r="Q1370" s="2" t="s">
        <v>99</v>
      </c>
      <c r="R1370" s="2" t="s">
        <v>100</v>
      </c>
      <c r="S1370" s="2" t="s">
        <v>5246</v>
      </c>
      <c r="T1370" s="2" t="s">
        <v>4296</v>
      </c>
      <c r="U1370" s="2" t="s">
        <v>100</v>
      </c>
      <c r="V1370" s="2" t="s">
        <v>461</v>
      </c>
      <c r="W1370" s="2" t="s">
        <v>609</v>
      </c>
      <c r="X1370" s="2" t="s">
        <v>100</v>
      </c>
      <c r="Y1370" s="2" t="s">
        <v>503</v>
      </c>
      <c r="Z1370" s="4">
        <v>118</v>
      </c>
      <c r="AA1370" s="4">
        <f>=ROUNDDOWN(9.07692307692308,0)</f>
      </c>
      <c r="AB1370" s="5">
        <v>13</v>
      </c>
      <c r="AC1370" s="2" t="s">
        <v>173</v>
      </c>
      <c r="AD1370" s="4">
        <v>150</v>
      </c>
      <c r="AE1370" s="4">
        <v>150</v>
      </c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/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 t="s">
        <v>100</v>
      </c>
      <c r="BJ1370" s="4">
        <v>5</v>
      </c>
      <c r="BK1370" s="8">
        <v>281.71</v>
      </c>
      <c r="BL1370" s="2" t="s">
        <v>5249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109</v>
      </c>
      <c r="BV1370" s="2" t="s">
        <v>97</v>
      </c>
      <c r="BW1370" s="2" t="s">
        <v>1824</v>
      </c>
      <c r="BX1370" s="2" t="s">
        <v>4707</v>
      </c>
      <c r="BY1370" s="2" t="s">
        <v>112</v>
      </c>
      <c r="BZ1370" s="2" t="s">
        <v>100</v>
      </c>
    </row>
    <row r="1371">
      <c r="A1371" s="2" t="s">
        <v>5250</v>
      </c>
      <c r="B1371" s="2" t="s">
        <v>5155</v>
      </c>
      <c r="C1371" s="2" t="s">
        <v>5095</v>
      </c>
      <c r="D1371" s="2" t="s">
        <v>5156</v>
      </c>
      <c r="E1371" s="2" t="s">
        <v>5157</v>
      </c>
      <c r="F1371" s="2" t="s">
        <v>5234</v>
      </c>
      <c r="G1371" s="2" t="s">
        <v>5234</v>
      </c>
      <c r="H1371" s="2" t="s">
        <v>5234</v>
      </c>
      <c r="I1371" s="2" t="s">
        <v>5235</v>
      </c>
      <c r="J1371" s="2" t="s">
        <v>95</v>
      </c>
      <c r="K1371" s="2" t="s">
        <v>236</v>
      </c>
      <c r="L1371" s="3">
        <v>73.5</v>
      </c>
      <c r="M1371" s="3">
        <v>77.18</v>
      </c>
      <c r="N1371" s="3">
        <v>149.99</v>
      </c>
      <c r="O1371" s="2" t="s">
        <v>97</v>
      </c>
      <c r="P1371" s="2" t="s">
        <v>98</v>
      </c>
      <c r="Q1371" s="2" t="s">
        <v>99</v>
      </c>
      <c r="R1371" s="2" t="s">
        <v>100</v>
      </c>
      <c r="S1371" s="2" t="s">
        <v>5246</v>
      </c>
      <c r="T1371" s="2" t="s">
        <v>4296</v>
      </c>
      <c r="U1371" s="2" t="s">
        <v>100</v>
      </c>
      <c r="V1371" s="2" t="s">
        <v>461</v>
      </c>
      <c r="W1371" s="2" t="s">
        <v>609</v>
      </c>
      <c r="X1371" s="2" t="s">
        <v>100</v>
      </c>
      <c r="Y1371" s="2" t="s">
        <v>144</v>
      </c>
      <c r="Z1371" s="4">
        <v>112</v>
      </c>
      <c r="AA1371" s="4">
        <f>=ROUNDDOWN(5.33333333333333,0)</f>
      </c>
      <c r="AB1371" s="5">
        <v>21</v>
      </c>
      <c r="AC1371" s="2" t="s">
        <v>173</v>
      </c>
      <c r="AD1371" s="4">
        <v>150</v>
      </c>
      <c r="AE1371" s="4">
        <v>150</v>
      </c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/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 t="s">
        <v>100</v>
      </c>
      <c r="BJ1371" s="4">
        <v>11</v>
      </c>
      <c r="BK1371" s="8">
        <v>825.55</v>
      </c>
      <c r="BL1371" s="2" t="s">
        <v>3359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109</v>
      </c>
      <c r="BV1371" s="2" t="s">
        <v>97</v>
      </c>
      <c r="BW1371" s="2" t="s">
        <v>1824</v>
      </c>
      <c r="BX1371" s="2" t="s">
        <v>5251</v>
      </c>
      <c r="BY1371" s="2" t="s">
        <v>112</v>
      </c>
      <c r="BZ1371" s="2" t="s">
        <v>100</v>
      </c>
    </row>
    <row r="1372">
      <c r="A1372" s="2" t="s">
        <v>5252</v>
      </c>
      <c r="B1372" s="2" t="s">
        <v>5155</v>
      </c>
      <c r="C1372" s="2" t="s">
        <v>5095</v>
      </c>
      <c r="D1372" s="2" t="s">
        <v>5156</v>
      </c>
      <c r="E1372" s="2" t="s">
        <v>5157</v>
      </c>
      <c r="F1372" s="2" t="s">
        <v>5234</v>
      </c>
      <c r="G1372" s="2" t="s">
        <v>5234</v>
      </c>
      <c r="H1372" s="2" t="s">
        <v>5234</v>
      </c>
      <c r="I1372" s="2" t="s">
        <v>5235</v>
      </c>
      <c r="J1372" s="2" t="s">
        <v>114</v>
      </c>
      <c r="K1372" s="2" t="s">
        <v>236</v>
      </c>
      <c r="L1372" s="3">
        <v>85</v>
      </c>
      <c r="M1372" s="3">
        <v>89.25</v>
      </c>
      <c r="N1372" s="3">
        <v>169.99</v>
      </c>
      <c r="O1372" s="2" t="s">
        <v>97</v>
      </c>
      <c r="P1372" s="2" t="s">
        <v>98</v>
      </c>
      <c r="Q1372" s="2" t="s">
        <v>99</v>
      </c>
      <c r="R1372" s="2" t="s">
        <v>100</v>
      </c>
      <c r="S1372" s="2" t="s">
        <v>5246</v>
      </c>
      <c r="T1372" s="2" t="s">
        <v>4296</v>
      </c>
      <c r="U1372" s="2" t="s">
        <v>100</v>
      </c>
      <c r="V1372" s="2" t="s">
        <v>461</v>
      </c>
      <c r="W1372" s="2" t="s">
        <v>609</v>
      </c>
      <c r="X1372" s="2" t="s">
        <v>100</v>
      </c>
      <c r="Y1372" s="2" t="s">
        <v>144</v>
      </c>
      <c r="Z1372" s="4">
        <v>398</v>
      </c>
      <c r="AA1372" s="4">
        <f>=ROUNDDOWN(26.5333333333333,0)</f>
      </c>
      <c r="AB1372" s="5">
        <v>15</v>
      </c>
      <c r="AC1372" s="2" t="s">
        <v>100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3</v>
      </c>
      <c r="AQ1372" s="8">
        <v>261.27</v>
      </c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>
        <v>1</v>
      </c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 t="s">
        <v>100</v>
      </c>
      <c r="BJ1372" s="4">
        <v>10</v>
      </c>
      <c r="BK1372" s="8">
        <v>905.96</v>
      </c>
      <c r="BL1372" s="2" t="s">
        <v>5253</v>
      </c>
      <c r="BM1372" s="7">
        <v>0.3</v>
      </c>
      <c r="BN1372" s="7">
        <v>0.2884</v>
      </c>
      <c r="BO1372" s="4">
        <v>3</v>
      </c>
      <c r="BP1372" s="8">
        <v>261.27</v>
      </c>
      <c r="BQ1372" s="4"/>
      <c r="BR1372" s="8"/>
      <c r="BS1372" s="7"/>
      <c r="BT1372" s="7"/>
      <c r="BU1372" s="2" t="s">
        <v>109</v>
      </c>
      <c r="BV1372" s="2" t="s">
        <v>97</v>
      </c>
      <c r="BW1372" s="2" t="s">
        <v>1824</v>
      </c>
      <c r="BX1372" s="2" t="s">
        <v>873</v>
      </c>
      <c r="BY1372" s="2" t="s">
        <v>112</v>
      </c>
      <c r="BZ1372" s="2" t="s">
        <v>100</v>
      </c>
    </row>
    <row r="1373">
      <c r="A1373" s="2" t="s">
        <v>5254</v>
      </c>
      <c r="B1373" s="2" t="s">
        <v>5155</v>
      </c>
      <c r="C1373" s="2" t="s">
        <v>5095</v>
      </c>
      <c r="D1373" s="2" t="s">
        <v>5156</v>
      </c>
      <c r="E1373" s="2" t="s">
        <v>5157</v>
      </c>
      <c r="F1373" s="2" t="s">
        <v>5234</v>
      </c>
      <c r="G1373" s="2" t="s">
        <v>5234</v>
      </c>
      <c r="H1373" s="2" t="s">
        <v>5234</v>
      </c>
      <c r="I1373" s="2" t="s">
        <v>5235</v>
      </c>
      <c r="J1373" s="2" t="s">
        <v>1443</v>
      </c>
      <c r="K1373" s="2" t="s">
        <v>96</v>
      </c>
      <c r="L1373" s="3">
        <v>47</v>
      </c>
      <c r="M1373" s="3">
        <v>49.35</v>
      </c>
      <c r="N1373" s="3">
        <v>99.99</v>
      </c>
      <c r="O1373" s="2" t="s">
        <v>97</v>
      </c>
      <c r="P1373" s="2" t="s">
        <v>317</v>
      </c>
      <c r="Q1373" s="2" t="s">
        <v>99</v>
      </c>
      <c r="R1373" s="2" t="s">
        <v>100</v>
      </c>
      <c r="S1373" s="2" t="s">
        <v>5255</v>
      </c>
      <c r="T1373" s="2" t="s">
        <v>4296</v>
      </c>
      <c r="U1373" s="2" t="s">
        <v>100</v>
      </c>
      <c r="V1373" s="2" t="s">
        <v>461</v>
      </c>
      <c r="W1373" s="2" t="s">
        <v>609</v>
      </c>
      <c r="X1373" s="2" t="s">
        <v>100</v>
      </c>
      <c r="Y1373" s="2" t="s">
        <v>144</v>
      </c>
      <c r="Z1373" s="4"/>
      <c r="AA1373" s="4">
        <f>=ROUNDDOWN({0},0)</f>
      </c>
      <c r="AB1373" s="5">
        <v>30</v>
      </c>
      <c r="AC1373" s="2" t="s">
        <v>173</v>
      </c>
      <c r="AD1373" s="4">
        <v>180</v>
      </c>
      <c r="AE1373" s="4">
        <v>180</v>
      </c>
      <c r="AF1373" s="6">
        <v>65</v>
      </c>
      <c r="AG1373" s="6"/>
      <c r="AH1373" s="7">
        <v>0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>
        <v>3</v>
      </c>
      <c r="AW1373" s="8">
        <v>228.63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/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>
        <v>0.201</v>
      </c>
      <c r="BJ1373" s="4"/>
      <c r="BK1373" s="8"/>
      <c r="BL1373" s="2" t="s">
        <v>100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109</v>
      </c>
      <c r="BV1373" s="2" t="s">
        <v>97</v>
      </c>
      <c r="BW1373" s="2" t="s">
        <v>1824</v>
      </c>
      <c r="BX1373" s="2" t="s">
        <v>5239</v>
      </c>
      <c r="BY1373" s="2" t="s">
        <v>112</v>
      </c>
      <c r="BZ1373" s="2" t="s">
        <v>100</v>
      </c>
    </row>
    <row r="1374">
      <c r="A1374" s="2" t="s">
        <v>5256</v>
      </c>
      <c r="B1374" s="2" t="s">
        <v>5155</v>
      </c>
      <c r="C1374" s="2" t="s">
        <v>5095</v>
      </c>
      <c r="D1374" s="2" t="s">
        <v>5156</v>
      </c>
      <c r="E1374" s="2" t="s">
        <v>5157</v>
      </c>
      <c r="F1374" s="2" t="s">
        <v>5234</v>
      </c>
      <c r="G1374" s="2" t="s">
        <v>5234</v>
      </c>
      <c r="H1374" s="2" t="s">
        <v>5234</v>
      </c>
      <c r="I1374" s="2" t="s">
        <v>5235</v>
      </c>
      <c r="J1374" s="2" t="s">
        <v>490</v>
      </c>
      <c r="K1374" s="2" t="s">
        <v>96</v>
      </c>
      <c r="L1374" s="3">
        <v>52.8</v>
      </c>
      <c r="M1374" s="3">
        <v>55.44</v>
      </c>
      <c r="N1374" s="3">
        <v>109.99</v>
      </c>
      <c r="O1374" s="2" t="s">
        <v>97</v>
      </c>
      <c r="P1374" s="2" t="s">
        <v>317</v>
      </c>
      <c r="Q1374" s="2" t="s">
        <v>99</v>
      </c>
      <c r="R1374" s="2" t="s">
        <v>100</v>
      </c>
      <c r="S1374" s="2" t="s">
        <v>5255</v>
      </c>
      <c r="T1374" s="2" t="s">
        <v>4296</v>
      </c>
      <c r="U1374" s="2" t="s">
        <v>100</v>
      </c>
      <c r="V1374" s="2" t="s">
        <v>461</v>
      </c>
      <c r="W1374" s="2" t="s">
        <v>609</v>
      </c>
      <c r="X1374" s="2" t="s">
        <v>100</v>
      </c>
      <c r="Y1374" s="2" t="s">
        <v>503</v>
      </c>
      <c r="Z1374" s="4"/>
      <c r="AA1374" s="4">
        <f>=ROUNDDOWN({0},0)</f>
      </c>
      <c r="AB1374" s="5">
        <v>39</v>
      </c>
      <c r="AC1374" s="2" t="s">
        <v>173</v>
      </c>
      <c r="AD1374" s="4">
        <v>240</v>
      </c>
      <c r="AE1374" s="4">
        <v>240</v>
      </c>
      <c r="AF1374" s="6">
        <v>65</v>
      </c>
      <c r="AG1374" s="6"/>
      <c r="AH1374" s="7">
        <v>0.8387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/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 t="s">
        <v>100</v>
      </c>
      <c r="BJ1374" s="4">
        <v>15</v>
      </c>
      <c r="BK1374" s="8">
        <v>849.66</v>
      </c>
      <c r="BL1374" s="2" t="s">
        <v>5257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109</v>
      </c>
      <c r="BV1374" s="2" t="s">
        <v>97</v>
      </c>
      <c r="BW1374" s="2" t="s">
        <v>1824</v>
      </c>
      <c r="BX1374" s="2" t="s">
        <v>5251</v>
      </c>
      <c r="BY1374" s="2" t="s">
        <v>112</v>
      </c>
      <c r="BZ1374" s="2" t="s">
        <v>100</v>
      </c>
    </row>
    <row r="1375">
      <c r="A1375" s="2" t="s">
        <v>5258</v>
      </c>
      <c r="B1375" s="2" t="s">
        <v>5155</v>
      </c>
      <c r="C1375" s="2" t="s">
        <v>5095</v>
      </c>
      <c r="D1375" s="2" t="s">
        <v>5156</v>
      </c>
      <c r="E1375" s="2" t="s">
        <v>5157</v>
      </c>
      <c r="F1375" s="2" t="s">
        <v>5234</v>
      </c>
      <c r="G1375" s="2" t="s">
        <v>5234</v>
      </c>
      <c r="H1375" s="2" t="s">
        <v>5234</v>
      </c>
      <c r="I1375" s="2" t="s">
        <v>5235</v>
      </c>
      <c r="J1375" s="2" t="s">
        <v>95</v>
      </c>
      <c r="K1375" s="2" t="s">
        <v>96</v>
      </c>
      <c r="L1375" s="3">
        <v>73.5</v>
      </c>
      <c r="M1375" s="3">
        <v>77.18</v>
      </c>
      <c r="N1375" s="3">
        <v>149.99</v>
      </c>
      <c r="O1375" s="2" t="s">
        <v>97</v>
      </c>
      <c r="P1375" s="2" t="s">
        <v>317</v>
      </c>
      <c r="Q1375" s="2" t="s">
        <v>99</v>
      </c>
      <c r="R1375" s="2" t="s">
        <v>100</v>
      </c>
      <c r="S1375" s="2" t="s">
        <v>5255</v>
      </c>
      <c r="T1375" s="2" t="s">
        <v>4296</v>
      </c>
      <c r="U1375" s="2" t="s">
        <v>100</v>
      </c>
      <c r="V1375" s="2" t="s">
        <v>461</v>
      </c>
      <c r="W1375" s="2" t="s">
        <v>609</v>
      </c>
      <c r="X1375" s="2" t="s">
        <v>100</v>
      </c>
      <c r="Y1375" s="2" t="s">
        <v>144</v>
      </c>
      <c r="Z1375" s="4">
        <v>101</v>
      </c>
      <c r="AA1375" s="4">
        <f>=ROUNDDOWN(1.32894736842105,0)</f>
      </c>
      <c r="AB1375" s="5">
        <v>76</v>
      </c>
      <c r="AC1375" s="2" t="s">
        <v>173</v>
      </c>
      <c r="AD1375" s="4">
        <v>440</v>
      </c>
      <c r="AE1375" s="4">
        <v>440</v>
      </c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3</v>
      </c>
      <c r="AQ1375" s="8">
        <v>228.63</v>
      </c>
      <c r="AR1375" s="4"/>
      <c r="AS1375" s="8"/>
      <c r="AT1375" s="7"/>
      <c r="AU1375" s="7"/>
      <c r="AV1375" s="4" t="s">
        <v>100</v>
      </c>
      <c r="AW1375" s="8" t="s">
        <v>100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>
        <v>1</v>
      </c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 t="s">
        <v>100</v>
      </c>
      <c r="BJ1375" s="4">
        <v>25</v>
      </c>
      <c r="BK1375" s="8">
        <v>1953.81</v>
      </c>
      <c r="BL1375" s="2" t="s">
        <v>5259</v>
      </c>
      <c r="BM1375" s="7">
        <v>0.12</v>
      </c>
      <c r="BN1375" s="7">
        <v>0.117</v>
      </c>
      <c r="BO1375" s="4">
        <v>3</v>
      </c>
      <c r="BP1375" s="8">
        <v>228.63</v>
      </c>
      <c r="BQ1375" s="4"/>
      <c r="BR1375" s="8"/>
      <c r="BS1375" s="7"/>
      <c r="BT1375" s="7"/>
      <c r="BU1375" s="2" t="s">
        <v>109</v>
      </c>
      <c r="BV1375" s="2" t="s">
        <v>97</v>
      </c>
      <c r="BW1375" s="2" t="s">
        <v>1824</v>
      </c>
      <c r="BX1375" s="2" t="s">
        <v>1900</v>
      </c>
      <c r="BY1375" s="2" t="s">
        <v>112</v>
      </c>
      <c r="BZ1375" s="2" t="s">
        <v>100</v>
      </c>
    </row>
    <row r="1376">
      <c r="A1376" s="2" t="s">
        <v>5260</v>
      </c>
      <c r="B1376" s="2" t="s">
        <v>5155</v>
      </c>
      <c r="C1376" s="2" t="s">
        <v>5095</v>
      </c>
      <c r="D1376" s="2" t="s">
        <v>5156</v>
      </c>
      <c r="E1376" s="2" t="s">
        <v>5157</v>
      </c>
      <c r="F1376" s="2" t="s">
        <v>5234</v>
      </c>
      <c r="G1376" s="2" t="s">
        <v>5234</v>
      </c>
      <c r="H1376" s="2" t="s">
        <v>5234</v>
      </c>
      <c r="I1376" s="2" t="s">
        <v>5235</v>
      </c>
      <c r="J1376" s="2" t="s">
        <v>114</v>
      </c>
      <c r="K1376" s="2" t="s">
        <v>96</v>
      </c>
      <c r="L1376" s="3">
        <v>85</v>
      </c>
      <c r="M1376" s="3">
        <v>89.25</v>
      </c>
      <c r="N1376" s="3">
        <v>169.99</v>
      </c>
      <c r="O1376" s="2" t="s">
        <v>97</v>
      </c>
      <c r="P1376" s="2" t="s">
        <v>317</v>
      </c>
      <c r="Q1376" s="2" t="s">
        <v>99</v>
      </c>
      <c r="R1376" s="2" t="s">
        <v>100</v>
      </c>
      <c r="S1376" s="2" t="s">
        <v>5255</v>
      </c>
      <c r="T1376" s="2" t="s">
        <v>4296</v>
      </c>
      <c r="U1376" s="2" t="s">
        <v>100</v>
      </c>
      <c r="V1376" s="2" t="s">
        <v>461</v>
      </c>
      <c r="W1376" s="2" t="s">
        <v>609</v>
      </c>
      <c r="X1376" s="2" t="s">
        <v>100</v>
      </c>
      <c r="Y1376" s="2" t="s">
        <v>144</v>
      </c>
      <c r="Z1376" s="4">
        <v>424</v>
      </c>
      <c r="AA1376" s="4">
        <f>=ROUNDDOWN(6.32835820895522,0)</f>
      </c>
      <c r="AB1376" s="5">
        <v>67</v>
      </c>
      <c r="AC1376" s="2" t="s">
        <v>173</v>
      </c>
      <c r="AD1376" s="4">
        <v>150</v>
      </c>
      <c r="AE1376" s="4">
        <v>150</v>
      </c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/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 t="s">
        <v>100</v>
      </c>
      <c r="BJ1376" s="4">
        <v>44</v>
      </c>
      <c r="BK1376" s="8">
        <v>3868.45</v>
      </c>
      <c r="BL1376" s="2" t="s">
        <v>5261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109</v>
      </c>
      <c r="BV1376" s="2" t="s">
        <v>97</v>
      </c>
      <c r="BW1376" s="2" t="s">
        <v>1824</v>
      </c>
      <c r="BX1376" s="2" t="s">
        <v>4155</v>
      </c>
      <c r="BY1376" s="2" t="s">
        <v>112</v>
      </c>
      <c r="BZ1376" s="2" t="s">
        <v>100</v>
      </c>
    </row>
    <row r="1377">
      <c r="A1377" s="2" t="s">
        <v>5262</v>
      </c>
      <c r="B1377" s="2" t="s">
        <v>5155</v>
      </c>
      <c r="C1377" s="2" t="s">
        <v>5095</v>
      </c>
      <c r="D1377" s="2" t="s">
        <v>5156</v>
      </c>
      <c r="E1377" s="2" t="s">
        <v>5157</v>
      </c>
      <c r="F1377" s="2" t="s">
        <v>5234</v>
      </c>
      <c r="G1377" s="2" t="s">
        <v>5234</v>
      </c>
      <c r="H1377" s="2" t="s">
        <v>5234</v>
      </c>
      <c r="I1377" s="2" t="s">
        <v>5235</v>
      </c>
      <c r="J1377" s="2" t="s">
        <v>1443</v>
      </c>
      <c r="K1377" s="2" t="s">
        <v>1373</v>
      </c>
      <c r="L1377" s="3">
        <v>47</v>
      </c>
      <c r="M1377" s="3">
        <v>49.35</v>
      </c>
      <c r="N1377" s="3">
        <v>99.99</v>
      </c>
      <c r="O1377" s="2" t="s">
        <v>97</v>
      </c>
      <c r="P1377" s="2" t="s">
        <v>317</v>
      </c>
      <c r="Q1377" s="2" t="s">
        <v>99</v>
      </c>
      <c r="R1377" s="2" t="s">
        <v>100</v>
      </c>
      <c r="S1377" s="2" t="s">
        <v>5263</v>
      </c>
      <c r="T1377" s="2" t="s">
        <v>4296</v>
      </c>
      <c r="U1377" s="2" t="s">
        <v>100</v>
      </c>
      <c r="V1377" s="2" t="s">
        <v>461</v>
      </c>
      <c r="W1377" s="2" t="s">
        <v>609</v>
      </c>
      <c r="X1377" s="2" t="s">
        <v>100</v>
      </c>
      <c r="Y1377" s="2" t="s">
        <v>144</v>
      </c>
      <c r="Z1377" s="4"/>
      <c r="AA1377" s="4">
        <f>=ROUNDDOWN({0},0)</f>
      </c>
      <c r="AB1377" s="5">
        <v>26</v>
      </c>
      <c r="AC1377" s="2" t="s">
        <v>173</v>
      </c>
      <c r="AD1377" s="4">
        <v>160</v>
      </c>
      <c r="AE1377" s="4">
        <v>160</v>
      </c>
      <c r="AF1377" s="6">
        <v>65</v>
      </c>
      <c r="AG1377" s="6"/>
      <c r="AH1377" s="7">
        <v>0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>
        <v>1</v>
      </c>
      <c r="AW1377" s="8">
        <v>87.09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/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>
        <v>0.0766</v>
      </c>
      <c r="BJ1377" s="4">
        <v>2</v>
      </c>
      <c r="BK1377" s="8">
        <v>89.98</v>
      </c>
      <c r="BL1377" s="2" t="s">
        <v>2071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109</v>
      </c>
      <c r="BV1377" s="2" t="s">
        <v>97</v>
      </c>
      <c r="BW1377" s="2" t="s">
        <v>1824</v>
      </c>
      <c r="BX1377" s="2" t="s">
        <v>873</v>
      </c>
      <c r="BY1377" s="2" t="s">
        <v>112</v>
      </c>
      <c r="BZ1377" s="2" t="s">
        <v>100</v>
      </c>
    </row>
    <row r="1378">
      <c r="A1378" s="2" t="s">
        <v>5264</v>
      </c>
      <c r="B1378" s="2" t="s">
        <v>5155</v>
      </c>
      <c r="C1378" s="2" t="s">
        <v>5095</v>
      </c>
      <c r="D1378" s="2" t="s">
        <v>5156</v>
      </c>
      <c r="E1378" s="2" t="s">
        <v>5157</v>
      </c>
      <c r="F1378" s="2" t="s">
        <v>5234</v>
      </c>
      <c r="G1378" s="2" t="s">
        <v>5234</v>
      </c>
      <c r="H1378" s="2" t="s">
        <v>5234</v>
      </c>
      <c r="I1378" s="2" t="s">
        <v>5235</v>
      </c>
      <c r="J1378" s="2" t="s">
        <v>490</v>
      </c>
      <c r="K1378" s="2" t="s">
        <v>1373</v>
      </c>
      <c r="L1378" s="3">
        <v>52.8</v>
      </c>
      <c r="M1378" s="3">
        <v>55.44</v>
      </c>
      <c r="N1378" s="3">
        <v>109.99</v>
      </c>
      <c r="O1378" s="2" t="s">
        <v>97</v>
      </c>
      <c r="P1378" s="2" t="s">
        <v>317</v>
      </c>
      <c r="Q1378" s="2" t="s">
        <v>99</v>
      </c>
      <c r="R1378" s="2" t="s">
        <v>100</v>
      </c>
      <c r="S1378" s="2" t="s">
        <v>5263</v>
      </c>
      <c r="T1378" s="2" t="s">
        <v>4296</v>
      </c>
      <c r="U1378" s="2" t="s">
        <v>100</v>
      </c>
      <c r="V1378" s="2" t="s">
        <v>461</v>
      </c>
      <c r="W1378" s="2" t="s">
        <v>609</v>
      </c>
      <c r="X1378" s="2" t="s">
        <v>100</v>
      </c>
      <c r="Y1378" s="2" t="s">
        <v>144</v>
      </c>
      <c r="Z1378" s="4">
        <v>1</v>
      </c>
      <c r="AA1378" s="4">
        <f>=ROUNDDOWN(0.0263157894736842,0)</f>
      </c>
      <c r="AB1378" s="5">
        <v>38</v>
      </c>
      <c r="AC1378" s="2" t="s">
        <v>173</v>
      </c>
      <c r="AD1378" s="4">
        <v>240</v>
      </c>
      <c r="AE1378" s="4">
        <v>240</v>
      </c>
      <c r="AF1378" s="6">
        <v>65</v>
      </c>
      <c r="AG1378" s="6"/>
      <c r="AH1378" s="7">
        <v>0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/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 t="s">
        <v>100</v>
      </c>
      <c r="BJ1378" s="4"/>
      <c r="BK1378" s="8"/>
      <c r="BL1378" s="2" t="s">
        <v>100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1824</v>
      </c>
      <c r="BX1378" s="2" t="s">
        <v>5265</v>
      </c>
      <c r="BY1378" s="2" t="s">
        <v>112</v>
      </c>
      <c r="BZ1378" s="2" t="s">
        <v>100</v>
      </c>
    </row>
    <row r="1379">
      <c r="A1379" s="2" t="s">
        <v>5266</v>
      </c>
      <c r="B1379" s="2" t="s">
        <v>5155</v>
      </c>
      <c r="C1379" s="2" t="s">
        <v>5095</v>
      </c>
      <c r="D1379" s="2" t="s">
        <v>5156</v>
      </c>
      <c r="E1379" s="2" t="s">
        <v>5157</v>
      </c>
      <c r="F1379" s="2" t="s">
        <v>5234</v>
      </c>
      <c r="G1379" s="2" t="s">
        <v>5234</v>
      </c>
      <c r="H1379" s="2" t="s">
        <v>5234</v>
      </c>
      <c r="I1379" s="2" t="s">
        <v>5235</v>
      </c>
      <c r="J1379" s="2" t="s">
        <v>95</v>
      </c>
      <c r="K1379" s="2" t="s">
        <v>1373</v>
      </c>
      <c r="L1379" s="3">
        <v>73.5</v>
      </c>
      <c r="M1379" s="3">
        <v>77.18</v>
      </c>
      <c r="N1379" s="3">
        <v>149.99</v>
      </c>
      <c r="O1379" s="2" t="s">
        <v>97</v>
      </c>
      <c r="P1379" s="2" t="s">
        <v>317</v>
      </c>
      <c r="Q1379" s="2" t="s">
        <v>99</v>
      </c>
      <c r="R1379" s="2" t="s">
        <v>100</v>
      </c>
      <c r="S1379" s="2" t="s">
        <v>5263</v>
      </c>
      <c r="T1379" s="2" t="s">
        <v>4296</v>
      </c>
      <c r="U1379" s="2" t="s">
        <v>100</v>
      </c>
      <c r="V1379" s="2" t="s">
        <v>461</v>
      </c>
      <c r="W1379" s="2" t="s">
        <v>609</v>
      </c>
      <c r="X1379" s="2" t="s">
        <v>100</v>
      </c>
      <c r="Y1379" s="2" t="s">
        <v>144</v>
      </c>
      <c r="Z1379" s="4">
        <v>175</v>
      </c>
      <c r="AA1379" s="4">
        <f>=ROUNDDOWN(2.77777777777778,0)</f>
      </c>
      <c r="AB1379" s="5">
        <v>63</v>
      </c>
      <c r="AC1379" s="2" t="s">
        <v>173</v>
      </c>
      <c r="AD1379" s="4">
        <v>360</v>
      </c>
      <c r="AE1379" s="4">
        <v>360</v>
      </c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/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 t="s">
        <v>100</v>
      </c>
      <c r="BJ1379" s="4">
        <v>33</v>
      </c>
      <c r="BK1379" s="8">
        <v>2553.96</v>
      </c>
      <c r="BL1379" s="2" t="s">
        <v>5267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109</v>
      </c>
      <c r="BV1379" s="2" t="s">
        <v>97</v>
      </c>
      <c r="BW1379" s="2" t="s">
        <v>1824</v>
      </c>
      <c r="BX1379" s="2" t="s">
        <v>1818</v>
      </c>
      <c r="BY1379" s="2" t="s">
        <v>112</v>
      </c>
      <c r="BZ1379" s="2" t="s">
        <v>100</v>
      </c>
    </row>
    <row r="1380">
      <c r="A1380" s="2" t="s">
        <v>5268</v>
      </c>
      <c r="B1380" s="2" t="s">
        <v>5155</v>
      </c>
      <c r="C1380" s="2" t="s">
        <v>5095</v>
      </c>
      <c r="D1380" s="2" t="s">
        <v>5156</v>
      </c>
      <c r="E1380" s="2" t="s">
        <v>5157</v>
      </c>
      <c r="F1380" s="2" t="s">
        <v>5234</v>
      </c>
      <c r="G1380" s="2" t="s">
        <v>5234</v>
      </c>
      <c r="H1380" s="2" t="s">
        <v>5234</v>
      </c>
      <c r="I1380" s="2" t="s">
        <v>5235</v>
      </c>
      <c r="J1380" s="2" t="s">
        <v>114</v>
      </c>
      <c r="K1380" s="2" t="s">
        <v>1373</v>
      </c>
      <c r="L1380" s="3">
        <v>85</v>
      </c>
      <c r="M1380" s="3">
        <v>89.25</v>
      </c>
      <c r="N1380" s="3">
        <v>169.99</v>
      </c>
      <c r="O1380" s="2" t="s">
        <v>97</v>
      </c>
      <c r="P1380" s="2" t="s">
        <v>317</v>
      </c>
      <c r="Q1380" s="2" t="s">
        <v>99</v>
      </c>
      <c r="R1380" s="2" t="s">
        <v>100</v>
      </c>
      <c r="S1380" s="2" t="s">
        <v>5263</v>
      </c>
      <c r="T1380" s="2" t="s">
        <v>4296</v>
      </c>
      <c r="U1380" s="2" t="s">
        <v>100</v>
      </c>
      <c r="V1380" s="2" t="s">
        <v>461</v>
      </c>
      <c r="W1380" s="2" t="s">
        <v>609</v>
      </c>
      <c r="X1380" s="2" t="s">
        <v>100</v>
      </c>
      <c r="Y1380" s="2" t="s">
        <v>144</v>
      </c>
      <c r="Z1380" s="4">
        <v>145</v>
      </c>
      <c r="AA1380" s="4">
        <f>=ROUNDDOWN(1.83544303797468,0)</f>
      </c>
      <c r="AB1380" s="5">
        <v>79</v>
      </c>
      <c r="AC1380" s="2" t="s">
        <v>173</v>
      </c>
      <c r="AD1380" s="4">
        <v>430</v>
      </c>
      <c r="AE1380" s="4">
        <v>430</v>
      </c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1</v>
      </c>
      <c r="AQ1380" s="8">
        <v>87.09</v>
      </c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>
        <v>1</v>
      </c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 t="s">
        <v>100</v>
      </c>
      <c r="BJ1380" s="4">
        <v>29</v>
      </c>
      <c r="BK1380" s="8">
        <v>2575.4</v>
      </c>
      <c r="BL1380" s="2" t="s">
        <v>5269</v>
      </c>
      <c r="BM1380" s="7">
        <v>0.0345</v>
      </c>
      <c r="BN1380" s="7">
        <v>0.0338</v>
      </c>
      <c r="BO1380" s="4">
        <v>1</v>
      </c>
      <c r="BP1380" s="8">
        <v>87.09</v>
      </c>
      <c r="BQ1380" s="4"/>
      <c r="BR1380" s="8"/>
      <c r="BS1380" s="7"/>
      <c r="BT1380" s="7"/>
      <c r="BU1380" s="2" t="s">
        <v>109</v>
      </c>
      <c r="BV1380" s="2" t="s">
        <v>97</v>
      </c>
      <c r="BW1380" s="2" t="s">
        <v>1824</v>
      </c>
      <c r="BX1380" s="2" t="s">
        <v>4284</v>
      </c>
      <c r="BY1380" s="2" t="s">
        <v>112</v>
      </c>
      <c r="BZ1380" s="2" t="s">
        <v>100</v>
      </c>
    </row>
    <row r="1381">
      <c r="A1381" s="2" t="s">
        <v>5270</v>
      </c>
      <c r="B1381" s="2" t="s">
        <v>5155</v>
      </c>
      <c r="C1381" s="2" t="s">
        <v>5095</v>
      </c>
      <c r="D1381" s="2" t="s">
        <v>5156</v>
      </c>
      <c r="E1381" s="2" t="s">
        <v>5157</v>
      </c>
      <c r="F1381" s="2" t="s">
        <v>5234</v>
      </c>
      <c r="G1381" s="2" t="s">
        <v>5234</v>
      </c>
      <c r="H1381" s="2" t="s">
        <v>5234</v>
      </c>
      <c r="I1381" s="2" t="s">
        <v>5235</v>
      </c>
      <c r="J1381" s="2" t="s">
        <v>1443</v>
      </c>
      <c r="K1381" s="2" t="s">
        <v>5271</v>
      </c>
      <c r="L1381" s="3">
        <v>47</v>
      </c>
      <c r="M1381" s="3">
        <v>49.35</v>
      </c>
      <c r="N1381" s="3">
        <v>99.99</v>
      </c>
      <c r="O1381" s="2" t="s">
        <v>97</v>
      </c>
      <c r="P1381" s="2" t="s">
        <v>123</v>
      </c>
      <c r="Q1381" s="2" t="s">
        <v>99</v>
      </c>
      <c r="R1381" s="2" t="s">
        <v>100</v>
      </c>
      <c r="S1381" s="2" t="s">
        <v>5272</v>
      </c>
      <c r="T1381" s="2" t="s">
        <v>4296</v>
      </c>
      <c r="U1381" s="2" t="s">
        <v>100</v>
      </c>
      <c r="V1381" s="2" t="s">
        <v>461</v>
      </c>
      <c r="W1381" s="2" t="s">
        <v>609</v>
      </c>
      <c r="X1381" s="2" t="s">
        <v>100</v>
      </c>
      <c r="Y1381" s="2" t="s">
        <v>144</v>
      </c>
      <c r="Z1381" s="4"/>
      <c r="AA1381" s="4">
        <f>=ROUNDDOWN({0},0)</f>
      </c>
      <c r="AB1381" s="5">
        <v>20</v>
      </c>
      <c r="AC1381" s="2" t="s">
        <v>173</v>
      </c>
      <c r="AD1381" s="4">
        <v>150</v>
      </c>
      <c r="AE1381" s="4">
        <v>150</v>
      </c>
      <c r="AF1381" s="6">
        <v>65</v>
      </c>
      <c r="AG1381" s="6"/>
      <c r="AH1381" s="7">
        <v>0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>
        <v>1</v>
      </c>
      <c r="AW1381" s="8">
        <v>87.09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/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>
        <v>0.0766</v>
      </c>
      <c r="BJ1381" s="4">
        <v>4</v>
      </c>
      <c r="BK1381" s="8">
        <v>182.48</v>
      </c>
      <c r="BL1381" s="2" t="s">
        <v>2071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1824</v>
      </c>
      <c r="BX1381" s="2" t="s">
        <v>5273</v>
      </c>
      <c r="BY1381" s="2" t="s">
        <v>112</v>
      </c>
      <c r="BZ1381" s="2" t="s">
        <v>100</v>
      </c>
    </row>
    <row r="1382">
      <c r="A1382" s="2" t="s">
        <v>5274</v>
      </c>
      <c r="B1382" s="2" t="s">
        <v>5155</v>
      </c>
      <c r="C1382" s="2" t="s">
        <v>5095</v>
      </c>
      <c r="D1382" s="2" t="s">
        <v>5156</v>
      </c>
      <c r="E1382" s="2" t="s">
        <v>5157</v>
      </c>
      <c r="F1382" s="2" t="s">
        <v>5234</v>
      </c>
      <c r="G1382" s="2" t="s">
        <v>5234</v>
      </c>
      <c r="H1382" s="2" t="s">
        <v>5234</v>
      </c>
      <c r="I1382" s="2" t="s">
        <v>5235</v>
      </c>
      <c r="J1382" s="2" t="s">
        <v>490</v>
      </c>
      <c r="K1382" s="2" t="s">
        <v>5271</v>
      </c>
      <c r="L1382" s="3">
        <v>52.8</v>
      </c>
      <c r="M1382" s="3">
        <v>55.44</v>
      </c>
      <c r="N1382" s="3">
        <v>109.99</v>
      </c>
      <c r="O1382" s="2" t="s">
        <v>97</v>
      </c>
      <c r="P1382" s="2" t="s">
        <v>139</v>
      </c>
      <c r="Q1382" s="2" t="s">
        <v>99</v>
      </c>
      <c r="R1382" s="2" t="s">
        <v>100</v>
      </c>
      <c r="S1382" s="2" t="s">
        <v>5272</v>
      </c>
      <c r="T1382" s="2" t="s">
        <v>4296</v>
      </c>
      <c r="U1382" s="2" t="s">
        <v>100</v>
      </c>
      <c r="V1382" s="2" t="s">
        <v>461</v>
      </c>
      <c r="W1382" s="2" t="s">
        <v>609</v>
      </c>
      <c r="X1382" s="2" t="s">
        <v>100</v>
      </c>
      <c r="Y1382" s="2" t="s">
        <v>144</v>
      </c>
      <c r="Z1382" s="4">
        <v>3</v>
      </c>
      <c r="AA1382" s="4">
        <f>=ROUNDDOWN(0.111111111111111,0)</f>
      </c>
      <c r="AB1382" s="5">
        <v>27</v>
      </c>
      <c r="AC1382" s="2" t="s">
        <v>173</v>
      </c>
      <c r="AD1382" s="4">
        <v>170</v>
      </c>
      <c r="AE1382" s="4">
        <v>170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/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 t="s">
        <v>100</v>
      </c>
      <c r="BJ1382" s="4">
        <v>19</v>
      </c>
      <c r="BK1382" s="8">
        <v>1064.31</v>
      </c>
      <c r="BL1382" s="2" t="s">
        <v>5275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109</v>
      </c>
      <c r="BV1382" s="2" t="s">
        <v>97</v>
      </c>
      <c r="BW1382" s="2" t="s">
        <v>1824</v>
      </c>
      <c r="BX1382" s="2" t="s">
        <v>1818</v>
      </c>
      <c r="BY1382" s="2" t="s">
        <v>112</v>
      </c>
      <c r="BZ1382" s="2" t="s">
        <v>100</v>
      </c>
    </row>
    <row r="1383">
      <c r="A1383" s="2" t="s">
        <v>5276</v>
      </c>
      <c r="B1383" s="2" t="s">
        <v>5155</v>
      </c>
      <c r="C1383" s="2" t="s">
        <v>5095</v>
      </c>
      <c r="D1383" s="2" t="s">
        <v>5156</v>
      </c>
      <c r="E1383" s="2" t="s">
        <v>5157</v>
      </c>
      <c r="F1383" s="2" t="s">
        <v>5234</v>
      </c>
      <c r="G1383" s="2" t="s">
        <v>5234</v>
      </c>
      <c r="H1383" s="2" t="s">
        <v>5234</v>
      </c>
      <c r="I1383" s="2" t="s">
        <v>5235</v>
      </c>
      <c r="J1383" s="2" t="s">
        <v>95</v>
      </c>
      <c r="K1383" s="2" t="s">
        <v>5271</v>
      </c>
      <c r="L1383" s="3">
        <v>73.5</v>
      </c>
      <c r="M1383" s="3">
        <v>77.18</v>
      </c>
      <c r="N1383" s="3">
        <v>149.99</v>
      </c>
      <c r="O1383" s="2" t="s">
        <v>97</v>
      </c>
      <c r="P1383" s="2" t="s">
        <v>139</v>
      </c>
      <c r="Q1383" s="2" t="s">
        <v>99</v>
      </c>
      <c r="R1383" s="2" t="s">
        <v>100</v>
      </c>
      <c r="S1383" s="2" t="s">
        <v>5272</v>
      </c>
      <c r="T1383" s="2" t="s">
        <v>4296</v>
      </c>
      <c r="U1383" s="2" t="s">
        <v>100</v>
      </c>
      <c r="V1383" s="2" t="s">
        <v>461</v>
      </c>
      <c r="W1383" s="2" t="s">
        <v>609</v>
      </c>
      <c r="X1383" s="2" t="s">
        <v>100</v>
      </c>
      <c r="Y1383" s="2" t="s">
        <v>144</v>
      </c>
      <c r="Z1383" s="4">
        <v>54</v>
      </c>
      <c r="AA1383" s="4">
        <f>=ROUNDDOWN(1.17391304347826,0)</f>
      </c>
      <c r="AB1383" s="5">
        <v>46</v>
      </c>
      <c r="AC1383" s="2" t="s">
        <v>173</v>
      </c>
      <c r="AD1383" s="4">
        <v>270</v>
      </c>
      <c r="AE1383" s="4">
        <v>270</v>
      </c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100</v>
      </c>
      <c r="AW1383" s="8" t="s">
        <v>100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/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 t="s">
        <v>100</v>
      </c>
      <c r="BJ1383" s="4">
        <v>19</v>
      </c>
      <c r="BK1383" s="8">
        <v>1486.87</v>
      </c>
      <c r="BL1383" s="2" t="s">
        <v>5277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109</v>
      </c>
      <c r="BV1383" s="2" t="s">
        <v>97</v>
      </c>
      <c r="BW1383" s="2" t="s">
        <v>1824</v>
      </c>
      <c r="BX1383" s="2" t="s">
        <v>1898</v>
      </c>
      <c r="BY1383" s="2" t="s">
        <v>112</v>
      </c>
      <c r="BZ1383" s="2" t="s">
        <v>100</v>
      </c>
    </row>
    <row r="1384">
      <c r="A1384" s="2" t="s">
        <v>5278</v>
      </c>
      <c r="B1384" s="2" t="s">
        <v>5155</v>
      </c>
      <c r="C1384" s="2" t="s">
        <v>5095</v>
      </c>
      <c r="D1384" s="2" t="s">
        <v>5156</v>
      </c>
      <c r="E1384" s="2" t="s">
        <v>5157</v>
      </c>
      <c r="F1384" s="2" t="s">
        <v>5234</v>
      </c>
      <c r="G1384" s="2" t="s">
        <v>5234</v>
      </c>
      <c r="H1384" s="2" t="s">
        <v>5234</v>
      </c>
      <c r="I1384" s="2" t="s">
        <v>5235</v>
      </c>
      <c r="J1384" s="2" t="s">
        <v>114</v>
      </c>
      <c r="K1384" s="2" t="s">
        <v>5271</v>
      </c>
      <c r="L1384" s="3">
        <v>85</v>
      </c>
      <c r="M1384" s="3">
        <v>89.25</v>
      </c>
      <c r="N1384" s="3">
        <v>169.99</v>
      </c>
      <c r="O1384" s="2" t="s">
        <v>97</v>
      </c>
      <c r="P1384" s="2" t="s">
        <v>139</v>
      </c>
      <c r="Q1384" s="2" t="s">
        <v>99</v>
      </c>
      <c r="R1384" s="2" t="s">
        <v>100</v>
      </c>
      <c r="S1384" s="2" t="s">
        <v>5272</v>
      </c>
      <c r="T1384" s="2" t="s">
        <v>4296</v>
      </c>
      <c r="U1384" s="2" t="s">
        <v>100</v>
      </c>
      <c r="V1384" s="2" t="s">
        <v>461</v>
      </c>
      <c r="W1384" s="2" t="s">
        <v>609</v>
      </c>
      <c r="X1384" s="2" t="s">
        <v>100</v>
      </c>
      <c r="Y1384" s="2" t="s">
        <v>503</v>
      </c>
      <c r="Z1384" s="4">
        <v>264</v>
      </c>
      <c r="AA1384" s="4">
        <f>=ROUNDDOWN(5.86666666666667,0)</f>
      </c>
      <c r="AB1384" s="5">
        <v>45</v>
      </c>
      <c r="AC1384" s="2" t="s">
        <v>173</v>
      </c>
      <c r="AD1384" s="4">
        <v>150</v>
      </c>
      <c r="AE1384" s="4">
        <v>150</v>
      </c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1</v>
      </c>
      <c r="AQ1384" s="8">
        <v>87.09</v>
      </c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1</v>
      </c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 t="s">
        <v>100</v>
      </c>
      <c r="BJ1384" s="4">
        <v>20</v>
      </c>
      <c r="BK1384" s="8">
        <v>1811.88</v>
      </c>
      <c r="BL1384" s="2" t="s">
        <v>5279</v>
      </c>
      <c r="BM1384" s="7">
        <v>0.05</v>
      </c>
      <c r="BN1384" s="7">
        <v>0.0481</v>
      </c>
      <c r="BO1384" s="4">
        <v>1</v>
      </c>
      <c r="BP1384" s="8">
        <v>87.09</v>
      </c>
      <c r="BQ1384" s="4"/>
      <c r="BR1384" s="8"/>
      <c r="BS1384" s="7"/>
      <c r="BT1384" s="7"/>
      <c r="BU1384" s="2" t="s">
        <v>109</v>
      </c>
      <c r="BV1384" s="2" t="s">
        <v>97</v>
      </c>
      <c r="BW1384" s="2" t="s">
        <v>1824</v>
      </c>
      <c r="BX1384" s="2" t="s">
        <v>4194</v>
      </c>
      <c r="BY1384" s="2" t="s">
        <v>112</v>
      </c>
      <c r="BZ1384" s="2" t="s">
        <v>100</v>
      </c>
    </row>
    <row r="1385">
      <c r="A1385" s="2" t="s">
        <v>5280</v>
      </c>
      <c r="B1385" s="2" t="s">
        <v>5155</v>
      </c>
      <c r="C1385" s="2" t="s">
        <v>5095</v>
      </c>
      <c r="D1385" s="2" t="s">
        <v>5156</v>
      </c>
      <c r="E1385" s="2" t="s">
        <v>5157</v>
      </c>
      <c r="F1385" s="2" t="s">
        <v>5234</v>
      </c>
      <c r="G1385" s="2" t="s">
        <v>5234</v>
      </c>
      <c r="H1385" s="2" t="s">
        <v>5234</v>
      </c>
      <c r="I1385" s="2" t="s">
        <v>5235</v>
      </c>
      <c r="J1385" s="2" t="s">
        <v>1443</v>
      </c>
      <c r="K1385" s="2" t="s">
        <v>5281</v>
      </c>
      <c r="L1385" s="3">
        <v>47</v>
      </c>
      <c r="M1385" s="3">
        <v>49.35</v>
      </c>
      <c r="N1385" s="3">
        <v>99.99</v>
      </c>
      <c r="O1385" s="2" t="s">
        <v>97</v>
      </c>
      <c r="P1385" s="2" t="s">
        <v>156</v>
      </c>
      <c r="Q1385" s="2" t="s">
        <v>99</v>
      </c>
      <c r="R1385" s="2" t="s">
        <v>100</v>
      </c>
      <c r="S1385" s="2" t="s">
        <v>5282</v>
      </c>
      <c r="T1385" s="2" t="s">
        <v>4296</v>
      </c>
      <c r="U1385" s="2" t="s">
        <v>100</v>
      </c>
      <c r="V1385" s="2" t="s">
        <v>461</v>
      </c>
      <c r="W1385" s="2" t="s">
        <v>609</v>
      </c>
      <c r="X1385" s="2" t="s">
        <v>100</v>
      </c>
      <c r="Y1385" s="2" t="s">
        <v>144</v>
      </c>
      <c r="Z1385" s="4"/>
      <c r="AA1385" s="4">
        <f>=ROUNDDOWN({0},0)</f>
      </c>
      <c r="AB1385" s="5">
        <v>18</v>
      </c>
      <c r="AC1385" s="2" t="s">
        <v>173</v>
      </c>
      <c r="AD1385" s="4">
        <v>150</v>
      </c>
      <c r="AE1385" s="4">
        <v>150</v>
      </c>
      <c r="AF1385" s="6">
        <v>65</v>
      </c>
      <c r="AG1385" s="6"/>
      <c r="AH1385" s="7">
        <v>0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>
        <v>1</v>
      </c>
      <c r="AW1385" s="8">
        <v>76.21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/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>
        <v>0.067</v>
      </c>
      <c r="BJ1385" s="4"/>
      <c r="BK1385" s="8"/>
      <c r="BL1385" s="2" t="s">
        <v>100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1824</v>
      </c>
      <c r="BX1385" s="2" t="s">
        <v>1900</v>
      </c>
      <c r="BY1385" s="2" t="s">
        <v>112</v>
      </c>
      <c r="BZ1385" s="2" t="s">
        <v>100</v>
      </c>
    </row>
    <row r="1386">
      <c r="A1386" s="2" t="s">
        <v>5283</v>
      </c>
      <c r="B1386" s="2" t="s">
        <v>5155</v>
      </c>
      <c r="C1386" s="2" t="s">
        <v>5095</v>
      </c>
      <c r="D1386" s="2" t="s">
        <v>5156</v>
      </c>
      <c r="E1386" s="2" t="s">
        <v>5157</v>
      </c>
      <c r="F1386" s="2" t="s">
        <v>5234</v>
      </c>
      <c r="G1386" s="2" t="s">
        <v>5234</v>
      </c>
      <c r="H1386" s="2" t="s">
        <v>5234</v>
      </c>
      <c r="I1386" s="2" t="s">
        <v>5235</v>
      </c>
      <c r="J1386" s="2" t="s">
        <v>490</v>
      </c>
      <c r="K1386" s="2" t="s">
        <v>5281</v>
      </c>
      <c r="L1386" s="3">
        <v>52.8</v>
      </c>
      <c r="M1386" s="3">
        <v>55.44</v>
      </c>
      <c r="N1386" s="3">
        <v>109.99</v>
      </c>
      <c r="O1386" s="2" t="s">
        <v>97</v>
      </c>
      <c r="P1386" s="2" t="s">
        <v>156</v>
      </c>
      <c r="Q1386" s="2" t="s">
        <v>99</v>
      </c>
      <c r="R1386" s="2" t="s">
        <v>100</v>
      </c>
      <c r="S1386" s="2" t="s">
        <v>5282</v>
      </c>
      <c r="T1386" s="2" t="s">
        <v>4296</v>
      </c>
      <c r="U1386" s="2" t="s">
        <v>100</v>
      </c>
      <c r="V1386" s="2" t="s">
        <v>461</v>
      </c>
      <c r="W1386" s="2" t="s">
        <v>609</v>
      </c>
      <c r="X1386" s="2" t="s">
        <v>100</v>
      </c>
      <c r="Y1386" s="2" t="s">
        <v>144</v>
      </c>
      <c r="Z1386" s="4"/>
      <c r="AA1386" s="4">
        <f>=ROUNDDOWN({0},0)</f>
      </c>
      <c r="AB1386" s="5">
        <v>25</v>
      </c>
      <c r="AC1386" s="2" t="s">
        <v>173</v>
      </c>
      <c r="AD1386" s="4">
        <v>160</v>
      </c>
      <c r="AE1386" s="4">
        <v>160</v>
      </c>
      <c r="AF1386" s="6">
        <v>65</v>
      </c>
      <c r="AG1386" s="6"/>
      <c r="AH1386" s="7">
        <v>0.0645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/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 t="s">
        <v>100</v>
      </c>
      <c r="BJ1386" s="4">
        <v>5</v>
      </c>
      <c r="BK1386" s="8">
        <v>337.43</v>
      </c>
      <c r="BL1386" s="2" t="s">
        <v>5284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1824</v>
      </c>
      <c r="BX1386" s="2" t="s">
        <v>5251</v>
      </c>
      <c r="BY1386" s="2" t="s">
        <v>112</v>
      </c>
      <c r="BZ1386" s="2" t="s">
        <v>100</v>
      </c>
    </row>
    <row r="1387">
      <c r="A1387" s="2" t="s">
        <v>5285</v>
      </c>
      <c r="B1387" s="2" t="s">
        <v>5155</v>
      </c>
      <c r="C1387" s="2" t="s">
        <v>5095</v>
      </c>
      <c r="D1387" s="2" t="s">
        <v>5156</v>
      </c>
      <c r="E1387" s="2" t="s">
        <v>5157</v>
      </c>
      <c r="F1387" s="2" t="s">
        <v>5234</v>
      </c>
      <c r="G1387" s="2" t="s">
        <v>5234</v>
      </c>
      <c r="H1387" s="2" t="s">
        <v>5234</v>
      </c>
      <c r="I1387" s="2" t="s">
        <v>5235</v>
      </c>
      <c r="J1387" s="2" t="s">
        <v>95</v>
      </c>
      <c r="K1387" s="2" t="s">
        <v>5281</v>
      </c>
      <c r="L1387" s="3">
        <v>73.5</v>
      </c>
      <c r="M1387" s="3">
        <v>77.18</v>
      </c>
      <c r="N1387" s="3">
        <v>149.99</v>
      </c>
      <c r="O1387" s="2" t="s">
        <v>97</v>
      </c>
      <c r="P1387" s="2" t="s">
        <v>156</v>
      </c>
      <c r="Q1387" s="2" t="s">
        <v>99</v>
      </c>
      <c r="R1387" s="2" t="s">
        <v>100</v>
      </c>
      <c r="S1387" s="2" t="s">
        <v>5282</v>
      </c>
      <c r="T1387" s="2" t="s">
        <v>4296</v>
      </c>
      <c r="U1387" s="2" t="s">
        <v>100</v>
      </c>
      <c r="V1387" s="2" t="s">
        <v>461</v>
      </c>
      <c r="W1387" s="2" t="s">
        <v>609</v>
      </c>
      <c r="X1387" s="2" t="s">
        <v>100</v>
      </c>
      <c r="Y1387" s="2" t="s">
        <v>503</v>
      </c>
      <c r="Z1387" s="4">
        <v>269</v>
      </c>
      <c r="AA1387" s="4">
        <f>=ROUNDDOWN(8.67741935483871,0)</f>
      </c>
      <c r="AB1387" s="5">
        <v>31</v>
      </c>
      <c r="AC1387" s="2" t="s">
        <v>100</v>
      </c>
      <c r="AD1387" s="4"/>
      <c r="AE1387" s="4"/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1</v>
      </c>
      <c r="AQ1387" s="8">
        <v>76.21</v>
      </c>
      <c r="AR1387" s="4"/>
      <c r="AS1387" s="8"/>
      <c r="AT1387" s="7"/>
      <c r="AU1387" s="7"/>
      <c r="AV1387" s="4" t="s">
        <v>100</v>
      </c>
      <c r="AW1387" s="8" t="s">
        <v>100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>
        <v>1</v>
      </c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 t="s">
        <v>100</v>
      </c>
      <c r="BJ1387" s="4">
        <v>10</v>
      </c>
      <c r="BK1387" s="8">
        <v>776.88</v>
      </c>
      <c r="BL1387" s="2" t="s">
        <v>5286</v>
      </c>
      <c r="BM1387" s="7">
        <v>0.1</v>
      </c>
      <c r="BN1387" s="7">
        <v>0.0981</v>
      </c>
      <c r="BO1387" s="4">
        <v>1</v>
      </c>
      <c r="BP1387" s="8">
        <v>76.21</v>
      </c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1824</v>
      </c>
      <c r="BX1387" s="2" t="s">
        <v>4194</v>
      </c>
      <c r="BY1387" s="2" t="s">
        <v>112</v>
      </c>
      <c r="BZ1387" s="2" t="s">
        <v>100</v>
      </c>
    </row>
    <row r="1388">
      <c r="A1388" s="2" t="s">
        <v>5287</v>
      </c>
      <c r="B1388" s="2" t="s">
        <v>5155</v>
      </c>
      <c r="C1388" s="2" t="s">
        <v>5095</v>
      </c>
      <c r="D1388" s="2" t="s">
        <v>5156</v>
      </c>
      <c r="E1388" s="2" t="s">
        <v>5157</v>
      </c>
      <c r="F1388" s="2" t="s">
        <v>5234</v>
      </c>
      <c r="G1388" s="2" t="s">
        <v>5234</v>
      </c>
      <c r="H1388" s="2" t="s">
        <v>5234</v>
      </c>
      <c r="I1388" s="2" t="s">
        <v>5235</v>
      </c>
      <c r="J1388" s="2" t="s">
        <v>114</v>
      </c>
      <c r="K1388" s="2" t="s">
        <v>5281</v>
      </c>
      <c r="L1388" s="3">
        <v>85</v>
      </c>
      <c r="M1388" s="3">
        <v>89.25</v>
      </c>
      <c r="N1388" s="3">
        <v>169.99</v>
      </c>
      <c r="O1388" s="2" t="s">
        <v>97</v>
      </c>
      <c r="P1388" s="2" t="s">
        <v>156</v>
      </c>
      <c r="Q1388" s="2" t="s">
        <v>99</v>
      </c>
      <c r="R1388" s="2" t="s">
        <v>100</v>
      </c>
      <c r="S1388" s="2" t="s">
        <v>5282</v>
      </c>
      <c r="T1388" s="2" t="s">
        <v>4296</v>
      </c>
      <c r="U1388" s="2" t="s">
        <v>100</v>
      </c>
      <c r="V1388" s="2" t="s">
        <v>461</v>
      </c>
      <c r="W1388" s="2" t="s">
        <v>609</v>
      </c>
      <c r="X1388" s="2" t="s">
        <v>100</v>
      </c>
      <c r="Y1388" s="2" t="s">
        <v>144</v>
      </c>
      <c r="Z1388" s="4"/>
      <c r="AA1388" s="4">
        <f>=ROUNDDOWN({0},0)</f>
      </c>
      <c r="AB1388" s="5">
        <v>22</v>
      </c>
      <c r="AC1388" s="2" t="s">
        <v>173</v>
      </c>
      <c r="AD1388" s="4">
        <v>150</v>
      </c>
      <c r="AE1388" s="4">
        <v>150</v>
      </c>
      <c r="AF1388" s="6">
        <v>65</v>
      </c>
      <c r="AG1388" s="6"/>
      <c r="AH1388" s="7">
        <v>0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/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 t="s">
        <v>100</v>
      </c>
      <c r="BJ1388" s="4"/>
      <c r="BK1388" s="8"/>
      <c r="BL1388" s="2" t="s">
        <v>100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1824</v>
      </c>
      <c r="BX1388" s="2" t="s">
        <v>2196</v>
      </c>
      <c r="BY1388" s="2" t="s">
        <v>112</v>
      </c>
      <c r="BZ1388" s="2" t="s">
        <v>100</v>
      </c>
    </row>
    <row r="1389">
      <c r="A1389" s="2" t="s">
        <v>5288</v>
      </c>
      <c r="B1389" s="2" t="s">
        <v>5155</v>
      </c>
      <c r="C1389" s="2" t="s">
        <v>5095</v>
      </c>
      <c r="D1389" s="2" t="s">
        <v>5156</v>
      </c>
      <c r="E1389" s="2" t="s">
        <v>5157</v>
      </c>
      <c r="F1389" s="2" t="s">
        <v>5234</v>
      </c>
      <c r="G1389" s="2" t="s">
        <v>5234</v>
      </c>
      <c r="H1389" s="2" t="s">
        <v>5234</v>
      </c>
      <c r="I1389" s="2" t="s">
        <v>5235</v>
      </c>
      <c r="J1389" s="2" t="s">
        <v>1443</v>
      </c>
      <c r="K1389" s="2" t="s">
        <v>471</v>
      </c>
      <c r="L1389" s="3">
        <v>47</v>
      </c>
      <c r="M1389" s="3">
        <v>49.35</v>
      </c>
      <c r="N1389" s="3">
        <v>99.99</v>
      </c>
      <c r="O1389" s="2" t="s">
        <v>97</v>
      </c>
      <c r="P1389" s="2" t="s">
        <v>123</v>
      </c>
      <c r="Q1389" s="2" t="s">
        <v>99</v>
      </c>
      <c r="R1389" s="2" t="s">
        <v>100</v>
      </c>
      <c r="S1389" s="2" t="s">
        <v>5289</v>
      </c>
      <c r="T1389" s="2" t="s">
        <v>4296</v>
      </c>
      <c r="U1389" s="2" t="s">
        <v>1776</v>
      </c>
      <c r="V1389" s="2" t="s">
        <v>461</v>
      </c>
      <c r="W1389" s="2" t="s">
        <v>609</v>
      </c>
      <c r="X1389" s="2" t="s">
        <v>100</v>
      </c>
      <c r="Y1389" s="2" t="s">
        <v>3926</v>
      </c>
      <c r="Z1389" s="4">
        <v>61</v>
      </c>
      <c r="AA1389" s="4">
        <f>=ROUNDDOWN(4.06666666666667,0)</f>
      </c>
      <c r="AB1389" s="5">
        <v>15</v>
      </c>
      <c r="AC1389" s="2" t="s">
        <v>173</v>
      </c>
      <c r="AD1389" s="4">
        <v>150</v>
      </c>
      <c r="AE1389" s="4">
        <v>150</v>
      </c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1</v>
      </c>
      <c r="AQ1389" s="8">
        <v>48.99</v>
      </c>
      <c r="AR1389" s="4"/>
      <c r="AS1389" s="8"/>
      <c r="AT1389" s="7"/>
      <c r="AU1389" s="7"/>
      <c r="AV1389" s="4">
        <v>1</v>
      </c>
      <c r="AW1389" s="8">
        <v>48.99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>
        <v>1</v>
      </c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>
        <v>0.0431</v>
      </c>
      <c r="BJ1389" s="4">
        <v>17</v>
      </c>
      <c r="BK1389" s="8">
        <v>894.77</v>
      </c>
      <c r="BL1389" s="2" t="s">
        <v>5290</v>
      </c>
      <c r="BM1389" s="7">
        <v>0.0588</v>
      </c>
      <c r="BN1389" s="7">
        <v>0.0548</v>
      </c>
      <c r="BO1389" s="4">
        <v>1</v>
      </c>
      <c r="BP1389" s="8">
        <v>48.99</v>
      </c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4901</v>
      </c>
      <c r="BX1389" s="2" t="s">
        <v>5291</v>
      </c>
      <c r="BY1389" s="2" t="s">
        <v>112</v>
      </c>
      <c r="BZ1389" s="2" t="s">
        <v>100</v>
      </c>
    </row>
    <row r="1390">
      <c r="A1390" s="2" t="s">
        <v>5292</v>
      </c>
      <c r="B1390" s="2" t="s">
        <v>5155</v>
      </c>
      <c r="C1390" s="2" t="s">
        <v>5095</v>
      </c>
      <c r="D1390" s="2" t="s">
        <v>5156</v>
      </c>
      <c r="E1390" s="2" t="s">
        <v>5157</v>
      </c>
      <c r="F1390" s="2" t="s">
        <v>5234</v>
      </c>
      <c r="G1390" s="2" t="s">
        <v>5234</v>
      </c>
      <c r="H1390" s="2" t="s">
        <v>5234</v>
      </c>
      <c r="I1390" s="2" t="s">
        <v>5235</v>
      </c>
      <c r="J1390" s="2" t="s">
        <v>490</v>
      </c>
      <c r="K1390" s="2" t="s">
        <v>471</v>
      </c>
      <c r="L1390" s="3">
        <v>52.8</v>
      </c>
      <c r="M1390" s="3">
        <v>55.44</v>
      </c>
      <c r="N1390" s="3">
        <v>109.99</v>
      </c>
      <c r="O1390" s="2" t="s">
        <v>97</v>
      </c>
      <c r="P1390" s="2" t="s">
        <v>123</v>
      </c>
      <c r="Q1390" s="2" t="s">
        <v>99</v>
      </c>
      <c r="R1390" s="2" t="s">
        <v>100</v>
      </c>
      <c r="S1390" s="2" t="s">
        <v>5289</v>
      </c>
      <c r="T1390" s="2" t="s">
        <v>4296</v>
      </c>
      <c r="U1390" s="2" t="s">
        <v>1776</v>
      </c>
      <c r="V1390" s="2" t="s">
        <v>461</v>
      </c>
      <c r="W1390" s="2" t="s">
        <v>609</v>
      </c>
      <c r="X1390" s="2" t="s">
        <v>100</v>
      </c>
      <c r="Y1390" s="2" t="s">
        <v>3926</v>
      </c>
      <c r="Z1390" s="4"/>
      <c r="AA1390" s="4">
        <f>=ROUNDDOWN({0},0)</f>
      </c>
      <c r="AB1390" s="5">
        <v>23</v>
      </c>
      <c r="AC1390" s="2" t="s">
        <v>173</v>
      </c>
      <c r="AD1390" s="4">
        <v>150</v>
      </c>
      <c r="AE1390" s="4">
        <v>250</v>
      </c>
      <c r="AF1390" s="6">
        <v>65</v>
      </c>
      <c r="AG1390" s="6"/>
      <c r="AH1390" s="7">
        <v>0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100</v>
      </c>
      <c r="AW1390" s="8" t="s">
        <v>100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/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 t="s">
        <v>100</v>
      </c>
      <c r="BJ1390" s="4"/>
      <c r="BK1390" s="8"/>
      <c r="BL1390" s="2" t="s">
        <v>100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4901</v>
      </c>
      <c r="BX1390" s="2" t="s">
        <v>1626</v>
      </c>
      <c r="BY1390" s="2" t="s">
        <v>112</v>
      </c>
      <c r="BZ1390" s="2" t="s">
        <v>100</v>
      </c>
    </row>
    <row r="1391">
      <c r="A1391" s="2" t="s">
        <v>5293</v>
      </c>
      <c r="B1391" s="2" t="s">
        <v>5155</v>
      </c>
      <c r="C1391" s="2" t="s">
        <v>5095</v>
      </c>
      <c r="D1391" s="2" t="s">
        <v>5156</v>
      </c>
      <c r="E1391" s="2" t="s">
        <v>5157</v>
      </c>
      <c r="F1391" s="2" t="s">
        <v>5234</v>
      </c>
      <c r="G1391" s="2" t="s">
        <v>5234</v>
      </c>
      <c r="H1391" s="2" t="s">
        <v>5234</v>
      </c>
      <c r="I1391" s="2" t="s">
        <v>5235</v>
      </c>
      <c r="J1391" s="2" t="s">
        <v>95</v>
      </c>
      <c r="K1391" s="2" t="s">
        <v>471</v>
      </c>
      <c r="L1391" s="3">
        <v>73.5</v>
      </c>
      <c r="M1391" s="3">
        <v>77.18</v>
      </c>
      <c r="N1391" s="3">
        <v>149.99</v>
      </c>
      <c r="O1391" s="2" t="s">
        <v>97</v>
      </c>
      <c r="P1391" s="2" t="s">
        <v>123</v>
      </c>
      <c r="Q1391" s="2" t="s">
        <v>99</v>
      </c>
      <c r="R1391" s="2" t="s">
        <v>100</v>
      </c>
      <c r="S1391" s="2" t="s">
        <v>5289</v>
      </c>
      <c r="T1391" s="2" t="s">
        <v>4296</v>
      </c>
      <c r="U1391" s="2" t="s">
        <v>1776</v>
      </c>
      <c r="V1391" s="2" t="s">
        <v>461</v>
      </c>
      <c r="W1391" s="2" t="s">
        <v>609</v>
      </c>
      <c r="X1391" s="2" t="s">
        <v>100</v>
      </c>
      <c r="Y1391" s="2" t="s">
        <v>3926</v>
      </c>
      <c r="Z1391" s="4"/>
      <c r="AA1391" s="4">
        <f>=ROUNDDOWN({0},0)</f>
      </c>
      <c r="AB1391" s="5">
        <v>28</v>
      </c>
      <c r="AC1391" s="2" t="s">
        <v>173</v>
      </c>
      <c r="AD1391" s="4">
        <v>170</v>
      </c>
      <c r="AE1391" s="4">
        <v>270</v>
      </c>
      <c r="AF1391" s="6">
        <v>65</v>
      </c>
      <c r="AG1391" s="6"/>
      <c r="AH1391" s="7">
        <v>0.0968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/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 t="s">
        <v>100</v>
      </c>
      <c r="BJ1391" s="4">
        <v>15</v>
      </c>
      <c r="BK1391" s="8">
        <v>1232.64</v>
      </c>
      <c r="BL1391" s="2" t="s">
        <v>5294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109</v>
      </c>
      <c r="BV1391" s="2" t="s">
        <v>97</v>
      </c>
      <c r="BW1391" s="2" t="s">
        <v>4901</v>
      </c>
      <c r="BX1391" s="2" t="s">
        <v>5295</v>
      </c>
      <c r="BY1391" s="2" t="s">
        <v>112</v>
      </c>
      <c r="BZ1391" s="2" t="s">
        <v>100</v>
      </c>
    </row>
    <row r="1392">
      <c r="A1392" s="2" t="s">
        <v>5296</v>
      </c>
      <c r="B1392" s="2" t="s">
        <v>5155</v>
      </c>
      <c r="C1392" s="2" t="s">
        <v>5095</v>
      </c>
      <c r="D1392" s="2" t="s">
        <v>5156</v>
      </c>
      <c r="E1392" s="2" t="s">
        <v>5157</v>
      </c>
      <c r="F1392" s="2" t="s">
        <v>5234</v>
      </c>
      <c r="G1392" s="2" t="s">
        <v>5234</v>
      </c>
      <c r="H1392" s="2" t="s">
        <v>5234</v>
      </c>
      <c r="I1392" s="2" t="s">
        <v>5235</v>
      </c>
      <c r="J1392" s="2" t="s">
        <v>114</v>
      </c>
      <c r="K1392" s="2" t="s">
        <v>471</v>
      </c>
      <c r="L1392" s="3">
        <v>85</v>
      </c>
      <c r="M1392" s="3">
        <v>89.25</v>
      </c>
      <c r="N1392" s="3">
        <v>169.99</v>
      </c>
      <c r="O1392" s="2" t="s">
        <v>97</v>
      </c>
      <c r="P1392" s="2" t="s">
        <v>123</v>
      </c>
      <c r="Q1392" s="2" t="s">
        <v>99</v>
      </c>
      <c r="R1392" s="2" t="s">
        <v>100</v>
      </c>
      <c r="S1392" s="2" t="s">
        <v>5289</v>
      </c>
      <c r="T1392" s="2" t="s">
        <v>4296</v>
      </c>
      <c r="U1392" s="2" t="s">
        <v>1776</v>
      </c>
      <c r="V1392" s="2" t="s">
        <v>461</v>
      </c>
      <c r="W1392" s="2" t="s">
        <v>609</v>
      </c>
      <c r="X1392" s="2" t="s">
        <v>100</v>
      </c>
      <c r="Y1392" s="2" t="s">
        <v>3926</v>
      </c>
      <c r="Z1392" s="4"/>
      <c r="AA1392" s="4">
        <f>=ROUNDDOWN({0},0)</f>
      </c>
      <c r="AB1392" s="5">
        <v>28</v>
      </c>
      <c r="AC1392" s="2" t="s">
        <v>173</v>
      </c>
      <c r="AD1392" s="4">
        <v>150</v>
      </c>
      <c r="AE1392" s="4">
        <v>300</v>
      </c>
      <c r="AF1392" s="6">
        <v>65</v>
      </c>
      <c r="AG1392" s="6"/>
      <c r="AH1392" s="7">
        <v>0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100</v>
      </c>
      <c r="AW1392" s="8" t="s">
        <v>100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/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 t="s">
        <v>100</v>
      </c>
      <c r="BJ1392" s="4"/>
      <c r="BK1392" s="8"/>
      <c r="BL1392" s="2" t="s">
        <v>100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109</v>
      </c>
      <c r="BV1392" s="2" t="s">
        <v>97</v>
      </c>
      <c r="BW1392" s="2" t="s">
        <v>5297</v>
      </c>
      <c r="BX1392" s="2" t="s">
        <v>5298</v>
      </c>
      <c r="BY1392" s="2" t="s">
        <v>112</v>
      </c>
      <c r="BZ1392" s="2" t="s">
        <v>100</v>
      </c>
    </row>
    <row r="1393">
      <c r="A1393" s="2" t="s">
        <v>5299</v>
      </c>
      <c r="B1393" s="2" t="s">
        <v>5155</v>
      </c>
      <c r="C1393" s="2" t="s">
        <v>5095</v>
      </c>
      <c r="D1393" s="2" t="s">
        <v>5156</v>
      </c>
      <c r="E1393" s="2" t="s">
        <v>5157</v>
      </c>
      <c r="F1393" s="2" t="s">
        <v>5234</v>
      </c>
      <c r="G1393" s="2" t="s">
        <v>5234</v>
      </c>
      <c r="H1393" s="2" t="s">
        <v>5234</v>
      </c>
      <c r="I1393" s="2" t="s">
        <v>5235</v>
      </c>
      <c r="J1393" s="2" t="s">
        <v>1443</v>
      </c>
      <c r="K1393" s="2" t="s">
        <v>165</v>
      </c>
      <c r="L1393" s="3">
        <v>47</v>
      </c>
      <c r="M1393" s="3">
        <v>49.35</v>
      </c>
      <c r="N1393" s="3">
        <v>99.99</v>
      </c>
      <c r="O1393" s="2" t="s">
        <v>97</v>
      </c>
      <c r="P1393" s="2" t="s">
        <v>156</v>
      </c>
      <c r="Q1393" s="2" t="s">
        <v>99</v>
      </c>
      <c r="R1393" s="2" t="s">
        <v>100</v>
      </c>
      <c r="S1393" s="2" t="s">
        <v>5300</v>
      </c>
      <c r="T1393" s="2" t="s">
        <v>4296</v>
      </c>
      <c r="U1393" s="2" t="s">
        <v>1776</v>
      </c>
      <c r="V1393" s="2" t="s">
        <v>461</v>
      </c>
      <c r="W1393" s="2" t="s">
        <v>609</v>
      </c>
      <c r="X1393" s="2" t="s">
        <v>100</v>
      </c>
      <c r="Y1393" s="2" t="s">
        <v>3926</v>
      </c>
      <c r="Z1393" s="4">
        <v>55</v>
      </c>
      <c r="AA1393" s="4">
        <f>=ROUNDDOWN(6.11111111111111,0)</f>
      </c>
      <c r="AB1393" s="5">
        <v>9</v>
      </c>
      <c r="AC1393" s="2" t="s">
        <v>100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100</v>
      </c>
      <c r="AW1393" s="8" t="s">
        <v>100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/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 t="s">
        <v>100</v>
      </c>
      <c r="BJ1393" s="4">
        <v>14</v>
      </c>
      <c r="BK1393" s="8">
        <v>734.73</v>
      </c>
      <c r="BL1393" s="2" t="s">
        <v>5301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4901</v>
      </c>
      <c r="BX1393" s="2" t="s">
        <v>2246</v>
      </c>
      <c r="BY1393" s="2" t="s">
        <v>112</v>
      </c>
      <c r="BZ1393" s="2" t="s">
        <v>100</v>
      </c>
    </row>
    <row r="1394">
      <c r="A1394" s="2" t="s">
        <v>5302</v>
      </c>
      <c r="B1394" s="2" t="s">
        <v>5155</v>
      </c>
      <c r="C1394" s="2" t="s">
        <v>5095</v>
      </c>
      <c r="D1394" s="2" t="s">
        <v>5156</v>
      </c>
      <c r="E1394" s="2" t="s">
        <v>5157</v>
      </c>
      <c r="F1394" s="2" t="s">
        <v>5234</v>
      </c>
      <c r="G1394" s="2" t="s">
        <v>5234</v>
      </c>
      <c r="H1394" s="2" t="s">
        <v>5234</v>
      </c>
      <c r="I1394" s="2" t="s">
        <v>5235</v>
      </c>
      <c r="J1394" s="2" t="s">
        <v>490</v>
      </c>
      <c r="K1394" s="2" t="s">
        <v>165</v>
      </c>
      <c r="L1394" s="3">
        <v>52.8</v>
      </c>
      <c r="M1394" s="3">
        <v>55.44</v>
      </c>
      <c r="N1394" s="3">
        <v>109.99</v>
      </c>
      <c r="O1394" s="2" t="s">
        <v>97</v>
      </c>
      <c r="P1394" s="2" t="s">
        <v>156</v>
      </c>
      <c r="Q1394" s="2" t="s">
        <v>99</v>
      </c>
      <c r="R1394" s="2" t="s">
        <v>100</v>
      </c>
      <c r="S1394" s="2" t="s">
        <v>5300</v>
      </c>
      <c r="T1394" s="2" t="s">
        <v>4296</v>
      </c>
      <c r="U1394" s="2" t="s">
        <v>1776</v>
      </c>
      <c r="V1394" s="2" t="s">
        <v>461</v>
      </c>
      <c r="W1394" s="2" t="s">
        <v>609</v>
      </c>
      <c r="X1394" s="2" t="s">
        <v>100</v>
      </c>
      <c r="Y1394" s="2" t="s">
        <v>3926</v>
      </c>
      <c r="Z1394" s="4"/>
      <c r="AA1394" s="4">
        <f>=ROUNDDOWN({0},0)</f>
      </c>
      <c r="AB1394" s="5">
        <v>18</v>
      </c>
      <c r="AC1394" s="2" t="s">
        <v>173</v>
      </c>
      <c r="AD1394" s="4">
        <v>150</v>
      </c>
      <c r="AE1394" s="4">
        <v>150</v>
      </c>
      <c r="AF1394" s="6">
        <v>65</v>
      </c>
      <c r="AG1394" s="6"/>
      <c r="AH1394" s="7">
        <v>0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/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 t="s">
        <v>100</v>
      </c>
      <c r="BJ1394" s="4"/>
      <c r="BK1394" s="8"/>
      <c r="BL1394" s="2" t="s">
        <v>100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4901</v>
      </c>
      <c r="BX1394" s="2" t="s">
        <v>5303</v>
      </c>
      <c r="BY1394" s="2" t="s">
        <v>112</v>
      </c>
      <c r="BZ1394" s="2" t="s">
        <v>100</v>
      </c>
    </row>
    <row r="1395">
      <c r="A1395" s="2" t="s">
        <v>5304</v>
      </c>
      <c r="B1395" s="2" t="s">
        <v>5155</v>
      </c>
      <c r="C1395" s="2" t="s">
        <v>5095</v>
      </c>
      <c r="D1395" s="2" t="s">
        <v>5156</v>
      </c>
      <c r="E1395" s="2" t="s">
        <v>5157</v>
      </c>
      <c r="F1395" s="2" t="s">
        <v>5234</v>
      </c>
      <c r="G1395" s="2" t="s">
        <v>5234</v>
      </c>
      <c r="H1395" s="2" t="s">
        <v>5234</v>
      </c>
      <c r="I1395" s="2" t="s">
        <v>5235</v>
      </c>
      <c r="J1395" s="2" t="s">
        <v>95</v>
      </c>
      <c r="K1395" s="2" t="s">
        <v>165</v>
      </c>
      <c r="L1395" s="3">
        <v>73.5</v>
      </c>
      <c r="M1395" s="3">
        <v>77.18</v>
      </c>
      <c r="N1395" s="3">
        <v>149.99</v>
      </c>
      <c r="O1395" s="2" t="s">
        <v>97</v>
      </c>
      <c r="P1395" s="2" t="s">
        <v>156</v>
      </c>
      <c r="Q1395" s="2" t="s">
        <v>99</v>
      </c>
      <c r="R1395" s="2" t="s">
        <v>100</v>
      </c>
      <c r="S1395" s="2" t="s">
        <v>5300</v>
      </c>
      <c r="T1395" s="2" t="s">
        <v>4296</v>
      </c>
      <c r="U1395" s="2" t="s">
        <v>1776</v>
      </c>
      <c r="V1395" s="2" t="s">
        <v>461</v>
      </c>
      <c r="W1395" s="2" t="s">
        <v>609</v>
      </c>
      <c r="X1395" s="2" t="s">
        <v>100</v>
      </c>
      <c r="Y1395" s="2" t="s">
        <v>3926</v>
      </c>
      <c r="Z1395" s="4">
        <v>242</v>
      </c>
      <c r="AA1395" s="4">
        <f>=ROUNDDOWN(11.5238095238095,0)</f>
      </c>
      <c r="AB1395" s="5">
        <v>21</v>
      </c>
      <c r="AC1395" s="2" t="s">
        <v>100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100</v>
      </c>
      <c r="AW1395" s="8" t="s">
        <v>100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/>
      <c r="BC1395" s="4" t="s">
        <v>100</v>
      </c>
      <c r="BD1395" s="8" t="s">
        <v>100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 t="s">
        <v>100</v>
      </c>
      <c r="BJ1395" s="4">
        <v>14</v>
      </c>
      <c r="BK1395" s="8">
        <v>1130.56</v>
      </c>
      <c r="BL1395" s="2" t="s">
        <v>5305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109</v>
      </c>
      <c r="BV1395" s="2" t="s">
        <v>97</v>
      </c>
      <c r="BW1395" s="2" t="s">
        <v>4901</v>
      </c>
      <c r="BX1395" s="2" t="s">
        <v>3635</v>
      </c>
      <c r="BY1395" s="2" t="s">
        <v>112</v>
      </c>
      <c r="BZ1395" s="2" t="s">
        <v>100</v>
      </c>
    </row>
    <row r="1396">
      <c r="A1396" s="2" t="s">
        <v>5306</v>
      </c>
      <c r="B1396" s="2" t="s">
        <v>5155</v>
      </c>
      <c r="C1396" s="2" t="s">
        <v>5095</v>
      </c>
      <c r="D1396" s="2" t="s">
        <v>5156</v>
      </c>
      <c r="E1396" s="2" t="s">
        <v>5157</v>
      </c>
      <c r="F1396" s="2" t="s">
        <v>5234</v>
      </c>
      <c r="G1396" s="2" t="s">
        <v>5234</v>
      </c>
      <c r="H1396" s="2" t="s">
        <v>5234</v>
      </c>
      <c r="I1396" s="2" t="s">
        <v>5235</v>
      </c>
      <c r="J1396" s="2" t="s">
        <v>114</v>
      </c>
      <c r="K1396" s="2" t="s">
        <v>165</v>
      </c>
      <c r="L1396" s="3">
        <v>85</v>
      </c>
      <c r="M1396" s="3">
        <v>89.25</v>
      </c>
      <c r="N1396" s="3">
        <v>169.99</v>
      </c>
      <c r="O1396" s="2" t="s">
        <v>97</v>
      </c>
      <c r="P1396" s="2" t="s">
        <v>156</v>
      </c>
      <c r="Q1396" s="2" t="s">
        <v>99</v>
      </c>
      <c r="R1396" s="2" t="s">
        <v>100</v>
      </c>
      <c r="S1396" s="2" t="s">
        <v>5300</v>
      </c>
      <c r="T1396" s="2" t="s">
        <v>4296</v>
      </c>
      <c r="U1396" s="2" t="s">
        <v>1776</v>
      </c>
      <c r="V1396" s="2" t="s">
        <v>461</v>
      </c>
      <c r="W1396" s="2" t="s">
        <v>609</v>
      </c>
      <c r="X1396" s="2" t="s">
        <v>100</v>
      </c>
      <c r="Y1396" s="2" t="s">
        <v>3926</v>
      </c>
      <c r="Z1396" s="4"/>
      <c r="AA1396" s="4">
        <f>=ROUNDDOWN({0},0)</f>
      </c>
      <c r="AB1396" s="5">
        <v>29</v>
      </c>
      <c r="AC1396" s="2" t="s">
        <v>173</v>
      </c>
      <c r="AD1396" s="4">
        <v>160</v>
      </c>
      <c r="AE1396" s="4">
        <v>260</v>
      </c>
      <c r="AF1396" s="6">
        <v>65</v>
      </c>
      <c r="AG1396" s="6"/>
      <c r="AH1396" s="7">
        <v>0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100</v>
      </c>
      <c r="AW1396" s="8" t="s">
        <v>100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/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 t="s">
        <v>100</v>
      </c>
      <c r="BJ1396" s="4"/>
      <c r="BK1396" s="8"/>
      <c r="BL1396" s="2" t="s">
        <v>100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109</v>
      </c>
      <c r="BV1396" s="2" t="s">
        <v>97</v>
      </c>
      <c r="BW1396" s="2" t="s">
        <v>4901</v>
      </c>
      <c r="BX1396" s="2" t="s">
        <v>1544</v>
      </c>
      <c r="BY1396" s="2" t="s">
        <v>112</v>
      </c>
      <c r="BZ1396" s="2" t="s">
        <v>100</v>
      </c>
    </row>
    <row r="1397">
      <c r="A1397" s="2" t="s">
        <v>5307</v>
      </c>
      <c r="B1397" s="2" t="s">
        <v>5155</v>
      </c>
      <c r="C1397" s="2" t="s">
        <v>5095</v>
      </c>
      <c r="D1397" s="2" t="s">
        <v>5156</v>
      </c>
      <c r="E1397" s="2" t="s">
        <v>5157</v>
      </c>
      <c r="F1397" s="2" t="s">
        <v>5234</v>
      </c>
      <c r="G1397" s="2" t="s">
        <v>5234</v>
      </c>
      <c r="H1397" s="2" t="s">
        <v>5234</v>
      </c>
      <c r="I1397" s="2" t="s">
        <v>5235</v>
      </c>
      <c r="J1397" s="2" t="s">
        <v>1443</v>
      </c>
      <c r="K1397" s="2" t="s">
        <v>386</v>
      </c>
      <c r="L1397" s="3">
        <v>47</v>
      </c>
      <c r="M1397" s="3">
        <v>49.35</v>
      </c>
      <c r="N1397" s="3">
        <v>99.99</v>
      </c>
      <c r="O1397" s="2" t="s">
        <v>97</v>
      </c>
      <c r="P1397" s="2" t="s">
        <v>98</v>
      </c>
      <c r="Q1397" s="2" t="s">
        <v>99</v>
      </c>
      <c r="R1397" s="2" t="s">
        <v>100</v>
      </c>
      <c r="S1397" s="2" t="s">
        <v>5308</v>
      </c>
      <c r="T1397" s="2" t="s">
        <v>4296</v>
      </c>
      <c r="U1397" s="2" t="s">
        <v>1776</v>
      </c>
      <c r="V1397" s="2" t="s">
        <v>461</v>
      </c>
      <c r="W1397" s="2" t="s">
        <v>609</v>
      </c>
      <c r="X1397" s="2" t="s">
        <v>100</v>
      </c>
      <c r="Y1397" s="2" t="s">
        <v>5309</v>
      </c>
      <c r="Z1397" s="4">
        <v>82</v>
      </c>
      <c r="AA1397" s="4">
        <f>=ROUNDDOWN(6.83333333333333,0)</f>
      </c>
      <c r="AB1397" s="5">
        <v>12</v>
      </c>
      <c r="AC1397" s="2" t="s">
        <v>173</v>
      </c>
      <c r="AD1397" s="4">
        <v>150</v>
      </c>
      <c r="AE1397" s="4">
        <v>150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100</v>
      </c>
      <c r="AW1397" s="8" t="s">
        <v>100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/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 t="s">
        <v>100</v>
      </c>
      <c r="BJ1397" s="4">
        <v>6</v>
      </c>
      <c r="BK1397" s="8">
        <v>314.16</v>
      </c>
      <c r="BL1397" s="2" t="s">
        <v>5310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171</v>
      </c>
      <c r="BV1397" s="2" t="s">
        <v>97</v>
      </c>
      <c r="BW1397" s="2" t="s">
        <v>100</v>
      </c>
      <c r="BX1397" s="2" t="s">
        <v>100</v>
      </c>
      <c r="BY1397" s="2" t="s">
        <v>112</v>
      </c>
      <c r="BZ1397" s="2" t="s">
        <v>100</v>
      </c>
    </row>
    <row r="1398">
      <c r="A1398" s="2" t="s">
        <v>5311</v>
      </c>
      <c r="B1398" s="2" t="s">
        <v>5155</v>
      </c>
      <c r="C1398" s="2" t="s">
        <v>5095</v>
      </c>
      <c r="D1398" s="2" t="s">
        <v>5156</v>
      </c>
      <c r="E1398" s="2" t="s">
        <v>5157</v>
      </c>
      <c r="F1398" s="2" t="s">
        <v>5234</v>
      </c>
      <c r="G1398" s="2" t="s">
        <v>5234</v>
      </c>
      <c r="H1398" s="2" t="s">
        <v>5234</v>
      </c>
      <c r="I1398" s="2" t="s">
        <v>5235</v>
      </c>
      <c r="J1398" s="2" t="s">
        <v>490</v>
      </c>
      <c r="K1398" s="2" t="s">
        <v>386</v>
      </c>
      <c r="L1398" s="3">
        <v>52.8</v>
      </c>
      <c r="M1398" s="3">
        <v>55.44</v>
      </c>
      <c r="N1398" s="3">
        <v>109.99</v>
      </c>
      <c r="O1398" s="2" t="s">
        <v>97</v>
      </c>
      <c r="P1398" s="2" t="s">
        <v>98</v>
      </c>
      <c r="Q1398" s="2" t="s">
        <v>99</v>
      </c>
      <c r="R1398" s="2" t="s">
        <v>100</v>
      </c>
      <c r="S1398" s="2" t="s">
        <v>5308</v>
      </c>
      <c r="T1398" s="2" t="s">
        <v>4296</v>
      </c>
      <c r="U1398" s="2" t="s">
        <v>1776</v>
      </c>
      <c r="V1398" s="2" t="s">
        <v>461</v>
      </c>
      <c r="W1398" s="2" t="s">
        <v>609</v>
      </c>
      <c r="X1398" s="2" t="s">
        <v>100</v>
      </c>
      <c r="Y1398" s="2" t="s">
        <v>5309</v>
      </c>
      <c r="Z1398" s="4">
        <v>159</v>
      </c>
      <c r="AA1398" s="4">
        <f>=ROUNDDOWN(8.36842105263158,0)</f>
      </c>
      <c r="AB1398" s="5">
        <v>19</v>
      </c>
      <c r="AC1398" s="2" t="s">
        <v>173</v>
      </c>
      <c r="AD1398" s="4">
        <v>150</v>
      </c>
      <c r="AE1398" s="4">
        <v>150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/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 t="s">
        <v>100</v>
      </c>
      <c r="BJ1398" s="4">
        <v>7</v>
      </c>
      <c r="BK1398" s="8">
        <v>397.1</v>
      </c>
      <c r="BL1398" s="2" t="s">
        <v>5312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171</v>
      </c>
      <c r="BV1398" s="2" t="s">
        <v>97</v>
      </c>
      <c r="BW1398" s="2" t="s">
        <v>100</v>
      </c>
      <c r="BX1398" s="2" t="s">
        <v>100</v>
      </c>
      <c r="BY1398" s="2" t="s">
        <v>112</v>
      </c>
      <c r="BZ1398" s="2" t="s">
        <v>100</v>
      </c>
    </row>
    <row r="1399">
      <c r="A1399" s="2" t="s">
        <v>5313</v>
      </c>
      <c r="B1399" s="2" t="s">
        <v>5155</v>
      </c>
      <c r="C1399" s="2" t="s">
        <v>5095</v>
      </c>
      <c r="D1399" s="2" t="s">
        <v>5156</v>
      </c>
      <c r="E1399" s="2" t="s">
        <v>5157</v>
      </c>
      <c r="F1399" s="2" t="s">
        <v>5234</v>
      </c>
      <c r="G1399" s="2" t="s">
        <v>5234</v>
      </c>
      <c r="H1399" s="2" t="s">
        <v>5234</v>
      </c>
      <c r="I1399" s="2" t="s">
        <v>5235</v>
      </c>
      <c r="J1399" s="2" t="s">
        <v>95</v>
      </c>
      <c r="K1399" s="2" t="s">
        <v>386</v>
      </c>
      <c r="L1399" s="3">
        <v>73.5</v>
      </c>
      <c r="M1399" s="3">
        <v>77.18</v>
      </c>
      <c r="N1399" s="3">
        <v>149.99</v>
      </c>
      <c r="O1399" s="2" t="s">
        <v>97</v>
      </c>
      <c r="P1399" s="2" t="s">
        <v>98</v>
      </c>
      <c r="Q1399" s="2" t="s">
        <v>99</v>
      </c>
      <c r="R1399" s="2" t="s">
        <v>100</v>
      </c>
      <c r="S1399" s="2" t="s">
        <v>5308</v>
      </c>
      <c r="T1399" s="2" t="s">
        <v>4296</v>
      </c>
      <c r="U1399" s="2" t="s">
        <v>1776</v>
      </c>
      <c r="V1399" s="2" t="s">
        <v>461</v>
      </c>
      <c r="W1399" s="2" t="s">
        <v>609</v>
      </c>
      <c r="X1399" s="2" t="s">
        <v>100</v>
      </c>
      <c r="Y1399" s="2" t="s">
        <v>5314</v>
      </c>
      <c r="Z1399" s="4">
        <v>298</v>
      </c>
      <c r="AA1399" s="4">
        <f>=ROUNDDOWN(14.9,0)</f>
      </c>
      <c r="AB1399" s="5">
        <v>20</v>
      </c>
      <c r="AC1399" s="2" t="s">
        <v>100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100</v>
      </c>
      <c r="AW1399" s="8" t="s">
        <v>100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/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 t="s">
        <v>100</v>
      </c>
      <c r="BJ1399" s="4">
        <v>23</v>
      </c>
      <c r="BK1399" s="8">
        <v>1803.75</v>
      </c>
      <c r="BL1399" s="2" t="s">
        <v>5315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171</v>
      </c>
      <c r="BV1399" s="2" t="s">
        <v>97</v>
      </c>
      <c r="BW1399" s="2" t="s">
        <v>100</v>
      </c>
      <c r="BX1399" s="2" t="s">
        <v>100</v>
      </c>
      <c r="BY1399" s="2" t="s">
        <v>112</v>
      </c>
      <c r="BZ1399" s="2" t="s">
        <v>100</v>
      </c>
    </row>
    <row r="1400">
      <c r="A1400" s="2" t="s">
        <v>5316</v>
      </c>
      <c r="B1400" s="2" t="s">
        <v>5155</v>
      </c>
      <c r="C1400" s="2" t="s">
        <v>5095</v>
      </c>
      <c r="D1400" s="2" t="s">
        <v>5156</v>
      </c>
      <c r="E1400" s="2" t="s">
        <v>5157</v>
      </c>
      <c r="F1400" s="2" t="s">
        <v>5234</v>
      </c>
      <c r="G1400" s="2" t="s">
        <v>5234</v>
      </c>
      <c r="H1400" s="2" t="s">
        <v>5234</v>
      </c>
      <c r="I1400" s="2" t="s">
        <v>5235</v>
      </c>
      <c r="J1400" s="2" t="s">
        <v>114</v>
      </c>
      <c r="K1400" s="2" t="s">
        <v>386</v>
      </c>
      <c r="L1400" s="3">
        <v>85</v>
      </c>
      <c r="M1400" s="3">
        <v>89.25</v>
      </c>
      <c r="N1400" s="3">
        <v>169.99</v>
      </c>
      <c r="O1400" s="2" t="s">
        <v>97</v>
      </c>
      <c r="P1400" s="2" t="s">
        <v>98</v>
      </c>
      <c r="Q1400" s="2" t="s">
        <v>99</v>
      </c>
      <c r="R1400" s="2" t="s">
        <v>100</v>
      </c>
      <c r="S1400" s="2" t="s">
        <v>5308</v>
      </c>
      <c r="T1400" s="2" t="s">
        <v>4296</v>
      </c>
      <c r="U1400" s="2" t="s">
        <v>1776</v>
      </c>
      <c r="V1400" s="2" t="s">
        <v>461</v>
      </c>
      <c r="W1400" s="2" t="s">
        <v>609</v>
      </c>
      <c r="X1400" s="2" t="s">
        <v>100</v>
      </c>
      <c r="Y1400" s="2" t="s">
        <v>5314</v>
      </c>
      <c r="Z1400" s="4">
        <v>401</v>
      </c>
      <c r="AA1400" s="4">
        <f>=ROUNDDOWN(19.0952380952381,0)</f>
      </c>
      <c r="AB1400" s="5">
        <v>21</v>
      </c>
      <c r="AC1400" s="2" t="s">
        <v>100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100</v>
      </c>
      <c r="AW1400" s="8" t="s">
        <v>100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/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 t="s">
        <v>100</v>
      </c>
      <c r="BJ1400" s="4">
        <v>15</v>
      </c>
      <c r="BK1400" s="8">
        <v>1346.11</v>
      </c>
      <c r="BL1400" s="2" t="s">
        <v>5317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171</v>
      </c>
      <c r="BV1400" s="2" t="s">
        <v>97</v>
      </c>
      <c r="BW1400" s="2" t="s">
        <v>100</v>
      </c>
      <c r="BX1400" s="2" t="s">
        <v>100</v>
      </c>
      <c r="BY1400" s="2" t="s">
        <v>112</v>
      </c>
      <c r="BZ1400" s="2" t="s">
        <v>100</v>
      </c>
    </row>
    <row r="1401">
      <c r="A1401" s="2" t="s">
        <v>5318</v>
      </c>
      <c r="B1401" s="2" t="s">
        <v>5155</v>
      </c>
      <c r="C1401" s="2" t="s">
        <v>5095</v>
      </c>
      <c r="D1401" s="2" t="s">
        <v>5156</v>
      </c>
      <c r="E1401" s="2" t="s">
        <v>5157</v>
      </c>
      <c r="F1401" s="2" t="s">
        <v>5234</v>
      </c>
      <c r="G1401" s="2" t="s">
        <v>5234</v>
      </c>
      <c r="H1401" s="2" t="s">
        <v>5234</v>
      </c>
      <c r="I1401" s="2" t="s">
        <v>5235</v>
      </c>
      <c r="J1401" s="2" t="s">
        <v>1443</v>
      </c>
      <c r="K1401" s="2" t="s">
        <v>842</v>
      </c>
      <c r="L1401" s="3">
        <v>47</v>
      </c>
      <c r="M1401" s="3">
        <v>49.35</v>
      </c>
      <c r="N1401" s="3">
        <v>99.99</v>
      </c>
      <c r="O1401" s="2" t="s">
        <v>97</v>
      </c>
      <c r="P1401" s="2" t="s">
        <v>98</v>
      </c>
      <c r="Q1401" s="2" t="s">
        <v>99</v>
      </c>
      <c r="R1401" s="2" t="s">
        <v>100</v>
      </c>
      <c r="S1401" s="2" t="s">
        <v>5319</v>
      </c>
      <c r="T1401" s="2" t="s">
        <v>4296</v>
      </c>
      <c r="U1401" s="2" t="s">
        <v>1776</v>
      </c>
      <c r="V1401" s="2" t="s">
        <v>461</v>
      </c>
      <c r="W1401" s="2" t="s">
        <v>609</v>
      </c>
      <c r="X1401" s="2" t="s">
        <v>100</v>
      </c>
      <c r="Y1401" s="2" t="s">
        <v>5309</v>
      </c>
      <c r="Z1401" s="4">
        <v>3</v>
      </c>
      <c r="AA1401" s="4">
        <f>=ROUNDDOWN(0.230769230769231,0)</f>
      </c>
      <c r="AB1401" s="5">
        <v>13</v>
      </c>
      <c r="AC1401" s="2" t="s">
        <v>173</v>
      </c>
      <c r="AD1401" s="4">
        <v>150</v>
      </c>
      <c r="AE1401" s="4">
        <v>150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/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 t="s">
        <v>100</v>
      </c>
      <c r="BJ1401" s="4">
        <v>3</v>
      </c>
      <c r="BK1401" s="8">
        <v>151.68</v>
      </c>
      <c r="BL1401" s="2" t="s">
        <v>2605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171</v>
      </c>
      <c r="BV1401" s="2" t="s">
        <v>97</v>
      </c>
      <c r="BW1401" s="2" t="s">
        <v>100</v>
      </c>
      <c r="BX1401" s="2" t="s">
        <v>100</v>
      </c>
      <c r="BY1401" s="2" t="s">
        <v>112</v>
      </c>
      <c r="BZ1401" s="2" t="s">
        <v>100</v>
      </c>
    </row>
    <row r="1402">
      <c r="A1402" s="2" t="s">
        <v>5320</v>
      </c>
      <c r="B1402" s="2" t="s">
        <v>5155</v>
      </c>
      <c r="C1402" s="2" t="s">
        <v>5095</v>
      </c>
      <c r="D1402" s="2" t="s">
        <v>5156</v>
      </c>
      <c r="E1402" s="2" t="s">
        <v>5157</v>
      </c>
      <c r="F1402" s="2" t="s">
        <v>5234</v>
      </c>
      <c r="G1402" s="2" t="s">
        <v>5234</v>
      </c>
      <c r="H1402" s="2" t="s">
        <v>5234</v>
      </c>
      <c r="I1402" s="2" t="s">
        <v>5235</v>
      </c>
      <c r="J1402" s="2" t="s">
        <v>490</v>
      </c>
      <c r="K1402" s="2" t="s">
        <v>842</v>
      </c>
      <c r="L1402" s="3">
        <v>52.8</v>
      </c>
      <c r="M1402" s="3">
        <v>55.44</v>
      </c>
      <c r="N1402" s="3">
        <v>109.99</v>
      </c>
      <c r="O1402" s="2" t="s">
        <v>97</v>
      </c>
      <c r="P1402" s="2" t="s">
        <v>98</v>
      </c>
      <c r="Q1402" s="2" t="s">
        <v>99</v>
      </c>
      <c r="R1402" s="2" t="s">
        <v>100</v>
      </c>
      <c r="S1402" s="2" t="s">
        <v>5319</v>
      </c>
      <c r="T1402" s="2" t="s">
        <v>4296</v>
      </c>
      <c r="U1402" s="2" t="s">
        <v>1776</v>
      </c>
      <c r="V1402" s="2" t="s">
        <v>461</v>
      </c>
      <c r="W1402" s="2" t="s">
        <v>609</v>
      </c>
      <c r="X1402" s="2" t="s">
        <v>100</v>
      </c>
      <c r="Y1402" s="2" t="s">
        <v>5309</v>
      </c>
      <c r="Z1402" s="4">
        <v>169</v>
      </c>
      <c r="AA1402" s="4">
        <f>=ROUNDDOWN(10.5625,0)</f>
      </c>
      <c r="AB1402" s="5">
        <v>16</v>
      </c>
      <c r="AC1402" s="2" t="s">
        <v>100</v>
      </c>
      <c r="AD1402" s="4"/>
      <c r="AE1402" s="4"/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100</v>
      </c>
      <c r="AW1402" s="8" t="s">
        <v>100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/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 t="s">
        <v>100</v>
      </c>
      <c r="BJ1402" s="4">
        <v>13</v>
      </c>
      <c r="BK1402" s="8">
        <v>718.87</v>
      </c>
      <c r="BL1402" s="2" t="s">
        <v>2053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171</v>
      </c>
      <c r="BV1402" s="2" t="s">
        <v>97</v>
      </c>
      <c r="BW1402" s="2" t="s">
        <v>100</v>
      </c>
      <c r="BX1402" s="2" t="s">
        <v>100</v>
      </c>
      <c r="BY1402" s="2" t="s">
        <v>112</v>
      </c>
      <c r="BZ1402" s="2" t="s">
        <v>100</v>
      </c>
    </row>
    <row r="1403">
      <c r="A1403" s="2" t="s">
        <v>5321</v>
      </c>
      <c r="B1403" s="2" t="s">
        <v>5155</v>
      </c>
      <c r="C1403" s="2" t="s">
        <v>5095</v>
      </c>
      <c r="D1403" s="2" t="s">
        <v>5156</v>
      </c>
      <c r="E1403" s="2" t="s">
        <v>5157</v>
      </c>
      <c r="F1403" s="2" t="s">
        <v>5234</v>
      </c>
      <c r="G1403" s="2" t="s">
        <v>5234</v>
      </c>
      <c r="H1403" s="2" t="s">
        <v>5234</v>
      </c>
      <c r="I1403" s="2" t="s">
        <v>5235</v>
      </c>
      <c r="J1403" s="2" t="s">
        <v>95</v>
      </c>
      <c r="K1403" s="2" t="s">
        <v>842</v>
      </c>
      <c r="L1403" s="3">
        <v>73.5</v>
      </c>
      <c r="M1403" s="3">
        <v>77.18</v>
      </c>
      <c r="N1403" s="3">
        <v>149.99</v>
      </c>
      <c r="O1403" s="2" t="s">
        <v>97</v>
      </c>
      <c r="P1403" s="2" t="s">
        <v>98</v>
      </c>
      <c r="Q1403" s="2" t="s">
        <v>99</v>
      </c>
      <c r="R1403" s="2" t="s">
        <v>100</v>
      </c>
      <c r="S1403" s="2" t="s">
        <v>5319</v>
      </c>
      <c r="T1403" s="2" t="s">
        <v>4296</v>
      </c>
      <c r="U1403" s="2" t="s">
        <v>1776</v>
      </c>
      <c r="V1403" s="2" t="s">
        <v>461</v>
      </c>
      <c r="W1403" s="2" t="s">
        <v>609</v>
      </c>
      <c r="X1403" s="2" t="s">
        <v>100</v>
      </c>
      <c r="Y1403" s="2" t="s">
        <v>5314</v>
      </c>
      <c r="Z1403" s="4">
        <v>95</v>
      </c>
      <c r="AA1403" s="4">
        <f>=ROUNDDOWN(4.52380952380952,0)</f>
      </c>
      <c r="AB1403" s="5">
        <v>21</v>
      </c>
      <c r="AC1403" s="2" t="s">
        <v>173</v>
      </c>
      <c r="AD1403" s="4">
        <v>150</v>
      </c>
      <c r="AE1403" s="4">
        <v>150</v>
      </c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100</v>
      </c>
      <c r="AW1403" s="8" t="s">
        <v>100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/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 t="s">
        <v>100</v>
      </c>
      <c r="BJ1403" s="4">
        <v>17</v>
      </c>
      <c r="BK1403" s="8">
        <v>1348.46</v>
      </c>
      <c r="BL1403" s="2" t="s">
        <v>603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171</v>
      </c>
      <c r="BV1403" s="2" t="s">
        <v>97</v>
      </c>
      <c r="BW1403" s="2" t="s">
        <v>100</v>
      </c>
      <c r="BX1403" s="2" t="s">
        <v>100</v>
      </c>
      <c r="BY1403" s="2" t="s">
        <v>112</v>
      </c>
      <c r="BZ1403" s="2" t="s">
        <v>100</v>
      </c>
    </row>
    <row r="1404">
      <c r="A1404" s="2" t="s">
        <v>5322</v>
      </c>
      <c r="B1404" s="2" t="s">
        <v>5155</v>
      </c>
      <c r="C1404" s="2" t="s">
        <v>5095</v>
      </c>
      <c r="D1404" s="2" t="s">
        <v>5156</v>
      </c>
      <c r="E1404" s="2" t="s">
        <v>5157</v>
      </c>
      <c r="F1404" s="2" t="s">
        <v>5234</v>
      </c>
      <c r="G1404" s="2" t="s">
        <v>5234</v>
      </c>
      <c r="H1404" s="2" t="s">
        <v>5234</v>
      </c>
      <c r="I1404" s="2" t="s">
        <v>5235</v>
      </c>
      <c r="J1404" s="2" t="s">
        <v>114</v>
      </c>
      <c r="K1404" s="2" t="s">
        <v>842</v>
      </c>
      <c r="L1404" s="3">
        <v>85</v>
      </c>
      <c r="M1404" s="3">
        <v>89.25</v>
      </c>
      <c r="N1404" s="3">
        <v>169.99</v>
      </c>
      <c r="O1404" s="2" t="s">
        <v>97</v>
      </c>
      <c r="P1404" s="2" t="s">
        <v>98</v>
      </c>
      <c r="Q1404" s="2" t="s">
        <v>99</v>
      </c>
      <c r="R1404" s="2" t="s">
        <v>100</v>
      </c>
      <c r="S1404" s="2" t="s">
        <v>5319</v>
      </c>
      <c r="T1404" s="2" t="s">
        <v>4296</v>
      </c>
      <c r="U1404" s="2" t="s">
        <v>1776</v>
      </c>
      <c r="V1404" s="2" t="s">
        <v>461</v>
      </c>
      <c r="W1404" s="2" t="s">
        <v>609</v>
      </c>
      <c r="X1404" s="2" t="s">
        <v>100</v>
      </c>
      <c r="Y1404" s="2" t="s">
        <v>5314</v>
      </c>
      <c r="Z1404" s="4">
        <v>231</v>
      </c>
      <c r="AA1404" s="4">
        <f>=ROUNDDOWN(14.4375,0)</f>
      </c>
      <c r="AB1404" s="5">
        <v>16</v>
      </c>
      <c r="AC1404" s="2" t="s">
        <v>100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100</v>
      </c>
      <c r="AW1404" s="8" t="s">
        <v>100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/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 t="s">
        <v>100</v>
      </c>
      <c r="BJ1404" s="4">
        <v>8</v>
      </c>
      <c r="BK1404" s="8">
        <v>718.52</v>
      </c>
      <c r="BL1404" s="2" t="s">
        <v>5323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171</v>
      </c>
      <c r="BV1404" s="2" t="s">
        <v>97</v>
      </c>
      <c r="BW1404" s="2" t="s">
        <v>100</v>
      </c>
      <c r="BX1404" s="2" t="s">
        <v>100</v>
      </c>
      <c r="BY1404" s="2" t="s">
        <v>112</v>
      </c>
      <c r="BZ1404" s="2" t="s">
        <v>100</v>
      </c>
    </row>
    <row r="1405">
      <c r="A1405" s="2" t="s">
        <v>5324</v>
      </c>
      <c r="B1405" s="2" t="s">
        <v>5155</v>
      </c>
      <c r="C1405" s="2" t="s">
        <v>5095</v>
      </c>
      <c r="D1405" s="2" t="s">
        <v>5156</v>
      </c>
      <c r="E1405" s="2" t="s">
        <v>5157</v>
      </c>
      <c r="F1405" s="2" t="s">
        <v>5325</v>
      </c>
      <c r="G1405" s="2" t="s">
        <v>5325</v>
      </c>
      <c r="H1405" s="2" t="s">
        <v>100</v>
      </c>
      <c r="I1405" s="2" t="s">
        <v>5235</v>
      </c>
      <c r="J1405" s="2" t="s">
        <v>1443</v>
      </c>
      <c r="K1405" s="2" t="s">
        <v>523</v>
      </c>
      <c r="L1405" s="3">
        <v>54.64</v>
      </c>
      <c r="M1405" s="3">
        <v>57.37</v>
      </c>
      <c r="N1405" s="3">
        <v>104.99</v>
      </c>
      <c r="O1405" s="2" t="s">
        <v>97</v>
      </c>
      <c r="P1405" s="2" t="s">
        <v>156</v>
      </c>
      <c r="Q1405" s="2" t="s">
        <v>99</v>
      </c>
      <c r="R1405" s="2" t="s">
        <v>100</v>
      </c>
      <c r="S1405" s="2" t="s">
        <v>5326</v>
      </c>
      <c r="T1405" s="2" t="s">
        <v>5327</v>
      </c>
      <c r="U1405" s="2" t="s">
        <v>100</v>
      </c>
      <c r="V1405" s="2" t="s">
        <v>461</v>
      </c>
      <c r="W1405" s="2" t="s">
        <v>609</v>
      </c>
      <c r="X1405" s="2" t="s">
        <v>100</v>
      </c>
      <c r="Y1405" s="2" t="s">
        <v>5037</v>
      </c>
      <c r="Z1405" s="4"/>
      <c r="AA1405" s="4">
        <f>=ROUNDDOWN({0},0)</f>
      </c>
      <c r="AB1405" s="5">
        <v>14</v>
      </c>
      <c r="AC1405" s="2" t="s">
        <v>173</v>
      </c>
      <c r="AD1405" s="4">
        <v>150</v>
      </c>
      <c r="AE1405" s="4">
        <v>150</v>
      </c>
      <c r="AF1405" s="6">
        <v>65</v>
      </c>
      <c r="AG1405" s="6"/>
      <c r="AH1405" s="7">
        <v>0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>
        <v>3</v>
      </c>
      <c r="AW1405" s="8">
        <v>272.13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/>
      <c r="BC1405" s="4">
        <v>10</v>
      </c>
      <c r="BD1405" s="8">
        <v>912.77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>
        <v>0.2981</v>
      </c>
      <c r="BJ1405" s="4"/>
      <c r="BK1405" s="8"/>
      <c r="BL1405" s="2" t="s">
        <v>100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5163</v>
      </c>
      <c r="BX1405" s="2" t="s">
        <v>5328</v>
      </c>
      <c r="BY1405" s="2" t="s">
        <v>112</v>
      </c>
      <c r="BZ1405" s="2" t="s">
        <v>100</v>
      </c>
    </row>
    <row r="1406">
      <c r="A1406" s="2" t="s">
        <v>5329</v>
      </c>
      <c r="B1406" s="2" t="s">
        <v>5155</v>
      </c>
      <c r="C1406" s="2" t="s">
        <v>5095</v>
      </c>
      <c r="D1406" s="2" t="s">
        <v>5156</v>
      </c>
      <c r="E1406" s="2" t="s">
        <v>5157</v>
      </c>
      <c r="F1406" s="2" t="s">
        <v>5325</v>
      </c>
      <c r="G1406" s="2" t="s">
        <v>5325</v>
      </c>
      <c r="H1406" s="2" t="s">
        <v>100</v>
      </c>
      <c r="I1406" s="2" t="s">
        <v>5235</v>
      </c>
      <c r="J1406" s="2" t="s">
        <v>95</v>
      </c>
      <c r="K1406" s="2" t="s">
        <v>523</v>
      </c>
      <c r="L1406" s="3">
        <v>79.48</v>
      </c>
      <c r="M1406" s="3">
        <v>83.45</v>
      </c>
      <c r="N1406" s="3">
        <v>154.99</v>
      </c>
      <c r="O1406" s="2" t="s">
        <v>97</v>
      </c>
      <c r="P1406" s="2" t="s">
        <v>156</v>
      </c>
      <c r="Q1406" s="2" t="s">
        <v>99</v>
      </c>
      <c r="R1406" s="2" t="s">
        <v>100</v>
      </c>
      <c r="S1406" s="2" t="s">
        <v>5326</v>
      </c>
      <c r="T1406" s="2" t="s">
        <v>5327</v>
      </c>
      <c r="U1406" s="2" t="s">
        <v>100</v>
      </c>
      <c r="V1406" s="2" t="s">
        <v>461</v>
      </c>
      <c r="W1406" s="2" t="s">
        <v>609</v>
      </c>
      <c r="X1406" s="2" t="s">
        <v>100</v>
      </c>
      <c r="Y1406" s="2" t="s">
        <v>144</v>
      </c>
      <c r="Z1406" s="4">
        <v>414</v>
      </c>
      <c r="AA1406" s="4">
        <f>=ROUNDDOWN(18,0)</f>
      </c>
      <c r="AB1406" s="5">
        <v>23</v>
      </c>
      <c r="AC1406" s="2" t="s">
        <v>100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3</v>
      </c>
      <c r="AQ1406" s="8">
        <v>272.13</v>
      </c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>
        <v>1</v>
      </c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 t="s">
        <v>100</v>
      </c>
      <c r="BJ1406" s="4">
        <v>24</v>
      </c>
      <c r="BK1406" s="8">
        <v>2195.76</v>
      </c>
      <c r="BL1406" s="2" t="s">
        <v>5330</v>
      </c>
      <c r="BM1406" s="7">
        <v>0.125</v>
      </c>
      <c r="BN1406" s="7">
        <v>0.1239</v>
      </c>
      <c r="BO1406" s="4">
        <v>3</v>
      </c>
      <c r="BP1406" s="8">
        <v>272.13</v>
      </c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5163</v>
      </c>
      <c r="BX1406" s="2" t="s">
        <v>5331</v>
      </c>
      <c r="BY1406" s="2" t="s">
        <v>112</v>
      </c>
      <c r="BZ1406" s="2" t="s">
        <v>100</v>
      </c>
    </row>
    <row r="1407">
      <c r="A1407" s="2" t="s">
        <v>5332</v>
      </c>
      <c r="B1407" s="2" t="s">
        <v>5155</v>
      </c>
      <c r="C1407" s="2" t="s">
        <v>5095</v>
      </c>
      <c r="D1407" s="2" t="s">
        <v>5156</v>
      </c>
      <c r="E1407" s="2" t="s">
        <v>5157</v>
      </c>
      <c r="F1407" s="2" t="s">
        <v>5325</v>
      </c>
      <c r="G1407" s="2" t="s">
        <v>5325</v>
      </c>
      <c r="H1407" s="2" t="s">
        <v>100</v>
      </c>
      <c r="I1407" s="2" t="s">
        <v>5235</v>
      </c>
      <c r="J1407" s="2" t="s">
        <v>1443</v>
      </c>
      <c r="K1407" s="2" t="s">
        <v>96</v>
      </c>
      <c r="L1407" s="3">
        <v>54.64</v>
      </c>
      <c r="M1407" s="3">
        <v>57.37</v>
      </c>
      <c r="N1407" s="3">
        <v>104.99</v>
      </c>
      <c r="O1407" s="2" t="s">
        <v>97</v>
      </c>
      <c r="P1407" s="2" t="s">
        <v>317</v>
      </c>
      <c r="Q1407" s="2" t="s">
        <v>99</v>
      </c>
      <c r="R1407" s="2" t="s">
        <v>100</v>
      </c>
      <c r="S1407" s="2" t="s">
        <v>5333</v>
      </c>
      <c r="T1407" s="2" t="s">
        <v>5327</v>
      </c>
      <c r="U1407" s="2" t="s">
        <v>100</v>
      </c>
      <c r="V1407" s="2" t="s">
        <v>461</v>
      </c>
      <c r="W1407" s="2" t="s">
        <v>609</v>
      </c>
      <c r="X1407" s="2" t="s">
        <v>100</v>
      </c>
      <c r="Y1407" s="2" t="s">
        <v>5037</v>
      </c>
      <c r="Z1407" s="4">
        <v>97</v>
      </c>
      <c r="AA1407" s="4">
        <f>=ROUNDDOWN(6.0625,0)</f>
      </c>
      <c r="AB1407" s="5">
        <v>16</v>
      </c>
      <c r="AC1407" s="2" t="s">
        <v>2779</v>
      </c>
      <c r="AD1407" s="4">
        <v>150</v>
      </c>
      <c r="AE1407" s="4">
        <v>150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>
        <v>2</v>
      </c>
      <c r="AW1407" s="8">
        <v>204.1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/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>
        <v>0.2236</v>
      </c>
      <c r="BJ1407" s="4">
        <v>20</v>
      </c>
      <c r="BK1407" s="8">
        <v>1175.95</v>
      </c>
      <c r="BL1407" s="2" t="s">
        <v>5334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4187</v>
      </c>
      <c r="BX1407" s="2" t="s">
        <v>5295</v>
      </c>
      <c r="BY1407" s="2" t="s">
        <v>112</v>
      </c>
      <c r="BZ1407" s="2" t="s">
        <v>100</v>
      </c>
    </row>
    <row r="1408">
      <c r="A1408" s="2" t="s">
        <v>5335</v>
      </c>
      <c r="B1408" s="2" t="s">
        <v>5155</v>
      </c>
      <c r="C1408" s="2" t="s">
        <v>5095</v>
      </c>
      <c r="D1408" s="2" t="s">
        <v>5156</v>
      </c>
      <c r="E1408" s="2" t="s">
        <v>5157</v>
      </c>
      <c r="F1408" s="2" t="s">
        <v>5325</v>
      </c>
      <c r="G1408" s="2" t="s">
        <v>5325</v>
      </c>
      <c r="H1408" s="2" t="s">
        <v>100</v>
      </c>
      <c r="I1408" s="2" t="s">
        <v>5235</v>
      </c>
      <c r="J1408" s="2" t="s">
        <v>490</v>
      </c>
      <c r="K1408" s="2" t="s">
        <v>96</v>
      </c>
      <c r="L1408" s="3">
        <v>59.61</v>
      </c>
      <c r="M1408" s="3">
        <v>62.59</v>
      </c>
      <c r="N1408" s="3">
        <v>114.99</v>
      </c>
      <c r="O1408" s="2" t="s">
        <v>97</v>
      </c>
      <c r="P1408" s="2" t="s">
        <v>317</v>
      </c>
      <c r="Q1408" s="2" t="s">
        <v>99</v>
      </c>
      <c r="R1408" s="2" t="s">
        <v>100</v>
      </c>
      <c r="S1408" s="2" t="s">
        <v>5333</v>
      </c>
      <c r="T1408" s="2" t="s">
        <v>5327</v>
      </c>
      <c r="U1408" s="2" t="s">
        <v>100</v>
      </c>
      <c r="V1408" s="2" t="s">
        <v>461</v>
      </c>
      <c r="W1408" s="2" t="s">
        <v>609</v>
      </c>
      <c r="X1408" s="2" t="s">
        <v>100</v>
      </c>
      <c r="Y1408" s="2" t="s">
        <v>1720</v>
      </c>
      <c r="Z1408" s="4"/>
      <c r="AA1408" s="4">
        <f>=ROUNDDOWN({0},0)</f>
      </c>
      <c r="AB1408" s="5">
        <v>18</v>
      </c>
      <c r="AC1408" s="2" t="s">
        <v>173</v>
      </c>
      <c r="AD1408" s="4">
        <v>150</v>
      </c>
      <c r="AE1408" s="4">
        <v>300</v>
      </c>
      <c r="AF1408" s="6">
        <v>65</v>
      </c>
      <c r="AG1408" s="6"/>
      <c r="AH1408" s="7">
        <v>0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100</v>
      </c>
      <c r="AW1408" s="8" t="s">
        <v>100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/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 t="s">
        <v>100</v>
      </c>
      <c r="BJ1408" s="4"/>
      <c r="BK1408" s="8"/>
      <c r="BL1408" s="2" t="s">
        <v>100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4187</v>
      </c>
      <c r="BX1408" s="2" t="s">
        <v>1733</v>
      </c>
      <c r="BY1408" s="2" t="s">
        <v>112</v>
      </c>
      <c r="BZ1408" s="2" t="s">
        <v>100</v>
      </c>
    </row>
    <row r="1409">
      <c r="A1409" s="2" t="s">
        <v>5336</v>
      </c>
      <c r="B1409" s="2" t="s">
        <v>5155</v>
      </c>
      <c r="C1409" s="2" t="s">
        <v>5095</v>
      </c>
      <c r="D1409" s="2" t="s">
        <v>5156</v>
      </c>
      <c r="E1409" s="2" t="s">
        <v>5157</v>
      </c>
      <c r="F1409" s="2" t="s">
        <v>5325</v>
      </c>
      <c r="G1409" s="2" t="s">
        <v>5325</v>
      </c>
      <c r="H1409" s="2" t="s">
        <v>100</v>
      </c>
      <c r="I1409" s="2" t="s">
        <v>5235</v>
      </c>
      <c r="J1409" s="2" t="s">
        <v>114</v>
      </c>
      <c r="K1409" s="2" t="s">
        <v>96</v>
      </c>
      <c r="L1409" s="3">
        <v>89.41</v>
      </c>
      <c r="M1409" s="3">
        <v>93.88</v>
      </c>
      <c r="N1409" s="3">
        <v>174.99</v>
      </c>
      <c r="O1409" s="2" t="s">
        <v>97</v>
      </c>
      <c r="P1409" s="2" t="s">
        <v>317</v>
      </c>
      <c r="Q1409" s="2" t="s">
        <v>99</v>
      </c>
      <c r="R1409" s="2" t="s">
        <v>100</v>
      </c>
      <c r="S1409" s="2" t="s">
        <v>5333</v>
      </c>
      <c r="T1409" s="2" t="s">
        <v>5327</v>
      </c>
      <c r="U1409" s="2" t="s">
        <v>100</v>
      </c>
      <c r="V1409" s="2" t="s">
        <v>461</v>
      </c>
      <c r="W1409" s="2" t="s">
        <v>609</v>
      </c>
      <c r="X1409" s="2" t="s">
        <v>100</v>
      </c>
      <c r="Y1409" s="2" t="s">
        <v>144</v>
      </c>
      <c r="Z1409" s="4">
        <v>574</v>
      </c>
      <c r="AA1409" s="4">
        <f>=ROUNDDOWN(9.40983606557377,0)</f>
      </c>
      <c r="AB1409" s="5">
        <v>61</v>
      </c>
      <c r="AC1409" s="2" t="s">
        <v>2779</v>
      </c>
      <c r="AD1409" s="4">
        <v>300</v>
      </c>
      <c r="AE1409" s="4">
        <v>300</v>
      </c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2</v>
      </c>
      <c r="AQ1409" s="8">
        <v>204.1</v>
      </c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>
        <v>1</v>
      </c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 t="s">
        <v>100</v>
      </c>
      <c r="BJ1409" s="4">
        <v>68</v>
      </c>
      <c r="BK1409" s="8">
        <v>7075.46</v>
      </c>
      <c r="BL1409" s="2" t="s">
        <v>5337</v>
      </c>
      <c r="BM1409" s="7">
        <v>0.0294</v>
      </c>
      <c r="BN1409" s="7">
        <v>0.0288</v>
      </c>
      <c r="BO1409" s="4">
        <v>2</v>
      </c>
      <c r="BP1409" s="8">
        <v>204.1</v>
      </c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4187</v>
      </c>
      <c r="BX1409" s="2" t="s">
        <v>5338</v>
      </c>
      <c r="BY1409" s="2" t="s">
        <v>112</v>
      </c>
      <c r="BZ1409" s="2" t="s">
        <v>100</v>
      </c>
    </row>
    <row r="1410">
      <c r="A1410" s="2" t="s">
        <v>5339</v>
      </c>
      <c r="B1410" s="2" t="s">
        <v>5155</v>
      </c>
      <c r="C1410" s="2" t="s">
        <v>5095</v>
      </c>
      <c r="D1410" s="2" t="s">
        <v>5156</v>
      </c>
      <c r="E1410" s="2" t="s">
        <v>5157</v>
      </c>
      <c r="F1410" s="2" t="s">
        <v>5325</v>
      </c>
      <c r="G1410" s="2" t="s">
        <v>5325</v>
      </c>
      <c r="H1410" s="2" t="s">
        <v>100</v>
      </c>
      <c r="I1410" s="2" t="s">
        <v>5235</v>
      </c>
      <c r="J1410" s="2" t="s">
        <v>490</v>
      </c>
      <c r="K1410" s="2" t="s">
        <v>236</v>
      </c>
      <c r="L1410" s="3">
        <v>59.61</v>
      </c>
      <c r="M1410" s="3">
        <v>62.59</v>
      </c>
      <c r="N1410" s="3">
        <v>114.99</v>
      </c>
      <c r="O1410" s="2" t="s">
        <v>97</v>
      </c>
      <c r="P1410" s="2" t="s">
        <v>98</v>
      </c>
      <c r="Q1410" s="2" t="s">
        <v>99</v>
      </c>
      <c r="R1410" s="2" t="s">
        <v>100</v>
      </c>
      <c r="S1410" s="2" t="s">
        <v>5340</v>
      </c>
      <c r="T1410" s="2" t="s">
        <v>5327</v>
      </c>
      <c r="U1410" s="2" t="s">
        <v>100</v>
      </c>
      <c r="V1410" s="2" t="s">
        <v>461</v>
      </c>
      <c r="W1410" s="2" t="s">
        <v>609</v>
      </c>
      <c r="X1410" s="2" t="s">
        <v>100</v>
      </c>
      <c r="Y1410" s="2" t="s">
        <v>5037</v>
      </c>
      <c r="Z1410" s="4">
        <v>17</v>
      </c>
      <c r="AA1410" s="4">
        <f>=ROUNDDOWN(1.88888888888889,0)</f>
      </c>
      <c r="AB1410" s="5">
        <v>9</v>
      </c>
      <c r="AC1410" s="2" t="s">
        <v>173</v>
      </c>
      <c r="AD1410" s="4">
        <v>160</v>
      </c>
      <c r="AE1410" s="4">
        <v>160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>
        <v>2</v>
      </c>
      <c r="AW1410" s="8">
        <v>204.1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/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>
        <v>0.2236</v>
      </c>
      <c r="BJ1410" s="4">
        <v>6</v>
      </c>
      <c r="BK1410" s="8">
        <v>395.43</v>
      </c>
      <c r="BL1410" s="2" t="s">
        <v>5341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5163</v>
      </c>
      <c r="BX1410" s="2" t="s">
        <v>776</v>
      </c>
      <c r="BY1410" s="2" t="s">
        <v>112</v>
      </c>
      <c r="BZ1410" s="2" t="s">
        <v>100</v>
      </c>
    </row>
    <row r="1411">
      <c r="A1411" s="2" t="s">
        <v>5342</v>
      </c>
      <c r="B1411" s="2" t="s">
        <v>5155</v>
      </c>
      <c r="C1411" s="2" t="s">
        <v>5095</v>
      </c>
      <c r="D1411" s="2" t="s">
        <v>5156</v>
      </c>
      <c r="E1411" s="2" t="s">
        <v>5157</v>
      </c>
      <c r="F1411" s="2" t="s">
        <v>5325</v>
      </c>
      <c r="G1411" s="2" t="s">
        <v>5325</v>
      </c>
      <c r="H1411" s="2" t="s">
        <v>100</v>
      </c>
      <c r="I1411" s="2" t="s">
        <v>5235</v>
      </c>
      <c r="J1411" s="2" t="s">
        <v>95</v>
      </c>
      <c r="K1411" s="2" t="s">
        <v>236</v>
      </c>
      <c r="L1411" s="3">
        <v>79.48</v>
      </c>
      <c r="M1411" s="3">
        <v>83.45</v>
      </c>
      <c r="N1411" s="3">
        <v>154.99</v>
      </c>
      <c r="O1411" s="2" t="s">
        <v>97</v>
      </c>
      <c r="P1411" s="2" t="s">
        <v>98</v>
      </c>
      <c r="Q1411" s="2" t="s">
        <v>99</v>
      </c>
      <c r="R1411" s="2" t="s">
        <v>100</v>
      </c>
      <c r="S1411" s="2" t="s">
        <v>5340</v>
      </c>
      <c r="T1411" s="2" t="s">
        <v>5327</v>
      </c>
      <c r="U1411" s="2" t="s">
        <v>100</v>
      </c>
      <c r="V1411" s="2" t="s">
        <v>461</v>
      </c>
      <c r="W1411" s="2" t="s">
        <v>609</v>
      </c>
      <c r="X1411" s="2" t="s">
        <v>100</v>
      </c>
      <c r="Y1411" s="2" t="s">
        <v>144</v>
      </c>
      <c r="Z1411" s="4">
        <v>217</v>
      </c>
      <c r="AA1411" s="4">
        <f>=ROUNDDOWN(27.125,0)</f>
      </c>
      <c r="AB1411" s="5">
        <v>8</v>
      </c>
      <c r="AC1411" s="2" t="s">
        <v>100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/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 t="s">
        <v>100</v>
      </c>
      <c r="BJ1411" s="4">
        <v>4</v>
      </c>
      <c r="BK1411" s="8">
        <v>380.12</v>
      </c>
      <c r="BL1411" s="2" t="s">
        <v>2071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5163</v>
      </c>
      <c r="BX1411" s="2" t="s">
        <v>5343</v>
      </c>
      <c r="BY1411" s="2" t="s">
        <v>112</v>
      </c>
      <c r="BZ1411" s="2" t="s">
        <v>100</v>
      </c>
    </row>
    <row r="1412">
      <c r="A1412" s="2" t="s">
        <v>5344</v>
      </c>
      <c r="B1412" s="2" t="s">
        <v>5155</v>
      </c>
      <c r="C1412" s="2" t="s">
        <v>5095</v>
      </c>
      <c r="D1412" s="2" t="s">
        <v>5156</v>
      </c>
      <c r="E1412" s="2" t="s">
        <v>5157</v>
      </c>
      <c r="F1412" s="2" t="s">
        <v>5325</v>
      </c>
      <c r="G1412" s="2" t="s">
        <v>5325</v>
      </c>
      <c r="H1412" s="2" t="s">
        <v>100</v>
      </c>
      <c r="I1412" s="2" t="s">
        <v>5235</v>
      </c>
      <c r="J1412" s="2" t="s">
        <v>114</v>
      </c>
      <c r="K1412" s="2" t="s">
        <v>236</v>
      </c>
      <c r="L1412" s="3">
        <v>89.41</v>
      </c>
      <c r="M1412" s="3">
        <v>93.88</v>
      </c>
      <c r="N1412" s="3">
        <v>174.99</v>
      </c>
      <c r="O1412" s="2" t="s">
        <v>97</v>
      </c>
      <c r="P1412" s="2" t="s">
        <v>98</v>
      </c>
      <c r="Q1412" s="2" t="s">
        <v>99</v>
      </c>
      <c r="R1412" s="2" t="s">
        <v>100</v>
      </c>
      <c r="S1412" s="2" t="s">
        <v>5340</v>
      </c>
      <c r="T1412" s="2" t="s">
        <v>5327</v>
      </c>
      <c r="U1412" s="2" t="s">
        <v>100</v>
      </c>
      <c r="V1412" s="2" t="s">
        <v>461</v>
      </c>
      <c r="W1412" s="2" t="s">
        <v>609</v>
      </c>
      <c r="X1412" s="2" t="s">
        <v>100</v>
      </c>
      <c r="Y1412" s="2" t="s">
        <v>5345</v>
      </c>
      <c r="Z1412" s="4">
        <v>335</v>
      </c>
      <c r="AA1412" s="4">
        <f>=ROUNDDOWN(27.9166666666667,0)</f>
      </c>
      <c r="AB1412" s="5">
        <v>12</v>
      </c>
      <c r="AC1412" s="2" t="s">
        <v>100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2</v>
      </c>
      <c r="AQ1412" s="8">
        <v>204.1</v>
      </c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1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 t="s">
        <v>100</v>
      </c>
      <c r="BJ1412" s="4">
        <v>32</v>
      </c>
      <c r="BK1412" s="8">
        <v>3365.56</v>
      </c>
      <c r="BL1412" s="2" t="s">
        <v>5346</v>
      </c>
      <c r="BM1412" s="7">
        <v>0.0625</v>
      </c>
      <c r="BN1412" s="7">
        <v>0.0606</v>
      </c>
      <c r="BO1412" s="4">
        <v>2</v>
      </c>
      <c r="BP1412" s="8">
        <v>204.1</v>
      </c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5163</v>
      </c>
      <c r="BX1412" s="2" t="s">
        <v>5347</v>
      </c>
      <c r="BY1412" s="2" t="s">
        <v>112</v>
      </c>
      <c r="BZ1412" s="2" t="s">
        <v>100</v>
      </c>
    </row>
    <row r="1413">
      <c r="A1413" s="2" t="s">
        <v>5348</v>
      </c>
      <c r="B1413" s="2" t="s">
        <v>5155</v>
      </c>
      <c r="C1413" s="2" t="s">
        <v>5095</v>
      </c>
      <c r="D1413" s="2" t="s">
        <v>5156</v>
      </c>
      <c r="E1413" s="2" t="s">
        <v>5157</v>
      </c>
      <c r="F1413" s="2" t="s">
        <v>5325</v>
      </c>
      <c r="G1413" s="2" t="s">
        <v>5325</v>
      </c>
      <c r="H1413" s="2" t="s">
        <v>100</v>
      </c>
      <c r="I1413" s="2" t="s">
        <v>5235</v>
      </c>
      <c r="J1413" s="2" t="s">
        <v>490</v>
      </c>
      <c r="K1413" s="2" t="s">
        <v>5349</v>
      </c>
      <c r="L1413" s="3">
        <v>59.61</v>
      </c>
      <c r="M1413" s="3">
        <v>62.59</v>
      </c>
      <c r="N1413" s="3">
        <v>114.99</v>
      </c>
      <c r="O1413" s="2" t="s">
        <v>97</v>
      </c>
      <c r="P1413" s="2" t="s">
        <v>98</v>
      </c>
      <c r="Q1413" s="2" t="s">
        <v>99</v>
      </c>
      <c r="R1413" s="2" t="s">
        <v>100</v>
      </c>
      <c r="S1413" s="2" t="s">
        <v>5350</v>
      </c>
      <c r="T1413" s="2" t="s">
        <v>5327</v>
      </c>
      <c r="U1413" s="2" t="s">
        <v>100</v>
      </c>
      <c r="V1413" s="2" t="s">
        <v>461</v>
      </c>
      <c r="W1413" s="2" t="s">
        <v>609</v>
      </c>
      <c r="X1413" s="2" t="s">
        <v>100</v>
      </c>
      <c r="Y1413" s="2" t="s">
        <v>144</v>
      </c>
      <c r="Z1413" s="4">
        <v>212</v>
      </c>
      <c r="AA1413" s="4">
        <f>=ROUNDDOWN(30.2857142857143,0)</f>
      </c>
      <c r="AB1413" s="5">
        <v>7</v>
      </c>
      <c r="AC1413" s="2" t="s">
        <v>100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1</v>
      </c>
      <c r="AQ1413" s="8">
        <v>68.03</v>
      </c>
      <c r="AR1413" s="4"/>
      <c r="AS1413" s="8"/>
      <c r="AT1413" s="7"/>
      <c r="AU1413" s="7"/>
      <c r="AV1413" s="4">
        <v>2</v>
      </c>
      <c r="AW1413" s="8">
        <v>170.08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>
        <v>0.4</v>
      </c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>
        <v>0.1863</v>
      </c>
      <c r="BJ1413" s="4">
        <v>14</v>
      </c>
      <c r="BK1413" s="8">
        <v>921.64</v>
      </c>
      <c r="BL1413" s="2" t="s">
        <v>5351</v>
      </c>
      <c r="BM1413" s="7">
        <v>0.0714</v>
      </c>
      <c r="BN1413" s="7">
        <v>0.0738</v>
      </c>
      <c r="BO1413" s="4">
        <v>1</v>
      </c>
      <c r="BP1413" s="8">
        <v>68.03</v>
      </c>
      <c r="BQ1413" s="4"/>
      <c r="BR1413" s="8"/>
      <c r="BS1413" s="7"/>
      <c r="BT1413" s="7"/>
      <c r="BU1413" s="2" t="s">
        <v>109</v>
      </c>
      <c r="BV1413" s="2" t="s">
        <v>97</v>
      </c>
      <c r="BW1413" s="2" t="s">
        <v>5163</v>
      </c>
      <c r="BX1413" s="2" t="s">
        <v>5202</v>
      </c>
      <c r="BY1413" s="2" t="s">
        <v>112</v>
      </c>
      <c r="BZ1413" s="2" t="s">
        <v>100</v>
      </c>
    </row>
    <row r="1414">
      <c r="A1414" s="2" t="s">
        <v>5352</v>
      </c>
      <c r="B1414" s="2" t="s">
        <v>5155</v>
      </c>
      <c r="C1414" s="2" t="s">
        <v>5095</v>
      </c>
      <c r="D1414" s="2" t="s">
        <v>5156</v>
      </c>
      <c r="E1414" s="2" t="s">
        <v>5157</v>
      </c>
      <c r="F1414" s="2" t="s">
        <v>5325</v>
      </c>
      <c r="G1414" s="2" t="s">
        <v>5325</v>
      </c>
      <c r="H1414" s="2" t="s">
        <v>100</v>
      </c>
      <c r="I1414" s="2" t="s">
        <v>5235</v>
      </c>
      <c r="J1414" s="2" t="s">
        <v>95</v>
      </c>
      <c r="K1414" s="2" t="s">
        <v>5349</v>
      </c>
      <c r="L1414" s="3">
        <v>79.48</v>
      </c>
      <c r="M1414" s="3">
        <v>83.45</v>
      </c>
      <c r="N1414" s="3">
        <v>154.99</v>
      </c>
      <c r="O1414" s="2" t="s">
        <v>97</v>
      </c>
      <c r="P1414" s="2" t="s">
        <v>98</v>
      </c>
      <c r="Q1414" s="2" t="s">
        <v>99</v>
      </c>
      <c r="R1414" s="2" t="s">
        <v>100</v>
      </c>
      <c r="S1414" s="2" t="s">
        <v>5350</v>
      </c>
      <c r="T1414" s="2" t="s">
        <v>5327</v>
      </c>
      <c r="U1414" s="2" t="s">
        <v>100</v>
      </c>
      <c r="V1414" s="2" t="s">
        <v>461</v>
      </c>
      <c r="W1414" s="2" t="s">
        <v>609</v>
      </c>
      <c r="X1414" s="2" t="s">
        <v>100</v>
      </c>
      <c r="Y1414" s="2" t="s">
        <v>144</v>
      </c>
      <c r="Z1414" s="4">
        <v>279</v>
      </c>
      <c r="AA1414" s="4">
        <f>=ROUNDDOWN(39.8571428571429,0)</f>
      </c>
      <c r="AB1414" s="5">
        <v>7</v>
      </c>
      <c r="AC1414" s="2" t="s">
        <v>100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/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 t="s">
        <v>100</v>
      </c>
      <c r="BJ1414" s="4">
        <v>10</v>
      </c>
      <c r="BK1414" s="8">
        <v>866.2</v>
      </c>
      <c r="BL1414" s="2" t="s">
        <v>5201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5163</v>
      </c>
      <c r="BX1414" s="2" t="s">
        <v>5353</v>
      </c>
      <c r="BY1414" s="2" t="s">
        <v>112</v>
      </c>
      <c r="BZ1414" s="2" t="s">
        <v>100</v>
      </c>
    </row>
    <row r="1415">
      <c r="A1415" s="2" t="s">
        <v>5354</v>
      </c>
      <c r="B1415" s="2" t="s">
        <v>5155</v>
      </c>
      <c r="C1415" s="2" t="s">
        <v>5095</v>
      </c>
      <c r="D1415" s="2" t="s">
        <v>5156</v>
      </c>
      <c r="E1415" s="2" t="s">
        <v>5157</v>
      </c>
      <c r="F1415" s="2" t="s">
        <v>5325</v>
      </c>
      <c r="G1415" s="2" t="s">
        <v>5325</v>
      </c>
      <c r="H1415" s="2" t="s">
        <v>100</v>
      </c>
      <c r="I1415" s="2" t="s">
        <v>5235</v>
      </c>
      <c r="J1415" s="2" t="s">
        <v>114</v>
      </c>
      <c r="K1415" s="2" t="s">
        <v>5349</v>
      </c>
      <c r="L1415" s="3">
        <v>89.41</v>
      </c>
      <c r="M1415" s="3">
        <v>93.88</v>
      </c>
      <c r="N1415" s="3">
        <v>174.99</v>
      </c>
      <c r="O1415" s="2" t="s">
        <v>97</v>
      </c>
      <c r="P1415" s="2" t="s">
        <v>98</v>
      </c>
      <c r="Q1415" s="2" t="s">
        <v>99</v>
      </c>
      <c r="R1415" s="2" t="s">
        <v>100</v>
      </c>
      <c r="S1415" s="2" t="s">
        <v>5350</v>
      </c>
      <c r="T1415" s="2" t="s">
        <v>5327</v>
      </c>
      <c r="U1415" s="2" t="s">
        <v>100</v>
      </c>
      <c r="V1415" s="2" t="s">
        <v>461</v>
      </c>
      <c r="W1415" s="2" t="s">
        <v>609</v>
      </c>
      <c r="X1415" s="2" t="s">
        <v>100</v>
      </c>
      <c r="Y1415" s="2" t="s">
        <v>5037</v>
      </c>
      <c r="Z1415" s="4">
        <v>481</v>
      </c>
      <c r="AA1415" s="4">
        <f>=ROUNDDOWN(32.0666666666667,0)</f>
      </c>
      <c r="AB1415" s="5">
        <v>15</v>
      </c>
      <c r="AC1415" s="2" t="s">
        <v>100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1</v>
      </c>
      <c r="AQ1415" s="8">
        <v>102.05</v>
      </c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>
        <v>0.6</v>
      </c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 t="s">
        <v>100</v>
      </c>
      <c r="BJ1415" s="4">
        <v>29</v>
      </c>
      <c r="BK1415" s="8">
        <v>3017.33</v>
      </c>
      <c r="BL1415" s="2" t="s">
        <v>5355</v>
      </c>
      <c r="BM1415" s="7">
        <v>0.0345</v>
      </c>
      <c r="BN1415" s="7">
        <v>0.0338</v>
      </c>
      <c r="BO1415" s="4">
        <v>1</v>
      </c>
      <c r="BP1415" s="8">
        <v>102.05</v>
      </c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5163</v>
      </c>
      <c r="BX1415" s="2" t="s">
        <v>5356</v>
      </c>
      <c r="BY1415" s="2" t="s">
        <v>112</v>
      </c>
      <c r="BZ1415" s="2" t="s">
        <v>100</v>
      </c>
    </row>
    <row r="1416">
      <c r="A1416" s="2" t="s">
        <v>5357</v>
      </c>
      <c r="B1416" s="2" t="s">
        <v>5155</v>
      </c>
      <c r="C1416" s="2" t="s">
        <v>5095</v>
      </c>
      <c r="D1416" s="2" t="s">
        <v>5156</v>
      </c>
      <c r="E1416" s="2" t="s">
        <v>5157</v>
      </c>
      <c r="F1416" s="2" t="s">
        <v>5325</v>
      </c>
      <c r="G1416" s="2" t="s">
        <v>5325</v>
      </c>
      <c r="H1416" s="2" t="s">
        <v>100</v>
      </c>
      <c r="I1416" s="2" t="s">
        <v>5235</v>
      </c>
      <c r="J1416" s="2" t="s">
        <v>1443</v>
      </c>
      <c r="K1416" s="2" t="s">
        <v>1384</v>
      </c>
      <c r="L1416" s="3">
        <v>54.64</v>
      </c>
      <c r="M1416" s="3">
        <v>57.37</v>
      </c>
      <c r="N1416" s="3">
        <v>104.99</v>
      </c>
      <c r="O1416" s="2" t="s">
        <v>97</v>
      </c>
      <c r="P1416" s="2" t="s">
        <v>98</v>
      </c>
      <c r="Q1416" s="2" t="s">
        <v>99</v>
      </c>
      <c r="R1416" s="2" t="s">
        <v>100</v>
      </c>
      <c r="S1416" s="2" t="s">
        <v>5358</v>
      </c>
      <c r="T1416" s="2" t="s">
        <v>5327</v>
      </c>
      <c r="U1416" s="2" t="s">
        <v>100</v>
      </c>
      <c r="V1416" s="2" t="s">
        <v>461</v>
      </c>
      <c r="W1416" s="2" t="s">
        <v>609</v>
      </c>
      <c r="X1416" s="2" t="s">
        <v>100</v>
      </c>
      <c r="Y1416" s="2" t="s">
        <v>144</v>
      </c>
      <c r="Z1416" s="4">
        <v>248</v>
      </c>
      <c r="AA1416" s="4">
        <f>=ROUNDDOWN(35.4285714285714,0)</f>
      </c>
      <c r="AB1416" s="5">
        <v>7</v>
      </c>
      <c r="AC1416" s="2" t="s">
        <v>100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1</v>
      </c>
      <c r="AQ1416" s="8">
        <v>62.36</v>
      </c>
      <c r="AR1416" s="4"/>
      <c r="AS1416" s="8"/>
      <c r="AT1416" s="7"/>
      <c r="AU1416" s="7"/>
      <c r="AV1416" s="4">
        <v>1</v>
      </c>
      <c r="AW1416" s="8">
        <v>62.36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>
        <v>1</v>
      </c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>
        <v>0.0683</v>
      </c>
      <c r="BJ1416" s="4">
        <v>17</v>
      </c>
      <c r="BK1416" s="8">
        <v>1005.68</v>
      </c>
      <c r="BL1416" s="2" t="s">
        <v>5359</v>
      </c>
      <c r="BM1416" s="7">
        <v>0.0588</v>
      </c>
      <c r="BN1416" s="7">
        <v>0.062</v>
      </c>
      <c r="BO1416" s="4">
        <v>1</v>
      </c>
      <c r="BP1416" s="8">
        <v>62.36</v>
      </c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4187</v>
      </c>
      <c r="BX1416" s="2" t="s">
        <v>5360</v>
      </c>
      <c r="BY1416" s="2" t="s">
        <v>112</v>
      </c>
      <c r="BZ1416" s="2" t="s">
        <v>100</v>
      </c>
    </row>
    <row r="1417">
      <c r="A1417" s="2" t="s">
        <v>5361</v>
      </c>
      <c r="B1417" s="2" t="s">
        <v>5155</v>
      </c>
      <c r="C1417" s="2" t="s">
        <v>5095</v>
      </c>
      <c r="D1417" s="2" t="s">
        <v>5156</v>
      </c>
      <c r="E1417" s="2" t="s">
        <v>5157</v>
      </c>
      <c r="F1417" s="2" t="s">
        <v>5325</v>
      </c>
      <c r="G1417" s="2" t="s">
        <v>5325</v>
      </c>
      <c r="H1417" s="2" t="s">
        <v>100</v>
      </c>
      <c r="I1417" s="2" t="s">
        <v>5235</v>
      </c>
      <c r="J1417" s="2" t="s">
        <v>490</v>
      </c>
      <c r="K1417" s="2" t="s">
        <v>1384</v>
      </c>
      <c r="L1417" s="3">
        <v>59.61</v>
      </c>
      <c r="M1417" s="3">
        <v>62.59</v>
      </c>
      <c r="N1417" s="3">
        <v>114.99</v>
      </c>
      <c r="O1417" s="2" t="s">
        <v>97</v>
      </c>
      <c r="P1417" s="2" t="s">
        <v>98</v>
      </c>
      <c r="Q1417" s="2" t="s">
        <v>99</v>
      </c>
      <c r="R1417" s="2" t="s">
        <v>100</v>
      </c>
      <c r="S1417" s="2" t="s">
        <v>5358</v>
      </c>
      <c r="T1417" s="2" t="s">
        <v>5327</v>
      </c>
      <c r="U1417" s="2" t="s">
        <v>100</v>
      </c>
      <c r="V1417" s="2" t="s">
        <v>461</v>
      </c>
      <c r="W1417" s="2" t="s">
        <v>609</v>
      </c>
      <c r="X1417" s="2" t="s">
        <v>100</v>
      </c>
      <c r="Y1417" s="2" t="s">
        <v>402</v>
      </c>
      <c r="Z1417" s="4"/>
      <c r="AA1417" s="4">
        <f>=ROUNDDOWN({0},0)</f>
      </c>
      <c r="AB1417" s="5">
        <v>20</v>
      </c>
      <c r="AC1417" s="2" t="s">
        <v>173</v>
      </c>
      <c r="AD1417" s="4">
        <v>150</v>
      </c>
      <c r="AE1417" s="4">
        <v>150</v>
      </c>
      <c r="AF1417" s="6">
        <v>65</v>
      </c>
      <c r="AG1417" s="6"/>
      <c r="AH1417" s="7">
        <v>0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/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 t="s">
        <v>100</v>
      </c>
      <c r="BJ1417" s="4"/>
      <c r="BK1417" s="8"/>
      <c r="BL1417" s="2" t="s">
        <v>100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4187</v>
      </c>
      <c r="BX1417" s="2" t="s">
        <v>1255</v>
      </c>
      <c r="BY1417" s="2" t="s">
        <v>112</v>
      </c>
      <c r="BZ1417" s="2" t="s">
        <v>100</v>
      </c>
    </row>
    <row r="1418">
      <c r="A1418" s="2" t="s">
        <v>5362</v>
      </c>
      <c r="B1418" s="2" t="s">
        <v>5155</v>
      </c>
      <c r="C1418" s="2" t="s">
        <v>5095</v>
      </c>
      <c r="D1418" s="2" t="s">
        <v>5156</v>
      </c>
      <c r="E1418" s="2" t="s">
        <v>5157</v>
      </c>
      <c r="F1418" s="2" t="s">
        <v>5325</v>
      </c>
      <c r="G1418" s="2" t="s">
        <v>5325</v>
      </c>
      <c r="H1418" s="2" t="s">
        <v>100</v>
      </c>
      <c r="I1418" s="2" t="s">
        <v>5235</v>
      </c>
      <c r="J1418" s="2" t="s">
        <v>95</v>
      </c>
      <c r="K1418" s="2" t="s">
        <v>1384</v>
      </c>
      <c r="L1418" s="3">
        <v>79.48</v>
      </c>
      <c r="M1418" s="3">
        <v>83.45</v>
      </c>
      <c r="N1418" s="3">
        <v>154.99</v>
      </c>
      <c r="O1418" s="2" t="s">
        <v>97</v>
      </c>
      <c r="P1418" s="2" t="s">
        <v>98</v>
      </c>
      <c r="Q1418" s="2" t="s">
        <v>99</v>
      </c>
      <c r="R1418" s="2" t="s">
        <v>100</v>
      </c>
      <c r="S1418" s="2" t="s">
        <v>5358</v>
      </c>
      <c r="T1418" s="2" t="s">
        <v>5327</v>
      </c>
      <c r="U1418" s="2" t="s">
        <v>100</v>
      </c>
      <c r="V1418" s="2" t="s">
        <v>461</v>
      </c>
      <c r="W1418" s="2" t="s">
        <v>609</v>
      </c>
      <c r="X1418" s="2" t="s">
        <v>100</v>
      </c>
      <c r="Y1418" s="2" t="s">
        <v>144</v>
      </c>
      <c r="Z1418" s="4">
        <v>29</v>
      </c>
      <c r="AA1418" s="4">
        <f>=ROUNDDOWN(2.07142857142857,0)</f>
      </c>
      <c r="AB1418" s="5">
        <v>14</v>
      </c>
      <c r="AC1418" s="2" t="s">
        <v>173</v>
      </c>
      <c r="AD1418" s="4">
        <v>150</v>
      </c>
      <c r="AE1418" s="4">
        <v>150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/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 t="s">
        <v>100</v>
      </c>
      <c r="BJ1418" s="4">
        <v>8</v>
      </c>
      <c r="BK1418" s="8">
        <v>756</v>
      </c>
      <c r="BL1418" s="2" t="s">
        <v>5363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4187</v>
      </c>
      <c r="BX1418" s="2" t="s">
        <v>5364</v>
      </c>
      <c r="BY1418" s="2" t="s">
        <v>112</v>
      </c>
      <c r="BZ1418" s="2" t="s">
        <v>100</v>
      </c>
    </row>
    <row r="1419">
      <c r="A1419" s="2" t="s">
        <v>5365</v>
      </c>
      <c r="B1419" s="2" t="s">
        <v>5155</v>
      </c>
      <c r="C1419" s="2" t="s">
        <v>5095</v>
      </c>
      <c r="D1419" s="2" t="s">
        <v>5156</v>
      </c>
      <c r="E1419" s="2" t="s">
        <v>5157</v>
      </c>
      <c r="F1419" s="2" t="s">
        <v>5325</v>
      </c>
      <c r="G1419" s="2" t="s">
        <v>5325</v>
      </c>
      <c r="H1419" s="2" t="s">
        <v>100</v>
      </c>
      <c r="I1419" s="2" t="s">
        <v>5235</v>
      </c>
      <c r="J1419" s="2" t="s">
        <v>114</v>
      </c>
      <c r="K1419" s="2" t="s">
        <v>1384</v>
      </c>
      <c r="L1419" s="3">
        <v>89.41</v>
      </c>
      <c r="M1419" s="3">
        <v>93.88</v>
      </c>
      <c r="N1419" s="3">
        <v>174.99</v>
      </c>
      <c r="O1419" s="2" t="s">
        <v>97</v>
      </c>
      <c r="P1419" s="2" t="s">
        <v>98</v>
      </c>
      <c r="Q1419" s="2" t="s">
        <v>99</v>
      </c>
      <c r="R1419" s="2" t="s">
        <v>100</v>
      </c>
      <c r="S1419" s="2" t="s">
        <v>5358</v>
      </c>
      <c r="T1419" s="2" t="s">
        <v>5327</v>
      </c>
      <c r="U1419" s="2" t="s">
        <v>100</v>
      </c>
      <c r="V1419" s="2" t="s">
        <v>461</v>
      </c>
      <c r="W1419" s="2" t="s">
        <v>609</v>
      </c>
      <c r="X1419" s="2" t="s">
        <v>100</v>
      </c>
      <c r="Y1419" s="2" t="s">
        <v>144</v>
      </c>
      <c r="Z1419" s="4">
        <v>393</v>
      </c>
      <c r="AA1419" s="4">
        <f>=ROUNDDOWN(21.8333333333333,0)</f>
      </c>
      <c r="AB1419" s="5">
        <v>18</v>
      </c>
      <c r="AC1419" s="2" t="s">
        <v>100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100</v>
      </c>
      <c r="AW1419" s="8" t="s">
        <v>100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/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 t="s">
        <v>100</v>
      </c>
      <c r="BJ1419" s="4">
        <v>21</v>
      </c>
      <c r="BK1419" s="8">
        <v>2094.36</v>
      </c>
      <c r="BL1419" s="2" t="s">
        <v>5366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4187</v>
      </c>
      <c r="BX1419" s="2" t="s">
        <v>5367</v>
      </c>
      <c r="BY1419" s="2" t="s">
        <v>112</v>
      </c>
      <c r="BZ1419" s="2" t="s">
        <v>100</v>
      </c>
    </row>
    <row r="1420">
      <c r="A1420" s="2" t="s">
        <v>5368</v>
      </c>
      <c r="B1420" s="2" t="s">
        <v>5155</v>
      </c>
      <c r="C1420" s="2" t="s">
        <v>5095</v>
      </c>
      <c r="D1420" s="2" t="s">
        <v>5156</v>
      </c>
      <c r="E1420" s="2" t="s">
        <v>5157</v>
      </c>
      <c r="F1420" s="2" t="s">
        <v>5325</v>
      </c>
      <c r="G1420" s="2" t="s">
        <v>5325</v>
      </c>
      <c r="H1420" s="2" t="s">
        <v>100</v>
      </c>
      <c r="I1420" s="2" t="s">
        <v>5235</v>
      </c>
      <c r="J1420" s="2" t="s">
        <v>1443</v>
      </c>
      <c r="K1420" s="2" t="s">
        <v>179</v>
      </c>
      <c r="L1420" s="3">
        <v>54.64</v>
      </c>
      <c r="M1420" s="3">
        <v>57.37</v>
      </c>
      <c r="N1420" s="3">
        <v>104.99</v>
      </c>
      <c r="O1420" s="2" t="s">
        <v>97</v>
      </c>
      <c r="P1420" s="2" t="s">
        <v>98</v>
      </c>
      <c r="Q1420" s="2" t="s">
        <v>99</v>
      </c>
      <c r="R1420" s="2" t="s">
        <v>100</v>
      </c>
      <c r="S1420" s="2" t="s">
        <v>5369</v>
      </c>
      <c r="T1420" s="2" t="s">
        <v>5327</v>
      </c>
      <c r="U1420" s="2" t="s">
        <v>100</v>
      </c>
      <c r="V1420" s="2" t="s">
        <v>461</v>
      </c>
      <c r="W1420" s="2" t="s">
        <v>609</v>
      </c>
      <c r="X1420" s="2" t="s">
        <v>100</v>
      </c>
      <c r="Y1420" s="2" t="s">
        <v>144</v>
      </c>
      <c r="Z1420" s="4"/>
      <c r="AA1420" s="4">
        <f>=ROUNDDOWN({0},0)</f>
      </c>
      <c r="AB1420" s="5">
        <v>17</v>
      </c>
      <c r="AC1420" s="2" t="s">
        <v>173</v>
      </c>
      <c r="AD1420" s="4">
        <v>150</v>
      </c>
      <c r="AE1420" s="4">
        <v>150</v>
      </c>
      <c r="AF1420" s="6">
        <v>65</v>
      </c>
      <c r="AG1420" s="6"/>
      <c r="AH1420" s="7">
        <v>0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/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 t="s">
        <v>100</v>
      </c>
      <c r="BJ1420" s="4"/>
      <c r="BK1420" s="8"/>
      <c r="BL1420" s="2" t="s">
        <v>100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5163</v>
      </c>
      <c r="BX1420" s="2" t="s">
        <v>5356</v>
      </c>
      <c r="BY1420" s="2" t="s">
        <v>112</v>
      </c>
      <c r="BZ1420" s="2" t="s">
        <v>100</v>
      </c>
    </row>
    <row r="1421">
      <c r="A1421" s="2" t="s">
        <v>5370</v>
      </c>
      <c r="B1421" s="2" t="s">
        <v>5155</v>
      </c>
      <c r="C1421" s="2" t="s">
        <v>5095</v>
      </c>
      <c r="D1421" s="2" t="s">
        <v>5156</v>
      </c>
      <c r="E1421" s="2" t="s">
        <v>5157</v>
      </c>
      <c r="F1421" s="2" t="s">
        <v>5325</v>
      </c>
      <c r="G1421" s="2" t="s">
        <v>5325</v>
      </c>
      <c r="H1421" s="2" t="s">
        <v>100</v>
      </c>
      <c r="I1421" s="2" t="s">
        <v>5235</v>
      </c>
      <c r="J1421" s="2" t="s">
        <v>490</v>
      </c>
      <c r="K1421" s="2" t="s">
        <v>179</v>
      </c>
      <c r="L1421" s="3">
        <v>59.61</v>
      </c>
      <c r="M1421" s="3">
        <v>62.59</v>
      </c>
      <c r="N1421" s="3">
        <v>114.99</v>
      </c>
      <c r="O1421" s="2" t="s">
        <v>97</v>
      </c>
      <c r="P1421" s="2" t="s">
        <v>98</v>
      </c>
      <c r="Q1421" s="2" t="s">
        <v>99</v>
      </c>
      <c r="R1421" s="2" t="s">
        <v>100</v>
      </c>
      <c r="S1421" s="2" t="s">
        <v>5369</v>
      </c>
      <c r="T1421" s="2" t="s">
        <v>5327</v>
      </c>
      <c r="U1421" s="2" t="s">
        <v>100</v>
      </c>
      <c r="V1421" s="2" t="s">
        <v>461</v>
      </c>
      <c r="W1421" s="2" t="s">
        <v>609</v>
      </c>
      <c r="X1421" s="2" t="s">
        <v>100</v>
      </c>
      <c r="Y1421" s="2" t="s">
        <v>144</v>
      </c>
      <c r="Z1421" s="4">
        <v>1</v>
      </c>
      <c r="AA1421" s="4">
        <f>=ROUNDDOWN(0.0909090909090909,0)</f>
      </c>
      <c r="AB1421" s="5">
        <v>11</v>
      </c>
      <c r="AC1421" s="2" t="s">
        <v>173</v>
      </c>
      <c r="AD1421" s="4">
        <v>150</v>
      </c>
      <c r="AE1421" s="4">
        <v>150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100</v>
      </c>
      <c r="AW1421" s="8" t="s">
        <v>100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/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 t="s">
        <v>100</v>
      </c>
      <c r="BJ1421" s="4">
        <v>22</v>
      </c>
      <c r="BK1421" s="8">
        <v>1512.02</v>
      </c>
      <c r="BL1421" s="2" t="s">
        <v>4856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109</v>
      </c>
      <c r="BV1421" s="2" t="s">
        <v>97</v>
      </c>
      <c r="BW1421" s="2" t="s">
        <v>5163</v>
      </c>
      <c r="BX1421" s="2" t="s">
        <v>776</v>
      </c>
      <c r="BY1421" s="2" t="s">
        <v>112</v>
      </c>
      <c r="BZ1421" s="2" t="s">
        <v>100</v>
      </c>
    </row>
    <row r="1422">
      <c r="A1422" s="2" t="s">
        <v>5371</v>
      </c>
      <c r="B1422" s="2" t="s">
        <v>5155</v>
      </c>
      <c r="C1422" s="2" t="s">
        <v>5095</v>
      </c>
      <c r="D1422" s="2" t="s">
        <v>5156</v>
      </c>
      <c r="E1422" s="2" t="s">
        <v>5157</v>
      </c>
      <c r="F1422" s="2" t="s">
        <v>5325</v>
      </c>
      <c r="G1422" s="2" t="s">
        <v>5325</v>
      </c>
      <c r="H1422" s="2" t="s">
        <v>100</v>
      </c>
      <c r="I1422" s="2" t="s">
        <v>5235</v>
      </c>
      <c r="J1422" s="2" t="s">
        <v>95</v>
      </c>
      <c r="K1422" s="2" t="s">
        <v>179</v>
      </c>
      <c r="L1422" s="3">
        <v>79.48</v>
      </c>
      <c r="M1422" s="3">
        <v>83.45</v>
      </c>
      <c r="N1422" s="3">
        <v>154.99</v>
      </c>
      <c r="O1422" s="2" t="s">
        <v>97</v>
      </c>
      <c r="P1422" s="2" t="s">
        <v>98</v>
      </c>
      <c r="Q1422" s="2" t="s">
        <v>99</v>
      </c>
      <c r="R1422" s="2" t="s">
        <v>100</v>
      </c>
      <c r="S1422" s="2" t="s">
        <v>5369</v>
      </c>
      <c r="T1422" s="2" t="s">
        <v>5327</v>
      </c>
      <c r="U1422" s="2" t="s">
        <v>100</v>
      </c>
      <c r="V1422" s="2" t="s">
        <v>461</v>
      </c>
      <c r="W1422" s="2" t="s">
        <v>609</v>
      </c>
      <c r="X1422" s="2" t="s">
        <v>100</v>
      </c>
      <c r="Y1422" s="2" t="s">
        <v>1116</v>
      </c>
      <c r="Z1422" s="4">
        <v>120</v>
      </c>
      <c r="AA1422" s="4">
        <f>=ROUNDDOWN(8,0)</f>
      </c>
      <c r="AB1422" s="5">
        <v>15</v>
      </c>
      <c r="AC1422" s="2" t="s">
        <v>100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100</v>
      </c>
      <c r="AW1422" s="8" t="s">
        <v>100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/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 t="s">
        <v>100</v>
      </c>
      <c r="BJ1422" s="4">
        <v>13</v>
      </c>
      <c r="BK1422" s="8">
        <v>1166.77</v>
      </c>
      <c r="BL1422" s="2" t="s">
        <v>5372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109</v>
      </c>
      <c r="BV1422" s="2" t="s">
        <v>97</v>
      </c>
      <c r="BW1422" s="2" t="s">
        <v>5163</v>
      </c>
      <c r="BX1422" s="2" t="s">
        <v>5373</v>
      </c>
      <c r="BY1422" s="2" t="s">
        <v>112</v>
      </c>
      <c r="BZ1422" s="2" t="s">
        <v>100</v>
      </c>
    </row>
    <row r="1423">
      <c r="A1423" s="2" t="s">
        <v>5374</v>
      </c>
      <c r="B1423" s="2" t="s">
        <v>5155</v>
      </c>
      <c r="C1423" s="2" t="s">
        <v>5095</v>
      </c>
      <c r="D1423" s="2" t="s">
        <v>5156</v>
      </c>
      <c r="E1423" s="2" t="s">
        <v>5157</v>
      </c>
      <c r="F1423" s="2" t="s">
        <v>5325</v>
      </c>
      <c r="G1423" s="2" t="s">
        <v>5325</v>
      </c>
      <c r="H1423" s="2" t="s">
        <v>100</v>
      </c>
      <c r="I1423" s="2" t="s">
        <v>5235</v>
      </c>
      <c r="J1423" s="2" t="s">
        <v>114</v>
      </c>
      <c r="K1423" s="2" t="s">
        <v>1373</v>
      </c>
      <c r="L1423" s="3">
        <v>89.41</v>
      </c>
      <c r="M1423" s="3">
        <v>93.88</v>
      </c>
      <c r="N1423" s="3">
        <v>174.99</v>
      </c>
      <c r="O1423" s="2" t="s">
        <v>97</v>
      </c>
      <c r="P1423" s="2" t="s">
        <v>123</v>
      </c>
      <c r="Q1423" s="2" t="s">
        <v>99</v>
      </c>
      <c r="R1423" s="2" t="s">
        <v>100</v>
      </c>
      <c r="S1423" s="2" t="s">
        <v>5375</v>
      </c>
      <c r="T1423" s="2" t="s">
        <v>5327</v>
      </c>
      <c r="U1423" s="2" t="s">
        <v>100</v>
      </c>
      <c r="V1423" s="2" t="s">
        <v>461</v>
      </c>
      <c r="W1423" s="2" t="s">
        <v>609</v>
      </c>
      <c r="X1423" s="2" t="s">
        <v>100</v>
      </c>
      <c r="Y1423" s="2" t="s">
        <v>144</v>
      </c>
      <c r="Z1423" s="4"/>
      <c r="AA1423" s="4">
        <f>=ROUNDDOWN({0},0)</f>
      </c>
      <c r="AB1423" s="5">
        <v>47</v>
      </c>
      <c r="AC1423" s="2" t="s">
        <v>173</v>
      </c>
      <c r="AD1423" s="4">
        <v>280</v>
      </c>
      <c r="AE1423" s="4">
        <v>530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/>
      <c r="BJ1423" s="4">
        <v>69</v>
      </c>
      <c r="BK1423" s="8">
        <v>6847.79</v>
      </c>
      <c r="BL1423" s="2" t="s">
        <v>5376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109</v>
      </c>
      <c r="BV1423" s="2" t="s">
        <v>97</v>
      </c>
      <c r="BW1423" s="2" t="s">
        <v>4187</v>
      </c>
      <c r="BX1423" s="2" t="s">
        <v>1900</v>
      </c>
      <c r="BY1423" s="2" t="s">
        <v>112</v>
      </c>
      <c r="BZ1423" s="2" t="s">
        <v>100</v>
      </c>
    </row>
    <row r="1424">
      <c r="A1424" s="2" t="s">
        <v>5377</v>
      </c>
      <c r="B1424" s="2" t="s">
        <v>5155</v>
      </c>
      <c r="C1424" s="2" t="s">
        <v>5095</v>
      </c>
      <c r="D1424" s="2" t="s">
        <v>5156</v>
      </c>
      <c r="E1424" s="2" t="s">
        <v>5157</v>
      </c>
      <c r="F1424" s="2" t="s">
        <v>5325</v>
      </c>
      <c r="G1424" s="2" t="s">
        <v>5325</v>
      </c>
      <c r="H1424" s="2" t="s">
        <v>100</v>
      </c>
      <c r="I1424" s="2" t="s">
        <v>5235</v>
      </c>
      <c r="J1424" s="2" t="s">
        <v>490</v>
      </c>
      <c r="K1424" s="2" t="s">
        <v>386</v>
      </c>
      <c r="L1424" s="3">
        <v>59.61</v>
      </c>
      <c r="M1424" s="3">
        <v>62.59</v>
      </c>
      <c r="N1424" s="3">
        <v>114.99</v>
      </c>
      <c r="O1424" s="2" t="s">
        <v>97</v>
      </c>
      <c r="P1424" s="2" t="s">
        <v>98</v>
      </c>
      <c r="Q1424" s="2" t="s">
        <v>99</v>
      </c>
      <c r="R1424" s="2" t="s">
        <v>100</v>
      </c>
      <c r="S1424" s="2" t="s">
        <v>5378</v>
      </c>
      <c r="T1424" s="2" t="s">
        <v>4296</v>
      </c>
      <c r="U1424" s="2" t="s">
        <v>1776</v>
      </c>
      <c r="V1424" s="2" t="s">
        <v>461</v>
      </c>
      <c r="W1424" s="2" t="s">
        <v>609</v>
      </c>
      <c r="X1424" s="2" t="s">
        <v>100</v>
      </c>
      <c r="Y1424" s="2" t="s">
        <v>5309</v>
      </c>
      <c r="Z1424" s="4">
        <v>171</v>
      </c>
      <c r="AA1424" s="4">
        <f>=ROUNDDOWN(15.5454545454545,0)</f>
      </c>
      <c r="AB1424" s="5">
        <v>11</v>
      </c>
      <c r="AC1424" s="2" t="s">
        <v>100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100</v>
      </c>
      <c r="AW1424" s="8" t="s">
        <v>100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/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 t="s">
        <v>100</v>
      </c>
      <c r="BJ1424" s="4">
        <v>18</v>
      </c>
      <c r="BK1424" s="8">
        <v>1286</v>
      </c>
      <c r="BL1424" s="2" t="s">
        <v>5334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171</v>
      </c>
      <c r="BV1424" s="2" t="s">
        <v>97</v>
      </c>
      <c r="BW1424" s="2" t="s">
        <v>100</v>
      </c>
      <c r="BX1424" s="2" t="s">
        <v>100</v>
      </c>
      <c r="BY1424" s="2" t="s">
        <v>112</v>
      </c>
      <c r="BZ1424" s="2" t="s">
        <v>100</v>
      </c>
    </row>
    <row r="1425">
      <c r="A1425" s="2" t="s">
        <v>5379</v>
      </c>
      <c r="B1425" s="2" t="s">
        <v>5155</v>
      </c>
      <c r="C1425" s="2" t="s">
        <v>5095</v>
      </c>
      <c r="D1425" s="2" t="s">
        <v>5156</v>
      </c>
      <c r="E1425" s="2" t="s">
        <v>5157</v>
      </c>
      <c r="F1425" s="2" t="s">
        <v>5325</v>
      </c>
      <c r="G1425" s="2" t="s">
        <v>5325</v>
      </c>
      <c r="H1425" s="2" t="s">
        <v>100</v>
      </c>
      <c r="I1425" s="2" t="s">
        <v>5235</v>
      </c>
      <c r="J1425" s="2" t="s">
        <v>95</v>
      </c>
      <c r="K1425" s="2" t="s">
        <v>386</v>
      </c>
      <c r="L1425" s="3">
        <v>79.48</v>
      </c>
      <c r="M1425" s="3">
        <v>83.45</v>
      </c>
      <c r="N1425" s="3">
        <v>154.99</v>
      </c>
      <c r="O1425" s="2" t="s">
        <v>97</v>
      </c>
      <c r="P1425" s="2" t="s">
        <v>98</v>
      </c>
      <c r="Q1425" s="2" t="s">
        <v>99</v>
      </c>
      <c r="R1425" s="2" t="s">
        <v>100</v>
      </c>
      <c r="S1425" s="2" t="s">
        <v>5378</v>
      </c>
      <c r="T1425" s="2" t="s">
        <v>4296</v>
      </c>
      <c r="U1425" s="2" t="s">
        <v>1776</v>
      </c>
      <c r="V1425" s="2" t="s">
        <v>461</v>
      </c>
      <c r="W1425" s="2" t="s">
        <v>609</v>
      </c>
      <c r="X1425" s="2" t="s">
        <v>100</v>
      </c>
      <c r="Y1425" s="2" t="s">
        <v>2099</v>
      </c>
      <c r="Z1425" s="4"/>
      <c r="AA1425" s="4">
        <f>=ROUNDDOWN({0},0)</f>
      </c>
      <c r="AB1425" s="5">
        <v>19</v>
      </c>
      <c r="AC1425" s="2" t="s">
        <v>173</v>
      </c>
      <c r="AD1425" s="4">
        <v>150</v>
      </c>
      <c r="AE1425" s="4">
        <v>150</v>
      </c>
      <c r="AF1425" s="6">
        <v>65</v>
      </c>
      <c r="AG1425" s="6"/>
      <c r="AH1425" s="7">
        <v>0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100</v>
      </c>
      <c r="AW1425" s="8" t="s">
        <v>100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/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 t="s">
        <v>100</v>
      </c>
      <c r="BJ1425" s="4"/>
      <c r="BK1425" s="8"/>
      <c r="BL1425" s="2" t="s">
        <v>100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171</v>
      </c>
      <c r="BV1425" s="2" t="s">
        <v>97</v>
      </c>
      <c r="BW1425" s="2" t="s">
        <v>100</v>
      </c>
      <c r="BX1425" s="2" t="s">
        <v>100</v>
      </c>
      <c r="BY1425" s="2" t="s">
        <v>112</v>
      </c>
      <c r="BZ1425" s="2" t="s">
        <v>100</v>
      </c>
    </row>
    <row r="1426">
      <c r="A1426" s="2" t="s">
        <v>5380</v>
      </c>
      <c r="B1426" s="2" t="s">
        <v>5155</v>
      </c>
      <c r="C1426" s="2" t="s">
        <v>5095</v>
      </c>
      <c r="D1426" s="2" t="s">
        <v>5156</v>
      </c>
      <c r="E1426" s="2" t="s">
        <v>5157</v>
      </c>
      <c r="F1426" s="2" t="s">
        <v>5325</v>
      </c>
      <c r="G1426" s="2" t="s">
        <v>5325</v>
      </c>
      <c r="H1426" s="2" t="s">
        <v>100</v>
      </c>
      <c r="I1426" s="2" t="s">
        <v>5235</v>
      </c>
      <c r="J1426" s="2" t="s">
        <v>114</v>
      </c>
      <c r="K1426" s="2" t="s">
        <v>386</v>
      </c>
      <c r="L1426" s="3">
        <v>89.41</v>
      </c>
      <c r="M1426" s="3">
        <v>93.88</v>
      </c>
      <c r="N1426" s="3">
        <v>174.99</v>
      </c>
      <c r="O1426" s="2" t="s">
        <v>97</v>
      </c>
      <c r="P1426" s="2" t="s">
        <v>98</v>
      </c>
      <c r="Q1426" s="2" t="s">
        <v>99</v>
      </c>
      <c r="R1426" s="2" t="s">
        <v>100</v>
      </c>
      <c r="S1426" s="2" t="s">
        <v>5378</v>
      </c>
      <c r="T1426" s="2" t="s">
        <v>4296</v>
      </c>
      <c r="U1426" s="2" t="s">
        <v>1776</v>
      </c>
      <c r="V1426" s="2" t="s">
        <v>461</v>
      </c>
      <c r="W1426" s="2" t="s">
        <v>609</v>
      </c>
      <c r="X1426" s="2" t="s">
        <v>100</v>
      </c>
      <c r="Y1426" s="2" t="s">
        <v>2099</v>
      </c>
      <c r="Z1426" s="4">
        <v>311</v>
      </c>
      <c r="AA1426" s="4">
        <f>=ROUNDDOWN(25.9166666666667,0)</f>
      </c>
      <c r="AB1426" s="5">
        <v>12</v>
      </c>
      <c r="AC1426" s="2" t="s">
        <v>100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100</v>
      </c>
      <c r="AW1426" s="8" t="s">
        <v>100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/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 t="s">
        <v>100</v>
      </c>
      <c r="BJ1426" s="4">
        <v>10</v>
      </c>
      <c r="BK1426" s="8">
        <v>1041.39</v>
      </c>
      <c r="BL1426" s="2" t="s">
        <v>3061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171</v>
      </c>
      <c r="BV1426" s="2" t="s">
        <v>97</v>
      </c>
      <c r="BW1426" s="2" t="s">
        <v>100</v>
      </c>
      <c r="BX1426" s="2" t="s">
        <v>100</v>
      </c>
      <c r="BY1426" s="2" t="s">
        <v>112</v>
      </c>
      <c r="BZ1426" s="2" t="s">
        <v>100</v>
      </c>
    </row>
    <row r="1427">
      <c r="A1427" s="2" t="s">
        <v>5381</v>
      </c>
      <c r="B1427" s="2" t="s">
        <v>5155</v>
      </c>
      <c r="C1427" s="2" t="s">
        <v>5095</v>
      </c>
      <c r="D1427" s="2" t="s">
        <v>5156</v>
      </c>
      <c r="E1427" s="2" t="s">
        <v>5157</v>
      </c>
      <c r="F1427" s="2" t="s">
        <v>5382</v>
      </c>
      <c r="G1427" s="2" t="s">
        <v>5382</v>
      </c>
      <c r="H1427" s="2" t="s">
        <v>5382</v>
      </c>
      <c r="I1427" s="2" t="s">
        <v>5383</v>
      </c>
      <c r="J1427" s="2" t="s">
        <v>95</v>
      </c>
      <c r="K1427" s="2" t="s">
        <v>545</v>
      </c>
      <c r="L1427" s="3">
        <v>95.23</v>
      </c>
      <c r="M1427" s="3">
        <v>99.99</v>
      </c>
      <c r="N1427" s="3">
        <v>199.99</v>
      </c>
      <c r="O1427" s="2" t="s">
        <v>97</v>
      </c>
      <c r="P1427" s="2" t="s">
        <v>98</v>
      </c>
      <c r="Q1427" s="2" t="s">
        <v>99</v>
      </c>
      <c r="R1427" s="2" t="s">
        <v>100</v>
      </c>
      <c r="S1427" s="2" t="s">
        <v>5384</v>
      </c>
      <c r="T1427" s="2" t="s">
        <v>4296</v>
      </c>
      <c r="U1427" s="2" t="s">
        <v>1776</v>
      </c>
      <c r="V1427" s="2" t="s">
        <v>461</v>
      </c>
      <c r="W1427" s="2" t="s">
        <v>609</v>
      </c>
      <c r="X1427" s="2" t="s">
        <v>100</v>
      </c>
      <c r="Y1427" s="2" t="s">
        <v>5385</v>
      </c>
      <c r="Z1427" s="4">
        <v>78</v>
      </c>
      <c r="AA1427" s="4">
        <f>=ROUNDDOWN(5.2,0)</f>
      </c>
      <c r="AB1427" s="5">
        <v>15</v>
      </c>
      <c r="AC1427" s="2" t="s">
        <v>173</v>
      </c>
      <c r="AD1427" s="4">
        <v>150</v>
      </c>
      <c r="AE1427" s="4">
        <v>150</v>
      </c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/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/>
      <c r="BJ1427" s="4">
        <v>7</v>
      </c>
      <c r="BK1427" s="8">
        <v>740.93</v>
      </c>
      <c r="BL1427" s="2" t="s">
        <v>666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171</v>
      </c>
      <c r="BV1427" s="2" t="s">
        <v>97</v>
      </c>
      <c r="BW1427" s="2" t="s">
        <v>100</v>
      </c>
      <c r="BX1427" s="2" t="s">
        <v>100</v>
      </c>
      <c r="BY1427" s="2" t="s">
        <v>112</v>
      </c>
      <c r="BZ1427" s="2" t="s">
        <v>100</v>
      </c>
    </row>
    <row r="1428">
      <c r="A1428" s="2" t="s">
        <v>5386</v>
      </c>
      <c r="B1428" s="2" t="s">
        <v>5155</v>
      </c>
      <c r="C1428" s="2" t="s">
        <v>5095</v>
      </c>
      <c r="D1428" s="2" t="s">
        <v>5156</v>
      </c>
      <c r="E1428" s="2" t="s">
        <v>5157</v>
      </c>
      <c r="F1428" s="2" t="s">
        <v>5382</v>
      </c>
      <c r="G1428" s="2" t="s">
        <v>5382</v>
      </c>
      <c r="H1428" s="2" t="s">
        <v>5382</v>
      </c>
      <c r="I1428" s="2" t="s">
        <v>5383</v>
      </c>
      <c r="J1428" s="2" t="s">
        <v>114</v>
      </c>
      <c r="K1428" s="2" t="s">
        <v>545</v>
      </c>
      <c r="L1428" s="3">
        <v>100</v>
      </c>
      <c r="M1428" s="3">
        <v>105</v>
      </c>
      <c r="N1428" s="3">
        <v>209.99</v>
      </c>
      <c r="O1428" s="2" t="s">
        <v>97</v>
      </c>
      <c r="P1428" s="2" t="s">
        <v>98</v>
      </c>
      <c r="Q1428" s="2" t="s">
        <v>99</v>
      </c>
      <c r="R1428" s="2" t="s">
        <v>100</v>
      </c>
      <c r="S1428" s="2" t="s">
        <v>5384</v>
      </c>
      <c r="T1428" s="2" t="s">
        <v>4296</v>
      </c>
      <c r="U1428" s="2" t="s">
        <v>1776</v>
      </c>
      <c r="V1428" s="2" t="s">
        <v>461</v>
      </c>
      <c r="W1428" s="2" t="s">
        <v>609</v>
      </c>
      <c r="X1428" s="2" t="s">
        <v>100</v>
      </c>
      <c r="Y1428" s="2" t="s">
        <v>5385</v>
      </c>
      <c r="Z1428" s="4"/>
      <c r="AA1428" s="4">
        <f>=ROUNDDOWN({0},0)</f>
      </c>
      <c r="AB1428" s="5">
        <v>31</v>
      </c>
      <c r="AC1428" s="2" t="s">
        <v>173</v>
      </c>
      <c r="AD1428" s="4">
        <v>200</v>
      </c>
      <c r="AE1428" s="4">
        <v>200</v>
      </c>
      <c r="AF1428" s="6">
        <v>65</v>
      </c>
      <c r="AG1428" s="6"/>
      <c r="AH1428" s="7">
        <v>0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 t="s">
        <v>100</v>
      </c>
      <c r="AW1428" s="8" t="s">
        <v>100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/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/>
      <c r="BJ1428" s="4"/>
      <c r="BK1428" s="8"/>
      <c r="BL1428" s="2" t="s">
        <v>100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171</v>
      </c>
      <c r="BV1428" s="2" t="s">
        <v>97</v>
      </c>
      <c r="BW1428" s="2" t="s">
        <v>100</v>
      </c>
      <c r="BX1428" s="2" t="s">
        <v>100</v>
      </c>
      <c r="BY1428" s="2" t="s">
        <v>112</v>
      </c>
      <c r="BZ1428" s="2" t="s">
        <v>100</v>
      </c>
    </row>
    <row r="1429">
      <c r="A1429" s="2" t="s">
        <v>5387</v>
      </c>
      <c r="B1429" s="2" t="s">
        <v>5155</v>
      </c>
      <c r="C1429" s="2" t="s">
        <v>5095</v>
      </c>
      <c r="D1429" s="2" t="s">
        <v>5156</v>
      </c>
      <c r="E1429" s="2" t="s">
        <v>5157</v>
      </c>
      <c r="F1429" s="2" t="s">
        <v>5382</v>
      </c>
      <c r="G1429" s="2" t="s">
        <v>5382</v>
      </c>
      <c r="H1429" s="2" t="s">
        <v>5382</v>
      </c>
      <c r="I1429" s="2" t="s">
        <v>5383</v>
      </c>
      <c r="J1429" s="2" t="s">
        <v>95</v>
      </c>
      <c r="K1429" s="2" t="s">
        <v>1373</v>
      </c>
      <c r="L1429" s="3">
        <v>95.23</v>
      </c>
      <c r="M1429" s="3">
        <v>99.99</v>
      </c>
      <c r="N1429" s="3">
        <v>199.99</v>
      </c>
      <c r="O1429" s="2" t="s">
        <v>97</v>
      </c>
      <c r="P1429" s="2" t="s">
        <v>98</v>
      </c>
      <c r="Q1429" s="2" t="s">
        <v>99</v>
      </c>
      <c r="R1429" s="2" t="s">
        <v>100</v>
      </c>
      <c r="S1429" s="2" t="s">
        <v>5388</v>
      </c>
      <c r="T1429" s="2" t="s">
        <v>4296</v>
      </c>
      <c r="U1429" s="2" t="s">
        <v>1776</v>
      </c>
      <c r="V1429" s="2" t="s">
        <v>461</v>
      </c>
      <c r="W1429" s="2" t="s">
        <v>609</v>
      </c>
      <c r="X1429" s="2" t="s">
        <v>100</v>
      </c>
      <c r="Y1429" s="2" t="s">
        <v>5385</v>
      </c>
      <c r="Z1429" s="4">
        <v>151</v>
      </c>
      <c r="AA1429" s="4">
        <f>=ROUNDDOWN(13.7272727272727,0)</f>
      </c>
      <c r="AB1429" s="5">
        <v>11</v>
      </c>
      <c r="AC1429" s="2" t="s">
        <v>100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/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/>
      <c r="BJ1429" s="4">
        <v>7</v>
      </c>
      <c r="BK1429" s="8">
        <v>684.93</v>
      </c>
      <c r="BL1429" s="2" t="s">
        <v>250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171</v>
      </c>
      <c r="BV1429" s="2" t="s">
        <v>97</v>
      </c>
      <c r="BW1429" s="2" t="s">
        <v>100</v>
      </c>
      <c r="BX1429" s="2" t="s">
        <v>100</v>
      </c>
      <c r="BY1429" s="2" t="s">
        <v>112</v>
      </c>
      <c r="BZ1429" s="2" t="s">
        <v>100</v>
      </c>
    </row>
    <row r="1430">
      <c r="A1430" s="2" t="s">
        <v>5389</v>
      </c>
      <c r="B1430" s="2" t="s">
        <v>5155</v>
      </c>
      <c r="C1430" s="2" t="s">
        <v>5095</v>
      </c>
      <c r="D1430" s="2" t="s">
        <v>5156</v>
      </c>
      <c r="E1430" s="2" t="s">
        <v>5157</v>
      </c>
      <c r="F1430" s="2" t="s">
        <v>5382</v>
      </c>
      <c r="G1430" s="2" t="s">
        <v>5382</v>
      </c>
      <c r="H1430" s="2" t="s">
        <v>5382</v>
      </c>
      <c r="I1430" s="2" t="s">
        <v>5383</v>
      </c>
      <c r="J1430" s="2" t="s">
        <v>114</v>
      </c>
      <c r="K1430" s="2" t="s">
        <v>1373</v>
      </c>
      <c r="L1430" s="3">
        <v>100</v>
      </c>
      <c r="M1430" s="3">
        <v>105</v>
      </c>
      <c r="N1430" s="3">
        <v>209.99</v>
      </c>
      <c r="O1430" s="2" t="s">
        <v>97</v>
      </c>
      <c r="P1430" s="2" t="s">
        <v>98</v>
      </c>
      <c r="Q1430" s="2" t="s">
        <v>99</v>
      </c>
      <c r="R1430" s="2" t="s">
        <v>100</v>
      </c>
      <c r="S1430" s="2" t="s">
        <v>5388</v>
      </c>
      <c r="T1430" s="2" t="s">
        <v>4296</v>
      </c>
      <c r="U1430" s="2" t="s">
        <v>1776</v>
      </c>
      <c r="V1430" s="2" t="s">
        <v>461</v>
      </c>
      <c r="W1430" s="2" t="s">
        <v>609</v>
      </c>
      <c r="X1430" s="2" t="s">
        <v>100</v>
      </c>
      <c r="Y1430" s="2" t="s">
        <v>5385</v>
      </c>
      <c r="Z1430" s="4"/>
      <c r="AA1430" s="4">
        <f>=ROUNDDOWN({0},0)</f>
      </c>
      <c r="AB1430" s="5">
        <v>22</v>
      </c>
      <c r="AC1430" s="2" t="s">
        <v>173</v>
      </c>
      <c r="AD1430" s="4">
        <v>150</v>
      </c>
      <c r="AE1430" s="4">
        <v>150</v>
      </c>
      <c r="AF1430" s="6">
        <v>65</v>
      </c>
      <c r="AG1430" s="6"/>
      <c r="AH1430" s="7">
        <v>0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100</v>
      </c>
      <c r="AW1430" s="8" t="s">
        <v>100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/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/>
      <c r="BJ1430" s="4"/>
      <c r="BK1430" s="8"/>
      <c r="BL1430" s="2" t="s">
        <v>100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171</v>
      </c>
      <c r="BV1430" s="2" t="s">
        <v>97</v>
      </c>
      <c r="BW1430" s="2" t="s">
        <v>100</v>
      </c>
      <c r="BX1430" s="2" t="s">
        <v>100</v>
      </c>
      <c r="BY1430" s="2" t="s">
        <v>112</v>
      </c>
      <c r="BZ1430" s="2" t="s">
        <v>100</v>
      </c>
    </row>
    <row r="1431">
      <c r="A1431" s="2" t="s">
        <v>5390</v>
      </c>
      <c r="B1431" s="2" t="s">
        <v>5155</v>
      </c>
      <c r="C1431" s="2" t="s">
        <v>5095</v>
      </c>
      <c r="D1431" s="2" t="s">
        <v>5156</v>
      </c>
      <c r="E1431" s="2" t="s">
        <v>5157</v>
      </c>
      <c r="F1431" s="2" t="s">
        <v>5382</v>
      </c>
      <c r="G1431" s="2" t="s">
        <v>5382</v>
      </c>
      <c r="H1431" s="2" t="s">
        <v>5382</v>
      </c>
      <c r="I1431" s="2" t="s">
        <v>5383</v>
      </c>
      <c r="J1431" s="2" t="s">
        <v>95</v>
      </c>
      <c r="K1431" s="2" t="s">
        <v>673</v>
      </c>
      <c r="L1431" s="3">
        <v>95.23</v>
      </c>
      <c r="M1431" s="3">
        <v>99.99</v>
      </c>
      <c r="N1431" s="3">
        <v>199.99</v>
      </c>
      <c r="O1431" s="2" t="s">
        <v>97</v>
      </c>
      <c r="P1431" s="2" t="s">
        <v>98</v>
      </c>
      <c r="Q1431" s="2" t="s">
        <v>99</v>
      </c>
      <c r="R1431" s="2" t="s">
        <v>100</v>
      </c>
      <c r="S1431" s="2" t="s">
        <v>5391</v>
      </c>
      <c r="T1431" s="2" t="s">
        <v>4296</v>
      </c>
      <c r="U1431" s="2" t="s">
        <v>1776</v>
      </c>
      <c r="V1431" s="2" t="s">
        <v>461</v>
      </c>
      <c r="W1431" s="2" t="s">
        <v>609</v>
      </c>
      <c r="X1431" s="2" t="s">
        <v>100</v>
      </c>
      <c r="Y1431" s="2" t="s">
        <v>5385</v>
      </c>
      <c r="Z1431" s="4">
        <v>265</v>
      </c>
      <c r="AA1431" s="4">
        <f>=ROUNDDOWN(26.5,0)</f>
      </c>
      <c r="AB1431" s="5">
        <v>10</v>
      </c>
      <c r="AC1431" s="2" t="s">
        <v>100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/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/>
      <c r="BJ1431" s="4">
        <v>4</v>
      </c>
      <c r="BK1431" s="8">
        <v>417.96</v>
      </c>
      <c r="BL1431" s="2" t="s">
        <v>5392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171</v>
      </c>
      <c r="BV1431" s="2" t="s">
        <v>97</v>
      </c>
      <c r="BW1431" s="2" t="s">
        <v>100</v>
      </c>
      <c r="BX1431" s="2" t="s">
        <v>100</v>
      </c>
      <c r="BY1431" s="2" t="s">
        <v>112</v>
      </c>
      <c r="BZ1431" s="2" t="s">
        <v>100</v>
      </c>
    </row>
    <row r="1432">
      <c r="A1432" s="2" t="s">
        <v>5393</v>
      </c>
      <c r="B1432" s="2" t="s">
        <v>5155</v>
      </c>
      <c r="C1432" s="2" t="s">
        <v>5095</v>
      </c>
      <c r="D1432" s="2" t="s">
        <v>5156</v>
      </c>
      <c r="E1432" s="2" t="s">
        <v>5157</v>
      </c>
      <c r="F1432" s="2" t="s">
        <v>5382</v>
      </c>
      <c r="G1432" s="2" t="s">
        <v>5382</v>
      </c>
      <c r="H1432" s="2" t="s">
        <v>5382</v>
      </c>
      <c r="I1432" s="2" t="s">
        <v>5383</v>
      </c>
      <c r="J1432" s="2" t="s">
        <v>114</v>
      </c>
      <c r="K1432" s="2" t="s">
        <v>673</v>
      </c>
      <c r="L1432" s="3">
        <v>100</v>
      </c>
      <c r="M1432" s="3">
        <v>105</v>
      </c>
      <c r="N1432" s="3">
        <v>209.99</v>
      </c>
      <c r="O1432" s="2" t="s">
        <v>97</v>
      </c>
      <c r="P1432" s="2" t="s">
        <v>98</v>
      </c>
      <c r="Q1432" s="2" t="s">
        <v>99</v>
      </c>
      <c r="R1432" s="2" t="s">
        <v>100</v>
      </c>
      <c r="S1432" s="2" t="s">
        <v>5391</v>
      </c>
      <c r="T1432" s="2" t="s">
        <v>4296</v>
      </c>
      <c r="U1432" s="2" t="s">
        <v>1776</v>
      </c>
      <c r="V1432" s="2" t="s">
        <v>461</v>
      </c>
      <c r="W1432" s="2" t="s">
        <v>609</v>
      </c>
      <c r="X1432" s="2" t="s">
        <v>100</v>
      </c>
      <c r="Y1432" s="2" t="s">
        <v>5385</v>
      </c>
      <c r="Z1432" s="4">
        <v>1</v>
      </c>
      <c r="AA1432" s="4">
        <f>=ROUNDDOWN(0.0555555555555556,0)</f>
      </c>
      <c r="AB1432" s="5">
        <v>18</v>
      </c>
      <c r="AC1432" s="2" t="s">
        <v>173</v>
      </c>
      <c r="AD1432" s="4">
        <v>150</v>
      </c>
      <c r="AE1432" s="4">
        <v>150</v>
      </c>
      <c r="AF1432" s="6">
        <v>65</v>
      </c>
      <c r="AG1432" s="6"/>
      <c r="AH1432" s="7">
        <v>0.0323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100</v>
      </c>
      <c r="AW1432" s="8" t="s">
        <v>100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/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/>
      <c r="BJ1432" s="4">
        <v>1</v>
      </c>
      <c r="BK1432" s="8">
        <v>110.25</v>
      </c>
      <c r="BL1432" s="2" t="s">
        <v>5394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171</v>
      </c>
      <c r="BV1432" s="2" t="s">
        <v>97</v>
      </c>
      <c r="BW1432" s="2" t="s">
        <v>100</v>
      </c>
      <c r="BX1432" s="2" t="s">
        <v>100</v>
      </c>
      <c r="BY1432" s="2" t="s">
        <v>112</v>
      </c>
      <c r="BZ1432" s="2" t="s">
        <v>100</v>
      </c>
    </row>
    <row r="1433">
      <c r="A1433" s="2" t="s">
        <v>5395</v>
      </c>
      <c r="B1433" s="2" t="s">
        <v>5155</v>
      </c>
      <c r="C1433" s="2" t="s">
        <v>5095</v>
      </c>
      <c r="D1433" s="2" t="s">
        <v>5156</v>
      </c>
      <c r="E1433" s="2" t="s">
        <v>5396</v>
      </c>
      <c r="F1433" s="2" t="s">
        <v>5397</v>
      </c>
      <c r="G1433" s="2" t="s">
        <v>5397</v>
      </c>
      <c r="H1433" s="2" t="s">
        <v>5397</v>
      </c>
      <c r="I1433" s="2" t="s">
        <v>5398</v>
      </c>
      <c r="J1433" s="2" t="s">
        <v>5399</v>
      </c>
      <c r="K1433" s="2" t="s">
        <v>96</v>
      </c>
      <c r="L1433" s="3">
        <v>38.4</v>
      </c>
      <c r="M1433" s="3">
        <v>40.32</v>
      </c>
      <c r="N1433" s="3">
        <v>79.99</v>
      </c>
      <c r="O1433" s="2" t="s">
        <v>97</v>
      </c>
      <c r="P1433" s="2" t="s">
        <v>98</v>
      </c>
      <c r="Q1433" s="2" t="s">
        <v>99</v>
      </c>
      <c r="R1433" s="2" t="s">
        <v>100</v>
      </c>
      <c r="S1433" s="2" t="s">
        <v>5400</v>
      </c>
      <c r="T1433" s="2" t="s">
        <v>4296</v>
      </c>
      <c r="U1433" s="2" t="s">
        <v>100</v>
      </c>
      <c r="V1433" s="2" t="s">
        <v>473</v>
      </c>
      <c r="W1433" s="2" t="s">
        <v>609</v>
      </c>
      <c r="X1433" s="2" t="s">
        <v>142</v>
      </c>
      <c r="Y1433" s="2" t="s">
        <v>144</v>
      </c>
      <c r="Z1433" s="4">
        <v>2864</v>
      </c>
      <c r="AA1433" s="4">
        <f>=ROUNDDOWN(57.28,0)</f>
      </c>
      <c r="AB1433" s="5">
        <v>50</v>
      </c>
      <c r="AC1433" s="2" t="s">
        <v>3277</v>
      </c>
      <c r="AD1433" s="4">
        <v>500</v>
      </c>
      <c r="AE1433" s="4">
        <v>500</v>
      </c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45</v>
      </c>
      <c r="AQ1433" s="8">
        <v>1786.05</v>
      </c>
      <c r="AR1433" s="4"/>
      <c r="AS1433" s="8"/>
      <c r="AT1433" s="7"/>
      <c r="AU1433" s="7"/>
      <c r="AV1433" s="4">
        <v>45</v>
      </c>
      <c r="AW1433" s="8">
        <v>1786.05</v>
      </c>
      <c r="AX1433" s="4"/>
      <c r="AY1433" s="8"/>
      <c r="AZ1433" s="7"/>
      <c r="BA1433" s="7"/>
      <c r="BB1433" s="7">
        <v>1</v>
      </c>
      <c r="BC1433" s="4">
        <v>45</v>
      </c>
      <c r="BD1433" s="8">
        <v>1786.05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>
        <v>1</v>
      </c>
      <c r="BJ1433" s="4">
        <v>217</v>
      </c>
      <c r="BK1433" s="8">
        <v>8583.74</v>
      </c>
      <c r="BL1433" s="2" t="s">
        <v>5401</v>
      </c>
      <c r="BM1433" s="7">
        <v>0.2074</v>
      </c>
      <c r="BN1433" s="7">
        <v>0.2081</v>
      </c>
      <c r="BO1433" s="4">
        <v>45</v>
      </c>
      <c r="BP1433" s="8">
        <v>1786.05</v>
      </c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1824</v>
      </c>
      <c r="BX1433" s="2" t="s">
        <v>465</v>
      </c>
      <c r="BY1433" s="2" t="s">
        <v>112</v>
      </c>
      <c r="BZ1433" s="2" t="s">
        <v>100</v>
      </c>
    </row>
    <row r="1434">
      <c r="A1434" s="2" t="s">
        <v>5402</v>
      </c>
      <c r="B1434" s="2" t="s">
        <v>5155</v>
      </c>
      <c r="C1434" s="2" t="s">
        <v>5095</v>
      </c>
      <c r="D1434" s="2" t="s">
        <v>5156</v>
      </c>
      <c r="E1434" s="2" t="s">
        <v>5396</v>
      </c>
      <c r="F1434" s="2" t="s">
        <v>5397</v>
      </c>
      <c r="G1434" s="2" t="s">
        <v>5397</v>
      </c>
      <c r="H1434" s="2" t="s">
        <v>5397</v>
      </c>
      <c r="I1434" s="2" t="s">
        <v>5398</v>
      </c>
      <c r="J1434" s="2" t="s">
        <v>5399</v>
      </c>
      <c r="K1434" s="2" t="s">
        <v>471</v>
      </c>
      <c r="L1434" s="3">
        <v>38.4</v>
      </c>
      <c r="M1434" s="3">
        <v>40.32</v>
      </c>
      <c r="N1434" s="3">
        <v>79.99</v>
      </c>
      <c r="O1434" s="2" t="s">
        <v>97</v>
      </c>
      <c r="P1434" s="2" t="s">
        <v>317</v>
      </c>
      <c r="Q1434" s="2" t="s">
        <v>99</v>
      </c>
      <c r="R1434" s="2" t="s">
        <v>100</v>
      </c>
      <c r="S1434" s="2" t="s">
        <v>5403</v>
      </c>
      <c r="T1434" s="2" t="s">
        <v>4296</v>
      </c>
      <c r="U1434" s="2" t="s">
        <v>100</v>
      </c>
      <c r="V1434" s="2" t="s">
        <v>473</v>
      </c>
      <c r="W1434" s="2" t="s">
        <v>609</v>
      </c>
      <c r="X1434" s="2" t="s">
        <v>142</v>
      </c>
      <c r="Y1434" s="2" t="s">
        <v>144</v>
      </c>
      <c r="Z1434" s="4"/>
      <c r="AA1434" s="4">
        <f>=ROUNDDOWN({0},0)</f>
      </c>
      <c r="AB1434" s="5">
        <v>111</v>
      </c>
      <c r="AC1434" s="2" t="s">
        <v>173</v>
      </c>
      <c r="AD1434" s="4">
        <v>760</v>
      </c>
      <c r="AE1434" s="4">
        <v>1120</v>
      </c>
      <c r="AF1434" s="6">
        <v>65</v>
      </c>
      <c r="AG1434" s="6"/>
      <c r="AH1434" s="7">
        <v>0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/>
      <c r="BJ1434" s="4"/>
      <c r="BK1434" s="8"/>
      <c r="BL1434" s="2" t="s">
        <v>100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1824</v>
      </c>
      <c r="BX1434" s="2" t="s">
        <v>1898</v>
      </c>
      <c r="BY1434" s="2" t="s">
        <v>112</v>
      </c>
      <c r="BZ1434" s="2" t="s">
        <v>100</v>
      </c>
    </row>
    <row r="1435">
      <c r="A1435" s="2" t="s">
        <v>5404</v>
      </c>
      <c r="B1435" s="2" t="s">
        <v>5155</v>
      </c>
      <c r="C1435" s="2" t="s">
        <v>5095</v>
      </c>
      <c r="D1435" s="2" t="s">
        <v>5156</v>
      </c>
      <c r="E1435" s="2" t="s">
        <v>5396</v>
      </c>
      <c r="F1435" s="2" t="s">
        <v>5397</v>
      </c>
      <c r="G1435" s="2" t="s">
        <v>5397</v>
      </c>
      <c r="H1435" s="2" t="s">
        <v>5397</v>
      </c>
      <c r="I1435" s="2" t="s">
        <v>5398</v>
      </c>
      <c r="J1435" s="2" t="s">
        <v>5399</v>
      </c>
      <c r="K1435" s="2" t="s">
        <v>1384</v>
      </c>
      <c r="L1435" s="3">
        <v>38.4</v>
      </c>
      <c r="M1435" s="3">
        <v>40.32</v>
      </c>
      <c r="N1435" s="3">
        <v>79.99</v>
      </c>
      <c r="O1435" s="2" t="s">
        <v>97</v>
      </c>
      <c r="P1435" s="2" t="s">
        <v>139</v>
      </c>
      <c r="Q1435" s="2" t="s">
        <v>99</v>
      </c>
      <c r="R1435" s="2" t="s">
        <v>100</v>
      </c>
      <c r="S1435" s="2" t="s">
        <v>5405</v>
      </c>
      <c r="T1435" s="2" t="s">
        <v>4296</v>
      </c>
      <c r="U1435" s="2" t="s">
        <v>100</v>
      </c>
      <c r="V1435" s="2" t="s">
        <v>473</v>
      </c>
      <c r="W1435" s="2" t="s">
        <v>609</v>
      </c>
      <c r="X1435" s="2" t="s">
        <v>142</v>
      </c>
      <c r="Y1435" s="2" t="s">
        <v>3452</v>
      </c>
      <c r="Z1435" s="4"/>
      <c r="AA1435" s="4">
        <f>=ROUNDDOWN({0},0)</f>
      </c>
      <c r="AB1435" s="5">
        <v>65</v>
      </c>
      <c r="AC1435" s="2" t="s">
        <v>173</v>
      </c>
      <c r="AD1435" s="4">
        <v>460</v>
      </c>
      <c r="AE1435" s="4">
        <v>460</v>
      </c>
      <c r="AF1435" s="6">
        <v>65</v>
      </c>
      <c r="AG1435" s="6"/>
      <c r="AH1435" s="7">
        <v>0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/>
      <c r="BJ1435" s="4"/>
      <c r="BK1435" s="8"/>
      <c r="BL1435" s="2" t="s">
        <v>100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109</v>
      </c>
      <c r="BV1435" s="2" t="s">
        <v>97</v>
      </c>
      <c r="BW1435" s="2" t="s">
        <v>1824</v>
      </c>
      <c r="BX1435" s="2" t="s">
        <v>516</v>
      </c>
      <c r="BY1435" s="2" t="s">
        <v>112</v>
      </c>
      <c r="BZ1435" s="2" t="s">
        <v>100</v>
      </c>
    </row>
    <row r="1436">
      <c r="A1436" s="2" t="s">
        <v>5406</v>
      </c>
      <c r="B1436" s="2" t="s">
        <v>5155</v>
      </c>
      <c r="C1436" s="2" t="s">
        <v>5095</v>
      </c>
      <c r="D1436" s="2" t="s">
        <v>5156</v>
      </c>
      <c r="E1436" s="2" t="s">
        <v>5396</v>
      </c>
      <c r="F1436" s="2" t="s">
        <v>5325</v>
      </c>
      <c r="G1436" s="2" t="s">
        <v>5325</v>
      </c>
      <c r="H1436" s="2" t="s">
        <v>100</v>
      </c>
      <c r="I1436" s="2" t="s">
        <v>5398</v>
      </c>
      <c r="J1436" s="2" t="s">
        <v>5399</v>
      </c>
      <c r="K1436" s="2" t="s">
        <v>179</v>
      </c>
      <c r="L1436" s="3">
        <v>36.8</v>
      </c>
      <c r="M1436" s="3">
        <v>38.64</v>
      </c>
      <c r="N1436" s="3">
        <v>79.99</v>
      </c>
      <c r="O1436" s="2" t="s">
        <v>97</v>
      </c>
      <c r="P1436" s="2" t="s">
        <v>98</v>
      </c>
      <c r="Q1436" s="2" t="s">
        <v>99</v>
      </c>
      <c r="R1436" s="2" t="s">
        <v>100</v>
      </c>
      <c r="S1436" s="2" t="s">
        <v>5407</v>
      </c>
      <c r="T1436" s="2" t="s">
        <v>5327</v>
      </c>
      <c r="U1436" s="2" t="s">
        <v>100</v>
      </c>
      <c r="V1436" s="2" t="s">
        <v>461</v>
      </c>
      <c r="W1436" s="2" t="s">
        <v>609</v>
      </c>
      <c r="X1436" s="2" t="s">
        <v>100</v>
      </c>
      <c r="Y1436" s="2" t="s">
        <v>144</v>
      </c>
      <c r="Z1436" s="4">
        <v>1</v>
      </c>
      <c r="AA1436" s="4">
        <f>=ROUNDDOWN(0.0434782608695652,0)</f>
      </c>
      <c r="AB1436" s="5">
        <v>23</v>
      </c>
      <c r="AC1436" s="2" t="s">
        <v>2779</v>
      </c>
      <c r="AD1436" s="4">
        <v>100</v>
      </c>
      <c r="AE1436" s="4">
        <v>100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1</v>
      </c>
      <c r="AQ1436" s="8">
        <v>37.8</v>
      </c>
      <c r="AR1436" s="4"/>
      <c r="AS1436" s="8"/>
      <c r="AT1436" s="7"/>
      <c r="AU1436" s="7"/>
      <c r="AV1436" s="4">
        <v>1</v>
      </c>
      <c r="AW1436" s="8">
        <v>37.8</v>
      </c>
      <c r="AX1436" s="4"/>
      <c r="AY1436" s="8"/>
      <c r="AZ1436" s="7"/>
      <c r="BA1436" s="7"/>
      <c r="BB1436" s="7">
        <v>1</v>
      </c>
      <c r="BC1436" s="4">
        <v>3</v>
      </c>
      <c r="BD1436" s="8">
        <v>113.4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>
        <v>0.3333</v>
      </c>
      <c r="BJ1436" s="4">
        <v>112</v>
      </c>
      <c r="BK1436" s="8">
        <v>4436.35</v>
      </c>
      <c r="BL1436" s="2" t="s">
        <v>5408</v>
      </c>
      <c r="BM1436" s="7">
        <v>0.0089</v>
      </c>
      <c r="BN1436" s="7">
        <v>0.0085</v>
      </c>
      <c r="BO1436" s="4">
        <v>1</v>
      </c>
      <c r="BP1436" s="8">
        <v>37.8</v>
      </c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5163</v>
      </c>
      <c r="BX1436" s="2" t="s">
        <v>358</v>
      </c>
      <c r="BY1436" s="2" t="s">
        <v>112</v>
      </c>
      <c r="BZ1436" s="2" t="s">
        <v>100</v>
      </c>
    </row>
    <row r="1437">
      <c r="A1437" s="2" t="s">
        <v>5409</v>
      </c>
      <c r="B1437" s="2" t="s">
        <v>5155</v>
      </c>
      <c r="C1437" s="2" t="s">
        <v>5095</v>
      </c>
      <c r="D1437" s="2" t="s">
        <v>5156</v>
      </c>
      <c r="E1437" s="2" t="s">
        <v>5396</v>
      </c>
      <c r="F1437" s="2" t="s">
        <v>5325</v>
      </c>
      <c r="G1437" s="2" t="s">
        <v>5325</v>
      </c>
      <c r="H1437" s="2" t="s">
        <v>100</v>
      </c>
      <c r="I1437" s="2" t="s">
        <v>5398</v>
      </c>
      <c r="J1437" s="2" t="s">
        <v>5399</v>
      </c>
      <c r="K1437" s="2" t="s">
        <v>96</v>
      </c>
      <c r="L1437" s="3">
        <v>36.8</v>
      </c>
      <c r="M1437" s="3">
        <v>38.64</v>
      </c>
      <c r="N1437" s="3">
        <v>79.99</v>
      </c>
      <c r="O1437" s="2" t="s">
        <v>97</v>
      </c>
      <c r="P1437" s="2" t="s">
        <v>156</v>
      </c>
      <c r="Q1437" s="2" t="s">
        <v>99</v>
      </c>
      <c r="R1437" s="2" t="s">
        <v>100</v>
      </c>
      <c r="S1437" s="2" t="s">
        <v>5410</v>
      </c>
      <c r="T1437" s="2" t="s">
        <v>5327</v>
      </c>
      <c r="U1437" s="2" t="s">
        <v>100</v>
      </c>
      <c r="V1437" s="2" t="s">
        <v>461</v>
      </c>
      <c r="W1437" s="2" t="s">
        <v>609</v>
      </c>
      <c r="X1437" s="2" t="s">
        <v>100</v>
      </c>
      <c r="Y1437" s="2" t="s">
        <v>144</v>
      </c>
      <c r="Z1437" s="4">
        <v>677</v>
      </c>
      <c r="AA1437" s="4">
        <f>=ROUNDDOWN(13.2745098039216,0)</f>
      </c>
      <c r="AB1437" s="5">
        <v>51</v>
      </c>
      <c r="AC1437" s="2" t="s">
        <v>100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1</v>
      </c>
      <c r="AQ1437" s="8">
        <v>37.8</v>
      </c>
      <c r="AR1437" s="4"/>
      <c r="AS1437" s="8"/>
      <c r="AT1437" s="7"/>
      <c r="AU1437" s="7"/>
      <c r="AV1437" s="4">
        <v>1</v>
      </c>
      <c r="AW1437" s="8">
        <v>37.8</v>
      </c>
      <c r="AX1437" s="4"/>
      <c r="AY1437" s="8"/>
      <c r="AZ1437" s="7"/>
      <c r="BA1437" s="7"/>
      <c r="BB1437" s="7">
        <v>1</v>
      </c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>
        <v>0.3333</v>
      </c>
      <c r="BJ1437" s="4">
        <v>139</v>
      </c>
      <c r="BK1437" s="8">
        <v>5483.07</v>
      </c>
      <c r="BL1437" s="2" t="s">
        <v>5411</v>
      </c>
      <c r="BM1437" s="7">
        <v>0.0072</v>
      </c>
      <c r="BN1437" s="7">
        <v>0.0069</v>
      </c>
      <c r="BO1437" s="4">
        <v>1</v>
      </c>
      <c r="BP1437" s="8">
        <v>37.8</v>
      </c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1824</v>
      </c>
      <c r="BX1437" s="2" t="s">
        <v>1818</v>
      </c>
      <c r="BY1437" s="2" t="s">
        <v>112</v>
      </c>
      <c r="BZ1437" s="2" t="s">
        <v>100</v>
      </c>
    </row>
    <row r="1438">
      <c r="A1438" s="2" t="s">
        <v>5412</v>
      </c>
      <c r="B1438" s="2" t="s">
        <v>5155</v>
      </c>
      <c r="C1438" s="2" t="s">
        <v>5095</v>
      </c>
      <c r="D1438" s="2" t="s">
        <v>5156</v>
      </c>
      <c r="E1438" s="2" t="s">
        <v>5396</v>
      </c>
      <c r="F1438" s="2" t="s">
        <v>5325</v>
      </c>
      <c r="G1438" s="2" t="s">
        <v>5325</v>
      </c>
      <c r="H1438" s="2" t="s">
        <v>100</v>
      </c>
      <c r="I1438" s="2" t="s">
        <v>5398</v>
      </c>
      <c r="J1438" s="2" t="s">
        <v>5399</v>
      </c>
      <c r="K1438" s="2" t="s">
        <v>236</v>
      </c>
      <c r="L1438" s="3">
        <v>36.8</v>
      </c>
      <c r="M1438" s="3">
        <v>38.64</v>
      </c>
      <c r="N1438" s="3">
        <v>79.99</v>
      </c>
      <c r="O1438" s="2" t="s">
        <v>97</v>
      </c>
      <c r="P1438" s="2" t="s">
        <v>98</v>
      </c>
      <c r="Q1438" s="2" t="s">
        <v>99</v>
      </c>
      <c r="R1438" s="2" t="s">
        <v>100</v>
      </c>
      <c r="S1438" s="2" t="s">
        <v>5413</v>
      </c>
      <c r="T1438" s="2" t="s">
        <v>5327</v>
      </c>
      <c r="U1438" s="2" t="s">
        <v>100</v>
      </c>
      <c r="V1438" s="2" t="s">
        <v>461</v>
      </c>
      <c r="W1438" s="2" t="s">
        <v>609</v>
      </c>
      <c r="X1438" s="2" t="s">
        <v>100</v>
      </c>
      <c r="Y1438" s="2" t="s">
        <v>144</v>
      </c>
      <c r="Z1438" s="4">
        <v>13</v>
      </c>
      <c r="AA1438" s="4">
        <f>=ROUNDDOWN(0.722222222222222,0)</f>
      </c>
      <c r="AB1438" s="5">
        <v>18</v>
      </c>
      <c r="AC1438" s="2" t="s">
        <v>173</v>
      </c>
      <c r="AD1438" s="4">
        <v>150</v>
      </c>
      <c r="AE1438" s="4">
        <v>150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1</v>
      </c>
      <c r="AQ1438" s="8">
        <v>37.8</v>
      </c>
      <c r="AR1438" s="4"/>
      <c r="AS1438" s="8"/>
      <c r="AT1438" s="7"/>
      <c r="AU1438" s="7"/>
      <c r="AV1438" s="4">
        <v>1</v>
      </c>
      <c r="AW1438" s="8">
        <v>37.8</v>
      </c>
      <c r="AX1438" s="4"/>
      <c r="AY1438" s="8"/>
      <c r="AZ1438" s="7"/>
      <c r="BA1438" s="7"/>
      <c r="BB1438" s="7">
        <v>1</v>
      </c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>
        <v>0.3333</v>
      </c>
      <c r="BJ1438" s="4">
        <v>14</v>
      </c>
      <c r="BK1438" s="8">
        <v>548.98</v>
      </c>
      <c r="BL1438" s="2" t="s">
        <v>5414</v>
      </c>
      <c r="BM1438" s="7">
        <v>0.0714</v>
      </c>
      <c r="BN1438" s="7">
        <v>0.0689</v>
      </c>
      <c r="BO1438" s="4">
        <v>1</v>
      </c>
      <c r="BP1438" s="8">
        <v>37.8</v>
      </c>
      <c r="BQ1438" s="4"/>
      <c r="BR1438" s="8"/>
      <c r="BS1438" s="7"/>
      <c r="BT1438" s="7"/>
      <c r="BU1438" s="2" t="s">
        <v>109</v>
      </c>
      <c r="BV1438" s="2" t="s">
        <v>97</v>
      </c>
      <c r="BW1438" s="2" t="s">
        <v>5163</v>
      </c>
      <c r="BX1438" s="2" t="s">
        <v>358</v>
      </c>
      <c r="BY1438" s="2" t="s">
        <v>112</v>
      </c>
      <c r="BZ1438" s="2" t="s">
        <v>100</v>
      </c>
    </row>
    <row r="1439">
      <c r="A1439" s="2" t="s">
        <v>5415</v>
      </c>
      <c r="B1439" s="2" t="s">
        <v>5155</v>
      </c>
      <c r="C1439" s="2" t="s">
        <v>5095</v>
      </c>
      <c r="D1439" s="2" t="s">
        <v>5156</v>
      </c>
      <c r="E1439" s="2" t="s">
        <v>5396</v>
      </c>
      <c r="F1439" s="2" t="s">
        <v>5325</v>
      </c>
      <c r="G1439" s="2" t="s">
        <v>5325</v>
      </c>
      <c r="H1439" s="2" t="s">
        <v>100</v>
      </c>
      <c r="I1439" s="2" t="s">
        <v>5398</v>
      </c>
      <c r="J1439" s="2" t="s">
        <v>5399</v>
      </c>
      <c r="K1439" s="2" t="s">
        <v>3876</v>
      </c>
      <c r="L1439" s="3">
        <v>36.8</v>
      </c>
      <c r="M1439" s="3">
        <v>38.64</v>
      </c>
      <c r="N1439" s="3">
        <v>79.99</v>
      </c>
      <c r="O1439" s="2" t="s">
        <v>97</v>
      </c>
      <c r="P1439" s="2" t="s">
        <v>98</v>
      </c>
      <c r="Q1439" s="2" t="s">
        <v>99</v>
      </c>
      <c r="R1439" s="2" t="s">
        <v>100</v>
      </c>
      <c r="S1439" s="2" t="s">
        <v>5416</v>
      </c>
      <c r="T1439" s="2" t="s">
        <v>5327</v>
      </c>
      <c r="U1439" s="2" t="s">
        <v>100</v>
      </c>
      <c r="V1439" s="2" t="s">
        <v>461</v>
      </c>
      <c r="W1439" s="2" t="s">
        <v>609</v>
      </c>
      <c r="X1439" s="2" t="s">
        <v>100</v>
      </c>
      <c r="Y1439" s="2" t="s">
        <v>144</v>
      </c>
      <c r="Z1439" s="4">
        <v>658</v>
      </c>
      <c r="AA1439" s="4">
        <f>=ROUNDDOWN(32.9,0)</f>
      </c>
      <c r="AB1439" s="5">
        <v>20</v>
      </c>
      <c r="AC1439" s="2" t="s">
        <v>100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/>
      <c r="AW1439" s="8"/>
      <c r="AX1439" s="4"/>
      <c r="AY1439" s="8"/>
      <c r="AZ1439" s="7"/>
      <c r="BA1439" s="7"/>
      <c r="BB1439" s="7"/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/>
      <c r="BJ1439" s="4">
        <v>8</v>
      </c>
      <c r="BK1439" s="8">
        <v>305.12</v>
      </c>
      <c r="BL1439" s="2" t="s">
        <v>4250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109</v>
      </c>
      <c r="BV1439" s="2" t="s">
        <v>97</v>
      </c>
      <c r="BW1439" s="2" t="s">
        <v>5163</v>
      </c>
      <c r="BX1439" s="2" t="s">
        <v>358</v>
      </c>
      <c r="BY1439" s="2" t="s">
        <v>112</v>
      </c>
      <c r="BZ1439" s="2" t="s">
        <v>100</v>
      </c>
    </row>
    <row r="1440">
      <c r="A1440" s="2" t="s">
        <v>5417</v>
      </c>
      <c r="B1440" s="2" t="s">
        <v>5155</v>
      </c>
      <c r="C1440" s="2" t="s">
        <v>5095</v>
      </c>
      <c r="D1440" s="2" t="s">
        <v>5156</v>
      </c>
      <c r="E1440" s="2" t="s">
        <v>5396</v>
      </c>
      <c r="F1440" s="2" t="s">
        <v>5325</v>
      </c>
      <c r="G1440" s="2" t="s">
        <v>5325</v>
      </c>
      <c r="H1440" s="2" t="s">
        <v>100</v>
      </c>
      <c r="I1440" s="2" t="s">
        <v>5398</v>
      </c>
      <c r="J1440" s="2" t="s">
        <v>5399</v>
      </c>
      <c r="K1440" s="2" t="s">
        <v>138</v>
      </c>
      <c r="L1440" s="3">
        <v>36.8</v>
      </c>
      <c r="M1440" s="3">
        <v>38.64</v>
      </c>
      <c r="N1440" s="3">
        <v>79.99</v>
      </c>
      <c r="O1440" s="2" t="s">
        <v>97</v>
      </c>
      <c r="P1440" s="2" t="s">
        <v>98</v>
      </c>
      <c r="Q1440" s="2" t="s">
        <v>99</v>
      </c>
      <c r="R1440" s="2" t="s">
        <v>100</v>
      </c>
      <c r="S1440" s="2" t="s">
        <v>5418</v>
      </c>
      <c r="T1440" s="2" t="s">
        <v>5327</v>
      </c>
      <c r="U1440" s="2" t="s">
        <v>100</v>
      </c>
      <c r="V1440" s="2" t="s">
        <v>461</v>
      </c>
      <c r="W1440" s="2" t="s">
        <v>609</v>
      </c>
      <c r="X1440" s="2" t="s">
        <v>100</v>
      </c>
      <c r="Y1440" s="2" t="s">
        <v>144</v>
      </c>
      <c r="Z1440" s="4">
        <v>818</v>
      </c>
      <c r="AA1440" s="4">
        <f>=ROUNDDOWN(58.4285714285714,0)</f>
      </c>
      <c r="AB1440" s="5">
        <v>14</v>
      </c>
      <c r="AC1440" s="2" t="s">
        <v>100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/>
      <c r="AW1440" s="8"/>
      <c r="AX1440" s="4"/>
      <c r="AY1440" s="8"/>
      <c r="AZ1440" s="7"/>
      <c r="BA1440" s="7"/>
      <c r="BB1440" s="7"/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/>
      <c r="BJ1440" s="4">
        <v>32</v>
      </c>
      <c r="BK1440" s="8">
        <v>1256.61</v>
      </c>
      <c r="BL1440" s="2" t="s">
        <v>444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109</v>
      </c>
      <c r="BV1440" s="2" t="s">
        <v>97</v>
      </c>
      <c r="BW1440" s="2" t="s">
        <v>5163</v>
      </c>
      <c r="BX1440" s="2" t="s">
        <v>358</v>
      </c>
      <c r="BY1440" s="2" t="s">
        <v>112</v>
      </c>
      <c r="BZ1440" s="2" t="s">
        <v>100</v>
      </c>
    </row>
    <row r="1441">
      <c r="A1441" s="2" t="s">
        <v>5419</v>
      </c>
      <c r="B1441" s="2" t="s">
        <v>5155</v>
      </c>
      <c r="C1441" s="2" t="s">
        <v>5095</v>
      </c>
      <c r="D1441" s="2" t="s">
        <v>5156</v>
      </c>
      <c r="E1441" s="2" t="s">
        <v>5396</v>
      </c>
      <c r="F1441" s="2" t="s">
        <v>5325</v>
      </c>
      <c r="G1441" s="2" t="s">
        <v>5325</v>
      </c>
      <c r="H1441" s="2" t="s">
        <v>100</v>
      </c>
      <c r="I1441" s="2" t="s">
        <v>5398</v>
      </c>
      <c r="J1441" s="2" t="s">
        <v>5399</v>
      </c>
      <c r="K1441" s="2" t="s">
        <v>1384</v>
      </c>
      <c r="L1441" s="3">
        <v>36.8</v>
      </c>
      <c r="M1441" s="3">
        <v>38.64</v>
      </c>
      <c r="N1441" s="3">
        <v>79.99</v>
      </c>
      <c r="O1441" s="2" t="s">
        <v>97</v>
      </c>
      <c r="P1441" s="2" t="s">
        <v>98</v>
      </c>
      <c r="Q1441" s="2" t="s">
        <v>99</v>
      </c>
      <c r="R1441" s="2" t="s">
        <v>100</v>
      </c>
      <c r="S1441" s="2" t="s">
        <v>5420</v>
      </c>
      <c r="T1441" s="2" t="s">
        <v>5327</v>
      </c>
      <c r="U1441" s="2" t="s">
        <v>100</v>
      </c>
      <c r="V1441" s="2" t="s">
        <v>461</v>
      </c>
      <c r="W1441" s="2" t="s">
        <v>609</v>
      </c>
      <c r="X1441" s="2" t="s">
        <v>100</v>
      </c>
      <c r="Y1441" s="2" t="s">
        <v>2715</v>
      </c>
      <c r="Z1441" s="4">
        <v>839</v>
      </c>
      <c r="AA1441" s="4">
        <f>=ROUNDDOWN(49.3529411764706,0)</f>
      </c>
      <c r="AB1441" s="5">
        <v>17</v>
      </c>
      <c r="AC1441" s="2" t="s">
        <v>100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/>
      <c r="BJ1441" s="4">
        <v>23</v>
      </c>
      <c r="BK1441" s="8">
        <v>901.58</v>
      </c>
      <c r="BL1441" s="2" t="s">
        <v>5421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1824</v>
      </c>
      <c r="BX1441" s="2" t="s">
        <v>5422</v>
      </c>
      <c r="BY1441" s="2" t="s">
        <v>112</v>
      </c>
      <c r="BZ1441" s="2" t="s">
        <v>100</v>
      </c>
    </row>
    <row r="1442">
      <c r="A1442" s="2" t="s">
        <v>5423</v>
      </c>
      <c r="B1442" s="2" t="s">
        <v>5155</v>
      </c>
      <c r="C1442" s="2" t="s">
        <v>5095</v>
      </c>
      <c r="D1442" s="2" t="s">
        <v>5156</v>
      </c>
      <c r="E1442" s="2" t="s">
        <v>5396</v>
      </c>
      <c r="F1442" s="2" t="s">
        <v>5325</v>
      </c>
      <c r="G1442" s="2" t="s">
        <v>5325</v>
      </c>
      <c r="H1442" s="2" t="s">
        <v>100</v>
      </c>
      <c r="I1442" s="2" t="s">
        <v>5398</v>
      </c>
      <c r="J1442" s="2" t="s">
        <v>5399</v>
      </c>
      <c r="K1442" s="2" t="s">
        <v>1373</v>
      </c>
      <c r="L1442" s="3">
        <v>36.8</v>
      </c>
      <c r="M1442" s="3">
        <v>38.64</v>
      </c>
      <c r="N1442" s="3">
        <v>79.99</v>
      </c>
      <c r="O1442" s="2" t="s">
        <v>97</v>
      </c>
      <c r="P1442" s="2" t="s">
        <v>98</v>
      </c>
      <c r="Q1442" s="2" t="s">
        <v>99</v>
      </c>
      <c r="R1442" s="2" t="s">
        <v>100</v>
      </c>
      <c r="S1442" s="2" t="s">
        <v>5424</v>
      </c>
      <c r="T1442" s="2" t="s">
        <v>5327</v>
      </c>
      <c r="U1442" s="2" t="s">
        <v>100</v>
      </c>
      <c r="V1442" s="2" t="s">
        <v>461</v>
      </c>
      <c r="W1442" s="2" t="s">
        <v>609</v>
      </c>
      <c r="X1442" s="2" t="s">
        <v>100</v>
      </c>
      <c r="Y1442" s="2" t="s">
        <v>144</v>
      </c>
      <c r="Z1442" s="4">
        <v>23</v>
      </c>
      <c r="AA1442" s="4">
        <f>=ROUNDDOWN(1.4375,0)</f>
      </c>
      <c r="AB1442" s="5">
        <v>16</v>
      </c>
      <c r="AC1442" s="2" t="s">
        <v>173</v>
      </c>
      <c r="AD1442" s="4">
        <v>150</v>
      </c>
      <c r="AE1442" s="4">
        <v>150</v>
      </c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/>
      <c r="BJ1442" s="4">
        <v>51</v>
      </c>
      <c r="BK1442" s="8">
        <v>2007.14</v>
      </c>
      <c r="BL1442" s="2" t="s">
        <v>5425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1824</v>
      </c>
      <c r="BX1442" s="2" t="s">
        <v>5426</v>
      </c>
      <c r="BY1442" s="2" t="s">
        <v>112</v>
      </c>
      <c r="BZ1442" s="2" t="s">
        <v>100</v>
      </c>
    </row>
    <row r="1443">
      <c r="A1443" s="2" t="s">
        <v>5427</v>
      </c>
      <c r="B1443" s="2" t="s">
        <v>5155</v>
      </c>
      <c r="C1443" s="2" t="s">
        <v>5095</v>
      </c>
      <c r="D1443" s="2" t="s">
        <v>5156</v>
      </c>
      <c r="E1443" s="2" t="s">
        <v>5396</v>
      </c>
      <c r="F1443" s="2" t="s">
        <v>5325</v>
      </c>
      <c r="G1443" s="2" t="s">
        <v>5325</v>
      </c>
      <c r="H1443" s="2" t="s">
        <v>100</v>
      </c>
      <c r="I1443" s="2" t="s">
        <v>5398</v>
      </c>
      <c r="J1443" s="2" t="s">
        <v>5399</v>
      </c>
      <c r="K1443" s="2" t="s">
        <v>386</v>
      </c>
      <c r="L1443" s="3">
        <v>36.8</v>
      </c>
      <c r="M1443" s="3">
        <v>38.64</v>
      </c>
      <c r="N1443" s="3">
        <v>79.99</v>
      </c>
      <c r="O1443" s="2" t="s">
        <v>97</v>
      </c>
      <c r="P1443" s="2" t="s">
        <v>98</v>
      </c>
      <c r="Q1443" s="2" t="s">
        <v>99</v>
      </c>
      <c r="R1443" s="2" t="s">
        <v>100</v>
      </c>
      <c r="S1443" s="2" t="s">
        <v>5378</v>
      </c>
      <c r="T1443" s="2" t="s">
        <v>4296</v>
      </c>
      <c r="U1443" s="2" t="s">
        <v>1776</v>
      </c>
      <c r="V1443" s="2" t="s">
        <v>461</v>
      </c>
      <c r="W1443" s="2" t="s">
        <v>609</v>
      </c>
      <c r="X1443" s="2" t="s">
        <v>100</v>
      </c>
      <c r="Y1443" s="2" t="s">
        <v>5309</v>
      </c>
      <c r="Z1443" s="4">
        <v>441</v>
      </c>
      <c r="AA1443" s="4">
        <f>=ROUNDDOWN(21,0)</f>
      </c>
      <c r="AB1443" s="5">
        <v>21</v>
      </c>
      <c r="AC1443" s="2" t="s">
        <v>100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/>
      <c r="BJ1443" s="4">
        <v>21</v>
      </c>
      <c r="BK1443" s="8">
        <v>845.17</v>
      </c>
      <c r="BL1443" s="2" t="s">
        <v>5428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171</v>
      </c>
      <c r="BV1443" s="2" t="s">
        <v>97</v>
      </c>
      <c r="BW1443" s="2" t="s">
        <v>100</v>
      </c>
      <c r="BX1443" s="2" t="s">
        <v>100</v>
      </c>
      <c r="BY1443" s="2" t="s">
        <v>112</v>
      </c>
      <c r="BZ1443" s="2" t="s">
        <v>100</v>
      </c>
    </row>
    <row r="1444">
      <c r="A1444" s="2" t="s">
        <v>5429</v>
      </c>
      <c r="B1444" s="2" t="s">
        <v>5155</v>
      </c>
      <c r="C1444" s="2" t="s">
        <v>5095</v>
      </c>
      <c r="D1444" s="2" t="s">
        <v>5156</v>
      </c>
      <c r="E1444" s="2" t="s">
        <v>5396</v>
      </c>
      <c r="F1444" s="2" t="s">
        <v>5325</v>
      </c>
      <c r="G1444" s="2" t="s">
        <v>5325</v>
      </c>
      <c r="H1444" s="2" t="s">
        <v>100</v>
      </c>
      <c r="I1444" s="2" t="s">
        <v>5398</v>
      </c>
      <c r="J1444" s="2" t="s">
        <v>5399</v>
      </c>
      <c r="K1444" s="2" t="s">
        <v>842</v>
      </c>
      <c r="L1444" s="3">
        <v>36.8</v>
      </c>
      <c r="M1444" s="3">
        <v>38.64</v>
      </c>
      <c r="N1444" s="3">
        <v>79.99</v>
      </c>
      <c r="O1444" s="2" t="s">
        <v>97</v>
      </c>
      <c r="P1444" s="2" t="s">
        <v>98</v>
      </c>
      <c r="Q1444" s="2" t="s">
        <v>99</v>
      </c>
      <c r="R1444" s="2" t="s">
        <v>100</v>
      </c>
      <c r="S1444" s="2" t="s">
        <v>5430</v>
      </c>
      <c r="T1444" s="2" t="s">
        <v>4296</v>
      </c>
      <c r="U1444" s="2" t="s">
        <v>1776</v>
      </c>
      <c r="V1444" s="2" t="s">
        <v>461</v>
      </c>
      <c r="W1444" s="2" t="s">
        <v>609</v>
      </c>
      <c r="X1444" s="2" t="s">
        <v>100</v>
      </c>
      <c r="Y1444" s="2" t="s">
        <v>5309</v>
      </c>
      <c r="Z1444" s="4">
        <v>243</v>
      </c>
      <c r="AA1444" s="4">
        <f>=ROUNDDOWN(10.5652173913043,0)</f>
      </c>
      <c r="AB1444" s="5">
        <v>23</v>
      </c>
      <c r="AC1444" s="2" t="s">
        <v>173</v>
      </c>
      <c r="AD1444" s="4">
        <v>150</v>
      </c>
      <c r="AE1444" s="4">
        <v>150</v>
      </c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/>
      <c r="BJ1444" s="4">
        <v>18</v>
      </c>
      <c r="BK1444" s="8">
        <v>704.91</v>
      </c>
      <c r="BL1444" s="2" t="s">
        <v>5431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171</v>
      </c>
      <c r="BV1444" s="2" t="s">
        <v>97</v>
      </c>
      <c r="BW1444" s="2" t="s">
        <v>100</v>
      </c>
      <c r="BX1444" s="2" t="s">
        <v>100</v>
      </c>
      <c r="BY1444" s="2" t="s">
        <v>112</v>
      </c>
      <c r="BZ1444" s="2" t="s">
        <v>100</v>
      </c>
    </row>
    <row r="1445">
      <c r="A1445" s="2" t="s">
        <v>5432</v>
      </c>
      <c r="B1445" s="2" t="s">
        <v>5155</v>
      </c>
      <c r="C1445" s="2" t="s">
        <v>5095</v>
      </c>
      <c r="D1445" s="2" t="s">
        <v>5156</v>
      </c>
      <c r="E1445" s="2" t="s">
        <v>5396</v>
      </c>
      <c r="F1445" s="2" t="s">
        <v>5433</v>
      </c>
      <c r="G1445" s="2" t="s">
        <v>5433</v>
      </c>
      <c r="H1445" s="2" t="s">
        <v>5433</v>
      </c>
      <c r="I1445" s="2" t="s">
        <v>5434</v>
      </c>
      <c r="J1445" s="2" t="s">
        <v>1781</v>
      </c>
      <c r="K1445" s="2" t="s">
        <v>96</v>
      </c>
      <c r="L1445" s="3">
        <v>38.18</v>
      </c>
      <c r="M1445" s="3">
        <v>40.09</v>
      </c>
      <c r="N1445" s="3">
        <v>82.99</v>
      </c>
      <c r="O1445" s="2" t="s">
        <v>97</v>
      </c>
      <c r="P1445" s="2" t="s">
        <v>123</v>
      </c>
      <c r="Q1445" s="2" t="s">
        <v>99</v>
      </c>
      <c r="R1445" s="2" t="s">
        <v>100</v>
      </c>
      <c r="S1445" s="2" t="s">
        <v>5435</v>
      </c>
      <c r="T1445" s="2" t="s">
        <v>5436</v>
      </c>
      <c r="U1445" s="2" t="s">
        <v>100</v>
      </c>
      <c r="V1445" s="2" t="s">
        <v>461</v>
      </c>
      <c r="W1445" s="2" t="s">
        <v>1136</v>
      </c>
      <c r="X1445" s="2" t="s">
        <v>100</v>
      </c>
      <c r="Y1445" s="2" t="s">
        <v>144</v>
      </c>
      <c r="Z1445" s="4">
        <v>93</v>
      </c>
      <c r="AA1445" s="4">
        <f>=ROUNDDOWN(2.11363636363636,0)</f>
      </c>
      <c r="AB1445" s="5">
        <v>44</v>
      </c>
      <c r="AC1445" s="2" t="s">
        <v>173</v>
      </c>
      <c r="AD1445" s="4">
        <v>290</v>
      </c>
      <c r="AE1445" s="4">
        <v>290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2</v>
      </c>
      <c r="AQ1445" s="8">
        <v>79.38</v>
      </c>
      <c r="AR1445" s="4"/>
      <c r="AS1445" s="8"/>
      <c r="AT1445" s="7"/>
      <c r="AU1445" s="7"/>
      <c r="AV1445" s="4">
        <v>2</v>
      </c>
      <c r="AW1445" s="8">
        <v>79.38</v>
      </c>
      <c r="AX1445" s="4"/>
      <c r="AY1445" s="8"/>
      <c r="AZ1445" s="7"/>
      <c r="BA1445" s="7"/>
      <c r="BB1445" s="7">
        <v>1</v>
      </c>
      <c r="BC1445" s="4">
        <v>2</v>
      </c>
      <c r="BD1445" s="8">
        <v>79.38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>
        <v>1</v>
      </c>
      <c r="BJ1445" s="4">
        <v>50</v>
      </c>
      <c r="BK1445" s="8">
        <v>2054.41</v>
      </c>
      <c r="BL1445" s="2" t="s">
        <v>5437</v>
      </c>
      <c r="BM1445" s="7">
        <v>0.04</v>
      </c>
      <c r="BN1445" s="7">
        <v>0.0386</v>
      </c>
      <c r="BO1445" s="4">
        <v>2</v>
      </c>
      <c r="BP1445" s="8">
        <v>79.38</v>
      </c>
      <c r="BQ1445" s="4"/>
      <c r="BR1445" s="8"/>
      <c r="BS1445" s="7"/>
      <c r="BT1445" s="7"/>
      <c r="BU1445" s="2" t="s">
        <v>109</v>
      </c>
      <c r="BV1445" s="2" t="s">
        <v>97</v>
      </c>
      <c r="BW1445" s="2" t="s">
        <v>1824</v>
      </c>
      <c r="BX1445" s="2" t="s">
        <v>611</v>
      </c>
      <c r="BY1445" s="2" t="s">
        <v>112</v>
      </c>
      <c r="BZ1445" s="2" t="s">
        <v>100</v>
      </c>
    </row>
    <row r="1446">
      <c r="A1446" s="2" t="s">
        <v>5438</v>
      </c>
      <c r="B1446" s="2" t="s">
        <v>5155</v>
      </c>
      <c r="C1446" s="2" t="s">
        <v>5095</v>
      </c>
      <c r="D1446" s="2" t="s">
        <v>5156</v>
      </c>
      <c r="E1446" s="2" t="s">
        <v>5396</v>
      </c>
      <c r="F1446" s="2" t="s">
        <v>5433</v>
      </c>
      <c r="G1446" s="2" t="s">
        <v>5433</v>
      </c>
      <c r="H1446" s="2" t="s">
        <v>5433</v>
      </c>
      <c r="I1446" s="2" t="s">
        <v>5434</v>
      </c>
      <c r="J1446" s="2" t="s">
        <v>1781</v>
      </c>
      <c r="K1446" s="2" t="s">
        <v>165</v>
      </c>
      <c r="L1446" s="3">
        <v>38.18</v>
      </c>
      <c r="M1446" s="3">
        <v>40.09</v>
      </c>
      <c r="N1446" s="3">
        <v>82.99</v>
      </c>
      <c r="O1446" s="2" t="s">
        <v>97</v>
      </c>
      <c r="P1446" s="2" t="s">
        <v>156</v>
      </c>
      <c r="Q1446" s="2" t="s">
        <v>99</v>
      </c>
      <c r="R1446" s="2" t="s">
        <v>100</v>
      </c>
      <c r="S1446" s="2" t="s">
        <v>5439</v>
      </c>
      <c r="T1446" s="2" t="s">
        <v>5436</v>
      </c>
      <c r="U1446" s="2" t="s">
        <v>100</v>
      </c>
      <c r="V1446" s="2" t="s">
        <v>461</v>
      </c>
      <c r="W1446" s="2" t="s">
        <v>1136</v>
      </c>
      <c r="X1446" s="2" t="s">
        <v>100</v>
      </c>
      <c r="Y1446" s="2" t="s">
        <v>144</v>
      </c>
      <c r="Z1446" s="4"/>
      <c r="AA1446" s="4">
        <f>=ROUNDDOWN({0},0)</f>
      </c>
      <c r="AB1446" s="5">
        <v>41</v>
      </c>
      <c r="AC1446" s="2" t="s">
        <v>173</v>
      </c>
      <c r="AD1446" s="4">
        <v>290</v>
      </c>
      <c r="AE1446" s="4">
        <v>290</v>
      </c>
      <c r="AF1446" s="6">
        <v>65</v>
      </c>
      <c r="AG1446" s="6"/>
      <c r="AH1446" s="7">
        <v>0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/>
      <c r="AW1446" s="8"/>
      <c r="AX1446" s="4"/>
      <c r="AY1446" s="8"/>
      <c r="AZ1446" s="7"/>
      <c r="BA1446" s="7"/>
      <c r="BB1446" s="7"/>
      <c r="BC1446" s="4" t="s">
        <v>100</v>
      </c>
      <c r="BD1446" s="8" t="s">
        <v>100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/>
      <c r="BJ1446" s="4">
        <v>6</v>
      </c>
      <c r="BK1446" s="8">
        <v>245.01</v>
      </c>
      <c r="BL1446" s="2" t="s">
        <v>2704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109</v>
      </c>
      <c r="BV1446" s="2" t="s">
        <v>97</v>
      </c>
      <c r="BW1446" s="2" t="s">
        <v>1824</v>
      </c>
      <c r="BX1446" s="2" t="s">
        <v>870</v>
      </c>
      <c r="BY1446" s="2" t="s">
        <v>112</v>
      </c>
      <c r="BZ1446" s="2" t="s">
        <v>100</v>
      </c>
    </row>
    <row r="1447">
      <c r="A1447" s="2" t="s">
        <v>5440</v>
      </c>
      <c r="B1447" s="2" t="s">
        <v>5155</v>
      </c>
      <c r="C1447" s="2" t="s">
        <v>5095</v>
      </c>
      <c r="D1447" s="2" t="s">
        <v>5156</v>
      </c>
      <c r="E1447" s="2" t="s">
        <v>5396</v>
      </c>
      <c r="F1447" s="2" t="s">
        <v>5433</v>
      </c>
      <c r="G1447" s="2" t="s">
        <v>5433</v>
      </c>
      <c r="H1447" s="2" t="s">
        <v>5433</v>
      </c>
      <c r="I1447" s="2" t="s">
        <v>5434</v>
      </c>
      <c r="J1447" s="2" t="s">
        <v>1781</v>
      </c>
      <c r="K1447" s="2" t="s">
        <v>1373</v>
      </c>
      <c r="L1447" s="3">
        <v>38.18</v>
      </c>
      <c r="M1447" s="3">
        <v>40.09</v>
      </c>
      <c r="N1447" s="3">
        <v>82.99</v>
      </c>
      <c r="O1447" s="2" t="s">
        <v>97</v>
      </c>
      <c r="P1447" s="2" t="s">
        <v>123</v>
      </c>
      <c r="Q1447" s="2" t="s">
        <v>99</v>
      </c>
      <c r="R1447" s="2" t="s">
        <v>100</v>
      </c>
      <c r="S1447" s="2" t="s">
        <v>5441</v>
      </c>
      <c r="T1447" s="2" t="s">
        <v>5436</v>
      </c>
      <c r="U1447" s="2" t="s">
        <v>100</v>
      </c>
      <c r="V1447" s="2" t="s">
        <v>461</v>
      </c>
      <c r="W1447" s="2" t="s">
        <v>1136</v>
      </c>
      <c r="X1447" s="2" t="s">
        <v>100</v>
      </c>
      <c r="Y1447" s="2" t="s">
        <v>503</v>
      </c>
      <c r="Z1447" s="4"/>
      <c r="AA1447" s="4">
        <f>=ROUNDDOWN({0},0)</f>
      </c>
      <c r="AB1447" s="5">
        <v>61</v>
      </c>
      <c r="AC1447" s="2" t="s">
        <v>173</v>
      </c>
      <c r="AD1447" s="4">
        <v>420</v>
      </c>
      <c r="AE1447" s="4">
        <v>420</v>
      </c>
      <c r="AF1447" s="6">
        <v>65</v>
      </c>
      <c r="AG1447" s="6"/>
      <c r="AH1447" s="7">
        <v>0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/>
      <c r="BJ1447" s="4"/>
      <c r="BK1447" s="8"/>
      <c r="BL1447" s="2" t="s">
        <v>100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1824</v>
      </c>
      <c r="BX1447" s="2" t="s">
        <v>873</v>
      </c>
      <c r="BY1447" s="2" t="s">
        <v>112</v>
      </c>
      <c r="BZ1447" s="2" t="s">
        <v>100</v>
      </c>
    </row>
    <row r="1448">
      <c r="A1448" s="2" t="s">
        <v>5442</v>
      </c>
      <c r="B1448" s="2" t="s">
        <v>5155</v>
      </c>
      <c r="C1448" s="2" t="s">
        <v>5095</v>
      </c>
      <c r="D1448" s="2" t="s">
        <v>5156</v>
      </c>
      <c r="E1448" s="2" t="s">
        <v>5396</v>
      </c>
      <c r="F1448" s="2" t="s">
        <v>5234</v>
      </c>
      <c r="G1448" s="2" t="s">
        <v>5234</v>
      </c>
      <c r="H1448" s="2" t="s">
        <v>5234</v>
      </c>
      <c r="I1448" s="2" t="s">
        <v>5398</v>
      </c>
      <c r="J1448" s="2" t="s">
        <v>5399</v>
      </c>
      <c r="K1448" s="2" t="s">
        <v>1373</v>
      </c>
      <c r="L1448" s="3">
        <v>36</v>
      </c>
      <c r="M1448" s="3">
        <v>37.8</v>
      </c>
      <c r="N1448" s="3">
        <v>79.99</v>
      </c>
      <c r="O1448" s="2" t="s">
        <v>97</v>
      </c>
      <c r="P1448" s="2" t="s">
        <v>98</v>
      </c>
      <c r="Q1448" s="2" t="s">
        <v>99</v>
      </c>
      <c r="R1448" s="2" t="s">
        <v>100</v>
      </c>
      <c r="S1448" s="2" t="s">
        <v>5263</v>
      </c>
      <c r="T1448" s="2" t="s">
        <v>4296</v>
      </c>
      <c r="U1448" s="2" t="s">
        <v>100</v>
      </c>
      <c r="V1448" s="2" t="s">
        <v>461</v>
      </c>
      <c r="W1448" s="2" t="s">
        <v>609</v>
      </c>
      <c r="X1448" s="2" t="s">
        <v>100</v>
      </c>
      <c r="Y1448" s="2" t="s">
        <v>144</v>
      </c>
      <c r="Z1448" s="4">
        <v>22</v>
      </c>
      <c r="AA1448" s="4">
        <f>=ROUNDDOWN(0.628571428571429,0)</f>
      </c>
      <c r="AB1448" s="5">
        <v>35</v>
      </c>
      <c r="AC1448" s="2" t="s">
        <v>173</v>
      </c>
      <c r="AD1448" s="4">
        <v>240</v>
      </c>
      <c r="AE1448" s="4">
        <v>240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1</v>
      </c>
      <c r="AQ1448" s="8">
        <v>37.42</v>
      </c>
      <c r="AR1448" s="4"/>
      <c r="AS1448" s="8"/>
      <c r="AT1448" s="7"/>
      <c r="AU1448" s="7"/>
      <c r="AV1448" s="4">
        <v>1</v>
      </c>
      <c r="AW1448" s="8">
        <v>37.42</v>
      </c>
      <c r="AX1448" s="4"/>
      <c r="AY1448" s="8"/>
      <c r="AZ1448" s="7"/>
      <c r="BA1448" s="7"/>
      <c r="BB1448" s="7">
        <v>1</v>
      </c>
      <c r="BC1448" s="4">
        <v>1</v>
      </c>
      <c r="BD1448" s="8">
        <v>37.42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>
        <v>1</v>
      </c>
      <c r="BJ1448" s="4">
        <v>35</v>
      </c>
      <c r="BK1448" s="8">
        <v>1331.55</v>
      </c>
      <c r="BL1448" s="2" t="s">
        <v>5443</v>
      </c>
      <c r="BM1448" s="7">
        <v>0.0286</v>
      </c>
      <c r="BN1448" s="7">
        <v>0.0281</v>
      </c>
      <c r="BO1448" s="4">
        <v>1</v>
      </c>
      <c r="BP1448" s="8">
        <v>37.42</v>
      </c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1824</v>
      </c>
      <c r="BX1448" s="2" t="s">
        <v>1892</v>
      </c>
      <c r="BY1448" s="2" t="s">
        <v>112</v>
      </c>
      <c r="BZ1448" s="2" t="s">
        <v>100</v>
      </c>
    </row>
    <row r="1449">
      <c r="A1449" s="2" t="s">
        <v>5444</v>
      </c>
      <c r="B1449" s="2" t="s">
        <v>5155</v>
      </c>
      <c r="C1449" s="2" t="s">
        <v>5095</v>
      </c>
      <c r="D1449" s="2" t="s">
        <v>5156</v>
      </c>
      <c r="E1449" s="2" t="s">
        <v>5396</v>
      </c>
      <c r="F1449" s="2" t="s">
        <v>5234</v>
      </c>
      <c r="G1449" s="2" t="s">
        <v>5234</v>
      </c>
      <c r="H1449" s="2" t="s">
        <v>5234</v>
      </c>
      <c r="I1449" s="2" t="s">
        <v>5398</v>
      </c>
      <c r="J1449" s="2" t="s">
        <v>5399</v>
      </c>
      <c r="K1449" s="2" t="s">
        <v>471</v>
      </c>
      <c r="L1449" s="3">
        <v>36</v>
      </c>
      <c r="M1449" s="3">
        <v>37.8</v>
      </c>
      <c r="N1449" s="3">
        <v>79.99</v>
      </c>
      <c r="O1449" s="2" t="s">
        <v>97</v>
      </c>
      <c r="P1449" s="2" t="s">
        <v>98</v>
      </c>
      <c r="Q1449" s="2" t="s">
        <v>99</v>
      </c>
      <c r="R1449" s="2" t="s">
        <v>100</v>
      </c>
      <c r="S1449" s="2" t="s">
        <v>5445</v>
      </c>
      <c r="T1449" s="2" t="s">
        <v>4296</v>
      </c>
      <c r="U1449" s="2" t="s">
        <v>1776</v>
      </c>
      <c r="V1449" s="2" t="s">
        <v>461</v>
      </c>
      <c r="W1449" s="2" t="s">
        <v>609</v>
      </c>
      <c r="X1449" s="2" t="s">
        <v>100</v>
      </c>
      <c r="Y1449" s="2" t="s">
        <v>5314</v>
      </c>
      <c r="Z1449" s="4">
        <v>201</v>
      </c>
      <c r="AA1449" s="4">
        <f>=ROUNDDOWN(6.48387096774194,0)</f>
      </c>
      <c r="AB1449" s="5">
        <v>31</v>
      </c>
      <c r="AC1449" s="2" t="s">
        <v>173</v>
      </c>
      <c r="AD1449" s="4">
        <v>160</v>
      </c>
      <c r="AE1449" s="4">
        <v>160</v>
      </c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/>
      <c r="BJ1449" s="4">
        <v>33</v>
      </c>
      <c r="BK1449" s="8">
        <v>1229.92</v>
      </c>
      <c r="BL1449" s="2" t="s">
        <v>5446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171</v>
      </c>
      <c r="BV1449" s="2" t="s">
        <v>97</v>
      </c>
      <c r="BW1449" s="2" t="s">
        <v>100</v>
      </c>
      <c r="BX1449" s="2" t="s">
        <v>100</v>
      </c>
      <c r="BY1449" s="2" t="s">
        <v>112</v>
      </c>
      <c r="BZ1449" s="2" t="s">
        <v>100</v>
      </c>
    </row>
    <row r="1450">
      <c r="A1450" s="2" t="s">
        <v>5447</v>
      </c>
      <c r="B1450" s="2" t="s">
        <v>5155</v>
      </c>
      <c r="C1450" s="2" t="s">
        <v>5095</v>
      </c>
      <c r="D1450" s="2" t="s">
        <v>5156</v>
      </c>
      <c r="E1450" s="2" t="s">
        <v>5396</v>
      </c>
      <c r="F1450" s="2" t="s">
        <v>5234</v>
      </c>
      <c r="G1450" s="2" t="s">
        <v>5234</v>
      </c>
      <c r="H1450" s="2" t="s">
        <v>5234</v>
      </c>
      <c r="I1450" s="2" t="s">
        <v>5398</v>
      </c>
      <c r="J1450" s="2" t="s">
        <v>5399</v>
      </c>
      <c r="K1450" s="2" t="s">
        <v>96</v>
      </c>
      <c r="L1450" s="3">
        <v>36</v>
      </c>
      <c r="M1450" s="3">
        <v>37.8</v>
      </c>
      <c r="N1450" s="3">
        <v>79.99</v>
      </c>
      <c r="O1450" s="2" t="s">
        <v>97</v>
      </c>
      <c r="P1450" s="2" t="s">
        <v>139</v>
      </c>
      <c r="Q1450" s="2" t="s">
        <v>99</v>
      </c>
      <c r="R1450" s="2" t="s">
        <v>100</v>
      </c>
      <c r="S1450" s="2" t="s">
        <v>5255</v>
      </c>
      <c r="T1450" s="2" t="s">
        <v>4296</v>
      </c>
      <c r="U1450" s="2" t="s">
        <v>100</v>
      </c>
      <c r="V1450" s="2" t="s">
        <v>461</v>
      </c>
      <c r="W1450" s="2" t="s">
        <v>609</v>
      </c>
      <c r="X1450" s="2" t="s">
        <v>100</v>
      </c>
      <c r="Y1450" s="2" t="s">
        <v>144</v>
      </c>
      <c r="Z1450" s="4">
        <v>95</v>
      </c>
      <c r="AA1450" s="4">
        <f>=ROUNDDOWN(1.14457831325301,0)</f>
      </c>
      <c r="AB1450" s="5">
        <v>83</v>
      </c>
      <c r="AC1450" s="2" t="s">
        <v>173</v>
      </c>
      <c r="AD1450" s="4">
        <v>590</v>
      </c>
      <c r="AE1450" s="4">
        <v>590</v>
      </c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/>
      <c r="AW1450" s="8"/>
      <c r="AX1450" s="4"/>
      <c r="AY1450" s="8"/>
      <c r="AZ1450" s="7"/>
      <c r="BA1450" s="7"/>
      <c r="BB1450" s="7"/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/>
      <c r="BJ1450" s="4">
        <v>68</v>
      </c>
      <c r="BK1450" s="8">
        <v>2556.04</v>
      </c>
      <c r="BL1450" s="2" t="s">
        <v>5448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109</v>
      </c>
      <c r="BV1450" s="2" t="s">
        <v>97</v>
      </c>
      <c r="BW1450" s="2" t="s">
        <v>1824</v>
      </c>
      <c r="BX1450" s="2" t="s">
        <v>1900</v>
      </c>
      <c r="BY1450" s="2" t="s">
        <v>112</v>
      </c>
      <c r="BZ1450" s="2" t="s">
        <v>100</v>
      </c>
    </row>
    <row r="1451">
      <c r="A1451" s="2" t="s">
        <v>5449</v>
      </c>
      <c r="B1451" s="2" t="s">
        <v>5155</v>
      </c>
      <c r="C1451" s="2" t="s">
        <v>5095</v>
      </c>
      <c r="D1451" s="2" t="s">
        <v>5156</v>
      </c>
      <c r="E1451" s="2" t="s">
        <v>5396</v>
      </c>
      <c r="F1451" s="2" t="s">
        <v>5234</v>
      </c>
      <c r="G1451" s="2" t="s">
        <v>5234</v>
      </c>
      <c r="H1451" s="2" t="s">
        <v>5234</v>
      </c>
      <c r="I1451" s="2" t="s">
        <v>5398</v>
      </c>
      <c r="J1451" s="2" t="s">
        <v>5399</v>
      </c>
      <c r="K1451" s="2" t="s">
        <v>5281</v>
      </c>
      <c r="L1451" s="3">
        <v>36</v>
      </c>
      <c r="M1451" s="3">
        <v>37.8</v>
      </c>
      <c r="N1451" s="3">
        <v>79.99</v>
      </c>
      <c r="O1451" s="2" t="s">
        <v>97</v>
      </c>
      <c r="P1451" s="2" t="s">
        <v>98</v>
      </c>
      <c r="Q1451" s="2" t="s">
        <v>99</v>
      </c>
      <c r="R1451" s="2" t="s">
        <v>100</v>
      </c>
      <c r="S1451" s="2" t="s">
        <v>5282</v>
      </c>
      <c r="T1451" s="2" t="s">
        <v>4296</v>
      </c>
      <c r="U1451" s="2" t="s">
        <v>100</v>
      </c>
      <c r="V1451" s="2" t="s">
        <v>461</v>
      </c>
      <c r="W1451" s="2" t="s">
        <v>609</v>
      </c>
      <c r="X1451" s="2" t="s">
        <v>100</v>
      </c>
      <c r="Y1451" s="2" t="s">
        <v>144</v>
      </c>
      <c r="Z1451" s="4"/>
      <c r="AA1451" s="4">
        <f>=ROUNDDOWN({0},0)</f>
      </c>
      <c r="AB1451" s="5">
        <v>45</v>
      </c>
      <c r="AC1451" s="2" t="s">
        <v>173</v>
      </c>
      <c r="AD1451" s="4">
        <v>330</v>
      </c>
      <c r="AE1451" s="4">
        <v>330</v>
      </c>
      <c r="AF1451" s="6">
        <v>65</v>
      </c>
      <c r="AG1451" s="6"/>
      <c r="AH1451" s="7">
        <v>0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/>
      <c r="AW1451" s="8"/>
      <c r="AX1451" s="4"/>
      <c r="AY1451" s="8"/>
      <c r="AZ1451" s="7"/>
      <c r="BA1451" s="7"/>
      <c r="BB1451" s="7"/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/>
      <c r="BJ1451" s="4">
        <v>1</v>
      </c>
      <c r="BK1451" s="8">
        <v>37.6</v>
      </c>
      <c r="BL1451" s="2" t="s">
        <v>5450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109</v>
      </c>
      <c r="BV1451" s="2" t="s">
        <v>97</v>
      </c>
      <c r="BW1451" s="2" t="s">
        <v>1824</v>
      </c>
      <c r="BX1451" s="2" t="s">
        <v>5451</v>
      </c>
      <c r="BY1451" s="2" t="s">
        <v>112</v>
      </c>
      <c r="BZ1451" s="2" t="s">
        <v>100</v>
      </c>
    </row>
    <row r="1452">
      <c r="A1452" s="2" t="s">
        <v>5452</v>
      </c>
      <c r="B1452" s="2" t="s">
        <v>5155</v>
      </c>
      <c r="C1452" s="2" t="s">
        <v>5095</v>
      </c>
      <c r="D1452" s="2" t="s">
        <v>5156</v>
      </c>
      <c r="E1452" s="2" t="s">
        <v>5396</v>
      </c>
      <c r="F1452" s="2" t="s">
        <v>5234</v>
      </c>
      <c r="G1452" s="2" t="s">
        <v>5234</v>
      </c>
      <c r="H1452" s="2" t="s">
        <v>5234</v>
      </c>
      <c r="I1452" s="2" t="s">
        <v>5398</v>
      </c>
      <c r="J1452" s="2" t="s">
        <v>5399</v>
      </c>
      <c r="K1452" s="2" t="s">
        <v>5236</v>
      </c>
      <c r="L1452" s="3">
        <v>36</v>
      </c>
      <c r="M1452" s="3">
        <v>37.8</v>
      </c>
      <c r="N1452" s="3">
        <v>79.99</v>
      </c>
      <c r="O1452" s="2" t="s">
        <v>97</v>
      </c>
      <c r="P1452" s="2" t="s">
        <v>123</v>
      </c>
      <c r="Q1452" s="2" t="s">
        <v>99</v>
      </c>
      <c r="R1452" s="2" t="s">
        <v>100</v>
      </c>
      <c r="S1452" s="2" t="s">
        <v>5237</v>
      </c>
      <c r="T1452" s="2" t="s">
        <v>4296</v>
      </c>
      <c r="U1452" s="2" t="s">
        <v>100</v>
      </c>
      <c r="V1452" s="2" t="s">
        <v>461</v>
      </c>
      <c r="W1452" s="2" t="s">
        <v>609</v>
      </c>
      <c r="X1452" s="2" t="s">
        <v>100</v>
      </c>
      <c r="Y1452" s="2" t="s">
        <v>144</v>
      </c>
      <c r="Z1452" s="4">
        <v>311</v>
      </c>
      <c r="AA1452" s="4">
        <f>=ROUNDDOWN(4.64179104477612,0)</f>
      </c>
      <c r="AB1452" s="5">
        <v>67</v>
      </c>
      <c r="AC1452" s="2" t="s">
        <v>173</v>
      </c>
      <c r="AD1452" s="4">
        <v>490</v>
      </c>
      <c r="AE1452" s="4">
        <v>490</v>
      </c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/>
      <c r="BJ1452" s="4">
        <v>51</v>
      </c>
      <c r="BK1452" s="8">
        <v>1914.65</v>
      </c>
      <c r="BL1452" s="2" t="s">
        <v>2993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109</v>
      </c>
      <c r="BV1452" s="2" t="s">
        <v>97</v>
      </c>
      <c r="BW1452" s="2" t="s">
        <v>1824</v>
      </c>
      <c r="BX1452" s="2" t="s">
        <v>4849</v>
      </c>
      <c r="BY1452" s="2" t="s">
        <v>112</v>
      </c>
      <c r="BZ1452" s="2" t="s">
        <v>100</v>
      </c>
    </row>
    <row r="1453">
      <c r="A1453" s="2" t="s">
        <v>5453</v>
      </c>
      <c r="B1453" s="2" t="s">
        <v>5155</v>
      </c>
      <c r="C1453" s="2" t="s">
        <v>5095</v>
      </c>
      <c r="D1453" s="2" t="s">
        <v>5156</v>
      </c>
      <c r="E1453" s="2" t="s">
        <v>5396</v>
      </c>
      <c r="F1453" s="2" t="s">
        <v>5234</v>
      </c>
      <c r="G1453" s="2" t="s">
        <v>5234</v>
      </c>
      <c r="H1453" s="2" t="s">
        <v>5234</v>
      </c>
      <c r="I1453" s="2" t="s">
        <v>5398</v>
      </c>
      <c r="J1453" s="2" t="s">
        <v>5399</v>
      </c>
      <c r="K1453" s="2" t="s">
        <v>386</v>
      </c>
      <c r="L1453" s="3">
        <v>36</v>
      </c>
      <c r="M1453" s="3">
        <v>37.8</v>
      </c>
      <c r="N1453" s="3">
        <v>79.99</v>
      </c>
      <c r="O1453" s="2" t="s">
        <v>97</v>
      </c>
      <c r="P1453" s="2" t="s">
        <v>156</v>
      </c>
      <c r="Q1453" s="2" t="s">
        <v>99</v>
      </c>
      <c r="R1453" s="2" t="s">
        <v>100</v>
      </c>
      <c r="S1453" s="2" t="s">
        <v>5445</v>
      </c>
      <c r="T1453" s="2" t="s">
        <v>4296</v>
      </c>
      <c r="U1453" s="2" t="s">
        <v>1776</v>
      </c>
      <c r="V1453" s="2" t="s">
        <v>461</v>
      </c>
      <c r="W1453" s="2" t="s">
        <v>609</v>
      </c>
      <c r="X1453" s="2" t="s">
        <v>100</v>
      </c>
      <c r="Y1453" s="2" t="s">
        <v>5314</v>
      </c>
      <c r="Z1453" s="4">
        <v>566</v>
      </c>
      <c r="AA1453" s="4">
        <f>=ROUNDDOWN(11.0980392156863,0)</f>
      </c>
      <c r="AB1453" s="5">
        <v>51</v>
      </c>
      <c r="AC1453" s="2" t="s">
        <v>173</v>
      </c>
      <c r="AD1453" s="4">
        <v>150</v>
      </c>
      <c r="AE1453" s="4">
        <v>150</v>
      </c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/>
      <c r="BJ1453" s="4">
        <v>53</v>
      </c>
      <c r="BK1453" s="8">
        <v>1997.15</v>
      </c>
      <c r="BL1453" s="2" t="s">
        <v>5454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171</v>
      </c>
      <c r="BV1453" s="2" t="s">
        <v>97</v>
      </c>
      <c r="BW1453" s="2" t="s">
        <v>100</v>
      </c>
      <c r="BX1453" s="2" t="s">
        <v>100</v>
      </c>
      <c r="BY1453" s="2" t="s">
        <v>112</v>
      </c>
      <c r="BZ1453" s="2" t="s">
        <v>100</v>
      </c>
    </row>
    <row r="1454">
      <c r="A1454" s="2" t="s">
        <v>5455</v>
      </c>
      <c r="B1454" s="2" t="s">
        <v>5155</v>
      </c>
      <c r="C1454" s="2" t="s">
        <v>5095</v>
      </c>
      <c r="D1454" s="2" t="s">
        <v>5156</v>
      </c>
      <c r="E1454" s="2" t="s">
        <v>5396</v>
      </c>
      <c r="F1454" s="2" t="s">
        <v>5234</v>
      </c>
      <c r="G1454" s="2" t="s">
        <v>5234</v>
      </c>
      <c r="H1454" s="2" t="s">
        <v>5234</v>
      </c>
      <c r="I1454" s="2" t="s">
        <v>5398</v>
      </c>
      <c r="J1454" s="2" t="s">
        <v>5399</v>
      </c>
      <c r="K1454" s="2" t="s">
        <v>5271</v>
      </c>
      <c r="L1454" s="3">
        <v>36</v>
      </c>
      <c r="M1454" s="3">
        <v>37.8</v>
      </c>
      <c r="N1454" s="3">
        <v>79.99</v>
      </c>
      <c r="O1454" s="2" t="s">
        <v>97</v>
      </c>
      <c r="P1454" s="2" t="s">
        <v>139</v>
      </c>
      <c r="Q1454" s="2" t="s">
        <v>99</v>
      </c>
      <c r="R1454" s="2" t="s">
        <v>100</v>
      </c>
      <c r="S1454" s="2" t="s">
        <v>5272</v>
      </c>
      <c r="T1454" s="2" t="s">
        <v>4296</v>
      </c>
      <c r="U1454" s="2" t="s">
        <v>100</v>
      </c>
      <c r="V1454" s="2" t="s">
        <v>461</v>
      </c>
      <c r="W1454" s="2" t="s">
        <v>609</v>
      </c>
      <c r="X1454" s="2" t="s">
        <v>100</v>
      </c>
      <c r="Y1454" s="2" t="s">
        <v>5012</v>
      </c>
      <c r="Z1454" s="4">
        <v>1122</v>
      </c>
      <c r="AA1454" s="4">
        <f>=ROUNDDOWN(16.5,0)</f>
      </c>
      <c r="AB1454" s="5">
        <v>68</v>
      </c>
      <c r="AC1454" s="2" t="s">
        <v>100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/>
      <c r="AW1454" s="8"/>
      <c r="AX1454" s="4"/>
      <c r="AY1454" s="8"/>
      <c r="AZ1454" s="7"/>
      <c r="BA1454" s="7"/>
      <c r="BB1454" s="7"/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/>
      <c r="BJ1454" s="4">
        <v>42</v>
      </c>
      <c r="BK1454" s="8">
        <v>1573.66</v>
      </c>
      <c r="BL1454" s="2" t="s">
        <v>5456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1824</v>
      </c>
      <c r="BX1454" s="2" t="s">
        <v>1900</v>
      </c>
      <c r="BY1454" s="2" t="s">
        <v>112</v>
      </c>
      <c r="BZ1454" s="2" t="s">
        <v>100</v>
      </c>
    </row>
    <row r="1455">
      <c r="A1455" s="2" t="s">
        <v>5457</v>
      </c>
      <c r="B1455" s="2" t="s">
        <v>5155</v>
      </c>
      <c r="C1455" s="2" t="s">
        <v>5095</v>
      </c>
      <c r="D1455" s="2" t="s">
        <v>5156</v>
      </c>
      <c r="E1455" s="2" t="s">
        <v>5396</v>
      </c>
      <c r="F1455" s="2" t="s">
        <v>5234</v>
      </c>
      <c r="G1455" s="2" t="s">
        <v>5234</v>
      </c>
      <c r="H1455" s="2" t="s">
        <v>5234</v>
      </c>
      <c r="I1455" s="2" t="s">
        <v>5398</v>
      </c>
      <c r="J1455" s="2" t="s">
        <v>5399</v>
      </c>
      <c r="K1455" s="2" t="s">
        <v>842</v>
      </c>
      <c r="L1455" s="3">
        <v>36</v>
      </c>
      <c r="M1455" s="3">
        <v>37.8</v>
      </c>
      <c r="N1455" s="3">
        <v>79.99</v>
      </c>
      <c r="O1455" s="2" t="s">
        <v>97</v>
      </c>
      <c r="P1455" s="2" t="s">
        <v>98</v>
      </c>
      <c r="Q1455" s="2" t="s">
        <v>99</v>
      </c>
      <c r="R1455" s="2" t="s">
        <v>100</v>
      </c>
      <c r="S1455" s="2" t="s">
        <v>5445</v>
      </c>
      <c r="T1455" s="2" t="s">
        <v>4296</v>
      </c>
      <c r="U1455" s="2" t="s">
        <v>1776</v>
      </c>
      <c r="V1455" s="2" t="s">
        <v>461</v>
      </c>
      <c r="W1455" s="2" t="s">
        <v>609</v>
      </c>
      <c r="X1455" s="2" t="s">
        <v>100</v>
      </c>
      <c r="Y1455" s="2" t="s">
        <v>5314</v>
      </c>
      <c r="Z1455" s="4">
        <v>782</v>
      </c>
      <c r="AA1455" s="4">
        <f>=ROUNDDOWN(24.4375,0)</f>
      </c>
      <c r="AB1455" s="5">
        <v>32</v>
      </c>
      <c r="AC1455" s="2" t="s">
        <v>100</v>
      </c>
      <c r="AD1455" s="4"/>
      <c r="AE1455" s="4"/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/>
      <c r="AW1455" s="8"/>
      <c r="AX1455" s="4"/>
      <c r="AY1455" s="8"/>
      <c r="AZ1455" s="7"/>
      <c r="BA1455" s="7"/>
      <c r="BB1455" s="7"/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/>
      <c r="BJ1455" s="4">
        <v>30</v>
      </c>
      <c r="BK1455" s="8">
        <v>1124.26</v>
      </c>
      <c r="BL1455" s="2" t="s">
        <v>5458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171</v>
      </c>
      <c r="BV1455" s="2" t="s">
        <v>97</v>
      </c>
      <c r="BW1455" s="2" t="s">
        <v>100</v>
      </c>
      <c r="BX1455" s="2" t="s">
        <v>100</v>
      </c>
      <c r="BY1455" s="2" t="s">
        <v>112</v>
      </c>
      <c r="BZ1455" s="2" t="s">
        <v>100</v>
      </c>
    </row>
    <row r="1456">
      <c r="A1456" s="2" t="s">
        <v>5459</v>
      </c>
      <c r="B1456" s="2" t="s">
        <v>5155</v>
      </c>
      <c r="C1456" s="2" t="s">
        <v>5095</v>
      </c>
      <c r="D1456" s="2" t="s">
        <v>5156</v>
      </c>
      <c r="E1456" s="2" t="s">
        <v>5396</v>
      </c>
      <c r="F1456" s="2" t="s">
        <v>5460</v>
      </c>
      <c r="G1456" s="2" t="s">
        <v>5461</v>
      </c>
      <c r="H1456" s="2" t="s">
        <v>5461</v>
      </c>
      <c r="I1456" s="2" t="s">
        <v>5462</v>
      </c>
      <c r="J1456" s="2" t="s">
        <v>1781</v>
      </c>
      <c r="K1456" s="2" t="s">
        <v>1857</v>
      </c>
      <c r="L1456" s="3">
        <v>36.8</v>
      </c>
      <c r="M1456" s="3">
        <v>38.64</v>
      </c>
      <c r="N1456" s="3">
        <v>79.99</v>
      </c>
      <c r="O1456" s="2" t="s">
        <v>97</v>
      </c>
      <c r="P1456" s="2" t="s">
        <v>98</v>
      </c>
      <c r="Q1456" s="2" t="s">
        <v>99</v>
      </c>
      <c r="R1456" s="2" t="s">
        <v>100</v>
      </c>
      <c r="S1456" s="2" t="s">
        <v>5463</v>
      </c>
      <c r="T1456" s="2" t="s">
        <v>5436</v>
      </c>
      <c r="U1456" s="2" t="s">
        <v>100</v>
      </c>
      <c r="V1456" s="2" t="s">
        <v>2510</v>
      </c>
      <c r="W1456" s="2" t="s">
        <v>1136</v>
      </c>
      <c r="X1456" s="2" t="s">
        <v>142</v>
      </c>
      <c r="Y1456" s="2" t="s">
        <v>5464</v>
      </c>
      <c r="Z1456" s="4">
        <v>491</v>
      </c>
      <c r="AA1456" s="4">
        <f>=ROUNDDOWN(13.6388888888889,0)</f>
      </c>
      <c r="AB1456" s="5">
        <v>36</v>
      </c>
      <c r="AC1456" s="2" t="s">
        <v>100</v>
      </c>
      <c r="AD1456" s="4"/>
      <c r="AE1456" s="4"/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/>
      <c r="AW1456" s="8"/>
      <c r="AX1456" s="4"/>
      <c r="AY1456" s="8"/>
      <c r="AZ1456" s="7"/>
      <c r="BA1456" s="7"/>
      <c r="BB1456" s="7"/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/>
      <c r="BJ1456" s="4">
        <v>29</v>
      </c>
      <c r="BK1456" s="8">
        <v>1181.93</v>
      </c>
      <c r="BL1456" s="2" t="s">
        <v>5465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171</v>
      </c>
      <c r="BV1456" s="2" t="s">
        <v>97</v>
      </c>
      <c r="BW1456" s="2" t="s">
        <v>100</v>
      </c>
      <c r="BX1456" s="2" t="s">
        <v>100</v>
      </c>
      <c r="BY1456" s="2" t="s">
        <v>112</v>
      </c>
      <c r="BZ1456" s="2" t="s">
        <v>100</v>
      </c>
    </row>
    <row r="1457">
      <c r="A1457" s="2" t="s">
        <v>5466</v>
      </c>
      <c r="B1457" s="2" t="s">
        <v>5155</v>
      </c>
      <c r="C1457" s="2" t="s">
        <v>5095</v>
      </c>
      <c r="D1457" s="2" t="s">
        <v>5156</v>
      </c>
      <c r="E1457" s="2" t="s">
        <v>5396</v>
      </c>
      <c r="F1457" s="2" t="s">
        <v>5460</v>
      </c>
      <c r="G1457" s="2" t="s">
        <v>5461</v>
      </c>
      <c r="H1457" s="2" t="s">
        <v>5461</v>
      </c>
      <c r="I1457" s="2" t="s">
        <v>5462</v>
      </c>
      <c r="J1457" s="2" t="s">
        <v>1781</v>
      </c>
      <c r="K1457" s="2" t="s">
        <v>138</v>
      </c>
      <c r="L1457" s="3">
        <v>36.8</v>
      </c>
      <c r="M1457" s="3">
        <v>38.64</v>
      </c>
      <c r="N1457" s="3">
        <v>79.99</v>
      </c>
      <c r="O1457" s="2" t="s">
        <v>97</v>
      </c>
      <c r="P1457" s="2" t="s">
        <v>139</v>
      </c>
      <c r="Q1457" s="2" t="s">
        <v>99</v>
      </c>
      <c r="R1457" s="2" t="s">
        <v>100</v>
      </c>
      <c r="S1457" s="2" t="s">
        <v>5467</v>
      </c>
      <c r="T1457" s="2" t="s">
        <v>5436</v>
      </c>
      <c r="U1457" s="2" t="s">
        <v>100</v>
      </c>
      <c r="V1457" s="2" t="s">
        <v>2510</v>
      </c>
      <c r="W1457" s="2" t="s">
        <v>1136</v>
      </c>
      <c r="X1457" s="2" t="s">
        <v>142</v>
      </c>
      <c r="Y1457" s="2" t="s">
        <v>2511</v>
      </c>
      <c r="Z1457" s="4">
        <v>48</v>
      </c>
      <c r="AA1457" s="4">
        <f>=ROUNDDOWN(0.75,0)</f>
      </c>
      <c r="AB1457" s="5">
        <v>64</v>
      </c>
      <c r="AC1457" s="2" t="s">
        <v>173</v>
      </c>
      <c r="AD1457" s="4">
        <v>410</v>
      </c>
      <c r="AE1457" s="4">
        <v>410</v>
      </c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/>
      <c r="BJ1457" s="4">
        <v>53</v>
      </c>
      <c r="BK1457" s="8">
        <v>2087.47</v>
      </c>
      <c r="BL1457" s="2" t="s">
        <v>5468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109</v>
      </c>
      <c r="BV1457" s="2" t="s">
        <v>97</v>
      </c>
      <c r="BW1457" s="2" t="s">
        <v>127</v>
      </c>
      <c r="BX1457" s="2" t="s">
        <v>1013</v>
      </c>
      <c r="BY1457" s="2" t="s">
        <v>112</v>
      </c>
      <c r="BZ1457" s="2" t="s">
        <v>100</v>
      </c>
    </row>
    <row r="1458">
      <c r="A1458" s="2" t="s">
        <v>5469</v>
      </c>
      <c r="B1458" s="2" t="s">
        <v>5155</v>
      </c>
      <c r="C1458" s="2" t="s">
        <v>5095</v>
      </c>
      <c r="D1458" s="2" t="s">
        <v>5156</v>
      </c>
      <c r="E1458" s="2" t="s">
        <v>5396</v>
      </c>
      <c r="F1458" s="2" t="s">
        <v>5460</v>
      </c>
      <c r="G1458" s="2" t="s">
        <v>5461</v>
      </c>
      <c r="H1458" s="2" t="s">
        <v>5461</v>
      </c>
      <c r="I1458" s="2" t="s">
        <v>5462</v>
      </c>
      <c r="J1458" s="2" t="s">
        <v>1781</v>
      </c>
      <c r="K1458" s="2" t="s">
        <v>1212</v>
      </c>
      <c r="L1458" s="3">
        <v>36.8</v>
      </c>
      <c r="M1458" s="3">
        <v>38.64</v>
      </c>
      <c r="N1458" s="3">
        <v>79.99</v>
      </c>
      <c r="O1458" s="2" t="s">
        <v>97</v>
      </c>
      <c r="P1458" s="2" t="s">
        <v>98</v>
      </c>
      <c r="Q1458" s="2" t="s">
        <v>99</v>
      </c>
      <c r="R1458" s="2" t="s">
        <v>100</v>
      </c>
      <c r="S1458" s="2" t="s">
        <v>5470</v>
      </c>
      <c r="T1458" s="2" t="s">
        <v>5436</v>
      </c>
      <c r="U1458" s="2" t="s">
        <v>1776</v>
      </c>
      <c r="V1458" s="2" t="s">
        <v>461</v>
      </c>
      <c r="W1458" s="2" t="s">
        <v>1136</v>
      </c>
      <c r="X1458" s="2" t="s">
        <v>142</v>
      </c>
      <c r="Y1458" s="2" t="s">
        <v>5471</v>
      </c>
      <c r="Z1458" s="4">
        <v>482</v>
      </c>
      <c r="AA1458" s="4">
        <f>=ROUNDDOWN(15.0625,0)</f>
      </c>
      <c r="AB1458" s="5">
        <v>32</v>
      </c>
      <c r="AC1458" s="2" t="s">
        <v>100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/>
      <c r="BJ1458" s="4">
        <v>22</v>
      </c>
      <c r="BK1458" s="8">
        <v>861.42</v>
      </c>
      <c r="BL1458" s="2" t="s">
        <v>5472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171</v>
      </c>
      <c r="BV1458" s="2" t="s">
        <v>97</v>
      </c>
      <c r="BW1458" s="2" t="s">
        <v>100</v>
      </c>
      <c r="BX1458" s="2" t="s">
        <v>100</v>
      </c>
      <c r="BY1458" s="2" t="s">
        <v>112</v>
      </c>
      <c r="BZ1458" s="2" t="s">
        <v>100</v>
      </c>
    </row>
    <row r="1459">
      <c r="A1459" s="2" t="s">
        <v>5473</v>
      </c>
      <c r="B1459" s="2" t="s">
        <v>5155</v>
      </c>
      <c r="C1459" s="2" t="s">
        <v>5095</v>
      </c>
      <c r="D1459" s="2" t="s">
        <v>5156</v>
      </c>
      <c r="E1459" s="2" t="s">
        <v>5396</v>
      </c>
      <c r="F1459" s="2" t="s">
        <v>5460</v>
      </c>
      <c r="G1459" s="2" t="s">
        <v>5461</v>
      </c>
      <c r="H1459" s="2" t="s">
        <v>5461</v>
      </c>
      <c r="I1459" s="2" t="s">
        <v>5462</v>
      </c>
      <c r="J1459" s="2" t="s">
        <v>1781</v>
      </c>
      <c r="K1459" s="2" t="s">
        <v>96</v>
      </c>
      <c r="L1459" s="3">
        <v>36.8</v>
      </c>
      <c r="M1459" s="3">
        <v>38.64</v>
      </c>
      <c r="N1459" s="3">
        <v>79.99</v>
      </c>
      <c r="O1459" s="2" t="s">
        <v>97</v>
      </c>
      <c r="P1459" s="2" t="s">
        <v>317</v>
      </c>
      <c r="Q1459" s="2" t="s">
        <v>99</v>
      </c>
      <c r="R1459" s="2" t="s">
        <v>100</v>
      </c>
      <c r="S1459" s="2" t="s">
        <v>5474</v>
      </c>
      <c r="T1459" s="2" t="s">
        <v>100</v>
      </c>
      <c r="U1459" s="2" t="s">
        <v>1776</v>
      </c>
      <c r="V1459" s="2" t="s">
        <v>2510</v>
      </c>
      <c r="W1459" s="2" t="s">
        <v>1136</v>
      </c>
      <c r="X1459" s="2" t="s">
        <v>142</v>
      </c>
      <c r="Y1459" s="2" t="s">
        <v>5475</v>
      </c>
      <c r="Z1459" s="4">
        <v>1788</v>
      </c>
      <c r="AA1459" s="4">
        <f>=ROUNDDOWN(22.9230769230769,0)</f>
      </c>
      <c r="AB1459" s="5">
        <v>78</v>
      </c>
      <c r="AC1459" s="2" t="s">
        <v>100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/>
      <c r="BJ1459" s="4">
        <v>46</v>
      </c>
      <c r="BK1459" s="8">
        <v>1818.7</v>
      </c>
      <c r="BL1459" s="2" t="s">
        <v>799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109</v>
      </c>
      <c r="BV1459" s="2" t="s">
        <v>97</v>
      </c>
      <c r="BW1459" s="2" t="s">
        <v>5476</v>
      </c>
      <c r="BX1459" s="2" t="s">
        <v>4879</v>
      </c>
      <c r="BY1459" s="2" t="s">
        <v>112</v>
      </c>
      <c r="BZ1459" s="2" t="s">
        <v>100</v>
      </c>
    </row>
    <row r="1460">
      <c r="A1460" s="2" t="s">
        <v>5477</v>
      </c>
      <c r="B1460" s="2" t="s">
        <v>5155</v>
      </c>
      <c r="C1460" s="2" t="s">
        <v>5095</v>
      </c>
      <c r="D1460" s="2" t="s">
        <v>5156</v>
      </c>
      <c r="E1460" s="2" t="s">
        <v>5396</v>
      </c>
      <c r="F1460" s="2" t="s">
        <v>5460</v>
      </c>
      <c r="G1460" s="2" t="s">
        <v>5461</v>
      </c>
      <c r="H1460" s="2" t="s">
        <v>5461</v>
      </c>
      <c r="I1460" s="2" t="s">
        <v>5462</v>
      </c>
      <c r="J1460" s="2" t="s">
        <v>1781</v>
      </c>
      <c r="K1460" s="2" t="s">
        <v>5478</v>
      </c>
      <c r="L1460" s="3">
        <v>36.8</v>
      </c>
      <c r="M1460" s="3">
        <v>38.64</v>
      </c>
      <c r="N1460" s="3">
        <v>79.99</v>
      </c>
      <c r="O1460" s="2" t="s">
        <v>97</v>
      </c>
      <c r="P1460" s="2" t="s">
        <v>98</v>
      </c>
      <c r="Q1460" s="2" t="s">
        <v>99</v>
      </c>
      <c r="R1460" s="2" t="s">
        <v>100</v>
      </c>
      <c r="S1460" s="2" t="s">
        <v>5479</v>
      </c>
      <c r="T1460" s="2" t="s">
        <v>5436</v>
      </c>
      <c r="U1460" s="2" t="s">
        <v>1776</v>
      </c>
      <c r="V1460" s="2" t="s">
        <v>2510</v>
      </c>
      <c r="W1460" s="2" t="s">
        <v>1136</v>
      </c>
      <c r="X1460" s="2" t="s">
        <v>142</v>
      </c>
      <c r="Y1460" s="2" t="s">
        <v>5471</v>
      </c>
      <c r="Z1460" s="4">
        <v>571</v>
      </c>
      <c r="AA1460" s="4">
        <f>=ROUNDDOWN(22.84,0)</f>
      </c>
      <c r="AB1460" s="5">
        <v>25</v>
      </c>
      <c r="AC1460" s="2" t="s">
        <v>100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/>
      <c r="BJ1460" s="4">
        <v>8</v>
      </c>
      <c r="BK1460" s="8">
        <v>318.43</v>
      </c>
      <c r="BL1460" s="2" t="s">
        <v>3124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171</v>
      </c>
      <c r="BV1460" s="2" t="s">
        <v>97</v>
      </c>
      <c r="BW1460" s="2" t="s">
        <v>100</v>
      </c>
      <c r="BX1460" s="2" t="s">
        <v>100</v>
      </c>
      <c r="BY1460" s="2" t="s">
        <v>112</v>
      </c>
      <c r="BZ1460" s="2" t="s">
        <v>100</v>
      </c>
    </row>
    <row r="1461">
      <c r="A1461" s="2" t="s">
        <v>5480</v>
      </c>
      <c r="B1461" s="2" t="s">
        <v>5155</v>
      </c>
      <c r="C1461" s="2" t="s">
        <v>5095</v>
      </c>
      <c r="D1461" s="2" t="s">
        <v>5156</v>
      </c>
      <c r="E1461" s="2" t="s">
        <v>5396</v>
      </c>
      <c r="F1461" s="2" t="s">
        <v>5460</v>
      </c>
      <c r="G1461" s="2" t="s">
        <v>5461</v>
      </c>
      <c r="H1461" s="2" t="s">
        <v>5461</v>
      </c>
      <c r="I1461" s="2" t="s">
        <v>5462</v>
      </c>
      <c r="J1461" s="2" t="s">
        <v>1781</v>
      </c>
      <c r="K1461" s="2" t="s">
        <v>5481</v>
      </c>
      <c r="L1461" s="3">
        <v>36.8</v>
      </c>
      <c r="M1461" s="3">
        <v>38.64</v>
      </c>
      <c r="N1461" s="3">
        <v>79.99</v>
      </c>
      <c r="O1461" s="2" t="s">
        <v>97</v>
      </c>
      <c r="P1461" s="2" t="s">
        <v>98</v>
      </c>
      <c r="Q1461" s="2" t="s">
        <v>99</v>
      </c>
      <c r="R1461" s="2" t="s">
        <v>100</v>
      </c>
      <c r="S1461" s="2" t="s">
        <v>5482</v>
      </c>
      <c r="T1461" s="2" t="s">
        <v>5436</v>
      </c>
      <c r="U1461" s="2" t="s">
        <v>1776</v>
      </c>
      <c r="V1461" s="2" t="s">
        <v>547</v>
      </c>
      <c r="W1461" s="2" t="s">
        <v>1136</v>
      </c>
      <c r="X1461" s="2" t="s">
        <v>142</v>
      </c>
      <c r="Y1461" s="2" t="s">
        <v>5291</v>
      </c>
      <c r="Z1461" s="4">
        <v>936</v>
      </c>
      <c r="AA1461" s="4">
        <f>=ROUNDDOWN(19.9148936170213,0)</f>
      </c>
      <c r="AB1461" s="5">
        <v>47</v>
      </c>
      <c r="AC1461" s="2" t="s">
        <v>100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/>
      <c r="BJ1461" s="4">
        <v>37</v>
      </c>
      <c r="BK1461" s="8">
        <v>1473.86</v>
      </c>
      <c r="BL1461" s="2" t="s">
        <v>5483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1040</v>
      </c>
      <c r="BV1461" s="2" t="s">
        <v>97</v>
      </c>
      <c r="BW1461" s="2" t="s">
        <v>100</v>
      </c>
      <c r="BX1461" s="2" t="s">
        <v>100</v>
      </c>
      <c r="BY1461" s="2" t="s">
        <v>112</v>
      </c>
      <c r="BZ1461" s="2" t="s">
        <v>100</v>
      </c>
    </row>
    <row r="1462">
      <c r="A1462" s="2" t="s">
        <v>5484</v>
      </c>
      <c r="B1462" s="2" t="s">
        <v>5155</v>
      </c>
      <c r="C1462" s="2" t="s">
        <v>5095</v>
      </c>
      <c r="D1462" s="2" t="s">
        <v>5156</v>
      </c>
      <c r="E1462" s="2" t="s">
        <v>5396</v>
      </c>
      <c r="F1462" s="2" t="s">
        <v>5460</v>
      </c>
      <c r="G1462" s="2" t="s">
        <v>5461</v>
      </c>
      <c r="H1462" s="2" t="s">
        <v>5461</v>
      </c>
      <c r="I1462" s="2" t="s">
        <v>5462</v>
      </c>
      <c r="J1462" s="2" t="s">
        <v>1781</v>
      </c>
      <c r="K1462" s="2" t="s">
        <v>5485</v>
      </c>
      <c r="L1462" s="3">
        <v>36.8</v>
      </c>
      <c r="M1462" s="3">
        <v>38.64</v>
      </c>
      <c r="N1462" s="3">
        <v>79.99</v>
      </c>
      <c r="O1462" s="2" t="s">
        <v>97</v>
      </c>
      <c r="P1462" s="2" t="s">
        <v>123</v>
      </c>
      <c r="Q1462" s="2" t="s">
        <v>99</v>
      </c>
      <c r="R1462" s="2" t="s">
        <v>100</v>
      </c>
      <c r="S1462" s="2" t="s">
        <v>5486</v>
      </c>
      <c r="T1462" s="2" t="s">
        <v>5436</v>
      </c>
      <c r="U1462" s="2" t="s">
        <v>1776</v>
      </c>
      <c r="V1462" s="2" t="s">
        <v>547</v>
      </c>
      <c r="W1462" s="2" t="s">
        <v>1136</v>
      </c>
      <c r="X1462" s="2" t="s">
        <v>142</v>
      </c>
      <c r="Y1462" s="2" t="s">
        <v>5487</v>
      </c>
      <c r="Z1462" s="4">
        <v>1538</v>
      </c>
      <c r="AA1462" s="4">
        <f>=ROUNDDOWN(18.5301204819277,0)</f>
      </c>
      <c r="AB1462" s="5">
        <v>83</v>
      </c>
      <c r="AC1462" s="2" t="s">
        <v>100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/>
      <c r="BJ1462" s="4">
        <v>50</v>
      </c>
      <c r="BK1462" s="8">
        <v>2042.8</v>
      </c>
      <c r="BL1462" s="2" t="s">
        <v>2404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1040</v>
      </c>
      <c r="BV1462" s="2" t="s">
        <v>97</v>
      </c>
      <c r="BW1462" s="2" t="s">
        <v>100</v>
      </c>
      <c r="BX1462" s="2" t="s">
        <v>100</v>
      </c>
      <c r="BY1462" s="2" t="s">
        <v>112</v>
      </c>
      <c r="BZ1462" s="2" t="s">
        <v>100</v>
      </c>
    </row>
    <row r="1463">
      <c r="A1463" s="2" t="s">
        <v>5488</v>
      </c>
      <c r="B1463" s="2" t="s">
        <v>5155</v>
      </c>
      <c r="C1463" s="2" t="s">
        <v>5095</v>
      </c>
      <c r="D1463" s="2" t="s">
        <v>5156</v>
      </c>
      <c r="E1463" s="2" t="s">
        <v>5396</v>
      </c>
      <c r="F1463" s="2" t="s">
        <v>5460</v>
      </c>
      <c r="G1463" s="2" t="s">
        <v>5461</v>
      </c>
      <c r="H1463" s="2" t="s">
        <v>5461</v>
      </c>
      <c r="I1463" s="2" t="s">
        <v>5462</v>
      </c>
      <c r="J1463" s="2" t="s">
        <v>1781</v>
      </c>
      <c r="K1463" s="2" t="s">
        <v>4743</v>
      </c>
      <c r="L1463" s="3">
        <v>36.8</v>
      </c>
      <c r="M1463" s="3">
        <v>38.64</v>
      </c>
      <c r="N1463" s="3">
        <v>79.99</v>
      </c>
      <c r="O1463" s="2" t="s">
        <v>97</v>
      </c>
      <c r="P1463" s="2" t="s">
        <v>123</v>
      </c>
      <c r="Q1463" s="2" t="s">
        <v>99</v>
      </c>
      <c r="R1463" s="2" t="s">
        <v>100</v>
      </c>
      <c r="S1463" s="2" t="s">
        <v>5489</v>
      </c>
      <c r="T1463" s="2" t="s">
        <v>100</v>
      </c>
      <c r="U1463" s="2" t="s">
        <v>1776</v>
      </c>
      <c r="V1463" s="2" t="s">
        <v>2510</v>
      </c>
      <c r="W1463" s="2" t="s">
        <v>1136</v>
      </c>
      <c r="X1463" s="2" t="s">
        <v>142</v>
      </c>
      <c r="Y1463" s="2" t="s">
        <v>5475</v>
      </c>
      <c r="Z1463" s="4"/>
      <c r="AA1463" s="4">
        <f>=ROUNDDOWN({0},0)</f>
      </c>
      <c r="AB1463" s="5">
        <v>68</v>
      </c>
      <c r="AC1463" s="2" t="s">
        <v>173</v>
      </c>
      <c r="AD1463" s="4">
        <v>430</v>
      </c>
      <c r="AE1463" s="4">
        <v>430</v>
      </c>
      <c r="AF1463" s="6">
        <v>65</v>
      </c>
      <c r="AG1463" s="6"/>
      <c r="AH1463" s="7">
        <v>0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/>
      <c r="BJ1463" s="4">
        <v>1</v>
      </c>
      <c r="BK1463" s="8">
        <v>38.63</v>
      </c>
      <c r="BL1463" s="2" t="s">
        <v>3477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109</v>
      </c>
      <c r="BV1463" s="2" t="s">
        <v>97</v>
      </c>
      <c r="BW1463" s="2" t="s">
        <v>5476</v>
      </c>
      <c r="BX1463" s="2" t="s">
        <v>2350</v>
      </c>
      <c r="BY1463" s="2" t="s">
        <v>112</v>
      </c>
      <c r="BZ1463" s="2" t="s">
        <v>100</v>
      </c>
    </row>
    <row r="1464">
      <c r="A1464" s="2" t="s">
        <v>5490</v>
      </c>
      <c r="B1464" s="2" t="s">
        <v>5155</v>
      </c>
      <c r="C1464" s="2" t="s">
        <v>5095</v>
      </c>
      <c r="D1464" s="2" t="s">
        <v>5491</v>
      </c>
      <c r="E1464" s="2" t="s">
        <v>5492</v>
      </c>
      <c r="F1464" s="2" t="s">
        <v>190</v>
      </c>
      <c r="G1464" s="2" t="s">
        <v>190</v>
      </c>
      <c r="H1464" s="2" t="s">
        <v>190</v>
      </c>
      <c r="I1464" s="2" t="s">
        <v>5493</v>
      </c>
      <c r="J1464" s="2" t="s">
        <v>1443</v>
      </c>
      <c r="K1464" s="2" t="s">
        <v>458</v>
      </c>
      <c r="L1464" s="3">
        <v>45</v>
      </c>
      <c r="M1464" s="3">
        <v>47.25</v>
      </c>
      <c r="N1464" s="3">
        <v>89.99</v>
      </c>
      <c r="O1464" s="2" t="s">
        <v>97</v>
      </c>
      <c r="P1464" s="2" t="s">
        <v>98</v>
      </c>
      <c r="Q1464" s="2" t="s">
        <v>99</v>
      </c>
      <c r="R1464" s="2" t="s">
        <v>100</v>
      </c>
      <c r="S1464" s="2" t="s">
        <v>100</v>
      </c>
      <c r="T1464" s="2" t="s">
        <v>190</v>
      </c>
      <c r="U1464" s="2" t="s">
        <v>1776</v>
      </c>
      <c r="V1464" s="2" t="s">
        <v>461</v>
      </c>
      <c r="W1464" s="2" t="s">
        <v>609</v>
      </c>
      <c r="X1464" s="2" t="s">
        <v>100</v>
      </c>
      <c r="Y1464" s="2" t="s">
        <v>5494</v>
      </c>
      <c r="Z1464" s="4">
        <v>372</v>
      </c>
      <c r="AA1464" s="4">
        <f>=ROUNDDOWN(46.5,0)</f>
      </c>
      <c r="AB1464" s="5">
        <v>8</v>
      </c>
      <c r="AC1464" s="2" t="s">
        <v>100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>
        <v>21</v>
      </c>
      <c r="AW1464" s="8">
        <v>1752.03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/>
      <c r="BC1464" s="4">
        <v>21</v>
      </c>
      <c r="BD1464" s="8">
        <v>1752.03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>
        <v>1</v>
      </c>
      <c r="BJ1464" s="4">
        <v>8</v>
      </c>
      <c r="BK1464" s="8">
        <v>397.86</v>
      </c>
      <c r="BL1464" s="2" t="s">
        <v>5495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171</v>
      </c>
      <c r="BV1464" s="2" t="s">
        <v>97</v>
      </c>
      <c r="BW1464" s="2" t="s">
        <v>100</v>
      </c>
      <c r="BX1464" s="2" t="s">
        <v>100</v>
      </c>
      <c r="BY1464" s="2" t="s">
        <v>112</v>
      </c>
      <c r="BZ1464" s="2" t="s">
        <v>100</v>
      </c>
    </row>
    <row r="1465">
      <c r="A1465" s="2" t="s">
        <v>5496</v>
      </c>
      <c r="B1465" s="2" t="s">
        <v>5155</v>
      </c>
      <c r="C1465" s="2" t="s">
        <v>5095</v>
      </c>
      <c r="D1465" s="2" t="s">
        <v>5491</v>
      </c>
      <c r="E1465" s="2" t="s">
        <v>5492</v>
      </c>
      <c r="F1465" s="2" t="s">
        <v>190</v>
      </c>
      <c r="G1465" s="2" t="s">
        <v>190</v>
      </c>
      <c r="H1465" s="2" t="s">
        <v>190</v>
      </c>
      <c r="I1465" s="2" t="s">
        <v>5493</v>
      </c>
      <c r="J1465" s="2" t="s">
        <v>1806</v>
      </c>
      <c r="K1465" s="2" t="s">
        <v>458</v>
      </c>
      <c r="L1465" s="3">
        <v>45</v>
      </c>
      <c r="M1465" s="3">
        <v>47.25</v>
      </c>
      <c r="N1465" s="3">
        <v>89.99</v>
      </c>
      <c r="O1465" s="2" t="s">
        <v>97</v>
      </c>
      <c r="P1465" s="2" t="s">
        <v>98</v>
      </c>
      <c r="Q1465" s="2" t="s">
        <v>99</v>
      </c>
      <c r="R1465" s="2" t="s">
        <v>100</v>
      </c>
      <c r="S1465" s="2" t="s">
        <v>100</v>
      </c>
      <c r="T1465" s="2" t="s">
        <v>190</v>
      </c>
      <c r="U1465" s="2" t="s">
        <v>1776</v>
      </c>
      <c r="V1465" s="2" t="s">
        <v>461</v>
      </c>
      <c r="W1465" s="2" t="s">
        <v>609</v>
      </c>
      <c r="X1465" s="2" t="s">
        <v>100</v>
      </c>
      <c r="Y1465" s="2" t="s">
        <v>5494</v>
      </c>
      <c r="Z1465" s="4">
        <v>1815</v>
      </c>
      <c r="AA1465" s="4">
        <f>=ROUNDDOWN(16.8055555555556,0)</f>
      </c>
      <c r="AB1465" s="5">
        <v>108</v>
      </c>
      <c r="AC1465" s="2" t="s">
        <v>100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100</v>
      </c>
      <c r="AW1465" s="8" t="s">
        <v>100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/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 t="s">
        <v>100</v>
      </c>
      <c r="BJ1465" s="4">
        <v>41</v>
      </c>
      <c r="BK1465" s="8">
        <v>2008.17</v>
      </c>
      <c r="BL1465" s="2" t="s">
        <v>2414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171</v>
      </c>
      <c r="BV1465" s="2" t="s">
        <v>97</v>
      </c>
      <c r="BW1465" s="2" t="s">
        <v>100</v>
      </c>
      <c r="BX1465" s="2" t="s">
        <v>100</v>
      </c>
      <c r="BY1465" s="2" t="s">
        <v>112</v>
      </c>
      <c r="BZ1465" s="2" t="s">
        <v>100</v>
      </c>
    </row>
    <row r="1466">
      <c r="A1466" s="2" t="s">
        <v>5497</v>
      </c>
      <c r="B1466" s="2" t="s">
        <v>5155</v>
      </c>
      <c r="C1466" s="2" t="s">
        <v>5095</v>
      </c>
      <c r="D1466" s="2" t="s">
        <v>5491</v>
      </c>
      <c r="E1466" s="2" t="s">
        <v>5492</v>
      </c>
      <c r="F1466" s="2" t="s">
        <v>190</v>
      </c>
      <c r="G1466" s="2" t="s">
        <v>190</v>
      </c>
      <c r="H1466" s="2" t="s">
        <v>190</v>
      </c>
      <c r="I1466" s="2" t="s">
        <v>5493</v>
      </c>
      <c r="J1466" s="2" t="s">
        <v>95</v>
      </c>
      <c r="K1466" s="2" t="s">
        <v>458</v>
      </c>
      <c r="L1466" s="3">
        <v>76.43</v>
      </c>
      <c r="M1466" s="3">
        <v>80.25</v>
      </c>
      <c r="N1466" s="3">
        <v>146.99</v>
      </c>
      <c r="O1466" s="2" t="s">
        <v>97</v>
      </c>
      <c r="P1466" s="2" t="s">
        <v>317</v>
      </c>
      <c r="Q1466" s="2" t="s">
        <v>99</v>
      </c>
      <c r="R1466" s="2" t="s">
        <v>100</v>
      </c>
      <c r="S1466" s="2" t="s">
        <v>5498</v>
      </c>
      <c r="T1466" s="2" t="s">
        <v>190</v>
      </c>
      <c r="U1466" s="2" t="s">
        <v>1776</v>
      </c>
      <c r="V1466" s="2" t="s">
        <v>461</v>
      </c>
      <c r="W1466" s="2" t="s">
        <v>609</v>
      </c>
      <c r="X1466" s="2" t="s">
        <v>100</v>
      </c>
      <c r="Y1466" s="2" t="s">
        <v>5499</v>
      </c>
      <c r="Z1466" s="4">
        <v>1018</v>
      </c>
      <c r="AA1466" s="4">
        <f>=ROUNDDOWN(8.20967741935484,0)</f>
      </c>
      <c r="AB1466" s="5">
        <v>124</v>
      </c>
      <c r="AC1466" s="2" t="s">
        <v>1142</v>
      </c>
      <c r="AD1466" s="4">
        <v>370</v>
      </c>
      <c r="AE1466" s="4">
        <v>1770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6</v>
      </c>
      <c r="AQ1466" s="8">
        <v>476.28</v>
      </c>
      <c r="AR1466" s="4"/>
      <c r="AS1466" s="8"/>
      <c r="AT1466" s="7"/>
      <c r="AU1466" s="7"/>
      <c r="AV1466" s="4" t="s">
        <v>100</v>
      </c>
      <c r="AW1466" s="8" t="s">
        <v>100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>
        <v>0.2718</v>
      </c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 t="s">
        <v>100</v>
      </c>
      <c r="BJ1466" s="4">
        <v>97</v>
      </c>
      <c r="BK1466" s="8">
        <v>8050.61</v>
      </c>
      <c r="BL1466" s="2" t="s">
        <v>1128</v>
      </c>
      <c r="BM1466" s="7">
        <v>0.0619</v>
      </c>
      <c r="BN1466" s="7">
        <v>0.0592</v>
      </c>
      <c r="BO1466" s="4">
        <v>6</v>
      </c>
      <c r="BP1466" s="8">
        <v>476.28</v>
      </c>
      <c r="BQ1466" s="4"/>
      <c r="BR1466" s="8"/>
      <c r="BS1466" s="7"/>
      <c r="BT1466" s="7"/>
      <c r="BU1466" s="2" t="s">
        <v>109</v>
      </c>
      <c r="BV1466" s="2" t="s">
        <v>97</v>
      </c>
      <c r="BW1466" s="2" t="s">
        <v>5476</v>
      </c>
      <c r="BX1466" s="2" t="s">
        <v>5500</v>
      </c>
      <c r="BY1466" s="2" t="s">
        <v>112</v>
      </c>
      <c r="BZ1466" s="2" t="s">
        <v>100</v>
      </c>
    </row>
    <row r="1467">
      <c r="A1467" s="2" t="s">
        <v>5501</v>
      </c>
      <c r="B1467" s="2" t="s">
        <v>5155</v>
      </c>
      <c r="C1467" s="2" t="s">
        <v>5095</v>
      </c>
      <c r="D1467" s="2" t="s">
        <v>5491</v>
      </c>
      <c r="E1467" s="2" t="s">
        <v>5492</v>
      </c>
      <c r="F1467" s="2" t="s">
        <v>190</v>
      </c>
      <c r="G1467" s="2" t="s">
        <v>190</v>
      </c>
      <c r="H1467" s="2" t="s">
        <v>190</v>
      </c>
      <c r="I1467" s="2" t="s">
        <v>5493</v>
      </c>
      <c r="J1467" s="2" t="s">
        <v>114</v>
      </c>
      <c r="K1467" s="2" t="s">
        <v>458</v>
      </c>
      <c r="L1467" s="3">
        <v>81.63</v>
      </c>
      <c r="M1467" s="3">
        <v>85.71</v>
      </c>
      <c r="N1467" s="3">
        <v>156.99</v>
      </c>
      <c r="O1467" s="2" t="s">
        <v>97</v>
      </c>
      <c r="P1467" s="2" t="s">
        <v>317</v>
      </c>
      <c r="Q1467" s="2" t="s">
        <v>99</v>
      </c>
      <c r="R1467" s="2" t="s">
        <v>100</v>
      </c>
      <c r="S1467" s="2" t="s">
        <v>5498</v>
      </c>
      <c r="T1467" s="2" t="s">
        <v>190</v>
      </c>
      <c r="U1467" s="2" t="s">
        <v>1776</v>
      </c>
      <c r="V1467" s="2" t="s">
        <v>461</v>
      </c>
      <c r="W1467" s="2" t="s">
        <v>609</v>
      </c>
      <c r="X1467" s="2" t="s">
        <v>100</v>
      </c>
      <c r="Y1467" s="2" t="s">
        <v>5499</v>
      </c>
      <c r="Z1467" s="4">
        <v>238</v>
      </c>
      <c r="AA1467" s="4">
        <f>=ROUNDDOWN(0.99581589958159,0)</f>
      </c>
      <c r="AB1467" s="5">
        <v>239</v>
      </c>
      <c r="AC1467" s="2" t="s">
        <v>1142</v>
      </c>
      <c r="AD1467" s="4">
        <v>350</v>
      </c>
      <c r="AE1467" s="4">
        <v>2060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15</v>
      </c>
      <c r="AQ1467" s="8">
        <v>1275.75</v>
      </c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>
        <v>0.7282</v>
      </c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 t="s">
        <v>100</v>
      </c>
      <c r="BJ1467" s="4">
        <v>182</v>
      </c>
      <c r="BK1467" s="8">
        <v>16316.98</v>
      </c>
      <c r="BL1467" s="2" t="s">
        <v>5502</v>
      </c>
      <c r="BM1467" s="7">
        <v>0.0824</v>
      </c>
      <c r="BN1467" s="7">
        <v>0.0782</v>
      </c>
      <c r="BO1467" s="4">
        <v>15</v>
      </c>
      <c r="BP1467" s="8">
        <v>1275.75</v>
      </c>
      <c r="BQ1467" s="4"/>
      <c r="BR1467" s="8"/>
      <c r="BS1467" s="7"/>
      <c r="BT1467" s="7"/>
      <c r="BU1467" s="2" t="s">
        <v>109</v>
      </c>
      <c r="BV1467" s="2" t="s">
        <v>97</v>
      </c>
      <c r="BW1467" s="2" t="s">
        <v>5476</v>
      </c>
      <c r="BX1467" s="2" t="s">
        <v>4838</v>
      </c>
      <c r="BY1467" s="2" t="s">
        <v>112</v>
      </c>
      <c r="BZ1467" s="2" t="s">
        <v>100</v>
      </c>
    </row>
    <row r="1468">
      <c r="A1468" s="2" t="s">
        <v>5503</v>
      </c>
      <c r="B1468" s="2" t="s">
        <v>5155</v>
      </c>
      <c r="C1468" s="2" t="s">
        <v>5095</v>
      </c>
      <c r="D1468" s="2" t="s">
        <v>5491</v>
      </c>
      <c r="E1468" s="2" t="s">
        <v>5492</v>
      </c>
      <c r="F1468" s="2" t="s">
        <v>5504</v>
      </c>
      <c r="G1468" s="2" t="s">
        <v>5504</v>
      </c>
      <c r="H1468" s="2" t="s">
        <v>5504</v>
      </c>
      <c r="I1468" s="2" t="s">
        <v>5505</v>
      </c>
      <c r="J1468" s="2" t="s">
        <v>1443</v>
      </c>
      <c r="K1468" s="2" t="s">
        <v>458</v>
      </c>
      <c r="L1468" s="3">
        <v>45</v>
      </c>
      <c r="M1468" s="3">
        <v>47.25</v>
      </c>
      <c r="N1468" s="3">
        <v>89.99</v>
      </c>
      <c r="O1468" s="2" t="s">
        <v>97</v>
      </c>
      <c r="P1468" s="2" t="s">
        <v>98</v>
      </c>
      <c r="Q1468" s="2" t="s">
        <v>99</v>
      </c>
      <c r="R1468" s="2" t="s">
        <v>100</v>
      </c>
      <c r="S1468" s="2" t="s">
        <v>5506</v>
      </c>
      <c r="T1468" s="2" t="s">
        <v>4529</v>
      </c>
      <c r="U1468" s="2" t="s">
        <v>100</v>
      </c>
      <c r="V1468" s="2" t="s">
        <v>461</v>
      </c>
      <c r="W1468" s="2" t="s">
        <v>609</v>
      </c>
      <c r="X1468" s="2" t="s">
        <v>100</v>
      </c>
      <c r="Y1468" s="2" t="s">
        <v>144</v>
      </c>
      <c r="Z1468" s="4">
        <v>61</v>
      </c>
      <c r="AA1468" s="4">
        <f>=ROUNDDOWN(1.84848484848485,0)</f>
      </c>
      <c r="AB1468" s="5">
        <v>33</v>
      </c>
      <c r="AC1468" s="2" t="s">
        <v>1142</v>
      </c>
      <c r="AD1468" s="4">
        <v>240</v>
      </c>
      <c r="AE1468" s="4">
        <v>680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2</v>
      </c>
      <c r="AQ1468" s="8">
        <v>90.7</v>
      </c>
      <c r="AR1468" s="4"/>
      <c r="AS1468" s="8"/>
      <c r="AT1468" s="7"/>
      <c r="AU1468" s="7"/>
      <c r="AV1468" s="4">
        <v>12</v>
      </c>
      <c r="AW1468" s="8">
        <v>782.34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>
        <v>0.1159</v>
      </c>
      <c r="BC1468" s="4">
        <v>12</v>
      </c>
      <c r="BD1468" s="8">
        <v>782.34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>
        <v>1</v>
      </c>
      <c r="BJ1468" s="4">
        <v>20</v>
      </c>
      <c r="BK1468" s="8">
        <v>840.94</v>
      </c>
      <c r="BL1468" s="2" t="s">
        <v>5198</v>
      </c>
      <c r="BM1468" s="7">
        <v>0.1</v>
      </c>
      <c r="BN1468" s="7">
        <v>0.1079</v>
      </c>
      <c r="BO1468" s="4">
        <v>2</v>
      </c>
      <c r="BP1468" s="8">
        <v>90.7</v>
      </c>
      <c r="BQ1468" s="4"/>
      <c r="BR1468" s="8"/>
      <c r="BS1468" s="7"/>
      <c r="BT1468" s="7"/>
      <c r="BU1468" s="2" t="s">
        <v>109</v>
      </c>
      <c r="BV1468" s="2" t="s">
        <v>97</v>
      </c>
      <c r="BW1468" s="2" t="s">
        <v>159</v>
      </c>
      <c r="BX1468" s="2" t="s">
        <v>358</v>
      </c>
      <c r="BY1468" s="2" t="s">
        <v>112</v>
      </c>
      <c r="BZ1468" s="2" t="s">
        <v>100</v>
      </c>
    </row>
    <row r="1469">
      <c r="A1469" s="2" t="s">
        <v>5507</v>
      </c>
      <c r="B1469" s="2" t="s">
        <v>5155</v>
      </c>
      <c r="C1469" s="2" t="s">
        <v>5095</v>
      </c>
      <c r="D1469" s="2" t="s">
        <v>5491</v>
      </c>
      <c r="E1469" s="2" t="s">
        <v>5492</v>
      </c>
      <c r="F1469" s="2" t="s">
        <v>5504</v>
      </c>
      <c r="G1469" s="2" t="s">
        <v>5504</v>
      </c>
      <c r="H1469" s="2" t="s">
        <v>5504</v>
      </c>
      <c r="I1469" s="2" t="s">
        <v>5505</v>
      </c>
      <c r="J1469" s="2" t="s">
        <v>1806</v>
      </c>
      <c r="K1469" s="2" t="s">
        <v>458</v>
      </c>
      <c r="L1469" s="3">
        <v>45</v>
      </c>
      <c r="M1469" s="3">
        <v>47.25</v>
      </c>
      <c r="N1469" s="3">
        <v>89.99</v>
      </c>
      <c r="O1469" s="2" t="s">
        <v>97</v>
      </c>
      <c r="P1469" s="2" t="s">
        <v>317</v>
      </c>
      <c r="Q1469" s="2" t="s">
        <v>99</v>
      </c>
      <c r="R1469" s="2" t="s">
        <v>100</v>
      </c>
      <c r="S1469" s="2" t="s">
        <v>5506</v>
      </c>
      <c r="T1469" s="2" t="s">
        <v>4529</v>
      </c>
      <c r="U1469" s="2" t="s">
        <v>100</v>
      </c>
      <c r="V1469" s="2" t="s">
        <v>461</v>
      </c>
      <c r="W1469" s="2" t="s">
        <v>609</v>
      </c>
      <c r="X1469" s="2" t="s">
        <v>100</v>
      </c>
      <c r="Y1469" s="2" t="s">
        <v>144</v>
      </c>
      <c r="Z1469" s="4"/>
      <c r="AA1469" s="4">
        <f>=ROUNDDOWN({0},0)</f>
      </c>
      <c r="AB1469" s="5">
        <v>617</v>
      </c>
      <c r="AC1469" s="2" t="s">
        <v>1142</v>
      </c>
      <c r="AD1469" s="4">
        <v>1500</v>
      </c>
      <c r="AE1469" s="4">
        <v>6780</v>
      </c>
      <c r="AF1469" s="6">
        <v>65</v>
      </c>
      <c r="AG1469" s="6"/>
      <c r="AH1469" s="7">
        <v>0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/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 t="s">
        <v>100</v>
      </c>
      <c r="BJ1469" s="4"/>
      <c r="BK1469" s="8"/>
      <c r="BL1469" s="2" t="s">
        <v>100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109</v>
      </c>
      <c r="BV1469" s="2" t="s">
        <v>97</v>
      </c>
      <c r="BW1469" s="2" t="s">
        <v>1824</v>
      </c>
      <c r="BX1469" s="2" t="s">
        <v>5508</v>
      </c>
      <c r="BY1469" s="2" t="s">
        <v>112</v>
      </c>
      <c r="BZ1469" s="2" t="s">
        <v>100</v>
      </c>
    </row>
    <row r="1470">
      <c r="A1470" s="2" t="s">
        <v>5509</v>
      </c>
      <c r="B1470" s="2" t="s">
        <v>5155</v>
      </c>
      <c r="C1470" s="2" t="s">
        <v>5095</v>
      </c>
      <c r="D1470" s="2" t="s">
        <v>5491</v>
      </c>
      <c r="E1470" s="2" t="s">
        <v>5492</v>
      </c>
      <c r="F1470" s="2" t="s">
        <v>5504</v>
      </c>
      <c r="G1470" s="2" t="s">
        <v>5504</v>
      </c>
      <c r="H1470" s="2" t="s">
        <v>5504</v>
      </c>
      <c r="I1470" s="2" t="s">
        <v>5505</v>
      </c>
      <c r="J1470" s="2" t="s">
        <v>490</v>
      </c>
      <c r="K1470" s="2" t="s">
        <v>458</v>
      </c>
      <c r="L1470" s="3">
        <v>50</v>
      </c>
      <c r="M1470" s="3">
        <v>52.5</v>
      </c>
      <c r="N1470" s="3">
        <v>99.99</v>
      </c>
      <c r="O1470" s="2" t="s">
        <v>97</v>
      </c>
      <c r="P1470" s="2" t="s">
        <v>98</v>
      </c>
      <c r="Q1470" s="2" t="s">
        <v>99</v>
      </c>
      <c r="R1470" s="2" t="s">
        <v>100</v>
      </c>
      <c r="S1470" s="2" t="s">
        <v>5506</v>
      </c>
      <c r="T1470" s="2" t="s">
        <v>4529</v>
      </c>
      <c r="U1470" s="2" t="s">
        <v>100</v>
      </c>
      <c r="V1470" s="2" t="s">
        <v>461</v>
      </c>
      <c r="W1470" s="2" t="s">
        <v>609</v>
      </c>
      <c r="X1470" s="2" t="s">
        <v>100</v>
      </c>
      <c r="Y1470" s="2" t="s">
        <v>144</v>
      </c>
      <c r="Z1470" s="4">
        <v>520</v>
      </c>
      <c r="AA1470" s="4">
        <f>=ROUNDDOWN(2.53658536585366,0)</f>
      </c>
      <c r="AB1470" s="5">
        <v>205</v>
      </c>
      <c r="AC1470" s="2" t="s">
        <v>1142</v>
      </c>
      <c r="AD1470" s="4">
        <v>160</v>
      </c>
      <c r="AE1470" s="4">
        <v>1610</v>
      </c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2</v>
      </c>
      <c r="AQ1470" s="8">
        <v>102.04</v>
      </c>
      <c r="AR1470" s="4"/>
      <c r="AS1470" s="8"/>
      <c r="AT1470" s="7"/>
      <c r="AU1470" s="7"/>
      <c r="AV1470" s="4" t="s">
        <v>100</v>
      </c>
      <c r="AW1470" s="8" t="s">
        <v>100</v>
      </c>
      <c r="AX1470" s="4" t="s">
        <v>100</v>
      </c>
      <c r="AY1470" s="8" t="s">
        <v>100</v>
      </c>
      <c r="AZ1470" s="7" t="s">
        <v>100</v>
      </c>
      <c r="BA1470" s="7" t="s">
        <v>100</v>
      </c>
      <c r="BB1470" s="7">
        <v>0.1304</v>
      </c>
      <c r="BC1470" s="4" t="s">
        <v>100</v>
      </c>
      <c r="BD1470" s="8" t="s">
        <v>100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 t="s">
        <v>100</v>
      </c>
      <c r="BJ1470" s="4">
        <v>77</v>
      </c>
      <c r="BK1470" s="8">
        <v>3537.97</v>
      </c>
      <c r="BL1470" s="2" t="s">
        <v>5510</v>
      </c>
      <c r="BM1470" s="7">
        <v>0.026</v>
      </c>
      <c r="BN1470" s="7">
        <v>0.0288</v>
      </c>
      <c r="BO1470" s="4">
        <v>2</v>
      </c>
      <c r="BP1470" s="8">
        <v>102.04</v>
      </c>
      <c r="BQ1470" s="4"/>
      <c r="BR1470" s="8"/>
      <c r="BS1470" s="7"/>
      <c r="BT1470" s="7"/>
      <c r="BU1470" s="2" t="s">
        <v>109</v>
      </c>
      <c r="BV1470" s="2" t="s">
        <v>97</v>
      </c>
      <c r="BW1470" s="2" t="s">
        <v>159</v>
      </c>
      <c r="BX1470" s="2" t="s">
        <v>358</v>
      </c>
      <c r="BY1470" s="2" t="s">
        <v>112</v>
      </c>
      <c r="BZ1470" s="2" t="s">
        <v>100</v>
      </c>
    </row>
    <row r="1471">
      <c r="A1471" s="2" t="s">
        <v>5511</v>
      </c>
      <c r="B1471" s="2" t="s">
        <v>5155</v>
      </c>
      <c r="C1471" s="2" t="s">
        <v>5095</v>
      </c>
      <c r="D1471" s="2" t="s">
        <v>5491</v>
      </c>
      <c r="E1471" s="2" t="s">
        <v>5492</v>
      </c>
      <c r="F1471" s="2" t="s">
        <v>5504</v>
      </c>
      <c r="G1471" s="2" t="s">
        <v>5504</v>
      </c>
      <c r="H1471" s="2" t="s">
        <v>5504</v>
      </c>
      <c r="I1471" s="2" t="s">
        <v>5505</v>
      </c>
      <c r="J1471" s="2" t="s">
        <v>95</v>
      </c>
      <c r="K1471" s="2" t="s">
        <v>458</v>
      </c>
      <c r="L1471" s="3">
        <v>68.89</v>
      </c>
      <c r="M1471" s="3">
        <v>72.33</v>
      </c>
      <c r="N1471" s="3">
        <v>129.99</v>
      </c>
      <c r="O1471" s="2" t="s">
        <v>97</v>
      </c>
      <c r="P1471" s="2" t="s">
        <v>139</v>
      </c>
      <c r="Q1471" s="2" t="s">
        <v>99</v>
      </c>
      <c r="R1471" s="2" t="s">
        <v>100</v>
      </c>
      <c r="S1471" s="2" t="s">
        <v>5506</v>
      </c>
      <c r="T1471" s="2" t="s">
        <v>4529</v>
      </c>
      <c r="U1471" s="2" t="s">
        <v>100</v>
      </c>
      <c r="V1471" s="2" t="s">
        <v>461</v>
      </c>
      <c r="W1471" s="2" t="s">
        <v>609</v>
      </c>
      <c r="X1471" s="2" t="s">
        <v>100</v>
      </c>
      <c r="Y1471" s="2" t="s">
        <v>144</v>
      </c>
      <c r="Z1471" s="4">
        <v>780</v>
      </c>
      <c r="AA1471" s="4">
        <f>=ROUNDDOWN(2.86764705882353,0)</f>
      </c>
      <c r="AB1471" s="5">
        <v>272</v>
      </c>
      <c r="AC1471" s="2" t="s">
        <v>1142</v>
      </c>
      <c r="AD1471" s="4">
        <v>1040</v>
      </c>
      <c r="AE1471" s="4">
        <v>3370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8</v>
      </c>
      <c r="AQ1471" s="8">
        <v>589.6</v>
      </c>
      <c r="AR1471" s="4"/>
      <c r="AS1471" s="8"/>
      <c r="AT1471" s="7"/>
      <c r="AU1471" s="7"/>
      <c r="AV1471" s="4" t="s">
        <v>100</v>
      </c>
      <c r="AW1471" s="8" t="s">
        <v>100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>
        <v>0.7536</v>
      </c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 t="s">
        <v>100</v>
      </c>
      <c r="BJ1471" s="4">
        <v>143</v>
      </c>
      <c r="BK1471" s="8">
        <v>9721.69</v>
      </c>
      <c r="BL1471" s="2" t="s">
        <v>5512</v>
      </c>
      <c r="BM1471" s="7">
        <v>0.0559</v>
      </c>
      <c r="BN1471" s="7">
        <v>0.0606</v>
      </c>
      <c r="BO1471" s="4">
        <v>8</v>
      </c>
      <c r="BP1471" s="8">
        <v>589.6</v>
      </c>
      <c r="BQ1471" s="4"/>
      <c r="BR1471" s="8"/>
      <c r="BS1471" s="7"/>
      <c r="BT1471" s="7"/>
      <c r="BU1471" s="2" t="s">
        <v>109</v>
      </c>
      <c r="BV1471" s="2" t="s">
        <v>97</v>
      </c>
      <c r="BW1471" s="2" t="s">
        <v>159</v>
      </c>
      <c r="BX1471" s="2" t="s">
        <v>358</v>
      </c>
      <c r="BY1471" s="2" t="s">
        <v>112</v>
      </c>
      <c r="BZ1471" s="2" t="s">
        <v>100</v>
      </c>
    </row>
    <row r="1472">
      <c r="A1472" s="2" t="s">
        <v>5513</v>
      </c>
      <c r="B1472" s="2" t="s">
        <v>5155</v>
      </c>
      <c r="C1472" s="2" t="s">
        <v>5095</v>
      </c>
      <c r="D1472" s="2" t="s">
        <v>5491</v>
      </c>
      <c r="E1472" s="2" t="s">
        <v>5492</v>
      </c>
      <c r="F1472" s="2" t="s">
        <v>5504</v>
      </c>
      <c r="G1472" s="2" t="s">
        <v>5504</v>
      </c>
      <c r="H1472" s="2" t="s">
        <v>5504</v>
      </c>
      <c r="I1472" s="2" t="s">
        <v>5505</v>
      </c>
      <c r="J1472" s="2" t="s">
        <v>114</v>
      </c>
      <c r="K1472" s="2" t="s">
        <v>458</v>
      </c>
      <c r="L1472" s="3">
        <v>74.19</v>
      </c>
      <c r="M1472" s="3">
        <v>77.9</v>
      </c>
      <c r="N1472" s="3">
        <v>139.99</v>
      </c>
      <c r="O1472" s="2" t="s">
        <v>97</v>
      </c>
      <c r="P1472" s="2" t="s">
        <v>123</v>
      </c>
      <c r="Q1472" s="2" t="s">
        <v>99</v>
      </c>
      <c r="R1472" s="2" t="s">
        <v>100</v>
      </c>
      <c r="S1472" s="2" t="s">
        <v>5506</v>
      </c>
      <c r="T1472" s="2" t="s">
        <v>4529</v>
      </c>
      <c r="U1472" s="2" t="s">
        <v>100</v>
      </c>
      <c r="V1472" s="2" t="s">
        <v>461</v>
      </c>
      <c r="W1472" s="2" t="s">
        <v>609</v>
      </c>
      <c r="X1472" s="2" t="s">
        <v>100</v>
      </c>
      <c r="Y1472" s="2" t="s">
        <v>144</v>
      </c>
      <c r="Z1472" s="4"/>
      <c r="AA1472" s="4">
        <f>=ROUNDDOWN({0},0)</f>
      </c>
      <c r="AB1472" s="5">
        <v>200</v>
      </c>
      <c r="AC1472" s="2" t="s">
        <v>1142</v>
      </c>
      <c r="AD1472" s="4">
        <v>790</v>
      </c>
      <c r="AE1472" s="4">
        <v>3070</v>
      </c>
      <c r="AF1472" s="6">
        <v>65</v>
      </c>
      <c r="AG1472" s="6"/>
      <c r="AH1472" s="7">
        <v>0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/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 t="s">
        <v>100</v>
      </c>
      <c r="BJ1472" s="4"/>
      <c r="BK1472" s="8"/>
      <c r="BL1472" s="2" t="s">
        <v>100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159</v>
      </c>
      <c r="BX1472" s="2" t="s">
        <v>358</v>
      </c>
      <c r="BY1472" s="2" t="s">
        <v>112</v>
      </c>
      <c r="BZ1472" s="2" t="s">
        <v>100</v>
      </c>
    </row>
    <row r="1473">
      <c r="A1473" s="2" t="s">
        <v>5514</v>
      </c>
      <c r="B1473" s="2" t="s">
        <v>5155</v>
      </c>
      <c r="C1473" s="2" t="s">
        <v>5095</v>
      </c>
      <c r="D1473" s="2" t="s">
        <v>5491</v>
      </c>
      <c r="E1473" s="2" t="s">
        <v>5492</v>
      </c>
      <c r="F1473" s="2" t="s">
        <v>5504</v>
      </c>
      <c r="G1473" s="2" t="s">
        <v>5504</v>
      </c>
      <c r="H1473" s="2" t="s">
        <v>5504</v>
      </c>
      <c r="I1473" s="2" t="s">
        <v>5505</v>
      </c>
      <c r="J1473" s="2" t="s">
        <v>118</v>
      </c>
      <c r="K1473" s="2" t="s">
        <v>458</v>
      </c>
      <c r="L1473" s="3">
        <v>74.19</v>
      </c>
      <c r="M1473" s="3">
        <v>77.9</v>
      </c>
      <c r="N1473" s="3">
        <v>139.99</v>
      </c>
      <c r="O1473" s="2" t="s">
        <v>97</v>
      </c>
      <c r="P1473" s="2" t="s">
        <v>98</v>
      </c>
      <c r="Q1473" s="2" t="s">
        <v>99</v>
      </c>
      <c r="R1473" s="2" t="s">
        <v>100</v>
      </c>
      <c r="S1473" s="2" t="s">
        <v>5506</v>
      </c>
      <c r="T1473" s="2" t="s">
        <v>4529</v>
      </c>
      <c r="U1473" s="2" t="s">
        <v>100</v>
      </c>
      <c r="V1473" s="2" t="s">
        <v>461</v>
      </c>
      <c r="W1473" s="2" t="s">
        <v>609</v>
      </c>
      <c r="X1473" s="2" t="s">
        <v>100</v>
      </c>
      <c r="Y1473" s="2" t="s">
        <v>144</v>
      </c>
      <c r="Z1473" s="4"/>
      <c r="AA1473" s="4">
        <f>=ROUNDDOWN({0},0)</f>
      </c>
      <c r="AB1473" s="5">
        <v>69</v>
      </c>
      <c r="AC1473" s="2" t="s">
        <v>1142</v>
      </c>
      <c r="AD1473" s="4">
        <v>390</v>
      </c>
      <c r="AE1473" s="4">
        <v>1870</v>
      </c>
      <c r="AF1473" s="6">
        <v>65</v>
      </c>
      <c r="AG1473" s="6"/>
      <c r="AH1473" s="7">
        <v>0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100</v>
      </c>
      <c r="AW1473" s="8" t="s">
        <v>100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/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 t="s">
        <v>100</v>
      </c>
      <c r="BJ1473" s="4"/>
      <c r="BK1473" s="8"/>
      <c r="BL1473" s="2" t="s">
        <v>100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159</v>
      </c>
      <c r="BX1473" s="2" t="s">
        <v>358</v>
      </c>
      <c r="BY1473" s="2" t="s">
        <v>112</v>
      </c>
      <c r="BZ1473" s="2" t="s">
        <v>100</v>
      </c>
    </row>
    <row r="1474">
      <c r="A1474" s="2" t="s">
        <v>5515</v>
      </c>
      <c r="B1474" s="2" t="s">
        <v>5155</v>
      </c>
      <c r="C1474" s="2" t="s">
        <v>5095</v>
      </c>
      <c r="D1474" s="2" t="s">
        <v>5491</v>
      </c>
      <c r="E1474" s="2" t="s">
        <v>5492</v>
      </c>
      <c r="F1474" s="2" t="s">
        <v>5516</v>
      </c>
      <c r="G1474" s="2" t="s">
        <v>5516</v>
      </c>
      <c r="H1474" s="2" t="s">
        <v>5516</v>
      </c>
      <c r="I1474" s="2" t="s">
        <v>5517</v>
      </c>
      <c r="J1474" s="2" t="s">
        <v>1443</v>
      </c>
      <c r="K1474" s="2" t="s">
        <v>458</v>
      </c>
      <c r="L1474" s="3">
        <v>38.4</v>
      </c>
      <c r="M1474" s="3">
        <v>40.32</v>
      </c>
      <c r="N1474" s="3">
        <v>79.99</v>
      </c>
      <c r="O1474" s="2" t="s">
        <v>97</v>
      </c>
      <c r="P1474" s="2" t="s">
        <v>98</v>
      </c>
      <c r="Q1474" s="2" t="s">
        <v>99</v>
      </c>
      <c r="R1474" s="2" t="s">
        <v>100</v>
      </c>
      <c r="S1474" s="2" t="s">
        <v>5518</v>
      </c>
      <c r="T1474" s="2" t="s">
        <v>438</v>
      </c>
      <c r="U1474" s="2" t="s">
        <v>100</v>
      </c>
      <c r="V1474" s="2" t="s">
        <v>461</v>
      </c>
      <c r="W1474" s="2" t="s">
        <v>609</v>
      </c>
      <c r="X1474" s="2" t="s">
        <v>100</v>
      </c>
      <c r="Y1474" s="2" t="s">
        <v>4912</v>
      </c>
      <c r="Z1474" s="4">
        <v>731</v>
      </c>
      <c r="AA1474" s="4">
        <f>=ROUNDDOWN(22.84375,0)</f>
      </c>
      <c r="AB1474" s="5">
        <v>32</v>
      </c>
      <c r="AC1474" s="2" t="s">
        <v>3033</v>
      </c>
      <c r="AD1474" s="4">
        <v>300</v>
      </c>
      <c r="AE1474" s="4">
        <v>300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1</v>
      </c>
      <c r="AQ1474" s="8">
        <v>39.68</v>
      </c>
      <c r="AR1474" s="4"/>
      <c r="AS1474" s="8"/>
      <c r="AT1474" s="7"/>
      <c r="AU1474" s="7"/>
      <c r="AV1474" s="4">
        <v>9</v>
      </c>
      <c r="AW1474" s="8">
        <v>549.9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>
        <v>0.0722</v>
      </c>
      <c r="BC1474" s="4">
        <v>9</v>
      </c>
      <c r="BD1474" s="8">
        <v>549.9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>
        <v>1</v>
      </c>
      <c r="BJ1474" s="4">
        <v>36</v>
      </c>
      <c r="BK1474" s="8">
        <v>1481.63</v>
      </c>
      <c r="BL1474" s="2" t="s">
        <v>5519</v>
      </c>
      <c r="BM1474" s="7">
        <v>0.0278</v>
      </c>
      <c r="BN1474" s="7">
        <v>0.0268</v>
      </c>
      <c r="BO1474" s="4">
        <v>1</v>
      </c>
      <c r="BP1474" s="8">
        <v>39.68</v>
      </c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159</v>
      </c>
      <c r="BX1474" s="2" t="s">
        <v>1313</v>
      </c>
      <c r="BY1474" s="2" t="s">
        <v>112</v>
      </c>
      <c r="BZ1474" s="2" t="s">
        <v>100</v>
      </c>
    </row>
    <row r="1475">
      <c r="A1475" s="2" t="s">
        <v>5520</v>
      </c>
      <c r="B1475" s="2" t="s">
        <v>5155</v>
      </c>
      <c r="C1475" s="2" t="s">
        <v>5095</v>
      </c>
      <c r="D1475" s="2" t="s">
        <v>5491</v>
      </c>
      <c r="E1475" s="2" t="s">
        <v>5492</v>
      </c>
      <c r="F1475" s="2" t="s">
        <v>5516</v>
      </c>
      <c r="G1475" s="2" t="s">
        <v>5516</v>
      </c>
      <c r="H1475" s="2" t="s">
        <v>5516</v>
      </c>
      <c r="I1475" s="2" t="s">
        <v>5517</v>
      </c>
      <c r="J1475" s="2" t="s">
        <v>490</v>
      </c>
      <c r="K1475" s="2" t="s">
        <v>458</v>
      </c>
      <c r="L1475" s="3">
        <v>43.2</v>
      </c>
      <c r="M1475" s="3">
        <v>45.36</v>
      </c>
      <c r="N1475" s="3">
        <v>89.99</v>
      </c>
      <c r="O1475" s="2" t="s">
        <v>97</v>
      </c>
      <c r="P1475" s="2" t="s">
        <v>156</v>
      </c>
      <c r="Q1475" s="2" t="s">
        <v>99</v>
      </c>
      <c r="R1475" s="2" t="s">
        <v>100</v>
      </c>
      <c r="S1475" s="2" t="s">
        <v>5518</v>
      </c>
      <c r="T1475" s="2" t="s">
        <v>438</v>
      </c>
      <c r="U1475" s="2" t="s">
        <v>100</v>
      </c>
      <c r="V1475" s="2" t="s">
        <v>461</v>
      </c>
      <c r="W1475" s="2" t="s">
        <v>609</v>
      </c>
      <c r="X1475" s="2" t="s">
        <v>100</v>
      </c>
      <c r="Y1475" s="2" t="s">
        <v>4912</v>
      </c>
      <c r="Z1475" s="4">
        <v>215</v>
      </c>
      <c r="AA1475" s="4">
        <f>=ROUNDDOWN(1.55797101449275,0)</f>
      </c>
      <c r="AB1475" s="5">
        <v>138</v>
      </c>
      <c r="AC1475" s="2" t="s">
        <v>1142</v>
      </c>
      <c r="AD1475" s="4">
        <v>740</v>
      </c>
      <c r="AE1475" s="4">
        <v>2430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2</v>
      </c>
      <c r="AQ1475" s="8">
        <v>90.7</v>
      </c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>
        <v>0.1649</v>
      </c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 t="s">
        <v>100</v>
      </c>
      <c r="BJ1475" s="4">
        <v>48</v>
      </c>
      <c r="BK1475" s="8">
        <v>2202.68</v>
      </c>
      <c r="BL1475" s="2" t="s">
        <v>5521</v>
      </c>
      <c r="BM1475" s="7">
        <v>0.0417</v>
      </c>
      <c r="BN1475" s="7">
        <v>0.0412</v>
      </c>
      <c r="BO1475" s="4">
        <v>2</v>
      </c>
      <c r="BP1475" s="8">
        <v>90.7</v>
      </c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159</v>
      </c>
      <c r="BX1475" s="2" t="s">
        <v>4278</v>
      </c>
      <c r="BY1475" s="2" t="s">
        <v>112</v>
      </c>
      <c r="BZ1475" s="2" t="s">
        <v>100</v>
      </c>
    </row>
    <row r="1476">
      <c r="A1476" s="2" t="s">
        <v>5522</v>
      </c>
      <c r="B1476" s="2" t="s">
        <v>5155</v>
      </c>
      <c r="C1476" s="2" t="s">
        <v>5095</v>
      </c>
      <c r="D1476" s="2" t="s">
        <v>5491</v>
      </c>
      <c r="E1476" s="2" t="s">
        <v>5492</v>
      </c>
      <c r="F1476" s="2" t="s">
        <v>5516</v>
      </c>
      <c r="G1476" s="2" t="s">
        <v>5516</v>
      </c>
      <c r="H1476" s="2" t="s">
        <v>5516</v>
      </c>
      <c r="I1476" s="2" t="s">
        <v>5517</v>
      </c>
      <c r="J1476" s="2" t="s">
        <v>95</v>
      </c>
      <c r="K1476" s="2" t="s">
        <v>458</v>
      </c>
      <c r="L1476" s="3">
        <v>64.79</v>
      </c>
      <c r="M1476" s="3">
        <v>68.03</v>
      </c>
      <c r="N1476" s="3">
        <v>119.99</v>
      </c>
      <c r="O1476" s="2" t="s">
        <v>97</v>
      </c>
      <c r="P1476" s="2" t="s">
        <v>317</v>
      </c>
      <c r="Q1476" s="2" t="s">
        <v>99</v>
      </c>
      <c r="R1476" s="2" t="s">
        <v>100</v>
      </c>
      <c r="S1476" s="2" t="s">
        <v>5518</v>
      </c>
      <c r="T1476" s="2" t="s">
        <v>438</v>
      </c>
      <c r="U1476" s="2" t="s">
        <v>100</v>
      </c>
      <c r="V1476" s="2" t="s">
        <v>461</v>
      </c>
      <c r="W1476" s="2" t="s">
        <v>609</v>
      </c>
      <c r="X1476" s="2" t="s">
        <v>100</v>
      </c>
      <c r="Y1476" s="2" t="s">
        <v>4912</v>
      </c>
      <c r="Z1476" s="4">
        <v>18</v>
      </c>
      <c r="AA1476" s="4">
        <f>=ROUNDDOWN(0.0772532188841202,0)</f>
      </c>
      <c r="AB1476" s="5">
        <v>233</v>
      </c>
      <c r="AC1476" s="2" t="s">
        <v>1142</v>
      </c>
      <c r="AD1476" s="4">
        <v>1430</v>
      </c>
      <c r="AE1476" s="4">
        <v>4330</v>
      </c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4</v>
      </c>
      <c r="AQ1476" s="8">
        <v>272.12</v>
      </c>
      <c r="AR1476" s="4"/>
      <c r="AS1476" s="8"/>
      <c r="AT1476" s="7"/>
      <c r="AU1476" s="7"/>
      <c r="AV1476" s="4" t="s">
        <v>100</v>
      </c>
      <c r="AW1476" s="8" t="s">
        <v>100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>
        <v>0.4949</v>
      </c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 t="s">
        <v>100</v>
      </c>
      <c r="BJ1476" s="4">
        <v>314</v>
      </c>
      <c r="BK1476" s="8">
        <v>21101.66</v>
      </c>
      <c r="BL1476" s="2" t="s">
        <v>1128</v>
      </c>
      <c r="BM1476" s="7">
        <v>0.0127</v>
      </c>
      <c r="BN1476" s="7">
        <v>0.0129</v>
      </c>
      <c r="BO1476" s="4">
        <v>4</v>
      </c>
      <c r="BP1476" s="8">
        <v>272.12</v>
      </c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5163</v>
      </c>
      <c r="BX1476" s="2" t="s">
        <v>1313</v>
      </c>
      <c r="BY1476" s="2" t="s">
        <v>112</v>
      </c>
      <c r="BZ1476" s="2" t="s">
        <v>100</v>
      </c>
    </row>
    <row r="1477">
      <c r="A1477" s="2" t="s">
        <v>5523</v>
      </c>
      <c r="B1477" s="2" t="s">
        <v>5155</v>
      </c>
      <c r="C1477" s="2" t="s">
        <v>5095</v>
      </c>
      <c r="D1477" s="2" t="s">
        <v>5491</v>
      </c>
      <c r="E1477" s="2" t="s">
        <v>5492</v>
      </c>
      <c r="F1477" s="2" t="s">
        <v>5516</v>
      </c>
      <c r="G1477" s="2" t="s">
        <v>5516</v>
      </c>
      <c r="H1477" s="2" t="s">
        <v>5516</v>
      </c>
      <c r="I1477" s="2" t="s">
        <v>5517</v>
      </c>
      <c r="J1477" s="2" t="s">
        <v>114</v>
      </c>
      <c r="K1477" s="2" t="s">
        <v>458</v>
      </c>
      <c r="L1477" s="3">
        <v>70.19</v>
      </c>
      <c r="M1477" s="3">
        <v>73.7</v>
      </c>
      <c r="N1477" s="3">
        <v>129.99</v>
      </c>
      <c r="O1477" s="2" t="s">
        <v>97</v>
      </c>
      <c r="P1477" s="2" t="s">
        <v>139</v>
      </c>
      <c r="Q1477" s="2" t="s">
        <v>99</v>
      </c>
      <c r="R1477" s="2" t="s">
        <v>100</v>
      </c>
      <c r="S1477" s="2" t="s">
        <v>5518</v>
      </c>
      <c r="T1477" s="2" t="s">
        <v>438</v>
      </c>
      <c r="U1477" s="2" t="s">
        <v>100</v>
      </c>
      <c r="V1477" s="2" t="s">
        <v>461</v>
      </c>
      <c r="W1477" s="2" t="s">
        <v>609</v>
      </c>
      <c r="X1477" s="2" t="s">
        <v>100</v>
      </c>
      <c r="Y1477" s="2" t="s">
        <v>5524</v>
      </c>
      <c r="Z1477" s="4">
        <v>1476</v>
      </c>
      <c r="AA1477" s="4">
        <f>=ROUNDDOWN(9.97297297297297,0)</f>
      </c>
      <c r="AB1477" s="5">
        <v>148</v>
      </c>
      <c r="AC1477" s="2" t="s">
        <v>3033</v>
      </c>
      <c r="AD1477" s="4">
        <v>1740</v>
      </c>
      <c r="AE1477" s="4">
        <v>1740</v>
      </c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2</v>
      </c>
      <c r="AQ1477" s="8">
        <v>147.4</v>
      </c>
      <c r="AR1477" s="4"/>
      <c r="AS1477" s="8"/>
      <c r="AT1477" s="7"/>
      <c r="AU1477" s="7"/>
      <c r="AV1477" s="4" t="s">
        <v>100</v>
      </c>
      <c r="AW1477" s="8" t="s">
        <v>100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>
        <v>0.268</v>
      </c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 t="s">
        <v>100</v>
      </c>
      <c r="BJ1477" s="4">
        <v>139</v>
      </c>
      <c r="BK1477" s="8">
        <v>10465.19</v>
      </c>
      <c r="BL1477" s="2" t="s">
        <v>5525</v>
      </c>
      <c r="BM1477" s="7">
        <v>0.0144</v>
      </c>
      <c r="BN1477" s="7">
        <v>0.0141</v>
      </c>
      <c r="BO1477" s="4">
        <v>2</v>
      </c>
      <c r="BP1477" s="8">
        <v>147.4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159</v>
      </c>
      <c r="BX1477" s="2" t="s">
        <v>5526</v>
      </c>
      <c r="BY1477" s="2" t="s">
        <v>112</v>
      </c>
      <c r="BZ1477" s="2" t="s">
        <v>100</v>
      </c>
    </row>
    <row r="1478">
      <c r="A1478" s="2" t="s">
        <v>5527</v>
      </c>
      <c r="B1478" s="2" t="s">
        <v>5155</v>
      </c>
      <c r="C1478" s="2" t="s">
        <v>5095</v>
      </c>
      <c r="D1478" s="2" t="s">
        <v>5491</v>
      </c>
      <c r="E1478" s="2" t="s">
        <v>5492</v>
      </c>
      <c r="F1478" s="2" t="s">
        <v>5516</v>
      </c>
      <c r="G1478" s="2" t="s">
        <v>5516</v>
      </c>
      <c r="H1478" s="2" t="s">
        <v>5516</v>
      </c>
      <c r="I1478" s="2" t="s">
        <v>5517</v>
      </c>
      <c r="J1478" s="2" t="s">
        <v>118</v>
      </c>
      <c r="K1478" s="2" t="s">
        <v>458</v>
      </c>
      <c r="L1478" s="3">
        <v>70.19</v>
      </c>
      <c r="M1478" s="3">
        <v>73.7</v>
      </c>
      <c r="N1478" s="3">
        <v>129.99</v>
      </c>
      <c r="O1478" s="2" t="s">
        <v>97</v>
      </c>
      <c r="P1478" s="2" t="s">
        <v>98</v>
      </c>
      <c r="Q1478" s="2" t="s">
        <v>99</v>
      </c>
      <c r="R1478" s="2" t="s">
        <v>100</v>
      </c>
      <c r="S1478" s="2" t="s">
        <v>5518</v>
      </c>
      <c r="T1478" s="2" t="s">
        <v>438</v>
      </c>
      <c r="U1478" s="2" t="s">
        <v>100</v>
      </c>
      <c r="V1478" s="2" t="s">
        <v>461</v>
      </c>
      <c r="W1478" s="2" t="s">
        <v>609</v>
      </c>
      <c r="X1478" s="2" t="s">
        <v>100</v>
      </c>
      <c r="Y1478" s="2" t="s">
        <v>4912</v>
      </c>
      <c r="Z1478" s="4">
        <v>742</v>
      </c>
      <c r="AA1478" s="4">
        <f>=ROUNDDOWN(17.2558139534884,0)</f>
      </c>
      <c r="AB1478" s="5">
        <v>43</v>
      </c>
      <c r="AC1478" s="2" t="s">
        <v>3033</v>
      </c>
      <c r="AD1478" s="4">
        <v>660</v>
      </c>
      <c r="AE1478" s="4">
        <v>660</v>
      </c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/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 t="s">
        <v>100</v>
      </c>
      <c r="BJ1478" s="4">
        <v>80</v>
      </c>
      <c r="BK1478" s="8">
        <v>5860.84</v>
      </c>
      <c r="BL1478" s="2" t="s">
        <v>1863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5163</v>
      </c>
      <c r="BX1478" s="2" t="s">
        <v>1283</v>
      </c>
      <c r="BY1478" s="2" t="s">
        <v>112</v>
      </c>
      <c r="BZ1478" s="2" t="s">
        <v>100</v>
      </c>
    </row>
    <row r="1479">
      <c r="A1479" s="2" t="s">
        <v>5528</v>
      </c>
      <c r="B1479" s="2" t="s">
        <v>5155</v>
      </c>
      <c r="C1479" s="2" t="s">
        <v>5095</v>
      </c>
      <c r="D1479" s="2" t="s">
        <v>5491</v>
      </c>
      <c r="E1479" s="2" t="s">
        <v>5492</v>
      </c>
      <c r="F1479" s="2" t="s">
        <v>5529</v>
      </c>
      <c r="G1479" s="2" t="s">
        <v>5529</v>
      </c>
      <c r="H1479" s="2" t="s">
        <v>5529</v>
      </c>
      <c r="I1479" s="2" t="s">
        <v>5505</v>
      </c>
      <c r="J1479" s="2" t="s">
        <v>1443</v>
      </c>
      <c r="K1479" s="2" t="s">
        <v>458</v>
      </c>
      <c r="L1479" s="3">
        <v>42.85</v>
      </c>
      <c r="M1479" s="3">
        <v>44.99</v>
      </c>
      <c r="N1479" s="3">
        <v>89.99</v>
      </c>
      <c r="O1479" s="2" t="s">
        <v>97</v>
      </c>
      <c r="P1479" s="2" t="s">
        <v>98</v>
      </c>
      <c r="Q1479" s="2" t="s">
        <v>99</v>
      </c>
      <c r="R1479" s="2" t="s">
        <v>100</v>
      </c>
      <c r="S1479" s="2" t="s">
        <v>5530</v>
      </c>
      <c r="T1479" s="2" t="s">
        <v>100</v>
      </c>
      <c r="U1479" s="2" t="s">
        <v>1776</v>
      </c>
      <c r="V1479" s="2" t="s">
        <v>461</v>
      </c>
      <c r="W1479" s="2" t="s">
        <v>609</v>
      </c>
      <c r="X1479" s="2" t="s">
        <v>100</v>
      </c>
      <c r="Y1479" s="2" t="s">
        <v>675</v>
      </c>
      <c r="Z1479" s="4">
        <v>204</v>
      </c>
      <c r="AA1479" s="4">
        <f>=ROUNDDOWN(17,0)</f>
      </c>
      <c r="AB1479" s="5">
        <v>12</v>
      </c>
      <c r="AC1479" s="2" t="s">
        <v>3033</v>
      </c>
      <c r="AD1479" s="4">
        <v>180</v>
      </c>
      <c r="AE1479" s="4">
        <v>180</v>
      </c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/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/>
      <c r="BJ1479" s="4">
        <v>10</v>
      </c>
      <c r="BK1479" s="8">
        <v>475.79</v>
      </c>
      <c r="BL1479" s="2" t="s">
        <v>5078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171</v>
      </c>
      <c r="BV1479" s="2" t="s">
        <v>97</v>
      </c>
      <c r="BW1479" s="2" t="s">
        <v>100</v>
      </c>
      <c r="BX1479" s="2" t="s">
        <v>100</v>
      </c>
      <c r="BY1479" s="2" t="s">
        <v>112</v>
      </c>
      <c r="BZ1479" s="2" t="s">
        <v>100</v>
      </c>
    </row>
    <row r="1480">
      <c r="A1480" s="2" t="s">
        <v>5531</v>
      </c>
      <c r="B1480" s="2" t="s">
        <v>5155</v>
      </c>
      <c r="C1480" s="2" t="s">
        <v>5095</v>
      </c>
      <c r="D1480" s="2" t="s">
        <v>5491</v>
      </c>
      <c r="E1480" s="2" t="s">
        <v>5492</v>
      </c>
      <c r="F1480" s="2" t="s">
        <v>5529</v>
      </c>
      <c r="G1480" s="2" t="s">
        <v>5529</v>
      </c>
      <c r="H1480" s="2" t="s">
        <v>5529</v>
      </c>
      <c r="I1480" s="2" t="s">
        <v>5505</v>
      </c>
      <c r="J1480" s="2" t="s">
        <v>1806</v>
      </c>
      <c r="K1480" s="2" t="s">
        <v>458</v>
      </c>
      <c r="L1480" s="3">
        <v>42.85</v>
      </c>
      <c r="M1480" s="3">
        <v>44.99</v>
      </c>
      <c r="N1480" s="3">
        <v>89.99</v>
      </c>
      <c r="O1480" s="2" t="s">
        <v>97</v>
      </c>
      <c r="P1480" s="2" t="s">
        <v>98</v>
      </c>
      <c r="Q1480" s="2" t="s">
        <v>99</v>
      </c>
      <c r="R1480" s="2" t="s">
        <v>100</v>
      </c>
      <c r="S1480" s="2" t="s">
        <v>5530</v>
      </c>
      <c r="T1480" s="2" t="s">
        <v>100</v>
      </c>
      <c r="U1480" s="2" t="s">
        <v>1776</v>
      </c>
      <c r="V1480" s="2" t="s">
        <v>461</v>
      </c>
      <c r="W1480" s="2" t="s">
        <v>609</v>
      </c>
      <c r="X1480" s="2" t="s">
        <v>100</v>
      </c>
      <c r="Y1480" s="2" t="s">
        <v>675</v>
      </c>
      <c r="Z1480" s="4">
        <v>4794</v>
      </c>
      <c r="AA1480" s="4">
        <f>=ROUNDDOWN(191.76,0)</f>
      </c>
      <c r="AB1480" s="5">
        <v>25</v>
      </c>
      <c r="AC1480" s="2" t="s">
        <v>100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/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/>
      <c r="BJ1480" s="4">
        <v>10</v>
      </c>
      <c r="BK1480" s="8">
        <v>476.9</v>
      </c>
      <c r="BL1480" s="2" t="s">
        <v>647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171</v>
      </c>
      <c r="BV1480" s="2" t="s">
        <v>97</v>
      </c>
      <c r="BW1480" s="2" t="s">
        <v>100</v>
      </c>
      <c r="BX1480" s="2" t="s">
        <v>100</v>
      </c>
      <c r="BY1480" s="2" t="s">
        <v>112</v>
      </c>
      <c r="BZ1480" s="2" t="s">
        <v>100</v>
      </c>
    </row>
    <row r="1481">
      <c r="A1481" s="2" t="s">
        <v>5532</v>
      </c>
      <c r="B1481" s="2" t="s">
        <v>5155</v>
      </c>
      <c r="C1481" s="2" t="s">
        <v>5095</v>
      </c>
      <c r="D1481" s="2" t="s">
        <v>5491</v>
      </c>
      <c r="E1481" s="2" t="s">
        <v>5492</v>
      </c>
      <c r="F1481" s="2" t="s">
        <v>5529</v>
      </c>
      <c r="G1481" s="2" t="s">
        <v>5529</v>
      </c>
      <c r="H1481" s="2" t="s">
        <v>5529</v>
      </c>
      <c r="I1481" s="2" t="s">
        <v>5505</v>
      </c>
      <c r="J1481" s="2" t="s">
        <v>490</v>
      </c>
      <c r="K1481" s="2" t="s">
        <v>458</v>
      </c>
      <c r="L1481" s="3">
        <v>47.61</v>
      </c>
      <c r="M1481" s="3">
        <v>49.99</v>
      </c>
      <c r="N1481" s="3">
        <v>99.99</v>
      </c>
      <c r="O1481" s="2" t="s">
        <v>97</v>
      </c>
      <c r="P1481" s="2" t="s">
        <v>98</v>
      </c>
      <c r="Q1481" s="2" t="s">
        <v>99</v>
      </c>
      <c r="R1481" s="2" t="s">
        <v>100</v>
      </c>
      <c r="S1481" s="2" t="s">
        <v>5530</v>
      </c>
      <c r="T1481" s="2" t="s">
        <v>100</v>
      </c>
      <c r="U1481" s="2" t="s">
        <v>1776</v>
      </c>
      <c r="V1481" s="2" t="s">
        <v>461</v>
      </c>
      <c r="W1481" s="2" t="s">
        <v>609</v>
      </c>
      <c r="X1481" s="2" t="s">
        <v>100</v>
      </c>
      <c r="Y1481" s="2" t="s">
        <v>675</v>
      </c>
      <c r="Z1481" s="4">
        <v>416</v>
      </c>
      <c r="AA1481" s="4">
        <f>=ROUNDDOWN(17.3333333333333,0)</f>
      </c>
      <c r="AB1481" s="5">
        <v>24</v>
      </c>
      <c r="AC1481" s="2" t="s">
        <v>3033</v>
      </c>
      <c r="AD1481" s="4">
        <v>240</v>
      </c>
      <c r="AE1481" s="4">
        <v>240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/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/>
      <c r="BJ1481" s="4">
        <v>5</v>
      </c>
      <c r="BK1481" s="8">
        <v>238.95</v>
      </c>
      <c r="BL1481" s="2" t="s">
        <v>5533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171</v>
      </c>
      <c r="BV1481" s="2" t="s">
        <v>97</v>
      </c>
      <c r="BW1481" s="2" t="s">
        <v>100</v>
      </c>
      <c r="BX1481" s="2" t="s">
        <v>100</v>
      </c>
      <c r="BY1481" s="2" t="s">
        <v>112</v>
      </c>
      <c r="BZ1481" s="2" t="s">
        <v>100</v>
      </c>
    </row>
    <row r="1482">
      <c r="A1482" s="2" t="s">
        <v>5534</v>
      </c>
      <c r="B1482" s="2" t="s">
        <v>5155</v>
      </c>
      <c r="C1482" s="2" t="s">
        <v>5095</v>
      </c>
      <c r="D1482" s="2" t="s">
        <v>5491</v>
      </c>
      <c r="E1482" s="2" t="s">
        <v>5492</v>
      </c>
      <c r="F1482" s="2" t="s">
        <v>5529</v>
      </c>
      <c r="G1482" s="2" t="s">
        <v>5529</v>
      </c>
      <c r="H1482" s="2" t="s">
        <v>5529</v>
      </c>
      <c r="I1482" s="2" t="s">
        <v>5505</v>
      </c>
      <c r="J1482" s="2" t="s">
        <v>95</v>
      </c>
      <c r="K1482" s="2" t="s">
        <v>458</v>
      </c>
      <c r="L1482" s="3">
        <v>66.66</v>
      </c>
      <c r="M1482" s="3">
        <v>69.99</v>
      </c>
      <c r="N1482" s="3">
        <v>139.99</v>
      </c>
      <c r="O1482" s="2" t="s">
        <v>97</v>
      </c>
      <c r="P1482" s="2" t="s">
        <v>156</v>
      </c>
      <c r="Q1482" s="2" t="s">
        <v>99</v>
      </c>
      <c r="R1482" s="2" t="s">
        <v>100</v>
      </c>
      <c r="S1482" s="2" t="s">
        <v>5530</v>
      </c>
      <c r="T1482" s="2" t="s">
        <v>100</v>
      </c>
      <c r="U1482" s="2" t="s">
        <v>1776</v>
      </c>
      <c r="V1482" s="2" t="s">
        <v>461</v>
      </c>
      <c r="W1482" s="2" t="s">
        <v>609</v>
      </c>
      <c r="X1482" s="2" t="s">
        <v>100</v>
      </c>
      <c r="Y1482" s="2" t="s">
        <v>675</v>
      </c>
      <c r="Z1482" s="4">
        <v>270</v>
      </c>
      <c r="AA1482" s="4">
        <f>=ROUNDDOWN(2.57142857142857,0)</f>
      </c>
      <c r="AB1482" s="5">
        <v>105</v>
      </c>
      <c r="AC1482" s="2" t="s">
        <v>1142</v>
      </c>
      <c r="AD1482" s="4">
        <v>570</v>
      </c>
      <c r="AE1482" s="4">
        <v>1670</v>
      </c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100</v>
      </c>
      <c r="AW1482" s="8" t="s">
        <v>100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/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/>
      <c r="BJ1482" s="4">
        <v>36</v>
      </c>
      <c r="BK1482" s="8">
        <v>2743.64</v>
      </c>
      <c r="BL1482" s="2" t="s">
        <v>5535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171</v>
      </c>
      <c r="BV1482" s="2" t="s">
        <v>97</v>
      </c>
      <c r="BW1482" s="2" t="s">
        <v>100</v>
      </c>
      <c r="BX1482" s="2" t="s">
        <v>100</v>
      </c>
      <c r="BY1482" s="2" t="s">
        <v>112</v>
      </c>
      <c r="BZ1482" s="2" t="s">
        <v>100</v>
      </c>
    </row>
    <row r="1483">
      <c r="A1483" s="2" t="s">
        <v>5536</v>
      </c>
      <c r="B1483" s="2" t="s">
        <v>5155</v>
      </c>
      <c r="C1483" s="2" t="s">
        <v>5095</v>
      </c>
      <c r="D1483" s="2" t="s">
        <v>5491</v>
      </c>
      <c r="E1483" s="2" t="s">
        <v>5492</v>
      </c>
      <c r="F1483" s="2" t="s">
        <v>5529</v>
      </c>
      <c r="G1483" s="2" t="s">
        <v>5529</v>
      </c>
      <c r="H1483" s="2" t="s">
        <v>5529</v>
      </c>
      <c r="I1483" s="2" t="s">
        <v>5505</v>
      </c>
      <c r="J1483" s="2" t="s">
        <v>114</v>
      </c>
      <c r="K1483" s="2" t="s">
        <v>458</v>
      </c>
      <c r="L1483" s="3">
        <v>71.42</v>
      </c>
      <c r="M1483" s="3">
        <v>74.99</v>
      </c>
      <c r="N1483" s="3">
        <v>149.99</v>
      </c>
      <c r="O1483" s="2" t="s">
        <v>97</v>
      </c>
      <c r="P1483" s="2" t="s">
        <v>123</v>
      </c>
      <c r="Q1483" s="2" t="s">
        <v>99</v>
      </c>
      <c r="R1483" s="2" t="s">
        <v>100</v>
      </c>
      <c r="S1483" s="2" t="s">
        <v>5530</v>
      </c>
      <c r="T1483" s="2" t="s">
        <v>100</v>
      </c>
      <c r="U1483" s="2" t="s">
        <v>1776</v>
      </c>
      <c r="V1483" s="2" t="s">
        <v>461</v>
      </c>
      <c r="W1483" s="2" t="s">
        <v>609</v>
      </c>
      <c r="X1483" s="2" t="s">
        <v>100</v>
      </c>
      <c r="Y1483" s="2" t="s">
        <v>675</v>
      </c>
      <c r="Z1483" s="4"/>
      <c r="AA1483" s="4">
        <f>=ROUNDDOWN({0},0)</f>
      </c>
      <c r="AB1483" s="5">
        <v>104</v>
      </c>
      <c r="AC1483" s="2" t="s">
        <v>1142</v>
      </c>
      <c r="AD1483" s="4">
        <v>550</v>
      </c>
      <c r="AE1483" s="4">
        <v>1870</v>
      </c>
      <c r="AF1483" s="6">
        <v>65</v>
      </c>
      <c r="AG1483" s="6"/>
      <c r="AH1483" s="7">
        <v>0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100</v>
      </c>
      <c r="AW1483" s="8" t="s">
        <v>100</v>
      </c>
      <c r="AX1483" s="4" t="s">
        <v>100</v>
      </c>
      <c r="AY1483" s="8" t="s">
        <v>100</v>
      </c>
      <c r="AZ1483" s="7" t="s">
        <v>100</v>
      </c>
      <c r="BA1483" s="7" t="s">
        <v>100</v>
      </c>
      <c r="BB1483" s="7"/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/>
      <c r="BJ1483" s="4"/>
      <c r="BK1483" s="8"/>
      <c r="BL1483" s="2" t="s">
        <v>100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171</v>
      </c>
      <c r="BV1483" s="2" t="s">
        <v>97</v>
      </c>
      <c r="BW1483" s="2" t="s">
        <v>100</v>
      </c>
      <c r="BX1483" s="2" t="s">
        <v>100</v>
      </c>
      <c r="BY1483" s="2" t="s">
        <v>112</v>
      </c>
      <c r="BZ1483" s="2" t="s">
        <v>100</v>
      </c>
    </row>
    <row r="1484">
      <c r="A1484" s="2" t="s">
        <v>5537</v>
      </c>
      <c r="B1484" s="2" t="s">
        <v>5155</v>
      </c>
      <c r="C1484" s="2" t="s">
        <v>5095</v>
      </c>
      <c r="D1484" s="2" t="s">
        <v>5491</v>
      </c>
      <c r="E1484" s="2" t="s">
        <v>5492</v>
      </c>
      <c r="F1484" s="2" t="s">
        <v>5529</v>
      </c>
      <c r="G1484" s="2" t="s">
        <v>5529</v>
      </c>
      <c r="H1484" s="2" t="s">
        <v>5529</v>
      </c>
      <c r="I1484" s="2" t="s">
        <v>5505</v>
      </c>
      <c r="J1484" s="2" t="s">
        <v>118</v>
      </c>
      <c r="K1484" s="2" t="s">
        <v>458</v>
      </c>
      <c r="L1484" s="3">
        <v>71.42</v>
      </c>
      <c r="M1484" s="3">
        <v>74.99</v>
      </c>
      <c r="N1484" s="3">
        <v>149.99</v>
      </c>
      <c r="O1484" s="2" t="s">
        <v>97</v>
      </c>
      <c r="P1484" s="2" t="s">
        <v>98</v>
      </c>
      <c r="Q1484" s="2" t="s">
        <v>99</v>
      </c>
      <c r="R1484" s="2" t="s">
        <v>100</v>
      </c>
      <c r="S1484" s="2" t="s">
        <v>5530</v>
      </c>
      <c r="T1484" s="2" t="s">
        <v>100</v>
      </c>
      <c r="U1484" s="2" t="s">
        <v>1776</v>
      </c>
      <c r="V1484" s="2" t="s">
        <v>461</v>
      </c>
      <c r="W1484" s="2" t="s">
        <v>609</v>
      </c>
      <c r="X1484" s="2" t="s">
        <v>100</v>
      </c>
      <c r="Y1484" s="2" t="s">
        <v>675</v>
      </c>
      <c r="Z1484" s="4">
        <v>389</v>
      </c>
      <c r="AA1484" s="4">
        <f>=ROUNDDOWN(18.5238095238095,0)</f>
      </c>
      <c r="AB1484" s="5">
        <v>21</v>
      </c>
      <c r="AC1484" s="2" t="s">
        <v>3033</v>
      </c>
      <c r="AD1484" s="4">
        <v>390</v>
      </c>
      <c r="AE1484" s="4">
        <v>390</v>
      </c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100</v>
      </c>
      <c r="AW1484" s="8" t="s">
        <v>100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/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/>
      <c r="BJ1484" s="4">
        <v>18</v>
      </c>
      <c r="BK1484" s="8">
        <v>1397.82</v>
      </c>
      <c r="BL1484" s="2" t="s">
        <v>788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171</v>
      </c>
      <c r="BV1484" s="2" t="s">
        <v>97</v>
      </c>
      <c r="BW1484" s="2" t="s">
        <v>100</v>
      </c>
      <c r="BX1484" s="2" t="s">
        <v>100</v>
      </c>
      <c r="BY1484" s="2" t="s">
        <v>112</v>
      </c>
      <c r="BZ1484" s="2" t="s">
        <v>100</v>
      </c>
    </row>
    <row r="1485">
      <c r="A1485" s="2" t="s">
        <v>5538</v>
      </c>
      <c r="B1485" s="2" t="s">
        <v>5155</v>
      </c>
      <c r="C1485" s="2" t="s">
        <v>5095</v>
      </c>
      <c r="D1485" s="2" t="s">
        <v>4216</v>
      </c>
      <c r="E1485" s="2" t="s">
        <v>5235</v>
      </c>
      <c r="F1485" s="2" t="s">
        <v>5539</v>
      </c>
      <c r="G1485" s="2" t="s">
        <v>5539</v>
      </c>
      <c r="H1485" s="2" t="s">
        <v>5539</v>
      </c>
      <c r="I1485" s="2" t="s">
        <v>5540</v>
      </c>
      <c r="J1485" s="2" t="s">
        <v>1443</v>
      </c>
      <c r="K1485" s="2" t="s">
        <v>471</v>
      </c>
      <c r="L1485" s="3">
        <v>26.85</v>
      </c>
      <c r="M1485" s="3">
        <v>28.19</v>
      </c>
      <c r="N1485" s="3">
        <v>59.99</v>
      </c>
      <c r="O1485" s="2" t="s">
        <v>97</v>
      </c>
      <c r="P1485" s="2" t="s">
        <v>156</v>
      </c>
      <c r="Q1485" s="2" t="s">
        <v>99</v>
      </c>
      <c r="R1485" s="2" t="s">
        <v>100</v>
      </c>
      <c r="S1485" s="2" t="s">
        <v>5541</v>
      </c>
      <c r="T1485" s="2" t="s">
        <v>190</v>
      </c>
      <c r="U1485" s="2" t="s">
        <v>1776</v>
      </c>
      <c r="V1485" s="2" t="s">
        <v>461</v>
      </c>
      <c r="W1485" s="2" t="s">
        <v>609</v>
      </c>
      <c r="X1485" s="2" t="s">
        <v>100</v>
      </c>
      <c r="Y1485" s="2" t="s">
        <v>5542</v>
      </c>
      <c r="Z1485" s="4">
        <v>511</v>
      </c>
      <c r="AA1485" s="4">
        <f>=ROUNDDOWN(51.1,0)</f>
      </c>
      <c r="AB1485" s="5">
        <v>10</v>
      </c>
      <c r="AC1485" s="2" t="s">
        <v>307</v>
      </c>
      <c r="AD1485" s="4">
        <v>50</v>
      </c>
      <c r="AE1485" s="4">
        <v>50</v>
      </c>
      <c r="AF1485" s="6">
        <v>64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/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/>
      <c r="BJ1485" s="4">
        <v>23</v>
      </c>
      <c r="BK1485" s="8">
        <v>689.3</v>
      </c>
      <c r="BL1485" s="2" t="s">
        <v>1387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171</v>
      </c>
      <c r="BV1485" s="2" t="s">
        <v>97</v>
      </c>
      <c r="BW1485" s="2" t="s">
        <v>100</v>
      </c>
      <c r="BX1485" s="2" t="s">
        <v>100</v>
      </c>
      <c r="BY1485" s="2" t="s">
        <v>112</v>
      </c>
      <c r="BZ1485" s="2" t="s">
        <v>100</v>
      </c>
    </row>
    <row r="1486">
      <c r="A1486" s="2" t="s">
        <v>5543</v>
      </c>
      <c r="B1486" s="2" t="s">
        <v>5155</v>
      </c>
      <c r="C1486" s="2" t="s">
        <v>5095</v>
      </c>
      <c r="D1486" s="2" t="s">
        <v>4216</v>
      </c>
      <c r="E1486" s="2" t="s">
        <v>5235</v>
      </c>
      <c r="F1486" s="2" t="s">
        <v>5539</v>
      </c>
      <c r="G1486" s="2" t="s">
        <v>5539</v>
      </c>
      <c r="H1486" s="2" t="s">
        <v>5539</v>
      </c>
      <c r="I1486" s="2" t="s">
        <v>5540</v>
      </c>
      <c r="J1486" s="2" t="s">
        <v>522</v>
      </c>
      <c r="K1486" s="2" t="s">
        <v>471</v>
      </c>
      <c r="L1486" s="3">
        <v>33.33</v>
      </c>
      <c r="M1486" s="3">
        <v>35</v>
      </c>
      <c r="N1486" s="3">
        <v>69.99</v>
      </c>
      <c r="O1486" s="2" t="s">
        <v>97</v>
      </c>
      <c r="P1486" s="2" t="s">
        <v>156</v>
      </c>
      <c r="Q1486" s="2" t="s">
        <v>99</v>
      </c>
      <c r="R1486" s="2" t="s">
        <v>100</v>
      </c>
      <c r="S1486" s="2" t="s">
        <v>5541</v>
      </c>
      <c r="T1486" s="2" t="s">
        <v>190</v>
      </c>
      <c r="U1486" s="2" t="s">
        <v>1776</v>
      </c>
      <c r="V1486" s="2" t="s">
        <v>461</v>
      </c>
      <c r="W1486" s="2" t="s">
        <v>609</v>
      </c>
      <c r="X1486" s="2" t="s">
        <v>100</v>
      </c>
      <c r="Y1486" s="2" t="s">
        <v>5542</v>
      </c>
      <c r="Z1486" s="4">
        <v>794</v>
      </c>
      <c r="AA1486" s="4">
        <f>=ROUNDDOWN(27.3793103448276,0)</f>
      </c>
      <c r="AB1486" s="5">
        <v>29</v>
      </c>
      <c r="AC1486" s="2" t="s">
        <v>307</v>
      </c>
      <c r="AD1486" s="4">
        <v>280</v>
      </c>
      <c r="AE1486" s="4">
        <v>280</v>
      </c>
      <c r="AF1486" s="6">
        <v>64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100</v>
      </c>
      <c r="AW1486" s="8" t="s">
        <v>100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/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/>
      <c r="BJ1486" s="4">
        <v>81</v>
      </c>
      <c r="BK1486" s="8">
        <v>3013.69</v>
      </c>
      <c r="BL1486" s="2" t="s">
        <v>5544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171</v>
      </c>
      <c r="BV1486" s="2" t="s">
        <v>97</v>
      </c>
      <c r="BW1486" s="2" t="s">
        <v>100</v>
      </c>
      <c r="BX1486" s="2" t="s">
        <v>100</v>
      </c>
      <c r="BY1486" s="2" t="s">
        <v>112</v>
      </c>
      <c r="BZ1486" s="2" t="s">
        <v>100</v>
      </c>
    </row>
    <row r="1487">
      <c r="A1487" s="2" t="s">
        <v>5545</v>
      </c>
      <c r="B1487" s="2" t="s">
        <v>5155</v>
      </c>
      <c r="C1487" s="2" t="s">
        <v>5095</v>
      </c>
      <c r="D1487" s="2" t="s">
        <v>4216</v>
      </c>
      <c r="E1487" s="2" t="s">
        <v>5235</v>
      </c>
      <c r="F1487" s="2" t="s">
        <v>5539</v>
      </c>
      <c r="G1487" s="2" t="s">
        <v>5539</v>
      </c>
      <c r="H1487" s="2" t="s">
        <v>5539</v>
      </c>
      <c r="I1487" s="2" t="s">
        <v>5540</v>
      </c>
      <c r="J1487" s="2" t="s">
        <v>114</v>
      </c>
      <c r="K1487" s="2" t="s">
        <v>471</v>
      </c>
      <c r="L1487" s="3">
        <v>38.09</v>
      </c>
      <c r="M1487" s="3">
        <v>39.99</v>
      </c>
      <c r="N1487" s="3">
        <v>79.99</v>
      </c>
      <c r="O1487" s="2" t="s">
        <v>97</v>
      </c>
      <c r="P1487" s="2" t="s">
        <v>156</v>
      </c>
      <c r="Q1487" s="2" t="s">
        <v>99</v>
      </c>
      <c r="R1487" s="2" t="s">
        <v>100</v>
      </c>
      <c r="S1487" s="2" t="s">
        <v>5541</v>
      </c>
      <c r="T1487" s="2" t="s">
        <v>190</v>
      </c>
      <c r="U1487" s="2" t="s">
        <v>1776</v>
      </c>
      <c r="V1487" s="2" t="s">
        <v>461</v>
      </c>
      <c r="W1487" s="2" t="s">
        <v>609</v>
      </c>
      <c r="X1487" s="2" t="s">
        <v>100</v>
      </c>
      <c r="Y1487" s="2" t="s">
        <v>5542</v>
      </c>
      <c r="Z1487" s="4">
        <v>686</v>
      </c>
      <c r="AA1487" s="4">
        <f>=ROUNDDOWN(27.44,0)</f>
      </c>
      <c r="AB1487" s="5">
        <v>25</v>
      </c>
      <c r="AC1487" s="2" t="s">
        <v>307</v>
      </c>
      <c r="AD1487" s="4">
        <v>170</v>
      </c>
      <c r="AE1487" s="4">
        <v>170</v>
      </c>
      <c r="AF1487" s="6">
        <v>64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100</v>
      </c>
      <c r="AW1487" s="8" t="s">
        <v>100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/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/>
      <c r="BJ1487" s="4">
        <v>53</v>
      </c>
      <c r="BK1487" s="8">
        <v>2251.27</v>
      </c>
      <c r="BL1487" s="2" t="s">
        <v>1349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171</v>
      </c>
      <c r="BV1487" s="2" t="s">
        <v>97</v>
      </c>
      <c r="BW1487" s="2" t="s">
        <v>100</v>
      </c>
      <c r="BX1487" s="2" t="s">
        <v>100</v>
      </c>
      <c r="BY1487" s="2" t="s">
        <v>112</v>
      </c>
      <c r="BZ1487" s="2" t="s">
        <v>100</v>
      </c>
    </row>
    <row r="1488">
      <c r="A1488" s="2" t="s">
        <v>5546</v>
      </c>
      <c r="B1488" s="2" t="s">
        <v>5155</v>
      </c>
      <c r="C1488" s="2" t="s">
        <v>5095</v>
      </c>
      <c r="D1488" s="2" t="s">
        <v>4216</v>
      </c>
      <c r="E1488" s="2" t="s">
        <v>5235</v>
      </c>
      <c r="F1488" s="2" t="s">
        <v>5539</v>
      </c>
      <c r="G1488" s="2" t="s">
        <v>5539</v>
      </c>
      <c r="H1488" s="2" t="s">
        <v>5539</v>
      </c>
      <c r="I1488" s="2" t="s">
        <v>5540</v>
      </c>
      <c r="J1488" s="2" t="s">
        <v>1443</v>
      </c>
      <c r="K1488" s="2" t="s">
        <v>96</v>
      </c>
      <c r="L1488" s="3">
        <v>26.85</v>
      </c>
      <c r="M1488" s="3">
        <v>28.19</v>
      </c>
      <c r="N1488" s="3">
        <v>59.99</v>
      </c>
      <c r="O1488" s="2" t="s">
        <v>97</v>
      </c>
      <c r="P1488" s="2" t="s">
        <v>139</v>
      </c>
      <c r="Q1488" s="2" t="s">
        <v>99</v>
      </c>
      <c r="R1488" s="2" t="s">
        <v>100</v>
      </c>
      <c r="S1488" s="2" t="s">
        <v>5547</v>
      </c>
      <c r="T1488" s="2" t="s">
        <v>190</v>
      </c>
      <c r="U1488" s="2" t="s">
        <v>1776</v>
      </c>
      <c r="V1488" s="2" t="s">
        <v>461</v>
      </c>
      <c r="W1488" s="2" t="s">
        <v>609</v>
      </c>
      <c r="X1488" s="2" t="s">
        <v>100</v>
      </c>
      <c r="Y1488" s="2" t="s">
        <v>5542</v>
      </c>
      <c r="Z1488" s="4">
        <v>592</v>
      </c>
      <c r="AA1488" s="4">
        <f>=ROUNDDOWN(42.2857142857143,0)</f>
      </c>
      <c r="AB1488" s="5">
        <v>14</v>
      </c>
      <c r="AC1488" s="2" t="s">
        <v>307</v>
      </c>
      <c r="AD1488" s="4">
        <v>50</v>
      </c>
      <c r="AE1488" s="4">
        <v>160</v>
      </c>
      <c r="AF1488" s="6">
        <v>64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/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/>
      <c r="BJ1488" s="4">
        <v>11</v>
      </c>
      <c r="BK1488" s="8">
        <v>329.43</v>
      </c>
      <c r="BL1488" s="2" t="s">
        <v>5548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171</v>
      </c>
      <c r="BV1488" s="2" t="s">
        <v>97</v>
      </c>
      <c r="BW1488" s="2" t="s">
        <v>100</v>
      </c>
      <c r="BX1488" s="2" t="s">
        <v>100</v>
      </c>
      <c r="BY1488" s="2" t="s">
        <v>112</v>
      </c>
      <c r="BZ1488" s="2" t="s">
        <v>100</v>
      </c>
    </row>
    <row r="1489">
      <c r="A1489" s="2" t="s">
        <v>5549</v>
      </c>
      <c r="B1489" s="2" t="s">
        <v>5155</v>
      </c>
      <c r="C1489" s="2" t="s">
        <v>5095</v>
      </c>
      <c r="D1489" s="2" t="s">
        <v>4216</v>
      </c>
      <c r="E1489" s="2" t="s">
        <v>5235</v>
      </c>
      <c r="F1489" s="2" t="s">
        <v>5539</v>
      </c>
      <c r="G1489" s="2" t="s">
        <v>5539</v>
      </c>
      <c r="H1489" s="2" t="s">
        <v>5539</v>
      </c>
      <c r="I1489" s="2" t="s">
        <v>5540</v>
      </c>
      <c r="J1489" s="2" t="s">
        <v>522</v>
      </c>
      <c r="K1489" s="2" t="s">
        <v>96</v>
      </c>
      <c r="L1489" s="3">
        <v>33.33</v>
      </c>
      <c r="M1489" s="3">
        <v>35</v>
      </c>
      <c r="N1489" s="3">
        <v>69.99</v>
      </c>
      <c r="O1489" s="2" t="s">
        <v>97</v>
      </c>
      <c r="P1489" s="2" t="s">
        <v>139</v>
      </c>
      <c r="Q1489" s="2" t="s">
        <v>99</v>
      </c>
      <c r="R1489" s="2" t="s">
        <v>100</v>
      </c>
      <c r="S1489" s="2" t="s">
        <v>5547</v>
      </c>
      <c r="T1489" s="2" t="s">
        <v>190</v>
      </c>
      <c r="U1489" s="2" t="s">
        <v>1776</v>
      </c>
      <c r="V1489" s="2" t="s">
        <v>461</v>
      </c>
      <c r="W1489" s="2" t="s">
        <v>609</v>
      </c>
      <c r="X1489" s="2" t="s">
        <v>100</v>
      </c>
      <c r="Y1489" s="2" t="s">
        <v>5550</v>
      </c>
      <c r="Z1489" s="4">
        <v>1001</v>
      </c>
      <c r="AA1489" s="4">
        <f>=ROUNDDOWN(27.8055555555556,0)</f>
      </c>
      <c r="AB1489" s="5">
        <v>36</v>
      </c>
      <c r="AC1489" s="2" t="s">
        <v>307</v>
      </c>
      <c r="AD1489" s="4">
        <v>210</v>
      </c>
      <c r="AE1489" s="4">
        <v>350</v>
      </c>
      <c r="AF1489" s="6">
        <v>64</v>
      </c>
      <c r="AG1489" s="6">
        <v>72</v>
      </c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 t="s">
        <v>100</v>
      </c>
      <c r="AW1489" s="8" t="s">
        <v>100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/>
      <c r="BC1489" s="4" t="s">
        <v>100</v>
      </c>
      <c r="BD1489" s="8" t="s">
        <v>100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/>
      <c r="BJ1489" s="4">
        <v>96</v>
      </c>
      <c r="BK1489" s="8">
        <v>3556.25</v>
      </c>
      <c r="BL1489" s="2" t="s">
        <v>5551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171</v>
      </c>
      <c r="BV1489" s="2" t="s">
        <v>97</v>
      </c>
      <c r="BW1489" s="2" t="s">
        <v>100</v>
      </c>
      <c r="BX1489" s="2" t="s">
        <v>100</v>
      </c>
      <c r="BY1489" s="2" t="s">
        <v>112</v>
      </c>
      <c r="BZ1489" s="2" t="s">
        <v>100</v>
      </c>
    </row>
    <row r="1490">
      <c r="A1490" s="2" t="s">
        <v>5552</v>
      </c>
      <c r="B1490" s="2" t="s">
        <v>5155</v>
      </c>
      <c r="C1490" s="2" t="s">
        <v>5095</v>
      </c>
      <c r="D1490" s="2" t="s">
        <v>4216</v>
      </c>
      <c r="E1490" s="2" t="s">
        <v>5235</v>
      </c>
      <c r="F1490" s="2" t="s">
        <v>5539</v>
      </c>
      <c r="G1490" s="2" t="s">
        <v>5539</v>
      </c>
      <c r="H1490" s="2" t="s">
        <v>5539</v>
      </c>
      <c r="I1490" s="2" t="s">
        <v>5540</v>
      </c>
      <c r="J1490" s="2" t="s">
        <v>114</v>
      </c>
      <c r="K1490" s="2" t="s">
        <v>96</v>
      </c>
      <c r="L1490" s="3">
        <v>38.09</v>
      </c>
      <c r="M1490" s="3">
        <v>39.99</v>
      </c>
      <c r="N1490" s="3">
        <v>79.99</v>
      </c>
      <c r="O1490" s="2" t="s">
        <v>97</v>
      </c>
      <c r="P1490" s="2" t="s">
        <v>139</v>
      </c>
      <c r="Q1490" s="2" t="s">
        <v>99</v>
      </c>
      <c r="R1490" s="2" t="s">
        <v>100</v>
      </c>
      <c r="S1490" s="2" t="s">
        <v>5547</v>
      </c>
      <c r="T1490" s="2" t="s">
        <v>190</v>
      </c>
      <c r="U1490" s="2" t="s">
        <v>1776</v>
      </c>
      <c r="V1490" s="2" t="s">
        <v>461</v>
      </c>
      <c r="W1490" s="2" t="s">
        <v>609</v>
      </c>
      <c r="X1490" s="2" t="s">
        <v>100</v>
      </c>
      <c r="Y1490" s="2" t="s">
        <v>5550</v>
      </c>
      <c r="Z1490" s="4">
        <v>752</v>
      </c>
      <c r="AA1490" s="4">
        <f>=ROUNDDOWN(23.5,0)</f>
      </c>
      <c r="AB1490" s="5">
        <v>32</v>
      </c>
      <c r="AC1490" s="2" t="s">
        <v>307</v>
      </c>
      <c r="AD1490" s="4">
        <v>240</v>
      </c>
      <c r="AE1490" s="4">
        <v>630</v>
      </c>
      <c r="AF1490" s="6">
        <v>64</v>
      </c>
      <c r="AG1490" s="6">
        <v>72</v>
      </c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 t="s">
        <v>100</v>
      </c>
      <c r="AW1490" s="8" t="s">
        <v>100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/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/>
      <c r="BJ1490" s="4">
        <v>60</v>
      </c>
      <c r="BK1490" s="8">
        <v>2539.56</v>
      </c>
      <c r="BL1490" s="2" t="s">
        <v>5553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171</v>
      </c>
      <c r="BV1490" s="2" t="s">
        <v>97</v>
      </c>
      <c r="BW1490" s="2" t="s">
        <v>100</v>
      </c>
      <c r="BX1490" s="2" t="s">
        <v>100</v>
      </c>
      <c r="BY1490" s="2" t="s">
        <v>112</v>
      </c>
      <c r="BZ1490" s="2" t="s">
        <v>100</v>
      </c>
    </row>
    <row r="1491">
      <c r="A1491" s="2" t="s">
        <v>5554</v>
      </c>
      <c r="B1491" s="2" t="s">
        <v>5155</v>
      </c>
      <c r="C1491" s="2" t="s">
        <v>5095</v>
      </c>
      <c r="D1491" s="2" t="s">
        <v>4216</v>
      </c>
      <c r="E1491" s="2" t="s">
        <v>5235</v>
      </c>
      <c r="F1491" s="2" t="s">
        <v>5539</v>
      </c>
      <c r="G1491" s="2" t="s">
        <v>5539</v>
      </c>
      <c r="H1491" s="2" t="s">
        <v>5539</v>
      </c>
      <c r="I1491" s="2" t="s">
        <v>5540</v>
      </c>
      <c r="J1491" s="2" t="s">
        <v>1443</v>
      </c>
      <c r="K1491" s="2" t="s">
        <v>1384</v>
      </c>
      <c r="L1491" s="3">
        <v>26.85</v>
      </c>
      <c r="M1491" s="3">
        <v>28.19</v>
      </c>
      <c r="N1491" s="3">
        <v>59.99</v>
      </c>
      <c r="O1491" s="2" t="s">
        <v>97</v>
      </c>
      <c r="P1491" s="2" t="s">
        <v>123</v>
      </c>
      <c r="Q1491" s="2" t="s">
        <v>99</v>
      </c>
      <c r="R1491" s="2" t="s">
        <v>100</v>
      </c>
      <c r="S1491" s="2" t="s">
        <v>5555</v>
      </c>
      <c r="T1491" s="2" t="s">
        <v>190</v>
      </c>
      <c r="U1491" s="2" t="s">
        <v>1776</v>
      </c>
      <c r="V1491" s="2" t="s">
        <v>461</v>
      </c>
      <c r="W1491" s="2" t="s">
        <v>609</v>
      </c>
      <c r="X1491" s="2" t="s">
        <v>100</v>
      </c>
      <c r="Y1491" s="2" t="s">
        <v>5542</v>
      </c>
      <c r="Z1491" s="4">
        <v>518</v>
      </c>
      <c r="AA1491" s="4">
        <f>=ROUNDDOWN(39.8461538461538,0)</f>
      </c>
      <c r="AB1491" s="5">
        <v>13</v>
      </c>
      <c r="AC1491" s="2" t="s">
        <v>307</v>
      </c>
      <c r="AD1491" s="4">
        <v>30</v>
      </c>
      <c r="AE1491" s="4">
        <v>210</v>
      </c>
      <c r="AF1491" s="6">
        <v>64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100</v>
      </c>
      <c r="AW1491" s="8" t="s">
        <v>100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/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/>
      <c r="BJ1491" s="4">
        <v>39</v>
      </c>
      <c r="BK1491" s="8">
        <v>1172.7</v>
      </c>
      <c r="BL1491" s="2" t="s">
        <v>5556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171</v>
      </c>
      <c r="BV1491" s="2" t="s">
        <v>97</v>
      </c>
      <c r="BW1491" s="2" t="s">
        <v>100</v>
      </c>
      <c r="BX1491" s="2" t="s">
        <v>100</v>
      </c>
      <c r="BY1491" s="2" t="s">
        <v>112</v>
      </c>
      <c r="BZ1491" s="2" t="s">
        <v>100</v>
      </c>
    </row>
    <row r="1492">
      <c r="A1492" s="2" t="s">
        <v>5557</v>
      </c>
      <c r="B1492" s="2" t="s">
        <v>5155</v>
      </c>
      <c r="C1492" s="2" t="s">
        <v>5095</v>
      </c>
      <c r="D1492" s="2" t="s">
        <v>4216</v>
      </c>
      <c r="E1492" s="2" t="s">
        <v>5235</v>
      </c>
      <c r="F1492" s="2" t="s">
        <v>5539</v>
      </c>
      <c r="G1492" s="2" t="s">
        <v>5539</v>
      </c>
      <c r="H1492" s="2" t="s">
        <v>5539</v>
      </c>
      <c r="I1492" s="2" t="s">
        <v>5540</v>
      </c>
      <c r="J1492" s="2" t="s">
        <v>522</v>
      </c>
      <c r="K1492" s="2" t="s">
        <v>1384</v>
      </c>
      <c r="L1492" s="3">
        <v>33.33</v>
      </c>
      <c r="M1492" s="3">
        <v>35</v>
      </c>
      <c r="N1492" s="3">
        <v>69.99</v>
      </c>
      <c r="O1492" s="2" t="s">
        <v>97</v>
      </c>
      <c r="P1492" s="2" t="s">
        <v>123</v>
      </c>
      <c r="Q1492" s="2" t="s">
        <v>99</v>
      </c>
      <c r="R1492" s="2" t="s">
        <v>100</v>
      </c>
      <c r="S1492" s="2" t="s">
        <v>5555</v>
      </c>
      <c r="T1492" s="2" t="s">
        <v>190</v>
      </c>
      <c r="U1492" s="2" t="s">
        <v>1776</v>
      </c>
      <c r="V1492" s="2" t="s">
        <v>461</v>
      </c>
      <c r="W1492" s="2" t="s">
        <v>609</v>
      </c>
      <c r="X1492" s="2" t="s">
        <v>100</v>
      </c>
      <c r="Y1492" s="2" t="s">
        <v>5542</v>
      </c>
      <c r="Z1492" s="4">
        <v>849</v>
      </c>
      <c r="AA1492" s="4">
        <f>=ROUNDDOWN(26.53125,0)</f>
      </c>
      <c r="AB1492" s="5">
        <v>32</v>
      </c>
      <c r="AC1492" s="2" t="s">
        <v>307</v>
      </c>
      <c r="AD1492" s="4">
        <v>280</v>
      </c>
      <c r="AE1492" s="4">
        <v>490</v>
      </c>
      <c r="AF1492" s="6">
        <v>64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 t="s">
        <v>100</v>
      </c>
      <c r="AW1492" s="8" t="s">
        <v>100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/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/>
      <c r="BJ1492" s="4">
        <v>71</v>
      </c>
      <c r="BK1492" s="8">
        <v>2642.74</v>
      </c>
      <c r="BL1492" s="2" t="s">
        <v>1458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171</v>
      </c>
      <c r="BV1492" s="2" t="s">
        <v>97</v>
      </c>
      <c r="BW1492" s="2" t="s">
        <v>100</v>
      </c>
      <c r="BX1492" s="2" t="s">
        <v>100</v>
      </c>
      <c r="BY1492" s="2" t="s">
        <v>112</v>
      </c>
      <c r="BZ1492" s="2" t="s">
        <v>100</v>
      </c>
    </row>
    <row r="1493">
      <c r="A1493" s="2" t="s">
        <v>5558</v>
      </c>
      <c r="B1493" s="2" t="s">
        <v>5155</v>
      </c>
      <c r="C1493" s="2" t="s">
        <v>5095</v>
      </c>
      <c r="D1493" s="2" t="s">
        <v>4216</v>
      </c>
      <c r="E1493" s="2" t="s">
        <v>5235</v>
      </c>
      <c r="F1493" s="2" t="s">
        <v>5539</v>
      </c>
      <c r="G1493" s="2" t="s">
        <v>5539</v>
      </c>
      <c r="H1493" s="2" t="s">
        <v>5539</v>
      </c>
      <c r="I1493" s="2" t="s">
        <v>5540</v>
      </c>
      <c r="J1493" s="2" t="s">
        <v>114</v>
      </c>
      <c r="K1493" s="2" t="s">
        <v>1384</v>
      </c>
      <c r="L1493" s="3">
        <v>38.09</v>
      </c>
      <c r="M1493" s="3">
        <v>39.99</v>
      </c>
      <c r="N1493" s="3">
        <v>79.99</v>
      </c>
      <c r="O1493" s="2" t="s">
        <v>97</v>
      </c>
      <c r="P1493" s="2" t="s">
        <v>123</v>
      </c>
      <c r="Q1493" s="2" t="s">
        <v>99</v>
      </c>
      <c r="R1493" s="2" t="s">
        <v>100</v>
      </c>
      <c r="S1493" s="2" t="s">
        <v>5555</v>
      </c>
      <c r="T1493" s="2" t="s">
        <v>190</v>
      </c>
      <c r="U1493" s="2" t="s">
        <v>1776</v>
      </c>
      <c r="V1493" s="2" t="s">
        <v>461</v>
      </c>
      <c r="W1493" s="2" t="s">
        <v>609</v>
      </c>
      <c r="X1493" s="2" t="s">
        <v>100</v>
      </c>
      <c r="Y1493" s="2" t="s">
        <v>5542</v>
      </c>
      <c r="Z1493" s="4">
        <v>897</v>
      </c>
      <c r="AA1493" s="4">
        <f>=ROUNDDOWN(33.2222222222222,0)</f>
      </c>
      <c r="AB1493" s="5">
        <v>27</v>
      </c>
      <c r="AC1493" s="2" t="s">
        <v>307</v>
      </c>
      <c r="AD1493" s="4">
        <v>190</v>
      </c>
      <c r="AE1493" s="4">
        <v>450</v>
      </c>
      <c r="AF1493" s="6">
        <v>64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100</v>
      </c>
      <c r="AW1493" s="8" t="s">
        <v>100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/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/>
      <c r="BJ1493" s="4">
        <v>63</v>
      </c>
      <c r="BK1493" s="8">
        <v>2672.66</v>
      </c>
      <c r="BL1493" s="2" t="s">
        <v>4271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171</v>
      </c>
      <c r="BV1493" s="2" t="s">
        <v>97</v>
      </c>
      <c r="BW1493" s="2" t="s">
        <v>100</v>
      </c>
      <c r="BX1493" s="2" t="s">
        <v>100</v>
      </c>
      <c r="BY1493" s="2" t="s">
        <v>112</v>
      </c>
      <c r="BZ1493" s="2" t="s">
        <v>100</v>
      </c>
    </row>
    <row r="1494">
      <c r="A1494" s="2" t="s">
        <v>5559</v>
      </c>
      <c r="B1494" s="2" t="s">
        <v>5155</v>
      </c>
      <c r="C1494" s="2" t="s">
        <v>5095</v>
      </c>
      <c r="D1494" s="2" t="s">
        <v>4216</v>
      </c>
      <c r="E1494" s="2" t="s">
        <v>5235</v>
      </c>
      <c r="F1494" s="2" t="s">
        <v>5539</v>
      </c>
      <c r="G1494" s="2" t="s">
        <v>5539</v>
      </c>
      <c r="H1494" s="2" t="s">
        <v>5539</v>
      </c>
      <c r="I1494" s="2" t="s">
        <v>5540</v>
      </c>
      <c r="J1494" s="2" t="s">
        <v>1443</v>
      </c>
      <c r="K1494" s="2" t="s">
        <v>1373</v>
      </c>
      <c r="L1494" s="3">
        <v>26.85</v>
      </c>
      <c r="M1494" s="3">
        <v>28.19</v>
      </c>
      <c r="N1494" s="3">
        <v>59.99</v>
      </c>
      <c r="O1494" s="2" t="s">
        <v>97</v>
      </c>
      <c r="P1494" s="2" t="s">
        <v>139</v>
      </c>
      <c r="Q1494" s="2" t="s">
        <v>99</v>
      </c>
      <c r="R1494" s="2" t="s">
        <v>100</v>
      </c>
      <c r="S1494" s="2" t="s">
        <v>5560</v>
      </c>
      <c r="T1494" s="2" t="s">
        <v>190</v>
      </c>
      <c r="U1494" s="2" t="s">
        <v>1776</v>
      </c>
      <c r="V1494" s="2" t="s">
        <v>461</v>
      </c>
      <c r="W1494" s="2" t="s">
        <v>609</v>
      </c>
      <c r="X1494" s="2" t="s">
        <v>100</v>
      </c>
      <c r="Y1494" s="2" t="s">
        <v>5542</v>
      </c>
      <c r="Z1494" s="4">
        <v>594</v>
      </c>
      <c r="AA1494" s="4">
        <f>=ROUNDDOWN(37.125,0)</f>
      </c>
      <c r="AB1494" s="5">
        <v>16</v>
      </c>
      <c r="AC1494" s="2" t="s">
        <v>2604</v>
      </c>
      <c r="AD1494" s="4">
        <v>180</v>
      </c>
      <c r="AE1494" s="4">
        <v>180</v>
      </c>
      <c r="AF1494" s="6">
        <v>64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100</v>
      </c>
      <c r="AW1494" s="8" t="s">
        <v>100</v>
      </c>
      <c r="AX1494" s="4" t="s">
        <v>100</v>
      </c>
      <c r="AY1494" s="8" t="s">
        <v>100</v>
      </c>
      <c r="AZ1494" s="7" t="s">
        <v>100</v>
      </c>
      <c r="BA1494" s="7" t="s">
        <v>100</v>
      </c>
      <c r="BB1494" s="7"/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/>
      <c r="BJ1494" s="4">
        <v>27</v>
      </c>
      <c r="BK1494" s="8">
        <v>810.98</v>
      </c>
      <c r="BL1494" s="2" t="s">
        <v>4421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171</v>
      </c>
      <c r="BV1494" s="2" t="s">
        <v>97</v>
      </c>
      <c r="BW1494" s="2" t="s">
        <v>100</v>
      </c>
      <c r="BX1494" s="2" t="s">
        <v>100</v>
      </c>
      <c r="BY1494" s="2" t="s">
        <v>112</v>
      </c>
      <c r="BZ1494" s="2" t="s">
        <v>100</v>
      </c>
    </row>
    <row r="1495">
      <c r="A1495" s="2" t="s">
        <v>5561</v>
      </c>
      <c r="B1495" s="2" t="s">
        <v>5155</v>
      </c>
      <c r="C1495" s="2" t="s">
        <v>5095</v>
      </c>
      <c r="D1495" s="2" t="s">
        <v>4216</v>
      </c>
      <c r="E1495" s="2" t="s">
        <v>5235</v>
      </c>
      <c r="F1495" s="2" t="s">
        <v>5539</v>
      </c>
      <c r="G1495" s="2" t="s">
        <v>5539</v>
      </c>
      <c r="H1495" s="2" t="s">
        <v>5539</v>
      </c>
      <c r="I1495" s="2" t="s">
        <v>5540</v>
      </c>
      <c r="J1495" s="2" t="s">
        <v>522</v>
      </c>
      <c r="K1495" s="2" t="s">
        <v>1373</v>
      </c>
      <c r="L1495" s="3">
        <v>33.33</v>
      </c>
      <c r="M1495" s="3">
        <v>35</v>
      </c>
      <c r="N1495" s="3">
        <v>69.99</v>
      </c>
      <c r="O1495" s="2" t="s">
        <v>97</v>
      </c>
      <c r="P1495" s="2" t="s">
        <v>139</v>
      </c>
      <c r="Q1495" s="2" t="s">
        <v>99</v>
      </c>
      <c r="R1495" s="2" t="s">
        <v>100</v>
      </c>
      <c r="S1495" s="2" t="s">
        <v>5560</v>
      </c>
      <c r="T1495" s="2" t="s">
        <v>190</v>
      </c>
      <c r="U1495" s="2" t="s">
        <v>1776</v>
      </c>
      <c r="V1495" s="2" t="s">
        <v>461</v>
      </c>
      <c r="W1495" s="2" t="s">
        <v>609</v>
      </c>
      <c r="X1495" s="2" t="s">
        <v>100</v>
      </c>
      <c r="Y1495" s="2" t="s">
        <v>5542</v>
      </c>
      <c r="Z1495" s="4">
        <v>1469</v>
      </c>
      <c r="AA1495" s="4">
        <f>=ROUNDDOWN(35.8292682926829,0)</f>
      </c>
      <c r="AB1495" s="5">
        <v>41</v>
      </c>
      <c r="AC1495" s="2" t="s">
        <v>307</v>
      </c>
      <c r="AD1495" s="4">
        <v>290</v>
      </c>
      <c r="AE1495" s="4">
        <v>330</v>
      </c>
      <c r="AF1495" s="6">
        <v>64</v>
      </c>
      <c r="AG1495" s="6">
        <v>72</v>
      </c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100</v>
      </c>
      <c r="AW1495" s="8" t="s">
        <v>100</v>
      </c>
      <c r="AX1495" s="4" t="s">
        <v>100</v>
      </c>
      <c r="AY1495" s="8" t="s">
        <v>100</v>
      </c>
      <c r="AZ1495" s="7" t="s">
        <v>100</v>
      </c>
      <c r="BA1495" s="7" t="s">
        <v>100</v>
      </c>
      <c r="BB1495" s="7"/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/>
      <c r="BJ1495" s="4">
        <v>108</v>
      </c>
      <c r="BK1495" s="8">
        <v>4045.14</v>
      </c>
      <c r="BL1495" s="2" t="s">
        <v>5562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171</v>
      </c>
      <c r="BV1495" s="2" t="s">
        <v>97</v>
      </c>
      <c r="BW1495" s="2" t="s">
        <v>100</v>
      </c>
      <c r="BX1495" s="2" t="s">
        <v>100</v>
      </c>
      <c r="BY1495" s="2" t="s">
        <v>112</v>
      </c>
      <c r="BZ1495" s="2" t="s">
        <v>100</v>
      </c>
    </row>
    <row r="1496">
      <c r="A1496" s="2" t="s">
        <v>5563</v>
      </c>
      <c r="B1496" s="2" t="s">
        <v>5155</v>
      </c>
      <c r="C1496" s="2" t="s">
        <v>5095</v>
      </c>
      <c r="D1496" s="2" t="s">
        <v>4216</v>
      </c>
      <c r="E1496" s="2" t="s">
        <v>5235</v>
      </c>
      <c r="F1496" s="2" t="s">
        <v>5539</v>
      </c>
      <c r="G1496" s="2" t="s">
        <v>5539</v>
      </c>
      <c r="H1496" s="2" t="s">
        <v>5539</v>
      </c>
      <c r="I1496" s="2" t="s">
        <v>5540</v>
      </c>
      <c r="J1496" s="2" t="s">
        <v>114</v>
      </c>
      <c r="K1496" s="2" t="s">
        <v>1373</v>
      </c>
      <c r="L1496" s="3">
        <v>38.09</v>
      </c>
      <c r="M1496" s="3">
        <v>39.99</v>
      </c>
      <c r="N1496" s="3">
        <v>79.99</v>
      </c>
      <c r="O1496" s="2" t="s">
        <v>97</v>
      </c>
      <c r="P1496" s="2" t="s">
        <v>139</v>
      </c>
      <c r="Q1496" s="2" t="s">
        <v>99</v>
      </c>
      <c r="R1496" s="2" t="s">
        <v>100</v>
      </c>
      <c r="S1496" s="2" t="s">
        <v>5560</v>
      </c>
      <c r="T1496" s="2" t="s">
        <v>190</v>
      </c>
      <c r="U1496" s="2" t="s">
        <v>1776</v>
      </c>
      <c r="V1496" s="2" t="s">
        <v>461</v>
      </c>
      <c r="W1496" s="2" t="s">
        <v>609</v>
      </c>
      <c r="X1496" s="2" t="s">
        <v>100</v>
      </c>
      <c r="Y1496" s="2" t="s">
        <v>5542</v>
      </c>
      <c r="Z1496" s="4">
        <v>1217</v>
      </c>
      <c r="AA1496" s="4">
        <f>=ROUNDDOWN(32.8918918918919,0)</f>
      </c>
      <c r="AB1496" s="5">
        <v>37</v>
      </c>
      <c r="AC1496" s="2" t="s">
        <v>307</v>
      </c>
      <c r="AD1496" s="4">
        <v>210</v>
      </c>
      <c r="AE1496" s="4">
        <v>490</v>
      </c>
      <c r="AF1496" s="6">
        <v>64</v>
      </c>
      <c r="AG1496" s="6">
        <v>72</v>
      </c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100</v>
      </c>
      <c r="AW1496" s="8" t="s">
        <v>100</v>
      </c>
      <c r="AX1496" s="4" t="s">
        <v>100</v>
      </c>
      <c r="AY1496" s="8" t="s">
        <v>100</v>
      </c>
      <c r="AZ1496" s="7" t="s">
        <v>100</v>
      </c>
      <c r="BA1496" s="7" t="s">
        <v>100</v>
      </c>
      <c r="BB1496" s="7"/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/>
      <c r="BJ1496" s="4">
        <v>95</v>
      </c>
      <c r="BK1496" s="8">
        <v>4027.28</v>
      </c>
      <c r="BL1496" s="2" t="s">
        <v>4271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171</v>
      </c>
      <c r="BV1496" s="2" t="s">
        <v>97</v>
      </c>
      <c r="BW1496" s="2" t="s">
        <v>100</v>
      </c>
      <c r="BX1496" s="2" t="s">
        <v>100</v>
      </c>
      <c r="BY1496" s="2" t="s">
        <v>112</v>
      </c>
      <c r="BZ1496" s="2" t="s">
        <v>100</v>
      </c>
    </row>
    <row r="1497">
      <c r="A1497" s="2" t="s">
        <v>5564</v>
      </c>
      <c r="B1497" s="2" t="s">
        <v>5155</v>
      </c>
      <c r="C1497" s="2" t="s">
        <v>5095</v>
      </c>
      <c r="D1497" s="2" t="s">
        <v>4216</v>
      </c>
      <c r="E1497" s="2" t="s">
        <v>5235</v>
      </c>
      <c r="F1497" s="2" t="s">
        <v>5539</v>
      </c>
      <c r="G1497" s="2" t="s">
        <v>5539</v>
      </c>
      <c r="H1497" s="2" t="s">
        <v>5539</v>
      </c>
      <c r="I1497" s="2" t="s">
        <v>5540</v>
      </c>
      <c r="J1497" s="2" t="s">
        <v>1443</v>
      </c>
      <c r="K1497" s="2" t="s">
        <v>856</v>
      </c>
      <c r="L1497" s="3">
        <v>26.85</v>
      </c>
      <c r="M1497" s="3">
        <v>28.19</v>
      </c>
      <c r="N1497" s="3">
        <v>59.99</v>
      </c>
      <c r="O1497" s="2" t="s">
        <v>97</v>
      </c>
      <c r="P1497" s="2" t="s">
        <v>123</v>
      </c>
      <c r="Q1497" s="2" t="s">
        <v>99</v>
      </c>
      <c r="R1497" s="2" t="s">
        <v>100</v>
      </c>
      <c r="S1497" s="2" t="s">
        <v>5565</v>
      </c>
      <c r="T1497" s="2" t="s">
        <v>190</v>
      </c>
      <c r="U1497" s="2" t="s">
        <v>1776</v>
      </c>
      <c r="V1497" s="2" t="s">
        <v>461</v>
      </c>
      <c r="W1497" s="2" t="s">
        <v>609</v>
      </c>
      <c r="X1497" s="2" t="s">
        <v>100</v>
      </c>
      <c r="Y1497" s="2" t="s">
        <v>5550</v>
      </c>
      <c r="Z1497" s="4">
        <v>531</v>
      </c>
      <c r="AA1497" s="4">
        <f>=ROUNDDOWN(44.25,0)</f>
      </c>
      <c r="AB1497" s="5">
        <v>12</v>
      </c>
      <c r="AC1497" s="2" t="s">
        <v>2604</v>
      </c>
      <c r="AD1497" s="4">
        <v>140</v>
      </c>
      <c r="AE1497" s="4">
        <v>140</v>
      </c>
      <c r="AF1497" s="6">
        <v>64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 t="s">
        <v>100</v>
      </c>
      <c r="AW1497" s="8" t="s">
        <v>100</v>
      </c>
      <c r="AX1497" s="4" t="s">
        <v>100</v>
      </c>
      <c r="AY1497" s="8" t="s">
        <v>100</v>
      </c>
      <c r="AZ1497" s="7" t="s">
        <v>100</v>
      </c>
      <c r="BA1497" s="7" t="s">
        <v>100</v>
      </c>
      <c r="BB1497" s="7"/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/>
      <c r="BJ1497" s="4">
        <v>26</v>
      </c>
      <c r="BK1497" s="8">
        <v>779.56</v>
      </c>
      <c r="BL1497" s="2" t="s">
        <v>5566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171</v>
      </c>
      <c r="BV1497" s="2" t="s">
        <v>97</v>
      </c>
      <c r="BW1497" s="2" t="s">
        <v>100</v>
      </c>
      <c r="BX1497" s="2" t="s">
        <v>100</v>
      </c>
      <c r="BY1497" s="2" t="s">
        <v>112</v>
      </c>
      <c r="BZ1497" s="2" t="s">
        <v>100</v>
      </c>
    </row>
    <row r="1498">
      <c r="A1498" s="2" t="s">
        <v>5567</v>
      </c>
      <c r="B1498" s="2" t="s">
        <v>5155</v>
      </c>
      <c r="C1498" s="2" t="s">
        <v>5095</v>
      </c>
      <c r="D1498" s="2" t="s">
        <v>4216</v>
      </c>
      <c r="E1498" s="2" t="s">
        <v>5235</v>
      </c>
      <c r="F1498" s="2" t="s">
        <v>5539</v>
      </c>
      <c r="G1498" s="2" t="s">
        <v>5539</v>
      </c>
      <c r="H1498" s="2" t="s">
        <v>5539</v>
      </c>
      <c r="I1498" s="2" t="s">
        <v>5540</v>
      </c>
      <c r="J1498" s="2" t="s">
        <v>522</v>
      </c>
      <c r="K1498" s="2" t="s">
        <v>856</v>
      </c>
      <c r="L1498" s="3">
        <v>33.33</v>
      </c>
      <c r="M1498" s="3">
        <v>35</v>
      </c>
      <c r="N1498" s="3">
        <v>69.99</v>
      </c>
      <c r="O1498" s="2" t="s">
        <v>97</v>
      </c>
      <c r="P1498" s="2" t="s">
        <v>123</v>
      </c>
      <c r="Q1498" s="2" t="s">
        <v>99</v>
      </c>
      <c r="R1498" s="2" t="s">
        <v>100</v>
      </c>
      <c r="S1498" s="2" t="s">
        <v>5565</v>
      </c>
      <c r="T1498" s="2" t="s">
        <v>190</v>
      </c>
      <c r="U1498" s="2" t="s">
        <v>1776</v>
      </c>
      <c r="V1498" s="2" t="s">
        <v>461</v>
      </c>
      <c r="W1498" s="2" t="s">
        <v>609</v>
      </c>
      <c r="X1498" s="2" t="s">
        <v>100</v>
      </c>
      <c r="Y1498" s="2" t="s">
        <v>5550</v>
      </c>
      <c r="Z1498" s="4">
        <v>904</v>
      </c>
      <c r="AA1498" s="4">
        <f>=ROUNDDOWN(30.1333333333333,0)</f>
      </c>
      <c r="AB1498" s="5">
        <v>30</v>
      </c>
      <c r="AC1498" s="2" t="s">
        <v>307</v>
      </c>
      <c r="AD1498" s="4">
        <v>270</v>
      </c>
      <c r="AE1498" s="4">
        <v>430</v>
      </c>
      <c r="AF1498" s="6">
        <v>64</v>
      </c>
      <c r="AG1498" s="6">
        <v>72</v>
      </c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100</v>
      </c>
      <c r="AW1498" s="8" t="s">
        <v>100</v>
      </c>
      <c r="AX1498" s="4" t="s">
        <v>100</v>
      </c>
      <c r="AY1498" s="8" t="s">
        <v>100</v>
      </c>
      <c r="AZ1498" s="7" t="s">
        <v>100</v>
      </c>
      <c r="BA1498" s="7" t="s">
        <v>100</v>
      </c>
      <c r="BB1498" s="7"/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/>
      <c r="BJ1498" s="4">
        <v>76</v>
      </c>
      <c r="BK1498" s="8">
        <v>2826.67</v>
      </c>
      <c r="BL1498" s="2" t="s">
        <v>5568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171</v>
      </c>
      <c r="BV1498" s="2" t="s">
        <v>97</v>
      </c>
      <c r="BW1498" s="2" t="s">
        <v>100</v>
      </c>
      <c r="BX1498" s="2" t="s">
        <v>100</v>
      </c>
      <c r="BY1498" s="2" t="s">
        <v>112</v>
      </c>
      <c r="BZ1498" s="2" t="s">
        <v>100</v>
      </c>
    </row>
    <row r="1499">
      <c r="A1499" s="2" t="s">
        <v>5569</v>
      </c>
      <c r="B1499" s="2" t="s">
        <v>5155</v>
      </c>
      <c r="C1499" s="2" t="s">
        <v>5095</v>
      </c>
      <c r="D1499" s="2" t="s">
        <v>4216</v>
      </c>
      <c r="E1499" s="2" t="s">
        <v>5235</v>
      </c>
      <c r="F1499" s="2" t="s">
        <v>5539</v>
      </c>
      <c r="G1499" s="2" t="s">
        <v>5539</v>
      </c>
      <c r="H1499" s="2" t="s">
        <v>5539</v>
      </c>
      <c r="I1499" s="2" t="s">
        <v>5540</v>
      </c>
      <c r="J1499" s="2" t="s">
        <v>114</v>
      </c>
      <c r="K1499" s="2" t="s">
        <v>856</v>
      </c>
      <c r="L1499" s="3">
        <v>38.09</v>
      </c>
      <c r="M1499" s="3">
        <v>39.99</v>
      </c>
      <c r="N1499" s="3">
        <v>79.99</v>
      </c>
      <c r="O1499" s="2" t="s">
        <v>97</v>
      </c>
      <c r="P1499" s="2" t="s">
        <v>123</v>
      </c>
      <c r="Q1499" s="2" t="s">
        <v>99</v>
      </c>
      <c r="R1499" s="2" t="s">
        <v>100</v>
      </c>
      <c r="S1499" s="2" t="s">
        <v>5565</v>
      </c>
      <c r="T1499" s="2" t="s">
        <v>190</v>
      </c>
      <c r="U1499" s="2" t="s">
        <v>1776</v>
      </c>
      <c r="V1499" s="2" t="s">
        <v>461</v>
      </c>
      <c r="W1499" s="2" t="s">
        <v>609</v>
      </c>
      <c r="X1499" s="2" t="s">
        <v>100</v>
      </c>
      <c r="Y1499" s="2" t="s">
        <v>5550</v>
      </c>
      <c r="Z1499" s="4">
        <v>871</v>
      </c>
      <c r="AA1499" s="4">
        <f>=ROUNDDOWN(25.6176470588235,0)</f>
      </c>
      <c r="AB1499" s="5">
        <v>34</v>
      </c>
      <c r="AC1499" s="2" t="s">
        <v>582</v>
      </c>
      <c r="AD1499" s="4">
        <v>100</v>
      </c>
      <c r="AE1499" s="4">
        <v>430</v>
      </c>
      <c r="AF1499" s="6">
        <v>64</v>
      </c>
      <c r="AG1499" s="6">
        <v>72</v>
      </c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100</v>
      </c>
      <c r="AW1499" s="8" t="s">
        <v>100</v>
      </c>
      <c r="AX1499" s="4" t="s">
        <v>100</v>
      </c>
      <c r="AY1499" s="8" t="s">
        <v>100</v>
      </c>
      <c r="AZ1499" s="7" t="s">
        <v>100</v>
      </c>
      <c r="BA1499" s="7" t="s">
        <v>100</v>
      </c>
      <c r="BB1499" s="7"/>
      <c r="BC1499" s="4" t="s">
        <v>100</v>
      </c>
      <c r="BD1499" s="8" t="s">
        <v>100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/>
      <c r="BJ1499" s="4">
        <v>100</v>
      </c>
      <c r="BK1499" s="8">
        <v>4234.12</v>
      </c>
      <c r="BL1499" s="2" t="s">
        <v>722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171</v>
      </c>
      <c r="BV1499" s="2" t="s">
        <v>97</v>
      </c>
      <c r="BW1499" s="2" t="s">
        <v>100</v>
      </c>
      <c r="BX1499" s="2" t="s">
        <v>100</v>
      </c>
      <c r="BY1499" s="2" t="s">
        <v>112</v>
      </c>
      <c r="BZ1499" s="2" t="s">
        <v>100</v>
      </c>
    </row>
    <row r="1500">
      <c r="A1500" s="2" t="s">
        <v>5570</v>
      </c>
      <c r="B1500" s="2" t="s">
        <v>5155</v>
      </c>
      <c r="C1500" s="2" t="s">
        <v>5095</v>
      </c>
      <c r="D1500" s="2" t="s">
        <v>4216</v>
      </c>
      <c r="E1500" s="2" t="s">
        <v>5235</v>
      </c>
      <c r="F1500" s="2" t="s">
        <v>5539</v>
      </c>
      <c r="G1500" s="2" t="s">
        <v>5539</v>
      </c>
      <c r="H1500" s="2" t="s">
        <v>5539</v>
      </c>
      <c r="I1500" s="2" t="s">
        <v>5540</v>
      </c>
      <c r="J1500" s="2" t="s">
        <v>1443</v>
      </c>
      <c r="K1500" s="2" t="s">
        <v>458</v>
      </c>
      <c r="L1500" s="3">
        <v>26.85</v>
      </c>
      <c r="M1500" s="3">
        <v>28.19</v>
      </c>
      <c r="N1500" s="3">
        <v>59.99</v>
      </c>
      <c r="O1500" s="2" t="s">
        <v>97</v>
      </c>
      <c r="P1500" s="2" t="s">
        <v>317</v>
      </c>
      <c r="Q1500" s="2" t="s">
        <v>99</v>
      </c>
      <c r="R1500" s="2" t="s">
        <v>100</v>
      </c>
      <c r="S1500" s="2" t="s">
        <v>5571</v>
      </c>
      <c r="T1500" s="2" t="s">
        <v>190</v>
      </c>
      <c r="U1500" s="2" t="s">
        <v>1776</v>
      </c>
      <c r="V1500" s="2" t="s">
        <v>461</v>
      </c>
      <c r="W1500" s="2" t="s">
        <v>609</v>
      </c>
      <c r="X1500" s="2" t="s">
        <v>100</v>
      </c>
      <c r="Y1500" s="2" t="s">
        <v>5550</v>
      </c>
      <c r="Z1500" s="4">
        <v>1134</v>
      </c>
      <c r="AA1500" s="4">
        <f>=ROUNDDOWN(42,0)</f>
      </c>
      <c r="AB1500" s="5">
        <v>27</v>
      </c>
      <c r="AC1500" s="2" t="s">
        <v>582</v>
      </c>
      <c r="AD1500" s="4">
        <v>50</v>
      </c>
      <c r="AE1500" s="4">
        <v>50</v>
      </c>
      <c r="AF1500" s="6">
        <v>64</v>
      </c>
      <c r="AG1500" s="6">
        <v>72</v>
      </c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100</v>
      </c>
      <c r="AW1500" s="8" t="s">
        <v>100</v>
      </c>
      <c r="AX1500" s="4" t="s">
        <v>100</v>
      </c>
      <c r="AY1500" s="8" t="s">
        <v>100</v>
      </c>
      <c r="AZ1500" s="7" t="s">
        <v>100</v>
      </c>
      <c r="BA1500" s="7" t="s">
        <v>100</v>
      </c>
      <c r="BB1500" s="7"/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/>
      <c r="BJ1500" s="4">
        <v>61</v>
      </c>
      <c r="BK1500" s="8">
        <v>1830.26</v>
      </c>
      <c r="BL1500" s="2" t="s">
        <v>5572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171</v>
      </c>
      <c r="BV1500" s="2" t="s">
        <v>97</v>
      </c>
      <c r="BW1500" s="2" t="s">
        <v>100</v>
      </c>
      <c r="BX1500" s="2" t="s">
        <v>100</v>
      </c>
      <c r="BY1500" s="2" t="s">
        <v>112</v>
      </c>
      <c r="BZ1500" s="2" t="s">
        <v>100</v>
      </c>
    </row>
    <row r="1501">
      <c r="A1501" s="2" t="s">
        <v>5573</v>
      </c>
      <c r="B1501" s="2" t="s">
        <v>5155</v>
      </c>
      <c r="C1501" s="2" t="s">
        <v>5095</v>
      </c>
      <c r="D1501" s="2" t="s">
        <v>4216</v>
      </c>
      <c r="E1501" s="2" t="s">
        <v>5235</v>
      </c>
      <c r="F1501" s="2" t="s">
        <v>5539</v>
      </c>
      <c r="G1501" s="2" t="s">
        <v>5539</v>
      </c>
      <c r="H1501" s="2" t="s">
        <v>5539</v>
      </c>
      <c r="I1501" s="2" t="s">
        <v>5540</v>
      </c>
      <c r="J1501" s="2" t="s">
        <v>522</v>
      </c>
      <c r="K1501" s="2" t="s">
        <v>458</v>
      </c>
      <c r="L1501" s="3">
        <v>33.33</v>
      </c>
      <c r="M1501" s="3">
        <v>35</v>
      </c>
      <c r="N1501" s="3">
        <v>69.99</v>
      </c>
      <c r="O1501" s="2" t="s">
        <v>97</v>
      </c>
      <c r="P1501" s="2" t="s">
        <v>317</v>
      </c>
      <c r="Q1501" s="2" t="s">
        <v>99</v>
      </c>
      <c r="R1501" s="2" t="s">
        <v>100</v>
      </c>
      <c r="S1501" s="2" t="s">
        <v>5571</v>
      </c>
      <c r="T1501" s="2" t="s">
        <v>190</v>
      </c>
      <c r="U1501" s="2" t="s">
        <v>1776</v>
      </c>
      <c r="V1501" s="2" t="s">
        <v>461</v>
      </c>
      <c r="W1501" s="2" t="s">
        <v>609</v>
      </c>
      <c r="X1501" s="2" t="s">
        <v>100</v>
      </c>
      <c r="Y1501" s="2" t="s">
        <v>5550</v>
      </c>
      <c r="Z1501" s="4">
        <v>1770</v>
      </c>
      <c r="AA1501" s="4">
        <f>=ROUNDDOWN(32.1818181818182,0)</f>
      </c>
      <c r="AB1501" s="5">
        <v>55</v>
      </c>
      <c r="AC1501" s="2" t="s">
        <v>582</v>
      </c>
      <c r="AD1501" s="4">
        <v>50</v>
      </c>
      <c r="AE1501" s="4">
        <v>550</v>
      </c>
      <c r="AF1501" s="6">
        <v>64</v>
      </c>
      <c r="AG1501" s="6">
        <v>72</v>
      </c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100</v>
      </c>
      <c r="AW1501" s="8" t="s">
        <v>100</v>
      </c>
      <c r="AX1501" s="4" t="s">
        <v>100</v>
      </c>
      <c r="AY1501" s="8" t="s">
        <v>100</v>
      </c>
      <c r="AZ1501" s="7" t="s">
        <v>100</v>
      </c>
      <c r="BA1501" s="7" t="s">
        <v>100</v>
      </c>
      <c r="BB1501" s="7"/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/>
      <c r="BJ1501" s="4">
        <v>142</v>
      </c>
      <c r="BK1501" s="8">
        <v>5279.5</v>
      </c>
      <c r="BL1501" s="2" t="s">
        <v>4271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171</v>
      </c>
      <c r="BV1501" s="2" t="s">
        <v>97</v>
      </c>
      <c r="BW1501" s="2" t="s">
        <v>100</v>
      </c>
      <c r="BX1501" s="2" t="s">
        <v>100</v>
      </c>
      <c r="BY1501" s="2" t="s">
        <v>112</v>
      </c>
      <c r="BZ1501" s="2" t="s">
        <v>100</v>
      </c>
    </row>
    <row r="1502">
      <c r="A1502" s="2" t="s">
        <v>5574</v>
      </c>
      <c r="B1502" s="2" t="s">
        <v>5155</v>
      </c>
      <c r="C1502" s="2" t="s">
        <v>5095</v>
      </c>
      <c r="D1502" s="2" t="s">
        <v>4216</v>
      </c>
      <c r="E1502" s="2" t="s">
        <v>5235</v>
      </c>
      <c r="F1502" s="2" t="s">
        <v>5539</v>
      </c>
      <c r="G1502" s="2" t="s">
        <v>5539</v>
      </c>
      <c r="H1502" s="2" t="s">
        <v>5539</v>
      </c>
      <c r="I1502" s="2" t="s">
        <v>5540</v>
      </c>
      <c r="J1502" s="2" t="s">
        <v>114</v>
      </c>
      <c r="K1502" s="2" t="s">
        <v>458</v>
      </c>
      <c r="L1502" s="3">
        <v>38.09</v>
      </c>
      <c r="M1502" s="3">
        <v>39.99</v>
      </c>
      <c r="N1502" s="3">
        <v>79.99</v>
      </c>
      <c r="O1502" s="2" t="s">
        <v>97</v>
      </c>
      <c r="P1502" s="2" t="s">
        <v>317</v>
      </c>
      <c r="Q1502" s="2" t="s">
        <v>99</v>
      </c>
      <c r="R1502" s="2" t="s">
        <v>100</v>
      </c>
      <c r="S1502" s="2" t="s">
        <v>5571</v>
      </c>
      <c r="T1502" s="2" t="s">
        <v>190</v>
      </c>
      <c r="U1502" s="2" t="s">
        <v>1776</v>
      </c>
      <c r="V1502" s="2" t="s">
        <v>461</v>
      </c>
      <c r="W1502" s="2" t="s">
        <v>609</v>
      </c>
      <c r="X1502" s="2" t="s">
        <v>100</v>
      </c>
      <c r="Y1502" s="2" t="s">
        <v>5550</v>
      </c>
      <c r="Z1502" s="4">
        <v>1626</v>
      </c>
      <c r="AA1502" s="4">
        <f>=ROUNDDOWN(31.8823529411765,0)</f>
      </c>
      <c r="AB1502" s="5">
        <v>51</v>
      </c>
      <c r="AC1502" s="2" t="s">
        <v>582</v>
      </c>
      <c r="AD1502" s="4">
        <v>50</v>
      </c>
      <c r="AE1502" s="4">
        <v>450</v>
      </c>
      <c r="AF1502" s="6">
        <v>64</v>
      </c>
      <c r="AG1502" s="6">
        <v>72</v>
      </c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100</v>
      </c>
      <c r="AW1502" s="8" t="s">
        <v>100</v>
      </c>
      <c r="AX1502" s="4" t="s">
        <v>100</v>
      </c>
      <c r="AY1502" s="8" t="s">
        <v>100</v>
      </c>
      <c r="AZ1502" s="7" t="s">
        <v>100</v>
      </c>
      <c r="BA1502" s="7" t="s">
        <v>100</v>
      </c>
      <c r="BB1502" s="7"/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/>
      <c r="BJ1502" s="4">
        <v>173</v>
      </c>
      <c r="BK1502" s="8">
        <v>7290.6</v>
      </c>
      <c r="BL1502" s="2" t="s">
        <v>4271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171</v>
      </c>
      <c r="BV1502" s="2" t="s">
        <v>97</v>
      </c>
      <c r="BW1502" s="2" t="s">
        <v>100</v>
      </c>
      <c r="BX1502" s="2" t="s">
        <v>100</v>
      </c>
      <c r="BY1502" s="2" t="s">
        <v>112</v>
      </c>
      <c r="BZ1502" s="2" t="s">
        <v>100</v>
      </c>
    </row>
    <row r="1503">
      <c r="A1503" s="2" t="s">
        <v>5575</v>
      </c>
      <c r="B1503" s="2" t="s">
        <v>5155</v>
      </c>
      <c r="C1503" s="2" t="s">
        <v>88</v>
      </c>
      <c r="D1503" s="2" t="s">
        <v>4216</v>
      </c>
      <c r="E1503" s="2" t="s">
        <v>5235</v>
      </c>
      <c r="F1503" s="2" t="s">
        <v>5576</v>
      </c>
      <c r="G1503" s="2" t="s">
        <v>5576</v>
      </c>
      <c r="H1503" s="2" t="s">
        <v>5576</v>
      </c>
      <c r="I1503" s="2" t="s">
        <v>5235</v>
      </c>
      <c r="J1503" s="2" t="s">
        <v>1443</v>
      </c>
      <c r="K1503" s="2" t="s">
        <v>96</v>
      </c>
      <c r="L1503" s="3">
        <v>21.15</v>
      </c>
      <c r="M1503" s="3">
        <v>22.21</v>
      </c>
      <c r="N1503" s="3">
        <v>44.99</v>
      </c>
      <c r="O1503" s="2" t="s">
        <v>97</v>
      </c>
      <c r="P1503" s="2" t="s">
        <v>98</v>
      </c>
      <c r="Q1503" s="2" t="s">
        <v>99</v>
      </c>
      <c r="R1503" s="2" t="s">
        <v>100</v>
      </c>
      <c r="S1503" s="2" t="s">
        <v>5577</v>
      </c>
      <c r="T1503" s="2" t="s">
        <v>190</v>
      </c>
      <c r="U1503" s="2" t="s">
        <v>100</v>
      </c>
      <c r="V1503" s="2" t="s">
        <v>461</v>
      </c>
      <c r="W1503" s="2" t="s">
        <v>609</v>
      </c>
      <c r="X1503" s="2" t="s">
        <v>100</v>
      </c>
      <c r="Y1503" s="2" t="s">
        <v>144</v>
      </c>
      <c r="Z1503" s="4">
        <v>319</v>
      </c>
      <c r="AA1503" s="4">
        <f>=ROUNDDOWN(39.875,0)</f>
      </c>
      <c r="AB1503" s="5">
        <v>8</v>
      </c>
      <c r="AC1503" s="2" t="s">
        <v>2121</v>
      </c>
      <c r="AD1503" s="4">
        <v>150</v>
      </c>
      <c r="AE1503" s="4">
        <v>150</v>
      </c>
      <c r="AF1503" s="6">
        <v>69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>
        <v>45</v>
      </c>
      <c r="AW1503" s="8">
        <v>1355.01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/>
      <c r="BC1503" s="4">
        <v>111</v>
      </c>
      <c r="BD1503" s="8">
        <v>3134.28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>
        <v>0.4323</v>
      </c>
      <c r="BJ1503" s="4">
        <v>26</v>
      </c>
      <c r="BK1503" s="8">
        <v>545.31</v>
      </c>
      <c r="BL1503" s="2" t="s">
        <v>480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982</v>
      </c>
      <c r="BX1503" s="2" t="s">
        <v>4853</v>
      </c>
      <c r="BY1503" s="2" t="s">
        <v>112</v>
      </c>
      <c r="BZ1503" s="2" t="s">
        <v>100</v>
      </c>
    </row>
    <row r="1504">
      <c r="A1504" s="2" t="s">
        <v>5578</v>
      </c>
      <c r="B1504" s="2" t="s">
        <v>5155</v>
      </c>
      <c r="C1504" s="2" t="s">
        <v>88</v>
      </c>
      <c r="D1504" s="2" t="s">
        <v>4216</v>
      </c>
      <c r="E1504" s="2" t="s">
        <v>5235</v>
      </c>
      <c r="F1504" s="2" t="s">
        <v>5576</v>
      </c>
      <c r="G1504" s="2" t="s">
        <v>5576</v>
      </c>
      <c r="H1504" s="2" t="s">
        <v>5576</v>
      </c>
      <c r="I1504" s="2" t="s">
        <v>5235</v>
      </c>
      <c r="J1504" s="2" t="s">
        <v>522</v>
      </c>
      <c r="K1504" s="2" t="s">
        <v>96</v>
      </c>
      <c r="L1504" s="3">
        <v>26.4</v>
      </c>
      <c r="M1504" s="3">
        <v>27.72</v>
      </c>
      <c r="N1504" s="3">
        <v>54.99</v>
      </c>
      <c r="O1504" s="2" t="s">
        <v>97</v>
      </c>
      <c r="P1504" s="2" t="s">
        <v>98</v>
      </c>
      <c r="Q1504" s="2" t="s">
        <v>99</v>
      </c>
      <c r="R1504" s="2" t="s">
        <v>100</v>
      </c>
      <c r="S1504" s="2" t="s">
        <v>5577</v>
      </c>
      <c r="T1504" s="2" t="s">
        <v>190</v>
      </c>
      <c r="U1504" s="2" t="s">
        <v>100</v>
      </c>
      <c r="V1504" s="2" t="s">
        <v>461</v>
      </c>
      <c r="W1504" s="2" t="s">
        <v>609</v>
      </c>
      <c r="X1504" s="2" t="s">
        <v>100</v>
      </c>
      <c r="Y1504" s="2" t="s">
        <v>144</v>
      </c>
      <c r="Z1504" s="4">
        <v>699</v>
      </c>
      <c r="AA1504" s="4">
        <f>=ROUNDDOWN(15.195652173913,0)</f>
      </c>
      <c r="AB1504" s="5">
        <v>46</v>
      </c>
      <c r="AC1504" s="2" t="s">
        <v>2121</v>
      </c>
      <c r="AD1504" s="4">
        <v>200</v>
      </c>
      <c r="AE1504" s="4">
        <v>200</v>
      </c>
      <c r="AF1504" s="6">
        <v>69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21</v>
      </c>
      <c r="AQ1504" s="8">
        <v>571.41</v>
      </c>
      <c r="AR1504" s="4"/>
      <c r="AS1504" s="8"/>
      <c r="AT1504" s="7"/>
      <c r="AU1504" s="7"/>
      <c r="AV1504" s="4" t="s">
        <v>100</v>
      </c>
      <c r="AW1504" s="8" t="s">
        <v>100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>
        <v>0.4217</v>
      </c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 t="s">
        <v>100</v>
      </c>
      <c r="BJ1504" s="4">
        <v>127</v>
      </c>
      <c r="BK1504" s="8">
        <v>3427.48</v>
      </c>
      <c r="BL1504" s="2" t="s">
        <v>5579</v>
      </c>
      <c r="BM1504" s="7">
        <v>0.1654</v>
      </c>
      <c r="BN1504" s="7">
        <v>0.1667</v>
      </c>
      <c r="BO1504" s="4">
        <v>21</v>
      </c>
      <c r="BP1504" s="8">
        <v>571.41</v>
      </c>
      <c r="BQ1504" s="4"/>
      <c r="BR1504" s="8"/>
      <c r="BS1504" s="7"/>
      <c r="BT1504" s="7"/>
      <c r="BU1504" s="2" t="s">
        <v>109</v>
      </c>
      <c r="BV1504" s="2" t="s">
        <v>97</v>
      </c>
      <c r="BW1504" s="2" t="s">
        <v>982</v>
      </c>
      <c r="BX1504" s="2" t="s">
        <v>5580</v>
      </c>
      <c r="BY1504" s="2" t="s">
        <v>112</v>
      </c>
      <c r="BZ1504" s="2" t="s">
        <v>100</v>
      </c>
    </row>
    <row r="1505">
      <c r="A1505" s="2" t="s">
        <v>5581</v>
      </c>
      <c r="B1505" s="2" t="s">
        <v>5155</v>
      </c>
      <c r="C1505" s="2" t="s">
        <v>88</v>
      </c>
      <c r="D1505" s="2" t="s">
        <v>4216</v>
      </c>
      <c r="E1505" s="2" t="s">
        <v>5235</v>
      </c>
      <c r="F1505" s="2" t="s">
        <v>5576</v>
      </c>
      <c r="G1505" s="2" t="s">
        <v>5576</v>
      </c>
      <c r="H1505" s="2" t="s">
        <v>5576</v>
      </c>
      <c r="I1505" s="2" t="s">
        <v>5235</v>
      </c>
      <c r="J1505" s="2" t="s">
        <v>114</v>
      </c>
      <c r="K1505" s="2" t="s">
        <v>96</v>
      </c>
      <c r="L1505" s="3">
        <v>31.85</v>
      </c>
      <c r="M1505" s="3">
        <v>33.44</v>
      </c>
      <c r="N1505" s="3">
        <v>64.99</v>
      </c>
      <c r="O1505" s="2" t="s">
        <v>97</v>
      </c>
      <c r="P1505" s="2" t="s">
        <v>98</v>
      </c>
      <c r="Q1505" s="2" t="s">
        <v>99</v>
      </c>
      <c r="R1505" s="2" t="s">
        <v>100</v>
      </c>
      <c r="S1505" s="2" t="s">
        <v>5577</v>
      </c>
      <c r="T1505" s="2" t="s">
        <v>190</v>
      </c>
      <c r="U1505" s="2" t="s">
        <v>100</v>
      </c>
      <c r="V1505" s="2" t="s">
        <v>461</v>
      </c>
      <c r="W1505" s="2" t="s">
        <v>609</v>
      </c>
      <c r="X1505" s="2" t="s">
        <v>100</v>
      </c>
      <c r="Y1505" s="2" t="s">
        <v>144</v>
      </c>
      <c r="Z1505" s="4">
        <v>1089</v>
      </c>
      <c r="AA1505" s="4">
        <f>=ROUNDDOWN(29.4324324324324,0)</f>
      </c>
      <c r="AB1505" s="5">
        <v>37</v>
      </c>
      <c r="AC1505" s="2" t="s">
        <v>2121</v>
      </c>
      <c r="AD1505" s="4">
        <v>150</v>
      </c>
      <c r="AE1505" s="4">
        <v>150</v>
      </c>
      <c r="AF1505" s="6">
        <v>69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24</v>
      </c>
      <c r="AQ1505" s="8">
        <v>783.6</v>
      </c>
      <c r="AR1505" s="4"/>
      <c r="AS1505" s="8"/>
      <c r="AT1505" s="7"/>
      <c r="AU1505" s="7"/>
      <c r="AV1505" s="4" t="s">
        <v>100</v>
      </c>
      <c r="AW1505" s="8" t="s">
        <v>100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>
        <v>0.5783</v>
      </c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 t="s">
        <v>100</v>
      </c>
      <c r="BJ1505" s="4">
        <v>89</v>
      </c>
      <c r="BK1505" s="8">
        <v>2846.24</v>
      </c>
      <c r="BL1505" s="2" t="s">
        <v>5582</v>
      </c>
      <c r="BM1505" s="7">
        <v>0.2697</v>
      </c>
      <c r="BN1505" s="7">
        <v>0.2753</v>
      </c>
      <c r="BO1505" s="4">
        <v>24</v>
      </c>
      <c r="BP1505" s="8">
        <v>783.6</v>
      </c>
      <c r="BQ1505" s="4"/>
      <c r="BR1505" s="8"/>
      <c r="BS1505" s="7"/>
      <c r="BT1505" s="7"/>
      <c r="BU1505" s="2" t="s">
        <v>109</v>
      </c>
      <c r="BV1505" s="2" t="s">
        <v>97</v>
      </c>
      <c r="BW1505" s="2" t="s">
        <v>982</v>
      </c>
      <c r="BX1505" s="2" t="s">
        <v>4943</v>
      </c>
      <c r="BY1505" s="2" t="s">
        <v>112</v>
      </c>
      <c r="BZ1505" s="2" t="s">
        <v>100</v>
      </c>
    </row>
    <row r="1506">
      <c r="A1506" s="2" t="s">
        <v>5583</v>
      </c>
      <c r="B1506" s="2" t="s">
        <v>5155</v>
      </c>
      <c r="C1506" s="2" t="s">
        <v>88</v>
      </c>
      <c r="D1506" s="2" t="s">
        <v>4216</v>
      </c>
      <c r="E1506" s="2" t="s">
        <v>5235</v>
      </c>
      <c r="F1506" s="2" t="s">
        <v>5576</v>
      </c>
      <c r="G1506" s="2" t="s">
        <v>5576</v>
      </c>
      <c r="H1506" s="2" t="s">
        <v>5576</v>
      </c>
      <c r="I1506" s="2" t="s">
        <v>5235</v>
      </c>
      <c r="J1506" s="2" t="s">
        <v>1443</v>
      </c>
      <c r="K1506" s="2" t="s">
        <v>1173</v>
      </c>
      <c r="L1506" s="3">
        <v>21.15</v>
      </c>
      <c r="M1506" s="3">
        <v>22.21</v>
      </c>
      <c r="N1506" s="3">
        <v>44.99</v>
      </c>
      <c r="O1506" s="2" t="s">
        <v>97</v>
      </c>
      <c r="P1506" s="2" t="s">
        <v>98</v>
      </c>
      <c r="Q1506" s="2" t="s">
        <v>99</v>
      </c>
      <c r="R1506" s="2" t="s">
        <v>100</v>
      </c>
      <c r="S1506" s="2" t="s">
        <v>5584</v>
      </c>
      <c r="T1506" s="2" t="s">
        <v>190</v>
      </c>
      <c r="U1506" s="2" t="s">
        <v>100</v>
      </c>
      <c r="V1506" s="2" t="s">
        <v>461</v>
      </c>
      <c r="W1506" s="2" t="s">
        <v>609</v>
      </c>
      <c r="X1506" s="2" t="s">
        <v>100</v>
      </c>
      <c r="Y1506" s="2" t="s">
        <v>144</v>
      </c>
      <c r="Z1506" s="4">
        <v>445</v>
      </c>
      <c r="AA1506" s="4">
        <f>=ROUNDDOWN(19.017094017094,0)</f>
      </c>
      <c r="AB1506" s="5">
        <v>23.4</v>
      </c>
      <c r="AC1506" s="2" t="s">
        <v>2779</v>
      </c>
      <c r="AD1506" s="4">
        <v>300</v>
      </c>
      <c r="AE1506" s="4">
        <v>300</v>
      </c>
      <c r="AF1506" s="6">
        <v>69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22</v>
      </c>
      <c r="AQ1506" s="8">
        <v>478.72</v>
      </c>
      <c r="AR1506" s="4"/>
      <c r="AS1506" s="8"/>
      <c r="AT1506" s="7"/>
      <c r="AU1506" s="7"/>
      <c r="AV1506" s="4">
        <v>35</v>
      </c>
      <c r="AW1506" s="8">
        <v>881.41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>
        <v>0.5431</v>
      </c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>
        <v>0.2812</v>
      </c>
      <c r="BJ1506" s="4">
        <v>76</v>
      </c>
      <c r="BK1506" s="8">
        <v>1610.67</v>
      </c>
      <c r="BL1506" s="2" t="s">
        <v>5585</v>
      </c>
      <c r="BM1506" s="7">
        <v>0.2895</v>
      </c>
      <c r="BN1506" s="7">
        <v>0.2972</v>
      </c>
      <c r="BO1506" s="4">
        <v>22</v>
      </c>
      <c r="BP1506" s="8">
        <v>478.72</v>
      </c>
      <c r="BQ1506" s="4"/>
      <c r="BR1506" s="8"/>
      <c r="BS1506" s="7"/>
      <c r="BT1506" s="7"/>
      <c r="BU1506" s="2" t="s">
        <v>109</v>
      </c>
      <c r="BV1506" s="2" t="s">
        <v>97</v>
      </c>
      <c r="BW1506" s="2" t="s">
        <v>982</v>
      </c>
      <c r="BX1506" s="2" t="s">
        <v>503</v>
      </c>
      <c r="BY1506" s="2" t="s">
        <v>112</v>
      </c>
      <c r="BZ1506" s="2" t="s">
        <v>100</v>
      </c>
    </row>
    <row r="1507">
      <c r="A1507" s="2" t="s">
        <v>5586</v>
      </c>
      <c r="B1507" s="2" t="s">
        <v>5155</v>
      </c>
      <c r="C1507" s="2" t="s">
        <v>88</v>
      </c>
      <c r="D1507" s="2" t="s">
        <v>4216</v>
      </c>
      <c r="E1507" s="2" t="s">
        <v>5235</v>
      </c>
      <c r="F1507" s="2" t="s">
        <v>5576</v>
      </c>
      <c r="G1507" s="2" t="s">
        <v>5576</v>
      </c>
      <c r="H1507" s="2" t="s">
        <v>5576</v>
      </c>
      <c r="I1507" s="2" t="s">
        <v>5235</v>
      </c>
      <c r="J1507" s="2" t="s">
        <v>522</v>
      </c>
      <c r="K1507" s="2" t="s">
        <v>1173</v>
      </c>
      <c r="L1507" s="3">
        <v>26.4</v>
      </c>
      <c r="M1507" s="3">
        <v>27.72</v>
      </c>
      <c r="N1507" s="3">
        <v>54.99</v>
      </c>
      <c r="O1507" s="2" t="s">
        <v>97</v>
      </c>
      <c r="P1507" s="2" t="s">
        <v>98</v>
      </c>
      <c r="Q1507" s="2" t="s">
        <v>99</v>
      </c>
      <c r="R1507" s="2" t="s">
        <v>100</v>
      </c>
      <c r="S1507" s="2" t="s">
        <v>5584</v>
      </c>
      <c r="T1507" s="2" t="s">
        <v>190</v>
      </c>
      <c r="U1507" s="2" t="s">
        <v>100</v>
      </c>
      <c r="V1507" s="2" t="s">
        <v>461</v>
      </c>
      <c r="W1507" s="2" t="s">
        <v>609</v>
      </c>
      <c r="X1507" s="2" t="s">
        <v>100</v>
      </c>
      <c r="Y1507" s="2" t="s">
        <v>144</v>
      </c>
      <c r="Z1507" s="4">
        <v>1549</v>
      </c>
      <c r="AA1507" s="4">
        <f>=ROUNDDOWN(53.4137931034483,0)</f>
      </c>
      <c r="AB1507" s="5">
        <v>29</v>
      </c>
      <c r="AC1507" s="2" t="s">
        <v>100</v>
      </c>
      <c r="AD1507" s="4"/>
      <c r="AE1507" s="4"/>
      <c r="AF1507" s="6">
        <v>69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4</v>
      </c>
      <c r="AQ1507" s="8">
        <v>108.84</v>
      </c>
      <c r="AR1507" s="4"/>
      <c r="AS1507" s="8"/>
      <c r="AT1507" s="7"/>
      <c r="AU1507" s="7"/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>
        <v>0.1235</v>
      </c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 t="s">
        <v>100</v>
      </c>
      <c r="BJ1507" s="4">
        <v>65</v>
      </c>
      <c r="BK1507" s="8">
        <v>1725.7</v>
      </c>
      <c r="BL1507" s="2" t="s">
        <v>5587</v>
      </c>
      <c r="BM1507" s="7">
        <v>0.0615</v>
      </c>
      <c r="BN1507" s="7">
        <v>0.0631</v>
      </c>
      <c r="BO1507" s="4">
        <v>4</v>
      </c>
      <c r="BP1507" s="8">
        <v>108.84</v>
      </c>
      <c r="BQ1507" s="4"/>
      <c r="BR1507" s="8"/>
      <c r="BS1507" s="7"/>
      <c r="BT1507" s="7"/>
      <c r="BU1507" s="2" t="s">
        <v>109</v>
      </c>
      <c r="BV1507" s="2" t="s">
        <v>97</v>
      </c>
      <c r="BW1507" s="2" t="s">
        <v>982</v>
      </c>
      <c r="BX1507" s="2" t="s">
        <v>5588</v>
      </c>
      <c r="BY1507" s="2" t="s">
        <v>112</v>
      </c>
      <c r="BZ1507" s="2" t="s">
        <v>100</v>
      </c>
    </row>
    <row r="1508">
      <c r="A1508" s="2" t="s">
        <v>5589</v>
      </c>
      <c r="B1508" s="2" t="s">
        <v>5155</v>
      </c>
      <c r="C1508" s="2" t="s">
        <v>88</v>
      </c>
      <c r="D1508" s="2" t="s">
        <v>4216</v>
      </c>
      <c r="E1508" s="2" t="s">
        <v>5235</v>
      </c>
      <c r="F1508" s="2" t="s">
        <v>5576</v>
      </c>
      <c r="G1508" s="2" t="s">
        <v>5576</v>
      </c>
      <c r="H1508" s="2" t="s">
        <v>5576</v>
      </c>
      <c r="I1508" s="2" t="s">
        <v>5235</v>
      </c>
      <c r="J1508" s="2" t="s">
        <v>114</v>
      </c>
      <c r="K1508" s="2" t="s">
        <v>1173</v>
      </c>
      <c r="L1508" s="3">
        <v>31.85</v>
      </c>
      <c r="M1508" s="3">
        <v>33.44</v>
      </c>
      <c r="N1508" s="3">
        <v>64.99</v>
      </c>
      <c r="O1508" s="2" t="s">
        <v>97</v>
      </c>
      <c r="P1508" s="2" t="s">
        <v>98</v>
      </c>
      <c r="Q1508" s="2" t="s">
        <v>99</v>
      </c>
      <c r="R1508" s="2" t="s">
        <v>100</v>
      </c>
      <c r="S1508" s="2" t="s">
        <v>5584</v>
      </c>
      <c r="T1508" s="2" t="s">
        <v>190</v>
      </c>
      <c r="U1508" s="2" t="s">
        <v>100</v>
      </c>
      <c r="V1508" s="2" t="s">
        <v>461</v>
      </c>
      <c r="W1508" s="2" t="s">
        <v>609</v>
      </c>
      <c r="X1508" s="2" t="s">
        <v>100</v>
      </c>
      <c r="Y1508" s="2" t="s">
        <v>144</v>
      </c>
      <c r="Z1508" s="4">
        <v>633</v>
      </c>
      <c r="AA1508" s="4">
        <f>=ROUNDDOWN(24.4401544401544,0)</f>
      </c>
      <c r="AB1508" s="5">
        <v>25.9</v>
      </c>
      <c r="AC1508" s="2" t="s">
        <v>2779</v>
      </c>
      <c r="AD1508" s="4">
        <v>200</v>
      </c>
      <c r="AE1508" s="4">
        <v>200</v>
      </c>
      <c r="AF1508" s="6">
        <v>69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9</v>
      </c>
      <c r="AQ1508" s="8">
        <v>293.85</v>
      </c>
      <c r="AR1508" s="4"/>
      <c r="AS1508" s="8"/>
      <c r="AT1508" s="7"/>
      <c r="AU1508" s="7"/>
      <c r="AV1508" s="4" t="s">
        <v>100</v>
      </c>
      <c r="AW1508" s="8" t="s">
        <v>100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>
        <v>0.3334</v>
      </c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 t="s">
        <v>100</v>
      </c>
      <c r="BJ1508" s="4">
        <v>69</v>
      </c>
      <c r="BK1508" s="8">
        <v>2175.84</v>
      </c>
      <c r="BL1508" s="2" t="s">
        <v>1525</v>
      </c>
      <c r="BM1508" s="7">
        <v>0.1304</v>
      </c>
      <c r="BN1508" s="7">
        <v>0.1351</v>
      </c>
      <c r="BO1508" s="4">
        <v>9</v>
      </c>
      <c r="BP1508" s="8">
        <v>293.85</v>
      </c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982</v>
      </c>
      <c r="BX1508" s="2" t="s">
        <v>4945</v>
      </c>
      <c r="BY1508" s="2" t="s">
        <v>112</v>
      </c>
      <c r="BZ1508" s="2" t="s">
        <v>100</v>
      </c>
    </row>
    <row r="1509">
      <c r="A1509" s="2" t="s">
        <v>5590</v>
      </c>
      <c r="B1509" s="2" t="s">
        <v>5155</v>
      </c>
      <c r="C1509" s="2" t="s">
        <v>88</v>
      </c>
      <c r="D1509" s="2" t="s">
        <v>4216</v>
      </c>
      <c r="E1509" s="2" t="s">
        <v>5235</v>
      </c>
      <c r="F1509" s="2" t="s">
        <v>5576</v>
      </c>
      <c r="G1509" s="2" t="s">
        <v>5576</v>
      </c>
      <c r="H1509" s="2" t="s">
        <v>5576</v>
      </c>
      <c r="I1509" s="2" t="s">
        <v>5235</v>
      </c>
      <c r="J1509" s="2" t="s">
        <v>1443</v>
      </c>
      <c r="K1509" s="2" t="s">
        <v>1373</v>
      </c>
      <c r="L1509" s="3">
        <v>21.15</v>
      </c>
      <c r="M1509" s="3">
        <v>22.21</v>
      </c>
      <c r="N1509" s="3">
        <v>44.99</v>
      </c>
      <c r="O1509" s="2" t="s">
        <v>97</v>
      </c>
      <c r="P1509" s="2" t="s">
        <v>98</v>
      </c>
      <c r="Q1509" s="2" t="s">
        <v>99</v>
      </c>
      <c r="R1509" s="2" t="s">
        <v>100</v>
      </c>
      <c r="S1509" s="2" t="s">
        <v>5591</v>
      </c>
      <c r="T1509" s="2" t="s">
        <v>190</v>
      </c>
      <c r="U1509" s="2" t="s">
        <v>100</v>
      </c>
      <c r="V1509" s="2" t="s">
        <v>461</v>
      </c>
      <c r="W1509" s="2" t="s">
        <v>609</v>
      </c>
      <c r="X1509" s="2" t="s">
        <v>100</v>
      </c>
      <c r="Y1509" s="2" t="s">
        <v>144</v>
      </c>
      <c r="Z1509" s="4">
        <v>454</v>
      </c>
      <c r="AA1509" s="4">
        <f>=ROUNDDOWN(32.4285714285714,0)</f>
      </c>
      <c r="AB1509" s="5">
        <v>14</v>
      </c>
      <c r="AC1509" s="2" t="s">
        <v>100</v>
      </c>
      <c r="AD1509" s="4"/>
      <c r="AE1509" s="4"/>
      <c r="AF1509" s="6">
        <v>69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5</v>
      </c>
      <c r="AQ1509" s="8">
        <v>108.8</v>
      </c>
      <c r="AR1509" s="4"/>
      <c r="AS1509" s="8"/>
      <c r="AT1509" s="7"/>
      <c r="AU1509" s="7"/>
      <c r="AV1509" s="4">
        <v>12</v>
      </c>
      <c r="AW1509" s="8">
        <v>310.15</v>
      </c>
      <c r="AX1509" s="4" t="s">
        <v>100</v>
      </c>
      <c r="AY1509" s="8" t="s">
        <v>100</v>
      </c>
      <c r="AZ1509" s="7" t="s">
        <v>100</v>
      </c>
      <c r="BA1509" s="7" t="s">
        <v>100</v>
      </c>
      <c r="BB1509" s="7">
        <v>0.3508</v>
      </c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>
        <v>0.099</v>
      </c>
      <c r="BJ1509" s="4">
        <v>54</v>
      </c>
      <c r="BK1509" s="8">
        <v>1146.19</v>
      </c>
      <c r="BL1509" s="2" t="s">
        <v>5592</v>
      </c>
      <c r="BM1509" s="7">
        <v>0.0926</v>
      </c>
      <c r="BN1509" s="7">
        <v>0.0949</v>
      </c>
      <c r="BO1509" s="4">
        <v>5</v>
      </c>
      <c r="BP1509" s="8">
        <v>108.8</v>
      </c>
      <c r="BQ1509" s="4"/>
      <c r="BR1509" s="8"/>
      <c r="BS1509" s="7"/>
      <c r="BT1509" s="7"/>
      <c r="BU1509" s="2" t="s">
        <v>109</v>
      </c>
      <c r="BV1509" s="2" t="s">
        <v>97</v>
      </c>
      <c r="BW1509" s="2" t="s">
        <v>982</v>
      </c>
      <c r="BX1509" s="2" t="s">
        <v>5179</v>
      </c>
      <c r="BY1509" s="2" t="s">
        <v>112</v>
      </c>
      <c r="BZ1509" s="2" t="s">
        <v>100</v>
      </c>
    </row>
    <row r="1510">
      <c r="A1510" s="2" t="s">
        <v>5593</v>
      </c>
      <c r="B1510" s="2" t="s">
        <v>5155</v>
      </c>
      <c r="C1510" s="2" t="s">
        <v>88</v>
      </c>
      <c r="D1510" s="2" t="s">
        <v>4216</v>
      </c>
      <c r="E1510" s="2" t="s">
        <v>5235</v>
      </c>
      <c r="F1510" s="2" t="s">
        <v>5576</v>
      </c>
      <c r="G1510" s="2" t="s">
        <v>5576</v>
      </c>
      <c r="H1510" s="2" t="s">
        <v>5576</v>
      </c>
      <c r="I1510" s="2" t="s">
        <v>5235</v>
      </c>
      <c r="J1510" s="2" t="s">
        <v>522</v>
      </c>
      <c r="K1510" s="2" t="s">
        <v>1373</v>
      </c>
      <c r="L1510" s="3">
        <v>26.4</v>
      </c>
      <c r="M1510" s="3">
        <v>27.72</v>
      </c>
      <c r="N1510" s="3">
        <v>54.99</v>
      </c>
      <c r="O1510" s="2" t="s">
        <v>97</v>
      </c>
      <c r="P1510" s="2" t="s">
        <v>98</v>
      </c>
      <c r="Q1510" s="2" t="s">
        <v>99</v>
      </c>
      <c r="R1510" s="2" t="s">
        <v>100</v>
      </c>
      <c r="S1510" s="2" t="s">
        <v>5591</v>
      </c>
      <c r="T1510" s="2" t="s">
        <v>190</v>
      </c>
      <c r="U1510" s="2" t="s">
        <v>100</v>
      </c>
      <c r="V1510" s="2" t="s">
        <v>461</v>
      </c>
      <c r="W1510" s="2" t="s">
        <v>609</v>
      </c>
      <c r="X1510" s="2" t="s">
        <v>100</v>
      </c>
      <c r="Y1510" s="2" t="s">
        <v>144</v>
      </c>
      <c r="Z1510" s="4">
        <v>1337</v>
      </c>
      <c r="AA1510" s="4">
        <f>=ROUNDDOWN(51.4230769230769,0)</f>
      </c>
      <c r="AB1510" s="5">
        <v>26</v>
      </c>
      <c r="AC1510" s="2" t="s">
        <v>100</v>
      </c>
      <c r="AD1510" s="4"/>
      <c r="AE1510" s="4"/>
      <c r="AF1510" s="6">
        <v>69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5</v>
      </c>
      <c r="AQ1510" s="8">
        <v>136.05</v>
      </c>
      <c r="AR1510" s="4"/>
      <c r="AS1510" s="8"/>
      <c r="AT1510" s="7"/>
      <c r="AU1510" s="7"/>
      <c r="AV1510" s="4" t="s">
        <v>100</v>
      </c>
      <c r="AW1510" s="8" t="s">
        <v>100</v>
      </c>
      <c r="AX1510" s="4" t="s">
        <v>100</v>
      </c>
      <c r="AY1510" s="8" t="s">
        <v>100</v>
      </c>
      <c r="AZ1510" s="7" t="s">
        <v>100</v>
      </c>
      <c r="BA1510" s="7" t="s">
        <v>100</v>
      </c>
      <c r="BB1510" s="7">
        <v>0.4387</v>
      </c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 t="s">
        <v>100</v>
      </c>
      <c r="BJ1510" s="4">
        <v>34</v>
      </c>
      <c r="BK1510" s="8">
        <v>891.92</v>
      </c>
      <c r="BL1510" s="2" t="s">
        <v>5594</v>
      </c>
      <c r="BM1510" s="7">
        <v>0.1471</v>
      </c>
      <c r="BN1510" s="7">
        <v>0.1525</v>
      </c>
      <c r="BO1510" s="4">
        <v>5</v>
      </c>
      <c r="BP1510" s="8">
        <v>136.05</v>
      </c>
      <c r="BQ1510" s="4"/>
      <c r="BR1510" s="8"/>
      <c r="BS1510" s="7"/>
      <c r="BT1510" s="7"/>
      <c r="BU1510" s="2" t="s">
        <v>109</v>
      </c>
      <c r="BV1510" s="2" t="s">
        <v>97</v>
      </c>
      <c r="BW1510" s="2" t="s">
        <v>982</v>
      </c>
      <c r="BX1510" s="2" t="s">
        <v>5595</v>
      </c>
      <c r="BY1510" s="2" t="s">
        <v>112</v>
      </c>
      <c r="BZ1510" s="2" t="s">
        <v>100</v>
      </c>
    </row>
    <row r="1511">
      <c r="A1511" s="2" t="s">
        <v>5596</v>
      </c>
      <c r="B1511" s="2" t="s">
        <v>5155</v>
      </c>
      <c r="C1511" s="2" t="s">
        <v>88</v>
      </c>
      <c r="D1511" s="2" t="s">
        <v>4216</v>
      </c>
      <c r="E1511" s="2" t="s">
        <v>5235</v>
      </c>
      <c r="F1511" s="2" t="s">
        <v>5576</v>
      </c>
      <c r="G1511" s="2" t="s">
        <v>5576</v>
      </c>
      <c r="H1511" s="2" t="s">
        <v>5576</v>
      </c>
      <c r="I1511" s="2" t="s">
        <v>5235</v>
      </c>
      <c r="J1511" s="2" t="s">
        <v>114</v>
      </c>
      <c r="K1511" s="2" t="s">
        <v>1373</v>
      </c>
      <c r="L1511" s="3">
        <v>31.85</v>
      </c>
      <c r="M1511" s="3">
        <v>33.44</v>
      </c>
      <c r="N1511" s="3">
        <v>64.99</v>
      </c>
      <c r="O1511" s="2" t="s">
        <v>97</v>
      </c>
      <c r="P1511" s="2" t="s">
        <v>98</v>
      </c>
      <c r="Q1511" s="2" t="s">
        <v>99</v>
      </c>
      <c r="R1511" s="2" t="s">
        <v>100</v>
      </c>
      <c r="S1511" s="2" t="s">
        <v>5591</v>
      </c>
      <c r="T1511" s="2" t="s">
        <v>190</v>
      </c>
      <c r="U1511" s="2" t="s">
        <v>100</v>
      </c>
      <c r="V1511" s="2" t="s">
        <v>461</v>
      </c>
      <c r="W1511" s="2" t="s">
        <v>609</v>
      </c>
      <c r="X1511" s="2" t="s">
        <v>100</v>
      </c>
      <c r="Y1511" s="2" t="s">
        <v>144</v>
      </c>
      <c r="Z1511" s="4">
        <v>932</v>
      </c>
      <c r="AA1511" s="4">
        <f>=ROUNDDOWN(44.3809523809524,0)</f>
      </c>
      <c r="AB1511" s="5">
        <v>21</v>
      </c>
      <c r="AC1511" s="2" t="s">
        <v>100</v>
      </c>
      <c r="AD1511" s="4"/>
      <c r="AE1511" s="4"/>
      <c r="AF1511" s="6">
        <v>69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2</v>
      </c>
      <c r="AQ1511" s="8">
        <v>65.3</v>
      </c>
      <c r="AR1511" s="4"/>
      <c r="AS1511" s="8"/>
      <c r="AT1511" s="7"/>
      <c r="AU1511" s="7"/>
      <c r="AV1511" s="4" t="s">
        <v>100</v>
      </c>
      <c r="AW1511" s="8" t="s">
        <v>100</v>
      </c>
      <c r="AX1511" s="4" t="s">
        <v>100</v>
      </c>
      <c r="AY1511" s="8" t="s">
        <v>100</v>
      </c>
      <c r="AZ1511" s="7" t="s">
        <v>100</v>
      </c>
      <c r="BA1511" s="7" t="s">
        <v>100</v>
      </c>
      <c r="BB1511" s="7">
        <v>0.2105</v>
      </c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 t="s">
        <v>100</v>
      </c>
      <c r="BJ1511" s="4">
        <v>52</v>
      </c>
      <c r="BK1511" s="8">
        <v>1651.01</v>
      </c>
      <c r="BL1511" s="2" t="s">
        <v>5597</v>
      </c>
      <c r="BM1511" s="7">
        <v>0.0385</v>
      </c>
      <c r="BN1511" s="7">
        <v>0.0396</v>
      </c>
      <c r="BO1511" s="4">
        <v>2</v>
      </c>
      <c r="BP1511" s="8">
        <v>65.3</v>
      </c>
      <c r="BQ1511" s="4"/>
      <c r="BR1511" s="8"/>
      <c r="BS1511" s="7"/>
      <c r="BT1511" s="7"/>
      <c r="BU1511" s="2" t="s">
        <v>109</v>
      </c>
      <c r="BV1511" s="2" t="s">
        <v>97</v>
      </c>
      <c r="BW1511" s="2" t="s">
        <v>982</v>
      </c>
      <c r="BX1511" s="2" t="s">
        <v>5598</v>
      </c>
      <c r="BY1511" s="2" t="s">
        <v>112</v>
      </c>
      <c r="BZ1511" s="2" t="s">
        <v>100</v>
      </c>
    </row>
    <row r="1512">
      <c r="A1512" s="2" t="s">
        <v>5599</v>
      </c>
      <c r="B1512" s="2" t="s">
        <v>5155</v>
      </c>
      <c r="C1512" s="2" t="s">
        <v>88</v>
      </c>
      <c r="D1512" s="2" t="s">
        <v>4216</v>
      </c>
      <c r="E1512" s="2" t="s">
        <v>5235</v>
      </c>
      <c r="F1512" s="2" t="s">
        <v>5576</v>
      </c>
      <c r="G1512" s="2" t="s">
        <v>5576</v>
      </c>
      <c r="H1512" s="2" t="s">
        <v>5576</v>
      </c>
      <c r="I1512" s="2" t="s">
        <v>5235</v>
      </c>
      <c r="J1512" s="2" t="s">
        <v>1443</v>
      </c>
      <c r="K1512" s="2" t="s">
        <v>458</v>
      </c>
      <c r="L1512" s="3">
        <v>21.15</v>
      </c>
      <c r="M1512" s="3">
        <v>22.21</v>
      </c>
      <c r="N1512" s="3">
        <v>44.99</v>
      </c>
      <c r="O1512" s="2" t="s">
        <v>97</v>
      </c>
      <c r="P1512" s="2" t="s">
        <v>98</v>
      </c>
      <c r="Q1512" s="2" t="s">
        <v>99</v>
      </c>
      <c r="R1512" s="2" t="s">
        <v>100</v>
      </c>
      <c r="S1512" s="2" t="s">
        <v>5600</v>
      </c>
      <c r="T1512" s="2" t="s">
        <v>190</v>
      </c>
      <c r="U1512" s="2" t="s">
        <v>100</v>
      </c>
      <c r="V1512" s="2" t="s">
        <v>461</v>
      </c>
      <c r="W1512" s="2" t="s">
        <v>609</v>
      </c>
      <c r="X1512" s="2" t="s">
        <v>100</v>
      </c>
      <c r="Y1512" s="2" t="s">
        <v>144</v>
      </c>
      <c r="Z1512" s="4">
        <v>666</v>
      </c>
      <c r="AA1512" s="4">
        <f>=ROUNDDOWN(33.3,0)</f>
      </c>
      <c r="AB1512" s="5">
        <v>20</v>
      </c>
      <c r="AC1512" s="2" t="s">
        <v>2121</v>
      </c>
      <c r="AD1512" s="4">
        <v>30</v>
      </c>
      <c r="AE1512" s="4">
        <v>30</v>
      </c>
      <c r="AF1512" s="6">
        <v>69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>
        <v>8</v>
      </c>
      <c r="AW1512" s="8">
        <v>261.2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/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>
        <v>0.0833</v>
      </c>
      <c r="BJ1512" s="4">
        <v>58</v>
      </c>
      <c r="BK1512" s="8">
        <v>1268.95</v>
      </c>
      <c r="BL1512" s="2" t="s">
        <v>2404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109</v>
      </c>
      <c r="BV1512" s="2" t="s">
        <v>97</v>
      </c>
      <c r="BW1512" s="2" t="s">
        <v>982</v>
      </c>
      <c r="BX1512" s="2" t="s">
        <v>1886</v>
      </c>
      <c r="BY1512" s="2" t="s">
        <v>112</v>
      </c>
      <c r="BZ1512" s="2" t="s">
        <v>100</v>
      </c>
    </row>
    <row r="1513">
      <c r="A1513" s="2" t="s">
        <v>5601</v>
      </c>
      <c r="B1513" s="2" t="s">
        <v>5155</v>
      </c>
      <c r="C1513" s="2" t="s">
        <v>88</v>
      </c>
      <c r="D1513" s="2" t="s">
        <v>4216</v>
      </c>
      <c r="E1513" s="2" t="s">
        <v>5235</v>
      </c>
      <c r="F1513" s="2" t="s">
        <v>5576</v>
      </c>
      <c r="G1513" s="2" t="s">
        <v>5576</v>
      </c>
      <c r="H1513" s="2" t="s">
        <v>5576</v>
      </c>
      <c r="I1513" s="2" t="s">
        <v>5235</v>
      </c>
      <c r="J1513" s="2" t="s">
        <v>522</v>
      </c>
      <c r="K1513" s="2" t="s">
        <v>458</v>
      </c>
      <c r="L1513" s="3">
        <v>26.4</v>
      </c>
      <c r="M1513" s="3">
        <v>27.72</v>
      </c>
      <c r="N1513" s="3">
        <v>54.99</v>
      </c>
      <c r="O1513" s="2" t="s">
        <v>97</v>
      </c>
      <c r="P1513" s="2" t="s">
        <v>98</v>
      </c>
      <c r="Q1513" s="2" t="s">
        <v>99</v>
      </c>
      <c r="R1513" s="2" t="s">
        <v>100</v>
      </c>
      <c r="S1513" s="2" t="s">
        <v>5600</v>
      </c>
      <c r="T1513" s="2" t="s">
        <v>190</v>
      </c>
      <c r="U1513" s="2" t="s">
        <v>100</v>
      </c>
      <c r="V1513" s="2" t="s">
        <v>461</v>
      </c>
      <c r="W1513" s="2" t="s">
        <v>609</v>
      </c>
      <c r="X1513" s="2" t="s">
        <v>100</v>
      </c>
      <c r="Y1513" s="2" t="s">
        <v>144</v>
      </c>
      <c r="Z1513" s="4">
        <v>1271</v>
      </c>
      <c r="AA1513" s="4">
        <f>=ROUNDDOWN(38.5151515151515,0)</f>
      </c>
      <c r="AB1513" s="5">
        <v>33</v>
      </c>
      <c r="AC1513" s="2" t="s">
        <v>2121</v>
      </c>
      <c r="AD1513" s="4">
        <v>140</v>
      </c>
      <c r="AE1513" s="4">
        <v>140</v>
      </c>
      <c r="AF1513" s="6">
        <v>69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100</v>
      </c>
      <c r="AW1513" s="8" t="s">
        <v>100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/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 t="s">
        <v>100</v>
      </c>
      <c r="BJ1513" s="4">
        <v>62</v>
      </c>
      <c r="BK1513" s="8">
        <v>1669.19</v>
      </c>
      <c r="BL1513" s="2" t="s">
        <v>5602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982</v>
      </c>
      <c r="BX1513" s="2" t="s">
        <v>5588</v>
      </c>
      <c r="BY1513" s="2" t="s">
        <v>112</v>
      </c>
      <c r="BZ1513" s="2" t="s">
        <v>100</v>
      </c>
    </row>
    <row r="1514">
      <c r="A1514" s="2" t="s">
        <v>5603</v>
      </c>
      <c r="B1514" s="2" t="s">
        <v>5155</v>
      </c>
      <c r="C1514" s="2" t="s">
        <v>88</v>
      </c>
      <c r="D1514" s="2" t="s">
        <v>4216</v>
      </c>
      <c r="E1514" s="2" t="s">
        <v>5235</v>
      </c>
      <c r="F1514" s="2" t="s">
        <v>5576</v>
      </c>
      <c r="G1514" s="2" t="s">
        <v>5576</v>
      </c>
      <c r="H1514" s="2" t="s">
        <v>5576</v>
      </c>
      <c r="I1514" s="2" t="s">
        <v>5235</v>
      </c>
      <c r="J1514" s="2" t="s">
        <v>114</v>
      </c>
      <c r="K1514" s="2" t="s">
        <v>458</v>
      </c>
      <c r="L1514" s="3">
        <v>31.85</v>
      </c>
      <c r="M1514" s="3">
        <v>33.44</v>
      </c>
      <c r="N1514" s="3">
        <v>64.99</v>
      </c>
      <c r="O1514" s="2" t="s">
        <v>97</v>
      </c>
      <c r="P1514" s="2" t="s">
        <v>98</v>
      </c>
      <c r="Q1514" s="2" t="s">
        <v>99</v>
      </c>
      <c r="R1514" s="2" t="s">
        <v>100</v>
      </c>
      <c r="S1514" s="2" t="s">
        <v>5600</v>
      </c>
      <c r="T1514" s="2" t="s">
        <v>190</v>
      </c>
      <c r="U1514" s="2" t="s">
        <v>100</v>
      </c>
      <c r="V1514" s="2" t="s">
        <v>461</v>
      </c>
      <c r="W1514" s="2" t="s">
        <v>609</v>
      </c>
      <c r="X1514" s="2" t="s">
        <v>100</v>
      </c>
      <c r="Y1514" s="2" t="s">
        <v>144</v>
      </c>
      <c r="Z1514" s="4">
        <v>1205</v>
      </c>
      <c r="AA1514" s="4">
        <f>=ROUNDDOWN(30.125,0)</f>
      </c>
      <c r="AB1514" s="5">
        <v>40</v>
      </c>
      <c r="AC1514" s="2" t="s">
        <v>2121</v>
      </c>
      <c r="AD1514" s="4">
        <v>330</v>
      </c>
      <c r="AE1514" s="4">
        <v>330</v>
      </c>
      <c r="AF1514" s="6">
        <v>69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8</v>
      </c>
      <c r="AQ1514" s="8">
        <v>261.2</v>
      </c>
      <c r="AR1514" s="4"/>
      <c r="AS1514" s="8"/>
      <c r="AT1514" s="7"/>
      <c r="AU1514" s="7"/>
      <c r="AV1514" s="4" t="s">
        <v>100</v>
      </c>
      <c r="AW1514" s="8" t="s">
        <v>100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>
        <v>1</v>
      </c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 t="s">
        <v>100</v>
      </c>
      <c r="BJ1514" s="4">
        <v>142</v>
      </c>
      <c r="BK1514" s="8">
        <v>4532.63</v>
      </c>
      <c r="BL1514" s="2" t="s">
        <v>1960</v>
      </c>
      <c r="BM1514" s="7">
        <v>0.0563</v>
      </c>
      <c r="BN1514" s="7">
        <v>0.0576</v>
      </c>
      <c r="BO1514" s="4">
        <v>8</v>
      </c>
      <c r="BP1514" s="8">
        <v>261.2</v>
      </c>
      <c r="BQ1514" s="4"/>
      <c r="BR1514" s="8"/>
      <c r="BS1514" s="7"/>
      <c r="BT1514" s="7"/>
      <c r="BU1514" s="2" t="s">
        <v>109</v>
      </c>
      <c r="BV1514" s="2" t="s">
        <v>97</v>
      </c>
      <c r="BW1514" s="2" t="s">
        <v>982</v>
      </c>
      <c r="BX1514" s="2" t="s">
        <v>4945</v>
      </c>
      <c r="BY1514" s="2" t="s">
        <v>112</v>
      </c>
      <c r="BZ1514" s="2" t="s">
        <v>100</v>
      </c>
    </row>
    <row r="1515">
      <c r="A1515" s="2" t="s">
        <v>5604</v>
      </c>
      <c r="B1515" s="2" t="s">
        <v>5155</v>
      </c>
      <c r="C1515" s="2" t="s">
        <v>88</v>
      </c>
      <c r="D1515" s="2" t="s">
        <v>4216</v>
      </c>
      <c r="E1515" s="2" t="s">
        <v>5235</v>
      </c>
      <c r="F1515" s="2" t="s">
        <v>5576</v>
      </c>
      <c r="G1515" s="2" t="s">
        <v>5576</v>
      </c>
      <c r="H1515" s="2" t="s">
        <v>5576</v>
      </c>
      <c r="I1515" s="2" t="s">
        <v>5235</v>
      </c>
      <c r="J1515" s="2" t="s">
        <v>1443</v>
      </c>
      <c r="K1515" s="2" t="s">
        <v>179</v>
      </c>
      <c r="L1515" s="3">
        <v>21.15</v>
      </c>
      <c r="M1515" s="3">
        <v>22.21</v>
      </c>
      <c r="N1515" s="3">
        <v>44.99</v>
      </c>
      <c r="O1515" s="2" t="s">
        <v>97</v>
      </c>
      <c r="P1515" s="2" t="s">
        <v>98</v>
      </c>
      <c r="Q1515" s="2" t="s">
        <v>99</v>
      </c>
      <c r="R1515" s="2" t="s">
        <v>100</v>
      </c>
      <c r="S1515" s="2" t="s">
        <v>5605</v>
      </c>
      <c r="T1515" s="2" t="s">
        <v>190</v>
      </c>
      <c r="U1515" s="2" t="s">
        <v>100</v>
      </c>
      <c r="V1515" s="2" t="s">
        <v>461</v>
      </c>
      <c r="W1515" s="2" t="s">
        <v>609</v>
      </c>
      <c r="X1515" s="2" t="s">
        <v>100</v>
      </c>
      <c r="Y1515" s="2" t="s">
        <v>144</v>
      </c>
      <c r="Z1515" s="4">
        <v>520</v>
      </c>
      <c r="AA1515" s="4">
        <f>=ROUNDDOWN(57.7777777777778,0)</f>
      </c>
      <c r="AB1515" s="5">
        <v>9</v>
      </c>
      <c r="AC1515" s="2" t="s">
        <v>100</v>
      </c>
      <c r="AD1515" s="4"/>
      <c r="AE1515" s="4"/>
      <c r="AF1515" s="6">
        <v>69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>
        <v>8</v>
      </c>
      <c r="AW1515" s="8">
        <v>234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/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>
        <v>0.0747</v>
      </c>
      <c r="BJ1515" s="4">
        <v>31</v>
      </c>
      <c r="BK1515" s="8">
        <v>666.37</v>
      </c>
      <c r="BL1515" s="2" t="s">
        <v>2404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109</v>
      </c>
      <c r="BV1515" s="2" t="s">
        <v>97</v>
      </c>
      <c r="BW1515" s="2" t="s">
        <v>982</v>
      </c>
      <c r="BX1515" s="2" t="s">
        <v>5606</v>
      </c>
      <c r="BY1515" s="2" t="s">
        <v>112</v>
      </c>
      <c r="BZ1515" s="2" t="s">
        <v>100</v>
      </c>
    </row>
    <row r="1516">
      <c r="A1516" s="2" t="s">
        <v>5607</v>
      </c>
      <c r="B1516" s="2" t="s">
        <v>5155</v>
      </c>
      <c r="C1516" s="2" t="s">
        <v>88</v>
      </c>
      <c r="D1516" s="2" t="s">
        <v>4216</v>
      </c>
      <c r="E1516" s="2" t="s">
        <v>5235</v>
      </c>
      <c r="F1516" s="2" t="s">
        <v>5576</v>
      </c>
      <c r="G1516" s="2" t="s">
        <v>5576</v>
      </c>
      <c r="H1516" s="2" t="s">
        <v>5576</v>
      </c>
      <c r="I1516" s="2" t="s">
        <v>5235</v>
      </c>
      <c r="J1516" s="2" t="s">
        <v>522</v>
      </c>
      <c r="K1516" s="2" t="s">
        <v>179</v>
      </c>
      <c r="L1516" s="3">
        <v>26.4</v>
      </c>
      <c r="M1516" s="3">
        <v>27.72</v>
      </c>
      <c r="N1516" s="3">
        <v>54.99</v>
      </c>
      <c r="O1516" s="2" t="s">
        <v>97</v>
      </c>
      <c r="P1516" s="2" t="s">
        <v>98</v>
      </c>
      <c r="Q1516" s="2" t="s">
        <v>99</v>
      </c>
      <c r="R1516" s="2" t="s">
        <v>100</v>
      </c>
      <c r="S1516" s="2" t="s">
        <v>5605</v>
      </c>
      <c r="T1516" s="2" t="s">
        <v>190</v>
      </c>
      <c r="U1516" s="2" t="s">
        <v>100</v>
      </c>
      <c r="V1516" s="2" t="s">
        <v>461</v>
      </c>
      <c r="W1516" s="2" t="s">
        <v>609</v>
      </c>
      <c r="X1516" s="2" t="s">
        <v>100</v>
      </c>
      <c r="Y1516" s="2" t="s">
        <v>144</v>
      </c>
      <c r="Z1516" s="4">
        <v>1063</v>
      </c>
      <c r="AA1516" s="4">
        <f>=ROUNDDOWN(46.2173913043478,0)</f>
      </c>
      <c r="AB1516" s="5">
        <v>23</v>
      </c>
      <c r="AC1516" s="2" t="s">
        <v>100</v>
      </c>
      <c r="AD1516" s="4"/>
      <c r="AE1516" s="4"/>
      <c r="AF1516" s="6">
        <v>69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5</v>
      </c>
      <c r="AQ1516" s="8">
        <v>136.05</v>
      </c>
      <c r="AR1516" s="4"/>
      <c r="AS1516" s="8"/>
      <c r="AT1516" s="7"/>
      <c r="AU1516" s="7"/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>
        <v>0.5814</v>
      </c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 t="s">
        <v>100</v>
      </c>
      <c r="BJ1516" s="4">
        <v>53</v>
      </c>
      <c r="BK1516" s="8">
        <v>1408.14</v>
      </c>
      <c r="BL1516" s="2" t="s">
        <v>5608</v>
      </c>
      <c r="BM1516" s="7">
        <v>0.0943</v>
      </c>
      <c r="BN1516" s="7">
        <v>0.0966</v>
      </c>
      <c r="BO1516" s="4">
        <v>5</v>
      </c>
      <c r="BP1516" s="8">
        <v>136.05</v>
      </c>
      <c r="BQ1516" s="4"/>
      <c r="BR1516" s="8"/>
      <c r="BS1516" s="7"/>
      <c r="BT1516" s="7"/>
      <c r="BU1516" s="2" t="s">
        <v>109</v>
      </c>
      <c r="BV1516" s="2" t="s">
        <v>97</v>
      </c>
      <c r="BW1516" s="2" t="s">
        <v>982</v>
      </c>
      <c r="BX1516" s="2" t="s">
        <v>148</v>
      </c>
      <c r="BY1516" s="2" t="s">
        <v>112</v>
      </c>
      <c r="BZ1516" s="2" t="s">
        <v>100</v>
      </c>
    </row>
    <row r="1517">
      <c r="A1517" s="2" t="s">
        <v>5609</v>
      </c>
      <c r="B1517" s="2" t="s">
        <v>5155</v>
      </c>
      <c r="C1517" s="2" t="s">
        <v>88</v>
      </c>
      <c r="D1517" s="2" t="s">
        <v>4216</v>
      </c>
      <c r="E1517" s="2" t="s">
        <v>5235</v>
      </c>
      <c r="F1517" s="2" t="s">
        <v>5576</v>
      </c>
      <c r="G1517" s="2" t="s">
        <v>5576</v>
      </c>
      <c r="H1517" s="2" t="s">
        <v>5576</v>
      </c>
      <c r="I1517" s="2" t="s">
        <v>5235</v>
      </c>
      <c r="J1517" s="2" t="s">
        <v>114</v>
      </c>
      <c r="K1517" s="2" t="s">
        <v>179</v>
      </c>
      <c r="L1517" s="3">
        <v>31.85</v>
      </c>
      <c r="M1517" s="3">
        <v>33.44</v>
      </c>
      <c r="N1517" s="3">
        <v>64.99</v>
      </c>
      <c r="O1517" s="2" t="s">
        <v>97</v>
      </c>
      <c r="P1517" s="2" t="s">
        <v>98</v>
      </c>
      <c r="Q1517" s="2" t="s">
        <v>99</v>
      </c>
      <c r="R1517" s="2" t="s">
        <v>100</v>
      </c>
      <c r="S1517" s="2" t="s">
        <v>5605</v>
      </c>
      <c r="T1517" s="2" t="s">
        <v>190</v>
      </c>
      <c r="U1517" s="2" t="s">
        <v>100</v>
      </c>
      <c r="V1517" s="2" t="s">
        <v>461</v>
      </c>
      <c r="W1517" s="2" t="s">
        <v>609</v>
      </c>
      <c r="X1517" s="2" t="s">
        <v>100</v>
      </c>
      <c r="Y1517" s="2" t="s">
        <v>144</v>
      </c>
      <c r="Z1517" s="4">
        <v>509</v>
      </c>
      <c r="AA1517" s="4">
        <f>=ROUNDDOWN(39.1538461538462,0)</f>
      </c>
      <c r="AB1517" s="5">
        <v>13</v>
      </c>
      <c r="AC1517" s="2" t="s">
        <v>100</v>
      </c>
      <c r="AD1517" s="4"/>
      <c r="AE1517" s="4"/>
      <c r="AF1517" s="6">
        <v>69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3</v>
      </c>
      <c r="AQ1517" s="8">
        <v>97.95</v>
      </c>
      <c r="AR1517" s="4"/>
      <c r="AS1517" s="8"/>
      <c r="AT1517" s="7"/>
      <c r="AU1517" s="7"/>
      <c r="AV1517" s="4" t="s">
        <v>100</v>
      </c>
      <c r="AW1517" s="8" t="s">
        <v>100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>
        <v>0.4186</v>
      </c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 t="s">
        <v>100</v>
      </c>
      <c r="BJ1517" s="4">
        <v>43</v>
      </c>
      <c r="BK1517" s="8">
        <v>1349.23</v>
      </c>
      <c r="BL1517" s="2" t="s">
        <v>4645</v>
      </c>
      <c r="BM1517" s="7">
        <v>0.0698</v>
      </c>
      <c r="BN1517" s="7">
        <v>0.0726</v>
      </c>
      <c r="BO1517" s="4">
        <v>3</v>
      </c>
      <c r="BP1517" s="8">
        <v>97.95</v>
      </c>
      <c r="BQ1517" s="4"/>
      <c r="BR1517" s="8"/>
      <c r="BS1517" s="7"/>
      <c r="BT1517" s="7"/>
      <c r="BU1517" s="2" t="s">
        <v>109</v>
      </c>
      <c r="BV1517" s="2" t="s">
        <v>97</v>
      </c>
      <c r="BW1517" s="2" t="s">
        <v>982</v>
      </c>
      <c r="BX1517" s="2" t="s">
        <v>1001</v>
      </c>
      <c r="BY1517" s="2" t="s">
        <v>112</v>
      </c>
      <c r="BZ1517" s="2" t="s">
        <v>100</v>
      </c>
    </row>
    <row r="1518">
      <c r="A1518" s="2" t="s">
        <v>5610</v>
      </c>
      <c r="B1518" s="2" t="s">
        <v>5155</v>
      </c>
      <c r="C1518" s="2" t="s">
        <v>88</v>
      </c>
      <c r="D1518" s="2" t="s">
        <v>4216</v>
      </c>
      <c r="E1518" s="2" t="s">
        <v>5235</v>
      </c>
      <c r="F1518" s="2" t="s">
        <v>5576</v>
      </c>
      <c r="G1518" s="2" t="s">
        <v>5576</v>
      </c>
      <c r="H1518" s="2" t="s">
        <v>5576</v>
      </c>
      <c r="I1518" s="2" t="s">
        <v>5235</v>
      </c>
      <c r="J1518" s="2" t="s">
        <v>1443</v>
      </c>
      <c r="K1518" s="2" t="s">
        <v>2548</v>
      </c>
      <c r="L1518" s="3">
        <v>21.15</v>
      </c>
      <c r="M1518" s="3">
        <v>22.21</v>
      </c>
      <c r="N1518" s="3">
        <v>44.99</v>
      </c>
      <c r="O1518" s="2" t="s">
        <v>97</v>
      </c>
      <c r="P1518" s="2" t="s">
        <v>98</v>
      </c>
      <c r="Q1518" s="2" t="s">
        <v>99</v>
      </c>
      <c r="R1518" s="2" t="s">
        <v>100</v>
      </c>
      <c r="S1518" s="2" t="s">
        <v>5611</v>
      </c>
      <c r="T1518" s="2" t="s">
        <v>190</v>
      </c>
      <c r="U1518" s="2" t="s">
        <v>100</v>
      </c>
      <c r="V1518" s="2" t="s">
        <v>461</v>
      </c>
      <c r="W1518" s="2" t="s">
        <v>609</v>
      </c>
      <c r="X1518" s="2" t="s">
        <v>100</v>
      </c>
      <c r="Y1518" s="2" t="s">
        <v>144</v>
      </c>
      <c r="Z1518" s="4">
        <v>429</v>
      </c>
      <c r="AA1518" s="4">
        <f>=ROUNDDOWN(165,0)</f>
      </c>
      <c r="AB1518" s="5">
        <v>2.6</v>
      </c>
      <c r="AC1518" s="2" t="s">
        <v>100</v>
      </c>
      <c r="AD1518" s="4"/>
      <c r="AE1518" s="4"/>
      <c r="AF1518" s="6">
        <v>69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>
        <v>3</v>
      </c>
      <c r="AW1518" s="8">
        <v>92.51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/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>
        <v>0.0295</v>
      </c>
      <c r="BJ1518" s="4">
        <v>14</v>
      </c>
      <c r="BK1518" s="8">
        <v>288.35</v>
      </c>
      <c r="BL1518" s="2" t="s">
        <v>2046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109</v>
      </c>
      <c r="BV1518" s="2" t="s">
        <v>97</v>
      </c>
      <c r="BW1518" s="2" t="s">
        <v>982</v>
      </c>
      <c r="BX1518" s="2" t="s">
        <v>4353</v>
      </c>
      <c r="BY1518" s="2" t="s">
        <v>112</v>
      </c>
      <c r="BZ1518" s="2" t="s">
        <v>100</v>
      </c>
    </row>
    <row r="1519">
      <c r="A1519" s="2" t="s">
        <v>5612</v>
      </c>
      <c r="B1519" s="2" t="s">
        <v>5155</v>
      </c>
      <c r="C1519" s="2" t="s">
        <v>88</v>
      </c>
      <c r="D1519" s="2" t="s">
        <v>4216</v>
      </c>
      <c r="E1519" s="2" t="s">
        <v>5235</v>
      </c>
      <c r="F1519" s="2" t="s">
        <v>5576</v>
      </c>
      <c r="G1519" s="2" t="s">
        <v>5576</v>
      </c>
      <c r="H1519" s="2" t="s">
        <v>5576</v>
      </c>
      <c r="I1519" s="2" t="s">
        <v>5235</v>
      </c>
      <c r="J1519" s="2" t="s">
        <v>522</v>
      </c>
      <c r="K1519" s="2" t="s">
        <v>2548</v>
      </c>
      <c r="L1519" s="3">
        <v>26.4</v>
      </c>
      <c r="M1519" s="3">
        <v>27.72</v>
      </c>
      <c r="N1519" s="3">
        <v>54.99</v>
      </c>
      <c r="O1519" s="2" t="s">
        <v>97</v>
      </c>
      <c r="P1519" s="2" t="s">
        <v>98</v>
      </c>
      <c r="Q1519" s="2" t="s">
        <v>99</v>
      </c>
      <c r="R1519" s="2" t="s">
        <v>100</v>
      </c>
      <c r="S1519" s="2" t="s">
        <v>5611</v>
      </c>
      <c r="T1519" s="2" t="s">
        <v>190</v>
      </c>
      <c r="U1519" s="2" t="s">
        <v>100</v>
      </c>
      <c r="V1519" s="2" t="s">
        <v>461</v>
      </c>
      <c r="W1519" s="2" t="s">
        <v>609</v>
      </c>
      <c r="X1519" s="2" t="s">
        <v>100</v>
      </c>
      <c r="Y1519" s="2" t="s">
        <v>144</v>
      </c>
      <c r="Z1519" s="4">
        <v>629</v>
      </c>
      <c r="AA1519" s="4">
        <f>=ROUNDDOWN(57.1818181818182,0)</f>
      </c>
      <c r="AB1519" s="5">
        <v>11</v>
      </c>
      <c r="AC1519" s="2" t="s">
        <v>100</v>
      </c>
      <c r="AD1519" s="4"/>
      <c r="AE1519" s="4"/>
      <c r="AF1519" s="6">
        <v>69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1</v>
      </c>
      <c r="AQ1519" s="8">
        <v>27.21</v>
      </c>
      <c r="AR1519" s="4"/>
      <c r="AS1519" s="8"/>
      <c r="AT1519" s="7"/>
      <c r="AU1519" s="7"/>
      <c r="AV1519" s="4" t="s">
        <v>100</v>
      </c>
      <c r="AW1519" s="8" t="s">
        <v>100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>
        <v>0.2941</v>
      </c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 t="s">
        <v>100</v>
      </c>
      <c r="BJ1519" s="4">
        <v>18</v>
      </c>
      <c r="BK1519" s="8">
        <v>473.82</v>
      </c>
      <c r="BL1519" s="2" t="s">
        <v>4645</v>
      </c>
      <c r="BM1519" s="7">
        <v>0.0556</v>
      </c>
      <c r="BN1519" s="7">
        <v>0.0574</v>
      </c>
      <c r="BO1519" s="4">
        <v>1</v>
      </c>
      <c r="BP1519" s="8">
        <v>27.21</v>
      </c>
      <c r="BQ1519" s="4"/>
      <c r="BR1519" s="8"/>
      <c r="BS1519" s="7"/>
      <c r="BT1519" s="7"/>
      <c r="BU1519" s="2" t="s">
        <v>109</v>
      </c>
      <c r="BV1519" s="2" t="s">
        <v>97</v>
      </c>
      <c r="BW1519" s="2" t="s">
        <v>982</v>
      </c>
      <c r="BX1519" s="2" t="s">
        <v>5588</v>
      </c>
      <c r="BY1519" s="2" t="s">
        <v>112</v>
      </c>
      <c r="BZ1519" s="2" t="s">
        <v>100</v>
      </c>
    </row>
    <row r="1520">
      <c r="A1520" s="2" t="s">
        <v>5613</v>
      </c>
      <c r="B1520" s="2" t="s">
        <v>5155</v>
      </c>
      <c r="C1520" s="2" t="s">
        <v>88</v>
      </c>
      <c r="D1520" s="2" t="s">
        <v>4216</v>
      </c>
      <c r="E1520" s="2" t="s">
        <v>5235</v>
      </c>
      <c r="F1520" s="2" t="s">
        <v>5576</v>
      </c>
      <c r="G1520" s="2" t="s">
        <v>5576</v>
      </c>
      <c r="H1520" s="2" t="s">
        <v>5576</v>
      </c>
      <c r="I1520" s="2" t="s">
        <v>5235</v>
      </c>
      <c r="J1520" s="2" t="s">
        <v>114</v>
      </c>
      <c r="K1520" s="2" t="s">
        <v>2548</v>
      </c>
      <c r="L1520" s="3">
        <v>31.85</v>
      </c>
      <c r="M1520" s="3">
        <v>33.44</v>
      </c>
      <c r="N1520" s="3">
        <v>64.99</v>
      </c>
      <c r="O1520" s="2" t="s">
        <v>97</v>
      </c>
      <c r="P1520" s="2" t="s">
        <v>98</v>
      </c>
      <c r="Q1520" s="2" t="s">
        <v>99</v>
      </c>
      <c r="R1520" s="2" t="s">
        <v>100</v>
      </c>
      <c r="S1520" s="2" t="s">
        <v>5611</v>
      </c>
      <c r="T1520" s="2" t="s">
        <v>190</v>
      </c>
      <c r="U1520" s="2" t="s">
        <v>100</v>
      </c>
      <c r="V1520" s="2" t="s">
        <v>461</v>
      </c>
      <c r="W1520" s="2" t="s">
        <v>609</v>
      </c>
      <c r="X1520" s="2" t="s">
        <v>100</v>
      </c>
      <c r="Y1520" s="2" t="s">
        <v>144</v>
      </c>
      <c r="Z1520" s="4">
        <v>534</v>
      </c>
      <c r="AA1520" s="4">
        <f>=ROUNDDOWN(53.4,0)</f>
      </c>
      <c r="AB1520" s="5">
        <v>10</v>
      </c>
      <c r="AC1520" s="2" t="s">
        <v>100</v>
      </c>
      <c r="AD1520" s="4"/>
      <c r="AE1520" s="4"/>
      <c r="AF1520" s="6">
        <v>69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2</v>
      </c>
      <c r="AQ1520" s="8">
        <v>65.3</v>
      </c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>
        <v>0.7059</v>
      </c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 t="s">
        <v>100</v>
      </c>
      <c r="BJ1520" s="4">
        <v>24</v>
      </c>
      <c r="BK1520" s="8">
        <v>752.41</v>
      </c>
      <c r="BL1520" s="2" t="s">
        <v>5614</v>
      </c>
      <c r="BM1520" s="7">
        <v>0.0833</v>
      </c>
      <c r="BN1520" s="7">
        <v>0.0868</v>
      </c>
      <c r="BO1520" s="4">
        <v>2</v>
      </c>
      <c r="BP1520" s="8">
        <v>65.3</v>
      </c>
      <c r="BQ1520" s="4"/>
      <c r="BR1520" s="8"/>
      <c r="BS1520" s="7"/>
      <c r="BT1520" s="7"/>
      <c r="BU1520" s="2" t="s">
        <v>109</v>
      </c>
      <c r="BV1520" s="2" t="s">
        <v>97</v>
      </c>
      <c r="BW1520" s="2" t="s">
        <v>982</v>
      </c>
      <c r="BX1520" s="2" t="s">
        <v>5615</v>
      </c>
      <c r="BY1520" s="2" t="s">
        <v>112</v>
      </c>
      <c r="BZ1520" s="2" t="s">
        <v>100</v>
      </c>
    </row>
    <row r="1521">
      <c r="A1521" s="2" t="s">
        <v>5616</v>
      </c>
      <c r="B1521" s="2" t="s">
        <v>5155</v>
      </c>
      <c r="C1521" s="2" t="s">
        <v>88</v>
      </c>
      <c r="D1521" s="2" t="s">
        <v>4216</v>
      </c>
      <c r="E1521" s="2" t="s">
        <v>5235</v>
      </c>
      <c r="F1521" s="2" t="s">
        <v>5576</v>
      </c>
      <c r="G1521" s="2" t="s">
        <v>5576</v>
      </c>
      <c r="H1521" s="2" t="s">
        <v>5576</v>
      </c>
      <c r="I1521" s="2" t="s">
        <v>5235</v>
      </c>
      <c r="J1521" s="2" t="s">
        <v>1443</v>
      </c>
      <c r="K1521" s="2" t="s">
        <v>3340</v>
      </c>
      <c r="L1521" s="3">
        <v>21.15</v>
      </c>
      <c r="M1521" s="3">
        <v>22.21</v>
      </c>
      <c r="N1521" s="3">
        <v>44.99</v>
      </c>
      <c r="O1521" s="2" t="s">
        <v>97</v>
      </c>
      <c r="P1521" s="2" t="s">
        <v>98</v>
      </c>
      <c r="Q1521" s="2" t="s">
        <v>99</v>
      </c>
      <c r="R1521" s="2" t="s">
        <v>100</v>
      </c>
      <c r="S1521" s="2" t="s">
        <v>5617</v>
      </c>
      <c r="T1521" s="2" t="s">
        <v>190</v>
      </c>
      <c r="U1521" s="2" t="s">
        <v>1776</v>
      </c>
      <c r="V1521" s="2" t="s">
        <v>461</v>
      </c>
      <c r="W1521" s="2" t="s">
        <v>609</v>
      </c>
      <c r="X1521" s="2" t="s">
        <v>100</v>
      </c>
      <c r="Y1521" s="2" t="s">
        <v>5618</v>
      </c>
      <c r="Z1521" s="4">
        <v>506</v>
      </c>
      <c r="AA1521" s="4">
        <f>=ROUNDDOWN(63.25,0)</f>
      </c>
      <c r="AB1521" s="5">
        <v>8</v>
      </c>
      <c r="AC1521" s="2" t="s">
        <v>100</v>
      </c>
      <c r="AD1521" s="4"/>
      <c r="AE1521" s="4"/>
      <c r="AF1521" s="6">
        <v>69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100</v>
      </c>
      <c r="AW1521" s="8" t="s">
        <v>100</v>
      </c>
      <c r="AX1521" s="4" t="s">
        <v>100</v>
      </c>
      <c r="AY1521" s="8" t="s">
        <v>100</v>
      </c>
      <c r="AZ1521" s="7" t="s">
        <v>100</v>
      </c>
      <c r="BA1521" s="7" t="s">
        <v>100</v>
      </c>
      <c r="BB1521" s="7"/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 t="s">
        <v>100</v>
      </c>
      <c r="BJ1521" s="4">
        <v>15</v>
      </c>
      <c r="BK1521" s="8">
        <v>329.98</v>
      </c>
      <c r="BL1521" s="2" t="s">
        <v>1349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1040</v>
      </c>
      <c r="BV1521" s="2" t="s">
        <v>97</v>
      </c>
      <c r="BW1521" s="2" t="s">
        <v>100</v>
      </c>
      <c r="BX1521" s="2" t="s">
        <v>100</v>
      </c>
      <c r="BY1521" s="2" t="s">
        <v>112</v>
      </c>
      <c r="BZ1521" s="2" t="s">
        <v>100</v>
      </c>
    </row>
    <row r="1522">
      <c r="A1522" s="2" t="s">
        <v>5619</v>
      </c>
      <c r="B1522" s="2" t="s">
        <v>5155</v>
      </c>
      <c r="C1522" s="2" t="s">
        <v>88</v>
      </c>
      <c r="D1522" s="2" t="s">
        <v>4216</v>
      </c>
      <c r="E1522" s="2" t="s">
        <v>5235</v>
      </c>
      <c r="F1522" s="2" t="s">
        <v>5576</v>
      </c>
      <c r="G1522" s="2" t="s">
        <v>5576</v>
      </c>
      <c r="H1522" s="2" t="s">
        <v>5576</v>
      </c>
      <c r="I1522" s="2" t="s">
        <v>5235</v>
      </c>
      <c r="J1522" s="2" t="s">
        <v>522</v>
      </c>
      <c r="K1522" s="2" t="s">
        <v>3340</v>
      </c>
      <c r="L1522" s="3">
        <v>26.4</v>
      </c>
      <c r="M1522" s="3">
        <v>27.72</v>
      </c>
      <c r="N1522" s="3">
        <v>54.99</v>
      </c>
      <c r="O1522" s="2" t="s">
        <v>97</v>
      </c>
      <c r="P1522" s="2" t="s">
        <v>98</v>
      </c>
      <c r="Q1522" s="2" t="s">
        <v>99</v>
      </c>
      <c r="R1522" s="2" t="s">
        <v>100</v>
      </c>
      <c r="S1522" s="2" t="s">
        <v>5617</v>
      </c>
      <c r="T1522" s="2" t="s">
        <v>190</v>
      </c>
      <c r="U1522" s="2" t="s">
        <v>1776</v>
      </c>
      <c r="V1522" s="2" t="s">
        <v>461</v>
      </c>
      <c r="W1522" s="2" t="s">
        <v>609</v>
      </c>
      <c r="X1522" s="2" t="s">
        <v>100</v>
      </c>
      <c r="Y1522" s="2" t="s">
        <v>5618</v>
      </c>
      <c r="Z1522" s="4">
        <v>749</v>
      </c>
      <c r="AA1522" s="4">
        <f>=ROUNDDOWN(39.4210526315789,0)</f>
      </c>
      <c r="AB1522" s="5">
        <v>19</v>
      </c>
      <c r="AC1522" s="2" t="s">
        <v>100</v>
      </c>
      <c r="AD1522" s="4"/>
      <c r="AE1522" s="4"/>
      <c r="AF1522" s="6">
        <v>69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100</v>
      </c>
      <c r="AW1522" s="8" t="s">
        <v>100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/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 t="s">
        <v>100</v>
      </c>
      <c r="BJ1522" s="4">
        <v>56</v>
      </c>
      <c r="BK1522" s="8">
        <v>1511.76</v>
      </c>
      <c r="BL1522" s="2" t="s">
        <v>384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1040</v>
      </c>
      <c r="BV1522" s="2" t="s">
        <v>97</v>
      </c>
      <c r="BW1522" s="2" t="s">
        <v>100</v>
      </c>
      <c r="BX1522" s="2" t="s">
        <v>100</v>
      </c>
      <c r="BY1522" s="2" t="s">
        <v>112</v>
      </c>
      <c r="BZ1522" s="2" t="s">
        <v>100</v>
      </c>
    </row>
    <row r="1523">
      <c r="A1523" s="2" t="s">
        <v>5620</v>
      </c>
      <c r="B1523" s="2" t="s">
        <v>5155</v>
      </c>
      <c r="C1523" s="2" t="s">
        <v>88</v>
      </c>
      <c r="D1523" s="2" t="s">
        <v>4216</v>
      </c>
      <c r="E1523" s="2" t="s">
        <v>5235</v>
      </c>
      <c r="F1523" s="2" t="s">
        <v>5576</v>
      </c>
      <c r="G1523" s="2" t="s">
        <v>5576</v>
      </c>
      <c r="H1523" s="2" t="s">
        <v>5576</v>
      </c>
      <c r="I1523" s="2" t="s">
        <v>5235</v>
      </c>
      <c r="J1523" s="2" t="s">
        <v>114</v>
      </c>
      <c r="K1523" s="2" t="s">
        <v>3340</v>
      </c>
      <c r="L1523" s="3">
        <v>31.85</v>
      </c>
      <c r="M1523" s="3">
        <v>33.44</v>
      </c>
      <c r="N1523" s="3">
        <v>64.99</v>
      </c>
      <c r="O1523" s="2" t="s">
        <v>97</v>
      </c>
      <c r="P1523" s="2" t="s">
        <v>98</v>
      </c>
      <c r="Q1523" s="2" t="s">
        <v>99</v>
      </c>
      <c r="R1523" s="2" t="s">
        <v>100</v>
      </c>
      <c r="S1523" s="2" t="s">
        <v>5617</v>
      </c>
      <c r="T1523" s="2" t="s">
        <v>190</v>
      </c>
      <c r="U1523" s="2" t="s">
        <v>1776</v>
      </c>
      <c r="V1523" s="2" t="s">
        <v>461</v>
      </c>
      <c r="W1523" s="2" t="s">
        <v>609</v>
      </c>
      <c r="X1523" s="2" t="s">
        <v>100</v>
      </c>
      <c r="Y1523" s="2" t="s">
        <v>5618</v>
      </c>
      <c r="Z1523" s="4">
        <v>604</v>
      </c>
      <c r="AA1523" s="4">
        <f>=ROUNDDOWN(40.2666666666667,0)</f>
      </c>
      <c r="AB1523" s="5">
        <v>15</v>
      </c>
      <c r="AC1523" s="2" t="s">
        <v>100</v>
      </c>
      <c r="AD1523" s="4"/>
      <c r="AE1523" s="4"/>
      <c r="AF1523" s="6">
        <v>69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/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 t="s">
        <v>100</v>
      </c>
      <c r="BJ1523" s="4">
        <v>37</v>
      </c>
      <c r="BK1523" s="8">
        <v>1237.92</v>
      </c>
      <c r="BL1523" s="2" t="s">
        <v>2390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1040</v>
      </c>
      <c r="BV1523" s="2" t="s">
        <v>97</v>
      </c>
      <c r="BW1523" s="2" t="s">
        <v>100</v>
      </c>
      <c r="BX1523" s="2" t="s">
        <v>100</v>
      </c>
      <c r="BY1523" s="2" t="s">
        <v>112</v>
      </c>
      <c r="BZ1523" s="2" t="s">
        <v>100</v>
      </c>
    </row>
    <row r="1524">
      <c r="A1524" s="2" t="s">
        <v>5621</v>
      </c>
      <c r="B1524" s="2" t="s">
        <v>5155</v>
      </c>
      <c r="C1524" s="2" t="s">
        <v>88</v>
      </c>
      <c r="D1524" s="2" t="s">
        <v>4216</v>
      </c>
      <c r="E1524" s="2" t="s">
        <v>5235</v>
      </c>
      <c r="F1524" s="2" t="s">
        <v>5576</v>
      </c>
      <c r="G1524" s="2" t="s">
        <v>5576</v>
      </c>
      <c r="H1524" s="2" t="s">
        <v>5576</v>
      </c>
      <c r="I1524" s="2" t="s">
        <v>5235</v>
      </c>
      <c r="J1524" s="2" t="s">
        <v>1443</v>
      </c>
      <c r="K1524" s="2" t="s">
        <v>223</v>
      </c>
      <c r="L1524" s="3">
        <v>21.15</v>
      </c>
      <c r="M1524" s="3">
        <v>22.21</v>
      </c>
      <c r="N1524" s="3">
        <v>44.99</v>
      </c>
      <c r="O1524" s="2" t="s">
        <v>97</v>
      </c>
      <c r="P1524" s="2" t="s">
        <v>98</v>
      </c>
      <c r="Q1524" s="2" t="s">
        <v>99</v>
      </c>
      <c r="R1524" s="2" t="s">
        <v>100</v>
      </c>
      <c r="S1524" s="2" t="s">
        <v>5622</v>
      </c>
      <c r="T1524" s="2" t="s">
        <v>190</v>
      </c>
      <c r="U1524" s="2" t="s">
        <v>1776</v>
      </c>
      <c r="V1524" s="2" t="s">
        <v>461</v>
      </c>
      <c r="W1524" s="2" t="s">
        <v>609</v>
      </c>
      <c r="X1524" s="2" t="s">
        <v>100</v>
      </c>
      <c r="Y1524" s="2" t="s">
        <v>5623</v>
      </c>
      <c r="Z1524" s="4">
        <v>206</v>
      </c>
      <c r="AA1524" s="4">
        <f>=ROUNDDOWN(114.444444444444,0)</f>
      </c>
      <c r="AB1524" s="5">
        <v>1.8</v>
      </c>
      <c r="AC1524" s="2" t="s">
        <v>2121</v>
      </c>
      <c r="AD1524" s="4">
        <v>120</v>
      </c>
      <c r="AE1524" s="4">
        <v>120</v>
      </c>
      <c r="AF1524" s="6">
        <v>69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100</v>
      </c>
      <c r="AW1524" s="8" t="s">
        <v>100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/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 t="s">
        <v>100</v>
      </c>
      <c r="BJ1524" s="4">
        <v>9</v>
      </c>
      <c r="BK1524" s="8">
        <v>218.88</v>
      </c>
      <c r="BL1524" s="2" t="s">
        <v>5624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171</v>
      </c>
      <c r="BV1524" s="2" t="s">
        <v>97</v>
      </c>
      <c r="BW1524" s="2" t="s">
        <v>100</v>
      </c>
      <c r="BX1524" s="2" t="s">
        <v>100</v>
      </c>
      <c r="BY1524" s="2" t="s">
        <v>112</v>
      </c>
      <c r="BZ1524" s="2" t="s">
        <v>100</v>
      </c>
    </row>
    <row r="1525">
      <c r="A1525" s="2" t="s">
        <v>5625</v>
      </c>
      <c r="B1525" s="2" t="s">
        <v>5155</v>
      </c>
      <c r="C1525" s="2" t="s">
        <v>88</v>
      </c>
      <c r="D1525" s="2" t="s">
        <v>4216</v>
      </c>
      <c r="E1525" s="2" t="s">
        <v>5235</v>
      </c>
      <c r="F1525" s="2" t="s">
        <v>5576</v>
      </c>
      <c r="G1525" s="2" t="s">
        <v>5576</v>
      </c>
      <c r="H1525" s="2" t="s">
        <v>5576</v>
      </c>
      <c r="I1525" s="2" t="s">
        <v>5235</v>
      </c>
      <c r="J1525" s="2" t="s">
        <v>522</v>
      </c>
      <c r="K1525" s="2" t="s">
        <v>223</v>
      </c>
      <c r="L1525" s="3">
        <v>26.4</v>
      </c>
      <c r="M1525" s="3">
        <v>27.72</v>
      </c>
      <c r="N1525" s="3">
        <v>54.99</v>
      </c>
      <c r="O1525" s="2" t="s">
        <v>97</v>
      </c>
      <c r="P1525" s="2" t="s">
        <v>98</v>
      </c>
      <c r="Q1525" s="2" t="s">
        <v>99</v>
      </c>
      <c r="R1525" s="2" t="s">
        <v>100</v>
      </c>
      <c r="S1525" s="2" t="s">
        <v>5622</v>
      </c>
      <c r="T1525" s="2" t="s">
        <v>190</v>
      </c>
      <c r="U1525" s="2" t="s">
        <v>1776</v>
      </c>
      <c r="V1525" s="2" t="s">
        <v>461</v>
      </c>
      <c r="W1525" s="2" t="s">
        <v>609</v>
      </c>
      <c r="X1525" s="2" t="s">
        <v>100</v>
      </c>
      <c r="Y1525" s="2" t="s">
        <v>5623</v>
      </c>
      <c r="Z1525" s="4">
        <v>300</v>
      </c>
      <c r="AA1525" s="4">
        <f>=ROUNDDOWN(15.7894736842105,0)</f>
      </c>
      <c r="AB1525" s="5">
        <v>19</v>
      </c>
      <c r="AC1525" s="2" t="s">
        <v>2121</v>
      </c>
      <c r="AD1525" s="4">
        <v>210</v>
      </c>
      <c r="AE1525" s="4">
        <v>210</v>
      </c>
      <c r="AF1525" s="6">
        <v>69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/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 t="s">
        <v>100</v>
      </c>
      <c r="BJ1525" s="4">
        <v>8</v>
      </c>
      <c r="BK1525" s="8">
        <v>242.88</v>
      </c>
      <c r="BL1525" s="2" t="s">
        <v>5624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171</v>
      </c>
      <c r="BV1525" s="2" t="s">
        <v>97</v>
      </c>
      <c r="BW1525" s="2" t="s">
        <v>100</v>
      </c>
      <c r="BX1525" s="2" t="s">
        <v>100</v>
      </c>
      <c r="BY1525" s="2" t="s">
        <v>112</v>
      </c>
      <c r="BZ1525" s="2" t="s">
        <v>100</v>
      </c>
    </row>
    <row r="1526">
      <c r="A1526" s="2" t="s">
        <v>5626</v>
      </c>
      <c r="B1526" s="2" t="s">
        <v>5155</v>
      </c>
      <c r="C1526" s="2" t="s">
        <v>88</v>
      </c>
      <c r="D1526" s="2" t="s">
        <v>4216</v>
      </c>
      <c r="E1526" s="2" t="s">
        <v>5235</v>
      </c>
      <c r="F1526" s="2" t="s">
        <v>5576</v>
      </c>
      <c r="G1526" s="2" t="s">
        <v>5576</v>
      </c>
      <c r="H1526" s="2" t="s">
        <v>5576</v>
      </c>
      <c r="I1526" s="2" t="s">
        <v>5235</v>
      </c>
      <c r="J1526" s="2" t="s">
        <v>114</v>
      </c>
      <c r="K1526" s="2" t="s">
        <v>223</v>
      </c>
      <c r="L1526" s="3">
        <v>31.85</v>
      </c>
      <c r="M1526" s="3">
        <v>33.44</v>
      </c>
      <c r="N1526" s="3">
        <v>64.99</v>
      </c>
      <c r="O1526" s="2" t="s">
        <v>97</v>
      </c>
      <c r="P1526" s="2" t="s">
        <v>98</v>
      </c>
      <c r="Q1526" s="2" t="s">
        <v>99</v>
      </c>
      <c r="R1526" s="2" t="s">
        <v>100</v>
      </c>
      <c r="S1526" s="2" t="s">
        <v>5622</v>
      </c>
      <c r="T1526" s="2" t="s">
        <v>190</v>
      </c>
      <c r="U1526" s="2" t="s">
        <v>1776</v>
      </c>
      <c r="V1526" s="2" t="s">
        <v>461</v>
      </c>
      <c r="W1526" s="2" t="s">
        <v>609</v>
      </c>
      <c r="X1526" s="2" t="s">
        <v>100</v>
      </c>
      <c r="Y1526" s="2" t="s">
        <v>5623</v>
      </c>
      <c r="Z1526" s="4">
        <v>194</v>
      </c>
      <c r="AA1526" s="4">
        <f>=ROUNDDOWN(14.9230769230769,0)</f>
      </c>
      <c r="AB1526" s="5">
        <v>13</v>
      </c>
      <c r="AC1526" s="2" t="s">
        <v>2121</v>
      </c>
      <c r="AD1526" s="4">
        <v>170</v>
      </c>
      <c r="AE1526" s="4">
        <v>170</v>
      </c>
      <c r="AF1526" s="6">
        <v>69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100</v>
      </c>
      <c r="AW1526" s="8" t="s">
        <v>100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/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 t="s">
        <v>100</v>
      </c>
      <c r="BJ1526" s="4">
        <v>13</v>
      </c>
      <c r="BK1526" s="8">
        <v>476.19</v>
      </c>
      <c r="BL1526" s="2" t="s">
        <v>5624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171</v>
      </c>
      <c r="BV1526" s="2" t="s">
        <v>97</v>
      </c>
      <c r="BW1526" s="2" t="s">
        <v>100</v>
      </c>
      <c r="BX1526" s="2" t="s">
        <v>100</v>
      </c>
      <c r="BY1526" s="2" t="s">
        <v>112</v>
      </c>
      <c r="BZ1526" s="2" t="s">
        <v>100</v>
      </c>
    </row>
    <row r="1527">
      <c r="A1527" s="2" t="s">
        <v>5627</v>
      </c>
      <c r="B1527" s="2" t="s">
        <v>5155</v>
      </c>
      <c r="C1527" s="2" t="s">
        <v>88</v>
      </c>
      <c r="D1527" s="2" t="s">
        <v>4216</v>
      </c>
      <c r="E1527" s="2" t="s">
        <v>5235</v>
      </c>
      <c r="F1527" s="2" t="s">
        <v>5628</v>
      </c>
      <c r="G1527" s="2" t="s">
        <v>5628</v>
      </c>
      <c r="H1527" s="2" t="s">
        <v>5628</v>
      </c>
      <c r="I1527" s="2" t="s">
        <v>5540</v>
      </c>
      <c r="J1527" s="2" t="s">
        <v>1443</v>
      </c>
      <c r="K1527" s="2" t="s">
        <v>96</v>
      </c>
      <c r="L1527" s="3">
        <v>18.39</v>
      </c>
      <c r="M1527" s="3">
        <v>19.31</v>
      </c>
      <c r="N1527" s="3">
        <v>34.99</v>
      </c>
      <c r="O1527" s="2" t="s">
        <v>97</v>
      </c>
      <c r="P1527" s="2" t="s">
        <v>98</v>
      </c>
      <c r="Q1527" s="2" t="s">
        <v>99</v>
      </c>
      <c r="R1527" s="2" t="s">
        <v>100</v>
      </c>
      <c r="S1527" s="2" t="s">
        <v>5629</v>
      </c>
      <c r="T1527" s="2" t="s">
        <v>190</v>
      </c>
      <c r="U1527" s="2" t="s">
        <v>100</v>
      </c>
      <c r="V1527" s="2" t="s">
        <v>461</v>
      </c>
      <c r="W1527" s="2" t="s">
        <v>609</v>
      </c>
      <c r="X1527" s="2" t="s">
        <v>100</v>
      </c>
      <c r="Y1527" s="2" t="s">
        <v>1110</v>
      </c>
      <c r="Z1527" s="4">
        <v>446</v>
      </c>
      <c r="AA1527" s="4">
        <f>=ROUNDDOWN(24.7777777777778,0)</f>
      </c>
      <c r="AB1527" s="5">
        <v>18</v>
      </c>
      <c r="AC1527" s="2" t="s">
        <v>307</v>
      </c>
      <c r="AD1527" s="4">
        <v>70</v>
      </c>
      <c r="AE1527" s="4">
        <v>220</v>
      </c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26</v>
      </c>
      <c r="AQ1527" s="8">
        <v>331.76</v>
      </c>
      <c r="AR1527" s="4"/>
      <c r="AS1527" s="8"/>
      <c r="AT1527" s="7"/>
      <c r="AU1527" s="7"/>
      <c r="AV1527" s="4">
        <v>38</v>
      </c>
      <c r="AW1527" s="8">
        <v>523.01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>
        <v>0.6343</v>
      </c>
      <c r="BC1527" s="4">
        <v>119</v>
      </c>
      <c r="BD1527" s="8">
        <v>1759.99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>
        <v>0.2972</v>
      </c>
      <c r="BJ1527" s="4">
        <v>61</v>
      </c>
      <c r="BK1527" s="8">
        <v>893.49</v>
      </c>
      <c r="BL1527" s="2" t="s">
        <v>5177</v>
      </c>
      <c r="BM1527" s="7">
        <v>0.4262</v>
      </c>
      <c r="BN1527" s="7">
        <v>0.3713</v>
      </c>
      <c r="BO1527" s="4">
        <v>26</v>
      </c>
      <c r="BP1527" s="8">
        <v>331.76</v>
      </c>
      <c r="BQ1527" s="4"/>
      <c r="BR1527" s="8"/>
      <c r="BS1527" s="7"/>
      <c r="BT1527" s="7"/>
      <c r="BU1527" s="2" t="s">
        <v>109</v>
      </c>
      <c r="BV1527" s="2" t="s">
        <v>97</v>
      </c>
      <c r="BW1527" s="2" t="s">
        <v>1824</v>
      </c>
      <c r="BX1527" s="2" t="s">
        <v>5251</v>
      </c>
      <c r="BY1527" s="2" t="s">
        <v>112</v>
      </c>
      <c r="BZ1527" s="2" t="s">
        <v>100</v>
      </c>
    </row>
    <row r="1528">
      <c r="A1528" s="2" t="s">
        <v>5630</v>
      </c>
      <c r="B1528" s="2" t="s">
        <v>5155</v>
      </c>
      <c r="C1528" s="2" t="s">
        <v>88</v>
      </c>
      <c r="D1528" s="2" t="s">
        <v>4216</v>
      </c>
      <c r="E1528" s="2" t="s">
        <v>5235</v>
      </c>
      <c r="F1528" s="2" t="s">
        <v>5628</v>
      </c>
      <c r="G1528" s="2" t="s">
        <v>5628</v>
      </c>
      <c r="H1528" s="2" t="s">
        <v>5628</v>
      </c>
      <c r="I1528" s="2" t="s">
        <v>5540</v>
      </c>
      <c r="J1528" s="2" t="s">
        <v>522</v>
      </c>
      <c r="K1528" s="2" t="s">
        <v>96</v>
      </c>
      <c r="L1528" s="3">
        <v>21.27</v>
      </c>
      <c r="M1528" s="3">
        <v>22.33</v>
      </c>
      <c r="N1528" s="3">
        <v>39.99</v>
      </c>
      <c r="O1528" s="2" t="s">
        <v>97</v>
      </c>
      <c r="P1528" s="2" t="s">
        <v>98</v>
      </c>
      <c r="Q1528" s="2" t="s">
        <v>99</v>
      </c>
      <c r="R1528" s="2" t="s">
        <v>100</v>
      </c>
      <c r="S1528" s="2" t="s">
        <v>5629</v>
      </c>
      <c r="T1528" s="2" t="s">
        <v>190</v>
      </c>
      <c r="U1528" s="2" t="s">
        <v>100</v>
      </c>
      <c r="V1528" s="2" t="s">
        <v>461</v>
      </c>
      <c r="W1528" s="2" t="s">
        <v>609</v>
      </c>
      <c r="X1528" s="2" t="s">
        <v>100</v>
      </c>
      <c r="Y1528" s="2" t="s">
        <v>1110</v>
      </c>
      <c r="Z1528" s="4">
        <v>766</v>
      </c>
      <c r="AA1528" s="4">
        <f>=ROUNDDOWN(20.1578947368421,0)</f>
      </c>
      <c r="AB1528" s="5">
        <v>38</v>
      </c>
      <c r="AC1528" s="2" t="s">
        <v>307</v>
      </c>
      <c r="AD1528" s="4">
        <v>370</v>
      </c>
      <c r="AE1528" s="4">
        <v>630</v>
      </c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9</v>
      </c>
      <c r="AQ1528" s="8">
        <v>137.7</v>
      </c>
      <c r="AR1528" s="4"/>
      <c r="AS1528" s="8"/>
      <c r="AT1528" s="7"/>
      <c r="AU1528" s="7"/>
      <c r="AV1528" s="4" t="s">
        <v>100</v>
      </c>
      <c r="AW1528" s="8" t="s">
        <v>100</v>
      </c>
      <c r="AX1528" s="4" t="s">
        <v>100</v>
      </c>
      <c r="AY1528" s="8" t="s">
        <v>100</v>
      </c>
      <c r="AZ1528" s="7" t="s">
        <v>100</v>
      </c>
      <c r="BA1528" s="7" t="s">
        <v>100</v>
      </c>
      <c r="BB1528" s="7">
        <v>0.2633</v>
      </c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 t="s">
        <v>100</v>
      </c>
      <c r="BJ1528" s="4">
        <v>74</v>
      </c>
      <c r="BK1528" s="8">
        <v>1425.85</v>
      </c>
      <c r="BL1528" s="2" t="s">
        <v>5631</v>
      </c>
      <c r="BM1528" s="7">
        <v>0.1216</v>
      </c>
      <c r="BN1528" s="7">
        <v>0.0966</v>
      </c>
      <c r="BO1528" s="4">
        <v>9</v>
      </c>
      <c r="BP1528" s="8">
        <v>137.7</v>
      </c>
      <c r="BQ1528" s="4"/>
      <c r="BR1528" s="8"/>
      <c r="BS1528" s="7"/>
      <c r="BT1528" s="7"/>
      <c r="BU1528" s="2" t="s">
        <v>109</v>
      </c>
      <c r="BV1528" s="2" t="s">
        <v>97</v>
      </c>
      <c r="BW1528" s="2" t="s">
        <v>1824</v>
      </c>
      <c r="BX1528" s="2" t="s">
        <v>465</v>
      </c>
      <c r="BY1528" s="2" t="s">
        <v>112</v>
      </c>
      <c r="BZ1528" s="2" t="s">
        <v>100</v>
      </c>
    </row>
    <row r="1529">
      <c r="A1529" s="2" t="s">
        <v>5632</v>
      </c>
      <c r="B1529" s="2" t="s">
        <v>5155</v>
      </c>
      <c r="C1529" s="2" t="s">
        <v>88</v>
      </c>
      <c r="D1529" s="2" t="s">
        <v>4216</v>
      </c>
      <c r="E1529" s="2" t="s">
        <v>5235</v>
      </c>
      <c r="F1529" s="2" t="s">
        <v>5628</v>
      </c>
      <c r="G1529" s="2" t="s">
        <v>5628</v>
      </c>
      <c r="H1529" s="2" t="s">
        <v>5628</v>
      </c>
      <c r="I1529" s="2" t="s">
        <v>5540</v>
      </c>
      <c r="J1529" s="2" t="s">
        <v>114</v>
      </c>
      <c r="K1529" s="2" t="s">
        <v>96</v>
      </c>
      <c r="L1529" s="3">
        <v>24.14</v>
      </c>
      <c r="M1529" s="3">
        <v>25.35</v>
      </c>
      <c r="N1529" s="3">
        <v>44.99</v>
      </c>
      <c r="O1529" s="2" t="s">
        <v>97</v>
      </c>
      <c r="P1529" s="2" t="s">
        <v>98</v>
      </c>
      <c r="Q1529" s="2" t="s">
        <v>99</v>
      </c>
      <c r="R1529" s="2" t="s">
        <v>100</v>
      </c>
      <c r="S1529" s="2" t="s">
        <v>5629</v>
      </c>
      <c r="T1529" s="2" t="s">
        <v>190</v>
      </c>
      <c r="U1529" s="2" t="s">
        <v>100</v>
      </c>
      <c r="V1529" s="2" t="s">
        <v>461</v>
      </c>
      <c r="W1529" s="2" t="s">
        <v>609</v>
      </c>
      <c r="X1529" s="2" t="s">
        <v>100</v>
      </c>
      <c r="Y1529" s="2" t="s">
        <v>144</v>
      </c>
      <c r="Z1529" s="4">
        <v>516</v>
      </c>
      <c r="AA1529" s="4">
        <f>=ROUNDDOWN(28.6666666666667,0)</f>
      </c>
      <c r="AB1529" s="5">
        <v>18</v>
      </c>
      <c r="AC1529" s="2" t="s">
        <v>307</v>
      </c>
      <c r="AD1529" s="4">
        <v>60</v>
      </c>
      <c r="AE1529" s="4">
        <v>210</v>
      </c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3</v>
      </c>
      <c r="AQ1529" s="8">
        <v>53.55</v>
      </c>
      <c r="AR1529" s="4"/>
      <c r="AS1529" s="8"/>
      <c r="AT1529" s="7"/>
      <c r="AU1529" s="7"/>
      <c r="AV1529" s="4" t="s">
        <v>100</v>
      </c>
      <c r="AW1529" s="8" t="s">
        <v>100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>
        <v>0.1024</v>
      </c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 t="s">
        <v>100</v>
      </c>
      <c r="BJ1529" s="4">
        <v>45</v>
      </c>
      <c r="BK1529" s="8">
        <v>967.04</v>
      </c>
      <c r="BL1529" s="2" t="s">
        <v>5633</v>
      </c>
      <c r="BM1529" s="7">
        <v>0.0667</v>
      </c>
      <c r="BN1529" s="7">
        <v>0.0554</v>
      </c>
      <c r="BO1529" s="4">
        <v>3</v>
      </c>
      <c r="BP1529" s="8">
        <v>53.55</v>
      </c>
      <c r="BQ1529" s="4"/>
      <c r="BR1529" s="8"/>
      <c r="BS1529" s="7"/>
      <c r="BT1529" s="7"/>
      <c r="BU1529" s="2" t="s">
        <v>109</v>
      </c>
      <c r="BV1529" s="2" t="s">
        <v>97</v>
      </c>
      <c r="BW1529" s="2" t="s">
        <v>1824</v>
      </c>
      <c r="BX1529" s="2" t="s">
        <v>465</v>
      </c>
      <c r="BY1529" s="2" t="s">
        <v>112</v>
      </c>
      <c r="BZ1529" s="2" t="s">
        <v>100</v>
      </c>
    </row>
    <row r="1530">
      <c r="A1530" s="2" t="s">
        <v>5634</v>
      </c>
      <c r="B1530" s="2" t="s">
        <v>5155</v>
      </c>
      <c r="C1530" s="2" t="s">
        <v>88</v>
      </c>
      <c r="D1530" s="2" t="s">
        <v>4216</v>
      </c>
      <c r="E1530" s="2" t="s">
        <v>5235</v>
      </c>
      <c r="F1530" s="2" t="s">
        <v>5628</v>
      </c>
      <c r="G1530" s="2" t="s">
        <v>5628</v>
      </c>
      <c r="H1530" s="2" t="s">
        <v>5628</v>
      </c>
      <c r="I1530" s="2" t="s">
        <v>5540</v>
      </c>
      <c r="J1530" s="2" t="s">
        <v>1443</v>
      </c>
      <c r="K1530" s="2" t="s">
        <v>179</v>
      </c>
      <c r="L1530" s="3">
        <v>18.39</v>
      </c>
      <c r="M1530" s="3">
        <v>19.31</v>
      </c>
      <c r="N1530" s="3">
        <v>34.99</v>
      </c>
      <c r="O1530" s="2" t="s">
        <v>97</v>
      </c>
      <c r="P1530" s="2" t="s">
        <v>98</v>
      </c>
      <c r="Q1530" s="2" t="s">
        <v>99</v>
      </c>
      <c r="R1530" s="2" t="s">
        <v>100</v>
      </c>
      <c r="S1530" s="2" t="s">
        <v>5635</v>
      </c>
      <c r="T1530" s="2" t="s">
        <v>190</v>
      </c>
      <c r="U1530" s="2" t="s">
        <v>100</v>
      </c>
      <c r="V1530" s="2" t="s">
        <v>461</v>
      </c>
      <c r="W1530" s="2" t="s">
        <v>609</v>
      </c>
      <c r="X1530" s="2" t="s">
        <v>100</v>
      </c>
      <c r="Y1530" s="2" t="s">
        <v>144</v>
      </c>
      <c r="Z1530" s="4">
        <v>290</v>
      </c>
      <c r="AA1530" s="4">
        <f>=ROUNDDOWN(26.3636363636364,0)</f>
      </c>
      <c r="AB1530" s="5">
        <v>11</v>
      </c>
      <c r="AC1530" s="2" t="s">
        <v>307</v>
      </c>
      <c r="AD1530" s="4">
        <v>130</v>
      </c>
      <c r="AE1530" s="4">
        <v>130</v>
      </c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>
        <v>26</v>
      </c>
      <c r="AW1530" s="8">
        <v>405.45</v>
      </c>
      <c r="AX1530" s="4" t="s">
        <v>100</v>
      </c>
      <c r="AY1530" s="8" t="s">
        <v>100</v>
      </c>
      <c r="AZ1530" s="7" t="s">
        <v>100</v>
      </c>
      <c r="BA1530" s="7" t="s">
        <v>100</v>
      </c>
      <c r="BB1530" s="7"/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>
        <v>0.2304</v>
      </c>
      <c r="BJ1530" s="4">
        <v>25</v>
      </c>
      <c r="BK1530" s="8">
        <v>410.27</v>
      </c>
      <c r="BL1530" s="2" t="s">
        <v>5636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109</v>
      </c>
      <c r="BV1530" s="2" t="s">
        <v>97</v>
      </c>
      <c r="BW1530" s="2" t="s">
        <v>1824</v>
      </c>
      <c r="BX1530" s="2" t="s">
        <v>5637</v>
      </c>
      <c r="BY1530" s="2" t="s">
        <v>112</v>
      </c>
      <c r="BZ1530" s="2" t="s">
        <v>100</v>
      </c>
    </row>
    <row r="1531">
      <c r="A1531" s="2" t="s">
        <v>5638</v>
      </c>
      <c r="B1531" s="2" t="s">
        <v>5155</v>
      </c>
      <c r="C1531" s="2" t="s">
        <v>88</v>
      </c>
      <c r="D1531" s="2" t="s">
        <v>4216</v>
      </c>
      <c r="E1531" s="2" t="s">
        <v>5235</v>
      </c>
      <c r="F1531" s="2" t="s">
        <v>5628</v>
      </c>
      <c r="G1531" s="2" t="s">
        <v>5628</v>
      </c>
      <c r="H1531" s="2" t="s">
        <v>5628</v>
      </c>
      <c r="I1531" s="2" t="s">
        <v>5540</v>
      </c>
      <c r="J1531" s="2" t="s">
        <v>522</v>
      </c>
      <c r="K1531" s="2" t="s">
        <v>179</v>
      </c>
      <c r="L1531" s="3">
        <v>21.27</v>
      </c>
      <c r="M1531" s="3">
        <v>22.33</v>
      </c>
      <c r="N1531" s="3">
        <v>39.99</v>
      </c>
      <c r="O1531" s="2" t="s">
        <v>97</v>
      </c>
      <c r="P1531" s="2" t="s">
        <v>98</v>
      </c>
      <c r="Q1531" s="2" t="s">
        <v>99</v>
      </c>
      <c r="R1531" s="2" t="s">
        <v>100</v>
      </c>
      <c r="S1531" s="2" t="s">
        <v>5635</v>
      </c>
      <c r="T1531" s="2" t="s">
        <v>190</v>
      </c>
      <c r="U1531" s="2" t="s">
        <v>100</v>
      </c>
      <c r="V1531" s="2" t="s">
        <v>461</v>
      </c>
      <c r="W1531" s="2" t="s">
        <v>609</v>
      </c>
      <c r="X1531" s="2" t="s">
        <v>100</v>
      </c>
      <c r="Y1531" s="2" t="s">
        <v>144</v>
      </c>
      <c r="Z1531" s="4">
        <v>665</v>
      </c>
      <c r="AA1531" s="4">
        <f>=ROUNDDOWN(18.4722222222222,0)</f>
      </c>
      <c r="AB1531" s="5">
        <v>36</v>
      </c>
      <c r="AC1531" s="2" t="s">
        <v>307</v>
      </c>
      <c r="AD1531" s="4">
        <v>310</v>
      </c>
      <c r="AE1531" s="4">
        <v>660</v>
      </c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23</v>
      </c>
      <c r="AQ1531" s="8">
        <v>351.9</v>
      </c>
      <c r="AR1531" s="4"/>
      <c r="AS1531" s="8"/>
      <c r="AT1531" s="7"/>
      <c r="AU1531" s="7"/>
      <c r="AV1531" s="4" t="s">
        <v>100</v>
      </c>
      <c r="AW1531" s="8" t="s">
        <v>100</v>
      </c>
      <c r="AX1531" s="4" t="s">
        <v>100</v>
      </c>
      <c r="AY1531" s="8" t="s">
        <v>100</v>
      </c>
      <c r="AZ1531" s="7" t="s">
        <v>100</v>
      </c>
      <c r="BA1531" s="7" t="s">
        <v>100</v>
      </c>
      <c r="BB1531" s="7">
        <v>0.8679</v>
      </c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 t="s">
        <v>100</v>
      </c>
      <c r="BJ1531" s="4">
        <v>98</v>
      </c>
      <c r="BK1531" s="8">
        <v>1791.16</v>
      </c>
      <c r="BL1531" s="2" t="s">
        <v>5639</v>
      </c>
      <c r="BM1531" s="7">
        <v>0.2347</v>
      </c>
      <c r="BN1531" s="7">
        <v>0.1965</v>
      </c>
      <c r="BO1531" s="4">
        <v>23</v>
      </c>
      <c r="BP1531" s="8">
        <v>351.9</v>
      </c>
      <c r="BQ1531" s="4"/>
      <c r="BR1531" s="8"/>
      <c r="BS1531" s="7"/>
      <c r="BT1531" s="7"/>
      <c r="BU1531" s="2" t="s">
        <v>109</v>
      </c>
      <c r="BV1531" s="2" t="s">
        <v>97</v>
      </c>
      <c r="BW1531" s="2" t="s">
        <v>1824</v>
      </c>
      <c r="BX1531" s="2" t="s">
        <v>5451</v>
      </c>
      <c r="BY1531" s="2" t="s">
        <v>112</v>
      </c>
      <c r="BZ1531" s="2" t="s">
        <v>100</v>
      </c>
    </row>
    <row r="1532">
      <c r="A1532" s="2" t="s">
        <v>5640</v>
      </c>
      <c r="B1532" s="2" t="s">
        <v>5155</v>
      </c>
      <c r="C1532" s="2" t="s">
        <v>88</v>
      </c>
      <c r="D1532" s="2" t="s">
        <v>4216</v>
      </c>
      <c r="E1532" s="2" t="s">
        <v>5235</v>
      </c>
      <c r="F1532" s="2" t="s">
        <v>5628</v>
      </c>
      <c r="G1532" s="2" t="s">
        <v>5628</v>
      </c>
      <c r="H1532" s="2" t="s">
        <v>5628</v>
      </c>
      <c r="I1532" s="2" t="s">
        <v>5540</v>
      </c>
      <c r="J1532" s="2" t="s">
        <v>114</v>
      </c>
      <c r="K1532" s="2" t="s">
        <v>179</v>
      </c>
      <c r="L1532" s="3">
        <v>24.14</v>
      </c>
      <c r="M1532" s="3">
        <v>25.35</v>
      </c>
      <c r="N1532" s="3">
        <v>44.99</v>
      </c>
      <c r="O1532" s="2" t="s">
        <v>97</v>
      </c>
      <c r="P1532" s="2" t="s">
        <v>98</v>
      </c>
      <c r="Q1532" s="2" t="s">
        <v>99</v>
      </c>
      <c r="R1532" s="2" t="s">
        <v>100</v>
      </c>
      <c r="S1532" s="2" t="s">
        <v>5635</v>
      </c>
      <c r="T1532" s="2" t="s">
        <v>190</v>
      </c>
      <c r="U1532" s="2" t="s">
        <v>100</v>
      </c>
      <c r="V1532" s="2" t="s">
        <v>461</v>
      </c>
      <c r="W1532" s="2" t="s">
        <v>609</v>
      </c>
      <c r="X1532" s="2" t="s">
        <v>100</v>
      </c>
      <c r="Y1532" s="2" t="s">
        <v>144</v>
      </c>
      <c r="Z1532" s="4">
        <v>325</v>
      </c>
      <c r="AA1532" s="4">
        <f>=ROUNDDOWN(14.7727272727273,0)</f>
      </c>
      <c r="AB1532" s="5">
        <v>22</v>
      </c>
      <c r="AC1532" s="2" t="s">
        <v>307</v>
      </c>
      <c r="AD1532" s="4">
        <v>60</v>
      </c>
      <c r="AE1532" s="4">
        <v>220</v>
      </c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3</v>
      </c>
      <c r="AQ1532" s="8">
        <v>53.55</v>
      </c>
      <c r="AR1532" s="4"/>
      <c r="AS1532" s="8"/>
      <c r="AT1532" s="7"/>
      <c r="AU1532" s="7"/>
      <c r="AV1532" s="4" t="s">
        <v>100</v>
      </c>
      <c r="AW1532" s="8" t="s">
        <v>100</v>
      </c>
      <c r="AX1532" s="4" t="s">
        <v>100</v>
      </c>
      <c r="AY1532" s="8" t="s">
        <v>100</v>
      </c>
      <c r="AZ1532" s="7" t="s">
        <v>100</v>
      </c>
      <c r="BA1532" s="7" t="s">
        <v>100</v>
      </c>
      <c r="BB1532" s="7">
        <v>0.1321</v>
      </c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 t="s">
        <v>100</v>
      </c>
      <c r="BJ1532" s="4">
        <v>60</v>
      </c>
      <c r="BK1532" s="8">
        <v>1317.63</v>
      </c>
      <c r="BL1532" s="2" t="s">
        <v>5641</v>
      </c>
      <c r="BM1532" s="7">
        <v>0.05</v>
      </c>
      <c r="BN1532" s="7">
        <v>0.0406</v>
      </c>
      <c r="BO1532" s="4">
        <v>3</v>
      </c>
      <c r="BP1532" s="8">
        <v>53.55</v>
      </c>
      <c r="BQ1532" s="4"/>
      <c r="BR1532" s="8"/>
      <c r="BS1532" s="7"/>
      <c r="BT1532" s="7"/>
      <c r="BU1532" s="2" t="s">
        <v>109</v>
      </c>
      <c r="BV1532" s="2" t="s">
        <v>97</v>
      </c>
      <c r="BW1532" s="2" t="s">
        <v>1824</v>
      </c>
      <c r="BX1532" s="2" t="s">
        <v>870</v>
      </c>
      <c r="BY1532" s="2" t="s">
        <v>112</v>
      </c>
      <c r="BZ1532" s="2" t="s">
        <v>100</v>
      </c>
    </row>
    <row r="1533">
      <c r="A1533" s="2" t="s">
        <v>5642</v>
      </c>
      <c r="B1533" s="2" t="s">
        <v>5155</v>
      </c>
      <c r="C1533" s="2" t="s">
        <v>88</v>
      </c>
      <c r="D1533" s="2" t="s">
        <v>4216</v>
      </c>
      <c r="E1533" s="2" t="s">
        <v>5235</v>
      </c>
      <c r="F1533" s="2" t="s">
        <v>5628</v>
      </c>
      <c r="G1533" s="2" t="s">
        <v>5628</v>
      </c>
      <c r="H1533" s="2" t="s">
        <v>5628</v>
      </c>
      <c r="I1533" s="2" t="s">
        <v>5540</v>
      </c>
      <c r="J1533" s="2" t="s">
        <v>1443</v>
      </c>
      <c r="K1533" s="2" t="s">
        <v>1090</v>
      </c>
      <c r="L1533" s="3">
        <v>18.39</v>
      </c>
      <c r="M1533" s="3">
        <v>19.31</v>
      </c>
      <c r="N1533" s="3">
        <v>34.99</v>
      </c>
      <c r="O1533" s="2" t="s">
        <v>97</v>
      </c>
      <c r="P1533" s="2" t="s">
        <v>98</v>
      </c>
      <c r="Q1533" s="2" t="s">
        <v>99</v>
      </c>
      <c r="R1533" s="2" t="s">
        <v>100</v>
      </c>
      <c r="S1533" s="2" t="s">
        <v>5643</v>
      </c>
      <c r="T1533" s="2" t="s">
        <v>190</v>
      </c>
      <c r="U1533" s="2" t="s">
        <v>100</v>
      </c>
      <c r="V1533" s="2" t="s">
        <v>461</v>
      </c>
      <c r="W1533" s="2" t="s">
        <v>609</v>
      </c>
      <c r="X1533" s="2" t="s">
        <v>100</v>
      </c>
      <c r="Y1533" s="2" t="s">
        <v>144</v>
      </c>
      <c r="Z1533" s="4">
        <v>517</v>
      </c>
      <c r="AA1533" s="4">
        <f>=ROUNDDOWN(24.6190476190476,0)</f>
      </c>
      <c r="AB1533" s="5">
        <v>21</v>
      </c>
      <c r="AC1533" s="2" t="s">
        <v>875</v>
      </c>
      <c r="AD1533" s="4">
        <v>120</v>
      </c>
      <c r="AE1533" s="4">
        <v>120</v>
      </c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13</v>
      </c>
      <c r="AQ1533" s="8">
        <v>165.88</v>
      </c>
      <c r="AR1533" s="4"/>
      <c r="AS1533" s="8"/>
      <c r="AT1533" s="7"/>
      <c r="AU1533" s="7"/>
      <c r="AV1533" s="4">
        <v>20</v>
      </c>
      <c r="AW1533" s="8">
        <v>278.08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>
        <v>0.5965</v>
      </c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>
        <v>0.158</v>
      </c>
      <c r="BJ1533" s="4">
        <v>79</v>
      </c>
      <c r="BK1533" s="8">
        <v>1240.95</v>
      </c>
      <c r="BL1533" s="2" t="s">
        <v>1808</v>
      </c>
      <c r="BM1533" s="7">
        <v>0.1646</v>
      </c>
      <c r="BN1533" s="7">
        <v>0.1337</v>
      </c>
      <c r="BO1533" s="4">
        <v>13</v>
      </c>
      <c r="BP1533" s="8">
        <v>165.88</v>
      </c>
      <c r="BQ1533" s="4"/>
      <c r="BR1533" s="8"/>
      <c r="BS1533" s="7"/>
      <c r="BT1533" s="7"/>
      <c r="BU1533" s="2" t="s">
        <v>109</v>
      </c>
      <c r="BV1533" s="2" t="s">
        <v>97</v>
      </c>
      <c r="BW1533" s="2" t="s">
        <v>1824</v>
      </c>
      <c r="BX1533" s="2" t="s">
        <v>5451</v>
      </c>
      <c r="BY1533" s="2" t="s">
        <v>112</v>
      </c>
      <c r="BZ1533" s="2" t="s">
        <v>100</v>
      </c>
    </row>
    <row r="1534">
      <c r="A1534" s="2" t="s">
        <v>5644</v>
      </c>
      <c r="B1534" s="2" t="s">
        <v>5155</v>
      </c>
      <c r="C1534" s="2" t="s">
        <v>88</v>
      </c>
      <c r="D1534" s="2" t="s">
        <v>4216</v>
      </c>
      <c r="E1534" s="2" t="s">
        <v>5235</v>
      </c>
      <c r="F1534" s="2" t="s">
        <v>5628</v>
      </c>
      <c r="G1534" s="2" t="s">
        <v>5628</v>
      </c>
      <c r="H1534" s="2" t="s">
        <v>5628</v>
      </c>
      <c r="I1534" s="2" t="s">
        <v>5540</v>
      </c>
      <c r="J1534" s="2" t="s">
        <v>522</v>
      </c>
      <c r="K1534" s="2" t="s">
        <v>1090</v>
      </c>
      <c r="L1534" s="3">
        <v>21.27</v>
      </c>
      <c r="M1534" s="3">
        <v>22.33</v>
      </c>
      <c r="N1534" s="3">
        <v>39.99</v>
      </c>
      <c r="O1534" s="2" t="s">
        <v>97</v>
      </c>
      <c r="P1534" s="2" t="s">
        <v>98</v>
      </c>
      <c r="Q1534" s="2" t="s">
        <v>99</v>
      </c>
      <c r="R1534" s="2" t="s">
        <v>100</v>
      </c>
      <c r="S1534" s="2" t="s">
        <v>5643</v>
      </c>
      <c r="T1534" s="2" t="s">
        <v>190</v>
      </c>
      <c r="U1534" s="2" t="s">
        <v>100</v>
      </c>
      <c r="V1534" s="2" t="s">
        <v>461</v>
      </c>
      <c r="W1534" s="2" t="s">
        <v>609</v>
      </c>
      <c r="X1534" s="2" t="s">
        <v>100</v>
      </c>
      <c r="Y1534" s="2" t="s">
        <v>144</v>
      </c>
      <c r="Z1534" s="4">
        <v>1090</v>
      </c>
      <c r="AA1534" s="4">
        <f>=ROUNDDOWN(29.4594594594595,0)</f>
      </c>
      <c r="AB1534" s="5">
        <v>37</v>
      </c>
      <c r="AC1534" s="2" t="s">
        <v>875</v>
      </c>
      <c r="AD1534" s="4">
        <v>210</v>
      </c>
      <c r="AE1534" s="4">
        <v>210</v>
      </c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5</v>
      </c>
      <c r="AQ1534" s="8">
        <v>76.5</v>
      </c>
      <c r="AR1534" s="4"/>
      <c r="AS1534" s="8"/>
      <c r="AT1534" s="7"/>
      <c r="AU1534" s="7"/>
      <c r="AV1534" s="4" t="s">
        <v>100</v>
      </c>
      <c r="AW1534" s="8" t="s">
        <v>100</v>
      </c>
      <c r="AX1534" s="4" t="s">
        <v>100</v>
      </c>
      <c r="AY1534" s="8" t="s">
        <v>100</v>
      </c>
      <c r="AZ1534" s="7" t="s">
        <v>100</v>
      </c>
      <c r="BA1534" s="7" t="s">
        <v>100</v>
      </c>
      <c r="BB1534" s="7">
        <v>0.2751</v>
      </c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 t="s">
        <v>100</v>
      </c>
      <c r="BJ1534" s="4">
        <v>73</v>
      </c>
      <c r="BK1534" s="8">
        <v>1420</v>
      </c>
      <c r="BL1534" s="2" t="s">
        <v>5645</v>
      </c>
      <c r="BM1534" s="7">
        <v>0.0685</v>
      </c>
      <c r="BN1534" s="7">
        <v>0.0539</v>
      </c>
      <c r="BO1534" s="4">
        <v>5</v>
      </c>
      <c r="BP1534" s="8">
        <v>76.5</v>
      </c>
      <c r="BQ1534" s="4"/>
      <c r="BR1534" s="8"/>
      <c r="BS1534" s="7"/>
      <c r="BT1534" s="7"/>
      <c r="BU1534" s="2" t="s">
        <v>109</v>
      </c>
      <c r="BV1534" s="2" t="s">
        <v>97</v>
      </c>
      <c r="BW1534" s="2" t="s">
        <v>1824</v>
      </c>
      <c r="BX1534" s="2" t="s">
        <v>516</v>
      </c>
      <c r="BY1534" s="2" t="s">
        <v>112</v>
      </c>
      <c r="BZ1534" s="2" t="s">
        <v>100</v>
      </c>
    </row>
    <row r="1535">
      <c r="A1535" s="2" t="s">
        <v>5646</v>
      </c>
      <c r="B1535" s="2" t="s">
        <v>5155</v>
      </c>
      <c r="C1535" s="2" t="s">
        <v>88</v>
      </c>
      <c r="D1535" s="2" t="s">
        <v>4216</v>
      </c>
      <c r="E1535" s="2" t="s">
        <v>5235</v>
      </c>
      <c r="F1535" s="2" t="s">
        <v>5628</v>
      </c>
      <c r="G1535" s="2" t="s">
        <v>5628</v>
      </c>
      <c r="H1535" s="2" t="s">
        <v>5628</v>
      </c>
      <c r="I1535" s="2" t="s">
        <v>5540</v>
      </c>
      <c r="J1535" s="2" t="s">
        <v>114</v>
      </c>
      <c r="K1535" s="2" t="s">
        <v>1090</v>
      </c>
      <c r="L1535" s="3">
        <v>24.14</v>
      </c>
      <c r="M1535" s="3">
        <v>25.35</v>
      </c>
      <c r="N1535" s="3">
        <v>44.99</v>
      </c>
      <c r="O1535" s="2" t="s">
        <v>97</v>
      </c>
      <c r="P1535" s="2" t="s">
        <v>98</v>
      </c>
      <c r="Q1535" s="2" t="s">
        <v>99</v>
      </c>
      <c r="R1535" s="2" t="s">
        <v>100</v>
      </c>
      <c r="S1535" s="2" t="s">
        <v>5643</v>
      </c>
      <c r="T1535" s="2" t="s">
        <v>190</v>
      </c>
      <c r="U1535" s="2" t="s">
        <v>100</v>
      </c>
      <c r="V1535" s="2" t="s">
        <v>461</v>
      </c>
      <c r="W1535" s="2" t="s">
        <v>609</v>
      </c>
      <c r="X1535" s="2" t="s">
        <v>100</v>
      </c>
      <c r="Y1535" s="2" t="s">
        <v>144</v>
      </c>
      <c r="Z1535" s="4">
        <v>510</v>
      </c>
      <c r="AA1535" s="4">
        <f>=ROUNDDOWN(20.4,0)</f>
      </c>
      <c r="AB1535" s="5">
        <v>25</v>
      </c>
      <c r="AC1535" s="2" t="s">
        <v>875</v>
      </c>
      <c r="AD1535" s="4">
        <v>300</v>
      </c>
      <c r="AE1535" s="4">
        <v>300</v>
      </c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2</v>
      </c>
      <c r="AQ1535" s="8">
        <v>35.7</v>
      </c>
      <c r="AR1535" s="4"/>
      <c r="AS1535" s="8"/>
      <c r="AT1535" s="7"/>
      <c r="AU1535" s="7"/>
      <c r="AV1535" s="4" t="s">
        <v>100</v>
      </c>
      <c r="AW1535" s="8" t="s">
        <v>100</v>
      </c>
      <c r="AX1535" s="4" t="s">
        <v>100</v>
      </c>
      <c r="AY1535" s="8" t="s">
        <v>100</v>
      </c>
      <c r="AZ1535" s="7" t="s">
        <v>100</v>
      </c>
      <c r="BA1535" s="7" t="s">
        <v>100</v>
      </c>
      <c r="BB1535" s="7">
        <v>0.1284</v>
      </c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 t="s">
        <v>100</v>
      </c>
      <c r="BJ1535" s="4">
        <v>43</v>
      </c>
      <c r="BK1535" s="8">
        <v>944.16</v>
      </c>
      <c r="BL1535" s="2" t="s">
        <v>5633</v>
      </c>
      <c r="BM1535" s="7">
        <v>0.0465</v>
      </c>
      <c r="BN1535" s="7">
        <v>0.0378</v>
      </c>
      <c r="BO1535" s="4">
        <v>2</v>
      </c>
      <c r="BP1535" s="8">
        <v>35.7</v>
      </c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1824</v>
      </c>
      <c r="BX1535" s="2" t="s">
        <v>5647</v>
      </c>
      <c r="BY1535" s="2" t="s">
        <v>112</v>
      </c>
      <c r="BZ1535" s="2" t="s">
        <v>100</v>
      </c>
    </row>
    <row r="1536">
      <c r="A1536" s="2" t="s">
        <v>5648</v>
      </c>
      <c r="B1536" s="2" t="s">
        <v>5155</v>
      </c>
      <c r="C1536" s="2" t="s">
        <v>88</v>
      </c>
      <c r="D1536" s="2" t="s">
        <v>4216</v>
      </c>
      <c r="E1536" s="2" t="s">
        <v>5235</v>
      </c>
      <c r="F1536" s="2" t="s">
        <v>5628</v>
      </c>
      <c r="G1536" s="2" t="s">
        <v>5628</v>
      </c>
      <c r="H1536" s="2" t="s">
        <v>5628</v>
      </c>
      <c r="I1536" s="2" t="s">
        <v>5540</v>
      </c>
      <c r="J1536" s="2" t="s">
        <v>1443</v>
      </c>
      <c r="K1536" s="2" t="s">
        <v>856</v>
      </c>
      <c r="L1536" s="3">
        <v>18.39</v>
      </c>
      <c r="M1536" s="3">
        <v>19.31</v>
      </c>
      <c r="N1536" s="3">
        <v>34.99</v>
      </c>
      <c r="O1536" s="2" t="s">
        <v>97</v>
      </c>
      <c r="P1536" s="2" t="s">
        <v>98</v>
      </c>
      <c r="Q1536" s="2" t="s">
        <v>99</v>
      </c>
      <c r="R1536" s="2" t="s">
        <v>100</v>
      </c>
      <c r="S1536" s="2" t="s">
        <v>5649</v>
      </c>
      <c r="T1536" s="2" t="s">
        <v>190</v>
      </c>
      <c r="U1536" s="2" t="s">
        <v>100</v>
      </c>
      <c r="V1536" s="2" t="s">
        <v>461</v>
      </c>
      <c r="W1536" s="2" t="s">
        <v>609</v>
      </c>
      <c r="X1536" s="2" t="s">
        <v>100</v>
      </c>
      <c r="Y1536" s="2" t="s">
        <v>144</v>
      </c>
      <c r="Z1536" s="4">
        <v>347</v>
      </c>
      <c r="AA1536" s="4">
        <f>=ROUNDDOWN(38.5555555555556,0)</f>
      </c>
      <c r="AB1536" s="5">
        <v>9</v>
      </c>
      <c r="AC1536" s="2" t="s">
        <v>307</v>
      </c>
      <c r="AD1536" s="4">
        <v>70</v>
      </c>
      <c r="AE1536" s="4">
        <v>70</v>
      </c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4</v>
      </c>
      <c r="AQ1536" s="8">
        <v>51.04</v>
      </c>
      <c r="AR1536" s="4"/>
      <c r="AS1536" s="8"/>
      <c r="AT1536" s="7"/>
      <c r="AU1536" s="7"/>
      <c r="AV1536" s="4">
        <v>16</v>
      </c>
      <c r="AW1536" s="8">
        <v>255.04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>
        <v>0.2001</v>
      </c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>
        <v>0.1449</v>
      </c>
      <c r="BJ1536" s="4">
        <v>17</v>
      </c>
      <c r="BK1536" s="8">
        <v>263.07</v>
      </c>
      <c r="BL1536" s="2" t="s">
        <v>5650</v>
      </c>
      <c r="BM1536" s="7">
        <v>0.2353</v>
      </c>
      <c r="BN1536" s="7">
        <v>0.194</v>
      </c>
      <c r="BO1536" s="4">
        <v>4</v>
      </c>
      <c r="BP1536" s="8">
        <v>51.04</v>
      </c>
      <c r="BQ1536" s="4"/>
      <c r="BR1536" s="8"/>
      <c r="BS1536" s="7"/>
      <c r="BT1536" s="7"/>
      <c r="BU1536" s="2" t="s">
        <v>109</v>
      </c>
      <c r="BV1536" s="2" t="s">
        <v>97</v>
      </c>
      <c r="BW1536" s="2" t="s">
        <v>1824</v>
      </c>
      <c r="BX1536" s="2" t="s">
        <v>1900</v>
      </c>
      <c r="BY1536" s="2" t="s">
        <v>112</v>
      </c>
      <c r="BZ1536" s="2" t="s">
        <v>100</v>
      </c>
    </row>
    <row r="1537">
      <c r="A1537" s="2" t="s">
        <v>5651</v>
      </c>
      <c r="B1537" s="2" t="s">
        <v>5155</v>
      </c>
      <c r="C1537" s="2" t="s">
        <v>88</v>
      </c>
      <c r="D1537" s="2" t="s">
        <v>4216</v>
      </c>
      <c r="E1537" s="2" t="s">
        <v>5235</v>
      </c>
      <c r="F1537" s="2" t="s">
        <v>5628</v>
      </c>
      <c r="G1537" s="2" t="s">
        <v>5628</v>
      </c>
      <c r="H1537" s="2" t="s">
        <v>5628</v>
      </c>
      <c r="I1537" s="2" t="s">
        <v>5540</v>
      </c>
      <c r="J1537" s="2" t="s">
        <v>522</v>
      </c>
      <c r="K1537" s="2" t="s">
        <v>856</v>
      </c>
      <c r="L1537" s="3">
        <v>21.27</v>
      </c>
      <c r="M1537" s="3">
        <v>22.33</v>
      </c>
      <c r="N1537" s="3">
        <v>39.99</v>
      </c>
      <c r="O1537" s="2" t="s">
        <v>97</v>
      </c>
      <c r="P1537" s="2" t="s">
        <v>98</v>
      </c>
      <c r="Q1537" s="2" t="s">
        <v>99</v>
      </c>
      <c r="R1537" s="2" t="s">
        <v>100</v>
      </c>
      <c r="S1537" s="2" t="s">
        <v>5649</v>
      </c>
      <c r="T1537" s="2" t="s">
        <v>190</v>
      </c>
      <c r="U1537" s="2" t="s">
        <v>100</v>
      </c>
      <c r="V1537" s="2" t="s">
        <v>461</v>
      </c>
      <c r="W1537" s="2" t="s">
        <v>609</v>
      </c>
      <c r="X1537" s="2" t="s">
        <v>100</v>
      </c>
      <c r="Y1537" s="2" t="s">
        <v>144</v>
      </c>
      <c r="Z1537" s="4">
        <v>640</v>
      </c>
      <c r="AA1537" s="4">
        <f>=ROUNDDOWN(27.8260869565217,0)</f>
      </c>
      <c r="AB1537" s="5">
        <v>23</v>
      </c>
      <c r="AC1537" s="2" t="s">
        <v>307</v>
      </c>
      <c r="AD1537" s="4">
        <v>270</v>
      </c>
      <c r="AE1537" s="4">
        <v>270</v>
      </c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4</v>
      </c>
      <c r="AQ1537" s="8">
        <v>61.2</v>
      </c>
      <c r="AR1537" s="4"/>
      <c r="AS1537" s="8"/>
      <c r="AT1537" s="7"/>
      <c r="AU1537" s="7"/>
      <c r="AV1537" s="4" t="s">
        <v>100</v>
      </c>
      <c r="AW1537" s="8" t="s">
        <v>100</v>
      </c>
      <c r="AX1537" s="4" t="s">
        <v>100</v>
      </c>
      <c r="AY1537" s="8" t="s">
        <v>100</v>
      </c>
      <c r="AZ1537" s="7" t="s">
        <v>100</v>
      </c>
      <c r="BA1537" s="7" t="s">
        <v>100</v>
      </c>
      <c r="BB1537" s="7">
        <v>0.24</v>
      </c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 t="s">
        <v>100</v>
      </c>
      <c r="BJ1537" s="4">
        <v>54</v>
      </c>
      <c r="BK1537" s="8">
        <v>1055.65</v>
      </c>
      <c r="BL1537" s="2" t="s">
        <v>5652</v>
      </c>
      <c r="BM1537" s="7">
        <v>0.0741</v>
      </c>
      <c r="BN1537" s="7">
        <v>0.058</v>
      </c>
      <c r="BO1537" s="4">
        <v>4</v>
      </c>
      <c r="BP1537" s="8">
        <v>61.2</v>
      </c>
      <c r="BQ1537" s="4"/>
      <c r="BR1537" s="8"/>
      <c r="BS1537" s="7"/>
      <c r="BT1537" s="7"/>
      <c r="BU1537" s="2" t="s">
        <v>109</v>
      </c>
      <c r="BV1537" s="2" t="s">
        <v>97</v>
      </c>
      <c r="BW1537" s="2" t="s">
        <v>1824</v>
      </c>
      <c r="BX1537" s="2" t="s">
        <v>5653</v>
      </c>
      <c r="BY1537" s="2" t="s">
        <v>112</v>
      </c>
      <c r="BZ1537" s="2" t="s">
        <v>100</v>
      </c>
    </row>
    <row r="1538">
      <c r="A1538" s="2" t="s">
        <v>5654</v>
      </c>
      <c r="B1538" s="2" t="s">
        <v>5155</v>
      </c>
      <c r="C1538" s="2" t="s">
        <v>88</v>
      </c>
      <c r="D1538" s="2" t="s">
        <v>4216</v>
      </c>
      <c r="E1538" s="2" t="s">
        <v>5235</v>
      </c>
      <c r="F1538" s="2" t="s">
        <v>5628</v>
      </c>
      <c r="G1538" s="2" t="s">
        <v>5628</v>
      </c>
      <c r="H1538" s="2" t="s">
        <v>5628</v>
      </c>
      <c r="I1538" s="2" t="s">
        <v>5540</v>
      </c>
      <c r="J1538" s="2" t="s">
        <v>114</v>
      </c>
      <c r="K1538" s="2" t="s">
        <v>856</v>
      </c>
      <c r="L1538" s="3">
        <v>24.14</v>
      </c>
      <c r="M1538" s="3">
        <v>25.35</v>
      </c>
      <c r="N1538" s="3">
        <v>44.99</v>
      </c>
      <c r="O1538" s="2" t="s">
        <v>97</v>
      </c>
      <c r="P1538" s="2" t="s">
        <v>98</v>
      </c>
      <c r="Q1538" s="2" t="s">
        <v>99</v>
      </c>
      <c r="R1538" s="2" t="s">
        <v>100</v>
      </c>
      <c r="S1538" s="2" t="s">
        <v>5649</v>
      </c>
      <c r="T1538" s="2" t="s">
        <v>190</v>
      </c>
      <c r="U1538" s="2" t="s">
        <v>100</v>
      </c>
      <c r="V1538" s="2" t="s">
        <v>461</v>
      </c>
      <c r="W1538" s="2" t="s">
        <v>609</v>
      </c>
      <c r="X1538" s="2" t="s">
        <v>100</v>
      </c>
      <c r="Y1538" s="2" t="s">
        <v>144</v>
      </c>
      <c r="Z1538" s="4">
        <v>417</v>
      </c>
      <c r="AA1538" s="4">
        <f>=ROUNDDOWN(16.68,0)</f>
      </c>
      <c r="AB1538" s="5">
        <v>25</v>
      </c>
      <c r="AC1538" s="2" t="s">
        <v>307</v>
      </c>
      <c r="AD1538" s="4">
        <v>160</v>
      </c>
      <c r="AE1538" s="4">
        <v>160</v>
      </c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8</v>
      </c>
      <c r="AQ1538" s="8">
        <v>142.8</v>
      </c>
      <c r="AR1538" s="4"/>
      <c r="AS1538" s="8"/>
      <c r="AT1538" s="7"/>
      <c r="AU1538" s="7"/>
      <c r="AV1538" s="4" t="s">
        <v>100</v>
      </c>
      <c r="AW1538" s="8" t="s">
        <v>100</v>
      </c>
      <c r="AX1538" s="4" t="s">
        <v>100</v>
      </c>
      <c r="AY1538" s="8" t="s">
        <v>100</v>
      </c>
      <c r="AZ1538" s="7" t="s">
        <v>100</v>
      </c>
      <c r="BA1538" s="7" t="s">
        <v>100</v>
      </c>
      <c r="BB1538" s="7">
        <v>0.5599</v>
      </c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 t="s">
        <v>100</v>
      </c>
      <c r="BJ1538" s="4">
        <v>85</v>
      </c>
      <c r="BK1538" s="8">
        <v>1855.4</v>
      </c>
      <c r="BL1538" s="2" t="s">
        <v>5655</v>
      </c>
      <c r="BM1538" s="7">
        <v>0.0941</v>
      </c>
      <c r="BN1538" s="7">
        <v>0.077</v>
      </c>
      <c r="BO1538" s="4">
        <v>8</v>
      </c>
      <c r="BP1538" s="8">
        <v>142.8</v>
      </c>
      <c r="BQ1538" s="4"/>
      <c r="BR1538" s="8"/>
      <c r="BS1538" s="7"/>
      <c r="BT1538" s="7"/>
      <c r="BU1538" s="2" t="s">
        <v>109</v>
      </c>
      <c r="BV1538" s="2" t="s">
        <v>97</v>
      </c>
      <c r="BW1538" s="2" t="s">
        <v>1824</v>
      </c>
      <c r="BX1538" s="2" t="s">
        <v>4284</v>
      </c>
      <c r="BY1538" s="2" t="s">
        <v>112</v>
      </c>
      <c r="BZ1538" s="2" t="s">
        <v>100</v>
      </c>
    </row>
    <row r="1539">
      <c r="A1539" s="2" t="s">
        <v>5656</v>
      </c>
      <c r="B1539" s="2" t="s">
        <v>5155</v>
      </c>
      <c r="C1539" s="2" t="s">
        <v>88</v>
      </c>
      <c r="D1539" s="2" t="s">
        <v>4216</v>
      </c>
      <c r="E1539" s="2" t="s">
        <v>5235</v>
      </c>
      <c r="F1539" s="2" t="s">
        <v>5628</v>
      </c>
      <c r="G1539" s="2" t="s">
        <v>5628</v>
      </c>
      <c r="H1539" s="2" t="s">
        <v>5628</v>
      </c>
      <c r="I1539" s="2" t="s">
        <v>5540</v>
      </c>
      <c r="J1539" s="2" t="s">
        <v>1443</v>
      </c>
      <c r="K1539" s="2" t="s">
        <v>446</v>
      </c>
      <c r="L1539" s="3">
        <v>18.39</v>
      </c>
      <c r="M1539" s="3">
        <v>19.31</v>
      </c>
      <c r="N1539" s="3">
        <v>34.99</v>
      </c>
      <c r="O1539" s="2" t="s">
        <v>97</v>
      </c>
      <c r="P1539" s="2" t="s">
        <v>98</v>
      </c>
      <c r="Q1539" s="2" t="s">
        <v>99</v>
      </c>
      <c r="R1539" s="2" t="s">
        <v>100</v>
      </c>
      <c r="S1539" s="2" t="s">
        <v>5657</v>
      </c>
      <c r="T1539" s="2" t="s">
        <v>190</v>
      </c>
      <c r="U1539" s="2" t="s">
        <v>100</v>
      </c>
      <c r="V1539" s="2" t="s">
        <v>461</v>
      </c>
      <c r="W1539" s="2" t="s">
        <v>609</v>
      </c>
      <c r="X1539" s="2" t="s">
        <v>100</v>
      </c>
      <c r="Y1539" s="2" t="s">
        <v>144</v>
      </c>
      <c r="Z1539" s="4">
        <v>258</v>
      </c>
      <c r="AA1539" s="4">
        <f>=ROUNDDOWN(28.6666666666667,0)</f>
      </c>
      <c r="AB1539" s="5">
        <v>9</v>
      </c>
      <c r="AC1539" s="2" t="s">
        <v>307</v>
      </c>
      <c r="AD1539" s="4">
        <v>130</v>
      </c>
      <c r="AE1539" s="4">
        <v>130</v>
      </c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6</v>
      </c>
      <c r="AQ1539" s="8">
        <v>76.56</v>
      </c>
      <c r="AR1539" s="4"/>
      <c r="AS1539" s="8"/>
      <c r="AT1539" s="7"/>
      <c r="AU1539" s="7"/>
      <c r="AV1539" s="4">
        <v>14</v>
      </c>
      <c r="AW1539" s="8">
        <v>211.71</v>
      </c>
      <c r="AX1539" s="4" t="s">
        <v>100</v>
      </c>
      <c r="AY1539" s="8" t="s">
        <v>100</v>
      </c>
      <c r="AZ1539" s="7" t="s">
        <v>100</v>
      </c>
      <c r="BA1539" s="7" t="s">
        <v>100</v>
      </c>
      <c r="BB1539" s="7">
        <v>0.3616</v>
      </c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>
        <v>0.1203</v>
      </c>
      <c r="BJ1539" s="4">
        <v>18</v>
      </c>
      <c r="BK1539" s="8">
        <v>282.97</v>
      </c>
      <c r="BL1539" s="2" t="s">
        <v>5658</v>
      </c>
      <c r="BM1539" s="7">
        <v>0.3333</v>
      </c>
      <c r="BN1539" s="7">
        <v>0.2706</v>
      </c>
      <c r="BO1539" s="4">
        <v>6</v>
      </c>
      <c r="BP1539" s="8">
        <v>76.56</v>
      </c>
      <c r="BQ1539" s="4"/>
      <c r="BR1539" s="8"/>
      <c r="BS1539" s="7"/>
      <c r="BT1539" s="7"/>
      <c r="BU1539" s="2" t="s">
        <v>109</v>
      </c>
      <c r="BV1539" s="2" t="s">
        <v>97</v>
      </c>
      <c r="BW1539" s="2" t="s">
        <v>1824</v>
      </c>
      <c r="BX1539" s="2" t="s">
        <v>1818</v>
      </c>
      <c r="BY1539" s="2" t="s">
        <v>112</v>
      </c>
      <c r="BZ1539" s="2" t="s">
        <v>100</v>
      </c>
    </row>
    <row r="1540">
      <c r="A1540" s="2" t="s">
        <v>5659</v>
      </c>
      <c r="B1540" s="2" t="s">
        <v>5155</v>
      </c>
      <c r="C1540" s="2" t="s">
        <v>88</v>
      </c>
      <c r="D1540" s="2" t="s">
        <v>4216</v>
      </c>
      <c r="E1540" s="2" t="s">
        <v>5235</v>
      </c>
      <c r="F1540" s="2" t="s">
        <v>5628</v>
      </c>
      <c r="G1540" s="2" t="s">
        <v>5628</v>
      </c>
      <c r="H1540" s="2" t="s">
        <v>5628</v>
      </c>
      <c r="I1540" s="2" t="s">
        <v>5540</v>
      </c>
      <c r="J1540" s="2" t="s">
        <v>522</v>
      </c>
      <c r="K1540" s="2" t="s">
        <v>446</v>
      </c>
      <c r="L1540" s="3">
        <v>21.27</v>
      </c>
      <c r="M1540" s="3">
        <v>22.33</v>
      </c>
      <c r="N1540" s="3">
        <v>39.99</v>
      </c>
      <c r="O1540" s="2" t="s">
        <v>97</v>
      </c>
      <c r="P1540" s="2" t="s">
        <v>98</v>
      </c>
      <c r="Q1540" s="2" t="s">
        <v>99</v>
      </c>
      <c r="R1540" s="2" t="s">
        <v>100</v>
      </c>
      <c r="S1540" s="2" t="s">
        <v>5657</v>
      </c>
      <c r="T1540" s="2" t="s">
        <v>190</v>
      </c>
      <c r="U1540" s="2" t="s">
        <v>100</v>
      </c>
      <c r="V1540" s="2" t="s">
        <v>461</v>
      </c>
      <c r="W1540" s="2" t="s">
        <v>609</v>
      </c>
      <c r="X1540" s="2" t="s">
        <v>100</v>
      </c>
      <c r="Y1540" s="2" t="s">
        <v>144</v>
      </c>
      <c r="Z1540" s="4">
        <v>501</v>
      </c>
      <c r="AA1540" s="4">
        <f>=ROUNDDOWN(22.7727272727273,0)</f>
      </c>
      <c r="AB1540" s="5">
        <v>22</v>
      </c>
      <c r="AC1540" s="2" t="s">
        <v>307</v>
      </c>
      <c r="AD1540" s="4">
        <v>260</v>
      </c>
      <c r="AE1540" s="4">
        <v>260</v>
      </c>
      <c r="AF1540" s="6">
        <v>65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3</v>
      </c>
      <c r="AQ1540" s="8">
        <v>45.9</v>
      </c>
      <c r="AR1540" s="4"/>
      <c r="AS1540" s="8"/>
      <c r="AT1540" s="7"/>
      <c r="AU1540" s="7"/>
      <c r="AV1540" s="4" t="s">
        <v>100</v>
      </c>
      <c r="AW1540" s="8" t="s">
        <v>100</v>
      </c>
      <c r="AX1540" s="4" t="s">
        <v>100</v>
      </c>
      <c r="AY1540" s="8" t="s">
        <v>100</v>
      </c>
      <c r="AZ1540" s="7" t="s">
        <v>100</v>
      </c>
      <c r="BA1540" s="7" t="s">
        <v>100</v>
      </c>
      <c r="BB1540" s="7">
        <v>0.2168</v>
      </c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 t="s">
        <v>100</v>
      </c>
      <c r="BJ1540" s="4">
        <v>30</v>
      </c>
      <c r="BK1540" s="8">
        <v>587.36</v>
      </c>
      <c r="BL1540" s="2" t="s">
        <v>5660</v>
      </c>
      <c r="BM1540" s="7">
        <v>0.1</v>
      </c>
      <c r="BN1540" s="7">
        <v>0.0781</v>
      </c>
      <c r="BO1540" s="4">
        <v>3</v>
      </c>
      <c r="BP1540" s="8">
        <v>45.9</v>
      </c>
      <c r="BQ1540" s="4"/>
      <c r="BR1540" s="8"/>
      <c r="BS1540" s="7"/>
      <c r="BT1540" s="7"/>
      <c r="BU1540" s="2" t="s">
        <v>109</v>
      </c>
      <c r="BV1540" s="2" t="s">
        <v>97</v>
      </c>
      <c r="BW1540" s="2" t="s">
        <v>1824</v>
      </c>
      <c r="BX1540" s="2" t="s">
        <v>5661</v>
      </c>
      <c r="BY1540" s="2" t="s">
        <v>112</v>
      </c>
      <c r="BZ1540" s="2" t="s">
        <v>100</v>
      </c>
    </row>
    <row r="1541">
      <c r="A1541" s="2" t="s">
        <v>5662</v>
      </c>
      <c r="B1541" s="2" t="s">
        <v>5155</v>
      </c>
      <c r="C1541" s="2" t="s">
        <v>88</v>
      </c>
      <c r="D1541" s="2" t="s">
        <v>4216</v>
      </c>
      <c r="E1541" s="2" t="s">
        <v>5235</v>
      </c>
      <c r="F1541" s="2" t="s">
        <v>5628</v>
      </c>
      <c r="G1541" s="2" t="s">
        <v>5628</v>
      </c>
      <c r="H1541" s="2" t="s">
        <v>5628</v>
      </c>
      <c r="I1541" s="2" t="s">
        <v>5540</v>
      </c>
      <c r="J1541" s="2" t="s">
        <v>114</v>
      </c>
      <c r="K1541" s="2" t="s">
        <v>446</v>
      </c>
      <c r="L1541" s="3">
        <v>24.14</v>
      </c>
      <c r="M1541" s="3">
        <v>25.35</v>
      </c>
      <c r="N1541" s="3">
        <v>44.99</v>
      </c>
      <c r="O1541" s="2" t="s">
        <v>97</v>
      </c>
      <c r="P1541" s="2" t="s">
        <v>98</v>
      </c>
      <c r="Q1541" s="2" t="s">
        <v>99</v>
      </c>
      <c r="R1541" s="2" t="s">
        <v>100</v>
      </c>
      <c r="S1541" s="2" t="s">
        <v>5657</v>
      </c>
      <c r="T1541" s="2" t="s">
        <v>190</v>
      </c>
      <c r="U1541" s="2" t="s">
        <v>100</v>
      </c>
      <c r="V1541" s="2" t="s">
        <v>461</v>
      </c>
      <c r="W1541" s="2" t="s">
        <v>609</v>
      </c>
      <c r="X1541" s="2" t="s">
        <v>100</v>
      </c>
      <c r="Y1541" s="2" t="s">
        <v>144</v>
      </c>
      <c r="Z1541" s="4">
        <v>236</v>
      </c>
      <c r="AA1541" s="4">
        <f>=ROUNDDOWN(15.9459459459459,0)</f>
      </c>
      <c r="AB1541" s="5">
        <v>14.8</v>
      </c>
      <c r="AC1541" s="2" t="s">
        <v>307</v>
      </c>
      <c r="AD1541" s="4">
        <v>110</v>
      </c>
      <c r="AE1541" s="4">
        <v>110</v>
      </c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5</v>
      </c>
      <c r="AQ1541" s="8">
        <v>89.25</v>
      </c>
      <c r="AR1541" s="4"/>
      <c r="AS1541" s="8"/>
      <c r="AT1541" s="7"/>
      <c r="AU1541" s="7"/>
      <c r="AV1541" s="4" t="s">
        <v>100</v>
      </c>
      <c r="AW1541" s="8" t="s">
        <v>100</v>
      </c>
      <c r="AX1541" s="4" t="s">
        <v>100</v>
      </c>
      <c r="AY1541" s="8" t="s">
        <v>100</v>
      </c>
      <c r="AZ1541" s="7" t="s">
        <v>100</v>
      </c>
      <c r="BA1541" s="7" t="s">
        <v>100</v>
      </c>
      <c r="BB1541" s="7">
        <v>0.4216</v>
      </c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 t="s">
        <v>100</v>
      </c>
      <c r="BJ1541" s="4">
        <v>52</v>
      </c>
      <c r="BK1541" s="8">
        <v>1064.98</v>
      </c>
      <c r="BL1541" s="2" t="s">
        <v>5663</v>
      </c>
      <c r="BM1541" s="7">
        <v>0.0962</v>
      </c>
      <c r="BN1541" s="7">
        <v>0.0838</v>
      </c>
      <c r="BO1541" s="4">
        <v>5</v>
      </c>
      <c r="BP1541" s="8">
        <v>89.25</v>
      </c>
      <c r="BQ1541" s="4"/>
      <c r="BR1541" s="8"/>
      <c r="BS1541" s="7"/>
      <c r="BT1541" s="7"/>
      <c r="BU1541" s="2" t="s">
        <v>109</v>
      </c>
      <c r="BV1541" s="2" t="s">
        <v>97</v>
      </c>
      <c r="BW1541" s="2" t="s">
        <v>1824</v>
      </c>
      <c r="BX1541" s="2" t="s">
        <v>5647</v>
      </c>
      <c r="BY1541" s="2" t="s">
        <v>112</v>
      </c>
      <c r="BZ1541" s="2" t="s">
        <v>100</v>
      </c>
    </row>
    <row r="1542">
      <c r="A1542" s="2" t="s">
        <v>5664</v>
      </c>
      <c r="B1542" s="2" t="s">
        <v>5155</v>
      </c>
      <c r="C1542" s="2" t="s">
        <v>88</v>
      </c>
      <c r="D1542" s="2" t="s">
        <v>4216</v>
      </c>
      <c r="E1542" s="2" t="s">
        <v>5235</v>
      </c>
      <c r="F1542" s="2" t="s">
        <v>5628</v>
      </c>
      <c r="G1542" s="2" t="s">
        <v>5628</v>
      </c>
      <c r="H1542" s="2" t="s">
        <v>5628</v>
      </c>
      <c r="I1542" s="2" t="s">
        <v>5540</v>
      </c>
      <c r="J1542" s="2" t="s">
        <v>1443</v>
      </c>
      <c r="K1542" s="2" t="s">
        <v>223</v>
      </c>
      <c r="L1542" s="3">
        <v>18.39</v>
      </c>
      <c r="M1542" s="3">
        <v>19.31</v>
      </c>
      <c r="N1542" s="3">
        <v>34.99</v>
      </c>
      <c r="O1542" s="2" t="s">
        <v>97</v>
      </c>
      <c r="P1542" s="2" t="s">
        <v>156</v>
      </c>
      <c r="Q1542" s="2" t="s">
        <v>99</v>
      </c>
      <c r="R1542" s="2" t="s">
        <v>100</v>
      </c>
      <c r="S1542" s="2" t="s">
        <v>5665</v>
      </c>
      <c r="T1542" s="2" t="s">
        <v>190</v>
      </c>
      <c r="U1542" s="2" t="s">
        <v>100</v>
      </c>
      <c r="V1542" s="2" t="s">
        <v>461</v>
      </c>
      <c r="W1542" s="2" t="s">
        <v>609</v>
      </c>
      <c r="X1542" s="2" t="s">
        <v>100</v>
      </c>
      <c r="Y1542" s="2" t="s">
        <v>144</v>
      </c>
      <c r="Z1542" s="4">
        <v>786</v>
      </c>
      <c r="AA1542" s="4">
        <f>=ROUNDDOWN(32.75,0)</f>
      </c>
      <c r="AB1542" s="5">
        <v>24</v>
      </c>
      <c r="AC1542" s="2" t="s">
        <v>307</v>
      </c>
      <c r="AD1542" s="4">
        <v>120</v>
      </c>
      <c r="AE1542" s="4">
        <v>120</v>
      </c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>
        <v>5</v>
      </c>
      <c r="AW1542" s="8">
        <v>86.7</v>
      </c>
      <c r="AX1542" s="4" t="s">
        <v>100</v>
      </c>
      <c r="AY1542" s="8" t="s">
        <v>100</v>
      </c>
      <c r="AZ1542" s="7" t="s">
        <v>100</v>
      </c>
      <c r="BA1542" s="7" t="s">
        <v>100</v>
      </c>
      <c r="BB1542" s="7"/>
      <c r="BC1542" s="4" t="s">
        <v>100</v>
      </c>
      <c r="BD1542" s="8" t="s">
        <v>100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>
        <v>0.0493</v>
      </c>
      <c r="BJ1542" s="4">
        <v>59</v>
      </c>
      <c r="BK1542" s="8">
        <v>979.08</v>
      </c>
      <c r="BL1542" s="2" t="s">
        <v>5666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109</v>
      </c>
      <c r="BV1542" s="2" t="s">
        <v>97</v>
      </c>
      <c r="BW1542" s="2" t="s">
        <v>1824</v>
      </c>
      <c r="BX1542" s="2" t="s">
        <v>870</v>
      </c>
      <c r="BY1542" s="2" t="s">
        <v>112</v>
      </c>
      <c r="BZ1542" s="2" t="s">
        <v>100</v>
      </c>
    </row>
    <row r="1543">
      <c r="A1543" s="2" t="s">
        <v>5667</v>
      </c>
      <c r="B1543" s="2" t="s">
        <v>5155</v>
      </c>
      <c r="C1543" s="2" t="s">
        <v>88</v>
      </c>
      <c r="D1543" s="2" t="s">
        <v>4216</v>
      </c>
      <c r="E1543" s="2" t="s">
        <v>5235</v>
      </c>
      <c r="F1543" s="2" t="s">
        <v>5628</v>
      </c>
      <c r="G1543" s="2" t="s">
        <v>5628</v>
      </c>
      <c r="H1543" s="2" t="s">
        <v>5628</v>
      </c>
      <c r="I1543" s="2" t="s">
        <v>5540</v>
      </c>
      <c r="J1543" s="2" t="s">
        <v>522</v>
      </c>
      <c r="K1543" s="2" t="s">
        <v>223</v>
      </c>
      <c r="L1543" s="3">
        <v>21.27</v>
      </c>
      <c r="M1543" s="3">
        <v>22.33</v>
      </c>
      <c r="N1543" s="3">
        <v>39.99</v>
      </c>
      <c r="O1543" s="2" t="s">
        <v>97</v>
      </c>
      <c r="P1543" s="2" t="s">
        <v>156</v>
      </c>
      <c r="Q1543" s="2" t="s">
        <v>99</v>
      </c>
      <c r="R1543" s="2" t="s">
        <v>100</v>
      </c>
      <c r="S1543" s="2" t="s">
        <v>5665</v>
      </c>
      <c r="T1543" s="2" t="s">
        <v>190</v>
      </c>
      <c r="U1543" s="2" t="s">
        <v>100</v>
      </c>
      <c r="V1543" s="2" t="s">
        <v>461</v>
      </c>
      <c r="W1543" s="2" t="s">
        <v>609</v>
      </c>
      <c r="X1543" s="2" t="s">
        <v>100</v>
      </c>
      <c r="Y1543" s="2" t="s">
        <v>144</v>
      </c>
      <c r="Z1543" s="4">
        <v>984</v>
      </c>
      <c r="AA1543" s="4">
        <f>=ROUNDDOWN(21.8666666666667,0)</f>
      </c>
      <c r="AB1543" s="5">
        <v>45</v>
      </c>
      <c r="AC1543" s="2" t="s">
        <v>307</v>
      </c>
      <c r="AD1543" s="4">
        <v>230</v>
      </c>
      <c r="AE1543" s="4">
        <v>680</v>
      </c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1</v>
      </c>
      <c r="AQ1543" s="8">
        <v>15.3</v>
      </c>
      <c r="AR1543" s="4"/>
      <c r="AS1543" s="8"/>
      <c r="AT1543" s="7"/>
      <c r="AU1543" s="7"/>
      <c r="AV1543" s="4" t="s">
        <v>100</v>
      </c>
      <c r="AW1543" s="8" t="s">
        <v>100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>
        <v>0.1765</v>
      </c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 t="s">
        <v>100</v>
      </c>
      <c r="BJ1543" s="4">
        <v>80</v>
      </c>
      <c r="BK1543" s="8">
        <v>1527.29</v>
      </c>
      <c r="BL1543" s="2" t="s">
        <v>5614</v>
      </c>
      <c r="BM1543" s="7">
        <v>0.0125</v>
      </c>
      <c r="BN1543" s="7">
        <v>0.01</v>
      </c>
      <c r="BO1543" s="4">
        <v>1</v>
      </c>
      <c r="BP1543" s="8">
        <v>15.3</v>
      </c>
      <c r="BQ1543" s="4"/>
      <c r="BR1543" s="8"/>
      <c r="BS1543" s="7"/>
      <c r="BT1543" s="7"/>
      <c r="BU1543" s="2" t="s">
        <v>109</v>
      </c>
      <c r="BV1543" s="2" t="s">
        <v>97</v>
      </c>
      <c r="BW1543" s="2" t="s">
        <v>1824</v>
      </c>
      <c r="BX1543" s="2" t="s">
        <v>465</v>
      </c>
      <c r="BY1543" s="2" t="s">
        <v>112</v>
      </c>
      <c r="BZ1543" s="2" t="s">
        <v>100</v>
      </c>
    </row>
    <row r="1544">
      <c r="A1544" s="2" t="s">
        <v>5668</v>
      </c>
      <c r="B1544" s="2" t="s">
        <v>5155</v>
      </c>
      <c r="C1544" s="2" t="s">
        <v>88</v>
      </c>
      <c r="D1544" s="2" t="s">
        <v>4216</v>
      </c>
      <c r="E1544" s="2" t="s">
        <v>5235</v>
      </c>
      <c r="F1544" s="2" t="s">
        <v>5628</v>
      </c>
      <c r="G1544" s="2" t="s">
        <v>5628</v>
      </c>
      <c r="H1544" s="2" t="s">
        <v>5628</v>
      </c>
      <c r="I1544" s="2" t="s">
        <v>5540</v>
      </c>
      <c r="J1544" s="2" t="s">
        <v>114</v>
      </c>
      <c r="K1544" s="2" t="s">
        <v>223</v>
      </c>
      <c r="L1544" s="3">
        <v>24.14</v>
      </c>
      <c r="M1544" s="3">
        <v>25.35</v>
      </c>
      <c r="N1544" s="3">
        <v>44.99</v>
      </c>
      <c r="O1544" s="2" t="s">
        <v>97</v>
      </c>
      <c r="P1544" s="2" t="s">
        <v>156</v>
      </c>
      <c r="Q1544" s="2" t="s">
        <v>99</v>
      </c>
      <c r="R1544" s="2" t="s">
        <v>100</v>
      </c>
      <c r="S1544" s="2" t="s">
        <v>5665</v>
      </c>
      <c r="T1544" s="2" t="s">
        <v>190</v>
      </c>
      <c r="U1544" s="2" t="s">
        <v>100</v>
      </c>
      <c r="V1544" s="2" t="s">
        <v>461</v>
      </c>
      <c r="W1544" s="2" t="s">
        <v>609</v>
      </c>
      <c r="X1544" s="2" t="s">
        <v>100</v>
      </c>
      <c r="Y1544" s="2" t="s">
        <v>144</v>
      </c>
      <c r="Z1544" s="4">
        <v>622</v>
      </c>
      <c r="AA1544" s="4">
        <f>=ROUNDDOWN(23.037037037037,0)</f>
      </c>
      <c r="AB1544" s="5">
        <v>27</v>
      </c>
      <c r="AC1544" s="2" t="s">
        <v>307</v>
      </c>
      <c r="AD1544" s="4">
        <v>150</v>
      </c>
      <c r="AE1544" s="4">
        <v>250</v>
      </c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4</v>
      </c>
      <c r="AQ1544" s="8">
        <v>71.4</v>
      </c>
      <c r="AR1544" s="4"/>
      <c r="AS1544" s="8"/>
      <c r="AT1544" s="7"/>
      <c r="AU1544" s="7"/>
      <c r="AV1544" s="4" t="s">
        <v>100</v>
      </c>
      <c r="AW1544" s="8" t="s">
        <v>100</v>
      </c>
      <c r="AX1544" s="4" t="s">
        <v>100</v>
      </c>
      <c r="AY1544" s="8" t="s">
        <v>100</v>
      </c>
      <c r="AZ1544" s="7" t="s">
        <v>100</v>
      </c>
      <c r="BA1544" s="7" t="s">
        <v>100</v>
      </c>
      <c r="BB1544" s="7">
        <v>0.8235</v>
      </c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 t="s">
        <v>100</v>
      </c>
      <c r="BJ1544" s="4">
        <v>43</v>
      </c>
      <c r="BK1544" s="8">
        <v>908.52</v>
      </c>
      <c r="BL1544" s="2" t="s">
        <v>5669</v>
      </c>
      <c r="BM1544" s="7">
        <v>0.093</v>
      </c>
      <c r="BN1544" s="7">
        <v>0.0786</v>
      </c>
      <c r="BO1544" s="4">
        <v>4</v>
      </c>
      <c r="BP1544" s="8">
        <v>71.4</v>
      </c>
      <c r="BQ1544" s="4"/>
      <c r="BR1544" s="8"/>
      <c r="BS1544" s="7"/>
      <c r="BT1544" s="7"/>
      <c r="BU1544" s="2" t="s">
        <v>109</v>
      </c>
      <c r="BV1544" s="2" t="s">
        <v>97</v>
      </c>
      <c r="BW1544" s="2" t="s">
        <v>1824</v>
      </c>
      <c r="BX1544" s="2" t="s">
        <v>5637</v>
      </c>
      <c r="BY1544" s="2" t="s">
        <v>112</v>
      </c>
      <c r="BZ1544" s="2" t="s">
        <v>100</v>
      </c>
    </row>
    <row r="1545">
      <c r="A1545" s="2" t="s">
        <v>5670</v>
      </c>
      <c r="B1545" s="2" t="s">
        <v>5155</v>
      </c>
      <c r="C1545" s="2" t="s">
        <v>88</v>
      </c>
      <c r="D1545" s="2" t="s">
        <v>4216</v>
      </c>
      <c r="E1545" s="2" t="s">
        <v>5235</v>
      </c>
      <c r="F1545" s="2" t="s">
        <v>5671</v>
      </c>
      <c r="G1545" s="2" t="s">
        <v>5671</v>
      </c>
      <c r="H1545" s="2" t="s">
        <v>5671</v>
      </c>
      <c r="I1545" s="2" t="s">
        <v>5235</v>
      </c>
      <c r="J1545" s="2" t="s">
        <v>1443</v>
      </c>
      <c r="K1545" s="2" t="s">
        <v>842</v>
      </c>
      <c r="L1545" s="3">
        <v>26.4</v>
      </c>
      <c r="M1545" s="3">
        <v>27.72</v>
      </c>
      <c r="N1545" s="3">
        <v>59.99</v>
      </c>
      <c r="O1545" s="2" t="s">
        <v>97</v>
      </c>
      <c r="P1545" s="2" t="s">
        <v>98</v>
      </c>
      <c r="Q1545" s="2" t="s">
        <v>99</v>
      </c>
      <c r="R1545" s="2" t="s">
        <v>100</v>
      </c>
      <c r="S1545" s="2" t="s">
        <v>5672</v>
      </c>
      <c r="T1545" s="2" t="s">
        <v>190</v>
      </c>
      <c r="U1545" s="2" t="s">
        <v>1776</v>
      </c>
      <c r="V1545" s="2" t="s">
        <v>461</v>
      </c>
      <c r="W1545" s="2" t="s">
        <v>609</v>
      </c>
      <c r="X1545" s="2" t="s">
        <v>525</v>
      </c>
      <c r="Y1545" s="2" t="s">
        <v>2148</v>
      </c>
      <c r="Z1545" s="4">
        <v>505</v>
      </c>
      <c r="AA1545" s="4">
        <f>=ROUNDDOWN(50.5,0)</f>
      </c>
      <c r="AB1545" s="5">
        <v>10</v>
      </c>
      <c r="AC1545" s="2" t="s">
        <v>307</v>
      </c>
      <c r="AD1545" s="4">
        <v>80</v>
      </c>
      <c r="AE1545" s="4">
        <v>80</v>
      </c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1</v>
      </c>
      <c r="AQ1545" s="8">
        <v>27.22</v>
      </c>
      <c r="AR1545" s="4"/>
      <c r="AS1545" s="8"/>
      <c r="AT1545" s="7"/>
      <c r="AU1545" s="7"/>
      <c r="AV1545" s="4">
        <v>4</v>
      </c>
      <c r="AW1545" s="8">
        <v>125.2</v>
      </c>
      <c r="AX1545" s="4" t="s">
        <v>100</v>
      </c>
      <c r="AY1545" s="8" t="s">
        <v>100</v>
      </c>
      <c r="AZ1545" s="7" t="s">
        <v>100</v>
      </c>
      <c r="BA1545" s="7" t="s">
        <v>100</v>
      </c>
      <c r="BB1545" s="7">
        <v>0.2174</v>
      </c>
      <c r="BC1545" s="4">
        <v>7</v>
      </c>
      <c r="BD1545" s="8">
        <v>217.74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>
        <v>0.575</v>
      </c>
      <c r="BJ1545" s="4">
        <v>33</v>
      </c>
      <c r="BK1545" s="8">
        <v>953.06</v>
      </c>
      <c r="BL1545" s="2" t="s">
        <v>5673</v>
      </c>
      <c r="BM1545" s="7">
        <v>0.0303</v>
      </c>
      <c r="BN1545" s="7">
        <v>0.0286</v>
      </c>
      <c r="BO1545" s="4">
        <v>1</v>
      </c>
      <c r="BP1545" s="8">
        <v>27.22</v>
      </c>
      <c r="BQ1545" s="4"/>
      <c r="BR1545" s="8"/>
      <c r="BS1545" s="7"/>
      <c r="BT1545" s="7"/>
      <c r="BU1545" s="2" t="s">
        <v>109</v>
      </c>
      <c r="BV1545" s="2" t="s">
        <v>97</v>
      </c>
      <c r="BW1545" s="2" t="s">
        <v>5674</v>
      </c>
      <c r="BX1545" s="2" t="s">
        <v>5675</v>
      </c>
      <c r="BY1545" s="2" t="s">
        <v>112</v>
      </c>
      <c r="BZ1545" s="2" t="s">
        <v>100</v>
      </c>
    </row>
    <row r="1546">
      <c r="A1546" s="2" t="s">
        <v>5676</v>
      </c>
      <c r="B1546" s="2" t="s">
        <v>5155</v>
      </c>
      <c r="C1546" s="2" t="s">
        <v>88</v>
      </c>
      <c r="D1546" s="2" t="s">
        <v>4216</v>
      </c>
      <c r="E1546" s="2" t="s">
        <v>5235</v>
      </c>
      <c r="F1546" s="2" t="s">
        <v>5671</v>
      </c>
      <c r="G1546" s="2" t="s">
        <v>5671</v>
      </c>
      <c r="H1546" s="2" t="s">
        <v>5671</v>
      </c>
      <c r="I1546" s="2" t="s">
        <v>5235</v>
      </c>
      <c r="J1546" s="2" t="s">
        <v>522</v>
      </c>
      <c r="K1546" s="2" t="s">
        <v>842</v>
      </c>
      <c r="L1546" s="3">
        <v>32.2</v>
      </c>
      <c r="M1546" s="3">
        <v>33.81</v>
      </c>
      <c r="N1546" s="3">
        <v>69.99</v>
      </c>
      <c r="O1546" s="2" t="s">
        <v>97</v>
      </c>
      <c r="P1546" s="2" t="s">
        <v>98</v>
      </c>
      <c r="Q1546" s="2" t="s">
        <v>99</v>
      </c>
      <c r="R1546" s="2" t="s">
        <v>100</v>
      </c>
      <c r="S1546" s="2" t="s">
        <v>5672</v>
      </c>
      <c r="T1546" s="2" t="s">
        <v>190</v>
      </c>
      <c r="U1546" s="2" t="s">
        <v>1776</v>
      </c>
      <c r="V1546" s="2" t="s">
        <v>461</v>
      </c>
      <c r="W1546" s="2" t="s">
        <v>609</v>
      </c>
      <c r="X1546" s="2" t="s">
        <v>525</v>
      </c>
      <c r="Y1546" s="2" t="s">
        <v>2148</v>
      </c>
      <c r="Z1546" s="4">
        <v>856</v>
      </c>
      <c r="AA1546" s="4">
        <f>=ROUNDDOWN(34.24,0)</f>
      </c>
      <c r="AB1546" s="5">
        <v>25</v>
      </c>
      <c r="AC1546" s="2" t="s">
        <v>307</v>
      </c>
      <c r="AD1546" s="4">
        <v>160</v>
      </c>
      <c r="AE1546" s="4">
        <v>160</v>
      </c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3</v>
      </c>
      <c r="AQ1546" s="8">
        <v>97.98</v>
      </c>
      <c r="AR1546" s="4"/>
      <c r="AS1546" s="8"/>
      <c r="AT1546" s="7"/>
      <c r="AU1546" s="7"/>
      <c r="AV1546" s="4" t="s">
        <v>100</v>
      </c>
      <c r="AW1546" s="8" t="s">
        <v>100</v>
      </c>
      <c r="AX1546" s="4" t="s">
        <v>100</v>
      </c>
      <c r="AY1546" s="8" t="s">
        <v>100</v>
      </c>
      <c r="AZ1546" s="7" t="s">
        <v>100</v>
      </c>
      <c r="BA1546" s="7" t="s">
        <v>100</v>
      </c>
      <c r="BB1546" s="7">
        <v>0.7826</v>
      </c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 t="s">
        <v>100</v>
      </c>
      <c r="BJ1546" s="4">
        <v>87</v>
      </c>
      <c r="BK1546" s="8">
        <v>3002.02</v>
      </c>
      <c r="BL1546" s="2" t="s">
        <v>1021</v>
      </c>
      <c r="BM1546" s="7">
        <v>0.0345</v>
      </c>
      <c r="BN1546" s="7">
        <v>0.0326</v>
      </c>
      <c r="BO1546" s="4">
        <v>3</v>
      </c>
      <c r="BP1546" s="8">
        <v>97.98</v>
      </c>
      <c r="BQ1546" s="4"/>
      <c r="BR1546" s="8"/>
      <c r="BS1546" s="7"/>
      <c r="BT1546" s="7"/>
      <c r="BU1546" s="2" t="s">
        <v>109</v>
      </c>
      <c r="BV1546" s="2" t="s">
        <v>97</v>
      </c>
      <c r="BW1546" s="2" t="s">
        <v>5674</v>
      </c>
      <c r="BX1546" s="2" t="s">
        <v>1964</v>
      </c>
      <c r="BY1546" s="2" t="s">
        <v>112</v>
      </c>
      <c r="BZ1546" s="2" t="s">
        <v>100</v>
      </c>
    </row>
    <row r="1547">
      <c r="A1547" s="2" t="s">
        <v>5677</v>
      </c>
      <c r="B1547" s="2" t="s">
        <v>5155</v>
      </c>
      <c r="C1547" s="2" t="s">
        <v>88</v>
      </c>
      <c r="D1547" s="2" t="s">
        <v>4216</v>
      </c>
      <c r="E1547" s="2" t="s">
        <v>5235</v>
      </c>
      <c r="F1547" s="2" t="s">
        <v>5671</v>
      </c>
      <c r="G1547" s="2" t="s">
        <v>5671</v>
      </c>
      <c r="H1547" s="2" t="s">
        <v>5671</v>
      </c>
      <c r="I1547" s="2" t="s">
        <v>5235</v>
      </c>
      <c r="J1547" s="2" t="s">
        <v>1443</v>
      </c>
      <c r="K1547" s="2" t="s">
        <v>1259</v>
      </c>
      <c r="L1547" s="3">
        <v>26.4</v>
      </c>
      <c r="M1547" s="3">
        <v>27.72</v>
      </c>
      <c r="N1547" s="3">
        <v>59.99</v>
      </c>
      <c r="O1547" s="2" t="s">
        <v>97</v>
      </c>
      <c r="P1547" s="2" t="s">
        <v>98</v>
      </c>
      <c r="Q1547" s="2" t="s">
        <v>99</v>
      </c>
      <c r="R1547" s="2" t="s">
        <v>100</v>
      </c>
      <c r="S1547" s="2" t="s">
        <v>5678</v>
      </c>
      <c r="T1547" s="2" t="s">
        <v>190</v>
      </c>
      <c r="U1547" s="2" t="s">
        <v>1776</v>
      </c>
      <c r="V1547" s="2" t="s">
        <v>461</v>
      </c>
      <c r="W1547" s="2" t="s">
        <v>609</v>
      </c>
      <c r="X1547" s="2" t="s">
        <v>525</v>
      </c>
      <c r="Y1547" s="2" t="s">
        <v>5679</v>
      </c>
      <c r="Z1547" s="4">
        <v>303</v>
      </c>
      <c r="AA1547" s="4">
        <f>=ROUNDDOWN(27.5454545454545,0)</f>
      </c>
      <c r="AB1547" s="5">
        <v>11</v>
      </c>
      <c r="AC1547" s="2" t="s">
        <v>307</v>
      </c>
      <c r="AD1547" s="4">
        <v>120</v>
      </c>
      <c r="AE1547" s="4">
        <v>240</v>
      </c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2</v>
      </c>
      <c r="AQ1547" s="8">
        <v>54.44</v>
      </c>
      <c r="AR1547" s="4"/>
      <c r="AS1547" s="8"/>
      <c r="AT1547" s="7"/>
      <c r="AU1547" s="7"/>
      <c r="AV1547" s="4">
        <v>2</v>
      </c>
      <c r="AW1547" s="8">
        <v>54.44</v>
      </c>
      <c r="AX1547" s="4"/>
      <c r="AY1547" s="8"/>
      <c r="AZ1547" s="7"/>
      <c r="BA1547" s="7"/>
      <c r="BB1547" s="7">
        <v>1</v>
      </c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>
        <v>0.25</v>
      </c>
      <c r="BJ1547" s="4">
        <v>32</v>
      </c>
      <c r="BK1547" s="8">
        <v>910.7</v>
      </c>
      <c r="BL1547" s="2" t="s">
        <v>4645</v>
      </c>
      <c r="BM1547" s="7">
        <v>0.0625</v>
      </c>
      <c r="BN1547" s="7">
        <v>0.0598</v>
      </c>
      <c r="BO1547" s="4">
        <v>2</v>
      </c>
      <c r="BP1547" s="8">
        <v>54.44</v>
      </c>
      <c r="BQ1547" s="4"/>
      <c r="BR1547" s="8"/>
      <c r="BS1547" s="7"/>
      <c r="BT1547" s="7"/>
      <c r="BU1547" s="2" t="s">
        <v>109</v>
      </c>
      <c r="BV1547" s="2" t="s">
        <v>97</v>
      </c>
      <c r="BW1547" s="2" t="s">
        <v>5679</v>
      </c>
      <c r="BX1547" s="2" t="s">
        <v>1033</v>
      </c>
      <c r="BY1547" s="2" t="s">
        <v>112</v>
      </c>
      <c r="BZ1547" s="2" t="s">
        <v>100</v>
      </c>
    </row>
    <row r="1548">
      <c r="A1548" s="2" t="s">
        <v>5680</v>
      </c>
      <c r="B1548" s="2" t="s">
        <v>5155</v>
      </c>
      <c r="C1548" s="2" t="s">
        <v>88</v>
      </c>
      <c r="D1548" s="2" t="s">
        <v>4216</v>
      </c>
      <c r="E1548" s="2" t="s">
        <v>5235</v>
      </c>
      <c r="F1548" s="2" t="s">
        <v>5671</v>
      </c>
      <c r="G1548" s="2" t="s">
        <v>5671</v>
      </c>
      <c r="H1548" s="2" t="s">
        <v>5671</v>
      </c>
      <c r="I1548" s="2" t="s">
        <v>5235</v>
      </c>
      <c r="J1548" s="2" t="s">
        <v>522</v>
      </c>
      <c r="K1548" s="2" t="s">
        <v>5681</v>
      </c>
      <c r="L1548" s="3">
        <v>32.2</v>
      </c>
      <c r="M1548" s="3">
        <v>33.81</v>
      </c>
      <c r="N1548" s="3">
        <v>69.99</v>
      </c>
      <c r="O1548" s="2" t="s">
        <v>97</v>
      </c>
      <c r="P1548" s="2" t="s">
        <v>98</v>
      </c>
      <c r="Q1548" s="2" t="s">
        <v>99</v>
      </c>
      <c r="R1548" s="2" t="s">
        <v>100</v>
      </c>
      <c r="S1548" s="2" t="s">
        <v>5682</v>
      </c>
      <c r="T1548" s="2" t="s">
        <v>190</v>
      </c>
      <c r="U1548" s="2" t="s">
        <v>1776</v>
      </c>
      <c r="V1548" s="2" t="s">
        <v>461</v>
      </c>
      <c r="W1548" s="2" t="s">
        <v>609</v>
      </c>
      <c r="X1548" s="2" t="s">
        <v>525</v>
      </c>
      <c r="Y1548" s="2" t="s">
        <v>5683</v>
      </c>
      <c r="Z1548" s="4">
        <v>834</v>
      </c>
      <c r="AA1548" s="4">
        <f>=ROUNDDOWN(32.0769230769231,0)</f>
      </c>
      <c r="AB1548" s="5">
        <v>26</v>
      </c>
      <c r="AC1548" s="2" t="s">
        <v>307</v>
      </c>
      <c r="AD1548" s="4">
        <v>290</v>
      </c>
      <c r="AE1548" s="4">
        <v>290</v>
      </c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>
        <v>1</v>
      </c>
      <c r="AW1548" s="8">
        <v>38.1</v>
      </c>
      <c r="AX1548" s="4" t="s">
        <v>100</v>
      </c>
      <c r="AY1548" s="8" t="s">
        <v>100</v>
      </c>
      <c r="AZ1548" s="7" t="s">
        <v>100</v>
      </c>
      <c r="BA1548" s="7" t="s">
        <v>100</v>
      </c>
      <c r="BB1548" s="7"/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>
        <v>0.175</v>
      </c>
      <c r="BJ1548" s="4">
        <v>75</v>
      </c>
      <c r="BK1548" s="8">
        <v>2570.12</v>
      </c>
      <c r="BL1548" s="2" t="s">
        <v>5684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109</v>
      </c>
      <c r="BV1548" s="2" t="s">
        <v>97</v>
      </c>
      <c r="BW1548" s="2" t="s">
        <v>1544</v>
      </c>
      <c r="BX1548" s="2" t="s">
        <v>5685</v>
      </c>
      <c r="BY1548" s="2" t="s">
        <v>112</v>
      </c>
      <c r="BZ1548" s="2" t="s">
        <v>100</v>
      </c>
    </row>
    <row r="1549">
      <c r="A1549" s="2" t="s">
        <v>5686</v>
      </c>
      <c r="B1549" s="2" t="s">
        <v>5155</v>
      </c>
      <c r="C1549" s="2" t="s">
        <v>88</v>
      </c>
      <c r="D1549" s="2" t="s">
        <v>4216</v>
      </c>
      <c r="E1549" s="2" t="s">
        <v>5235</v>
      </c>
      <c r="F1549" s="2" t="s">
        <v>5671</v>
      </c>
      <c r="G1549" s="2" t="s">
        <v>5671</v>
      </c>
      <c r="H1549" s="2" t="s">
        <v>5671</v>
      </c>
      <c r="I1549" s="2" t="s">
        <v>5235</v>
      </c>
      <c r="J1549" s="2" t="s">
        <v>114</v>
      </c>
      <c r="K1549" s="2" t="s">
        <v>5681</v>
      </c>
      <c r="L1549" s="3">
        <v>36.8</v>
      </c>
      <c r="M1549" s="3">
        <v>38.64</v>
      </c>
      <c r="N1549" s="3">
        <v>79.99</v>
      </c>
      <c r="O1549" s="2" t="s">
        <v>97</v>
      </c>
      <c r="P1549" s="2" t="s">
        <v>98</v>
      </c>
      <c r="Q1549" s="2" t="s">
        <v>99</v>
      </c>
      <c r="R1549" s="2" t="s">
        <v>100</v>
      </c>
      <c r="S1549" s="2" t="s">
        <v>5682</v>
      </c>
      <c r="T1549" s="2" t="s">
        <v>190</v>
      </c>
      <c r="U1549" s="2" t="s">
        <v>1776</v>
      </c>
      <c r="V1549" s="2" t="s">
        <v>461</v>
      </c>
      <c r="W1549" s="2" t="s">
        <v>609</v>
      </c>
      <c r="X1549" s="2" t="s">
        <v>525</v>
      </c>
      <c r="Y1549" s="2" t="s">
        <v>5683</v>
      </c>
      <c r="Z1549" s="4">
        <v>676</v>
      </c>
      <c r="AA1549" s="4">
        <f>=ROUNDDOWN(30.7272727272727,0)</f>
      </c>
      <c r="AB1549" s="5">
        <v>22</v>
      </c>
      <c r="AC1549" s="2" t="s">
        <v>307</v>
      </c>
      <c r="AD1549" s="4">
        <v>90</v>
      </c>
      <c r="AE1549" s="4">
        <v>90</v>
      </c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1</v>
      </c>
      <c r="AQ1549" s="8">
        <v>38.1</v>
      </c>
      <c r="AR1549" s="4"/>
      <c r="AS1549" s="8"/>
      <c r="AT1549" s="7"/>
      <c r="AU1549" s="7"/>
      <c r="AV1549" s="4" t="s">
        <v>100</v>
      </c>
      <c r="AW1549" s="8" t="s">
        <v>100</v>
      </c>
      <c r="AX1549" s="4" t="s">
        <v>100</v>
      </c>
      <c r="AY1549" s="8" t="s">
        <v>100</v>
      </c>
      <c r="AZ1549" s="7" t="s">
        <v>100</v>
      </c>
      <c r="BA1549" s="7" t="s">
        <v>100</v>
      </c>
      <c r="BB1549" s="7">
        <v>1</v>
      </c>
      <c r="BC1549" s="4" t="s">
        <v>100</v>
      </c>
      <c r="BD1549" s="8" t="s">
        <v>100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 t="s">
        <v>100</v>
      </c>
      <c r="BJ1549" s="4">
        <v>55</v>
      </c>
      <c r="BK1549" s="8">
        <v>2131.9</v>
      </c>
      <c r="BL1549" s="2" t="s">
        <v>5687</v>
      </c>
      <c r="BM1549" s="7">
        <v>0.0182</v>
      </c>
      <c r="BN1549" s="7">
        <v>0.0179</v>
      </c>
      <c r="BO1549" s="4">
        <v>1</v>
      </c>
      <c r="BP1549" s="8">
        <v>38.1</v>
      </c>
      <c r="BQ1549" s="4"/>
      <c r="BR1549" s="8"/>
      <c r="BS1549" s="7"/>
      <c r="BT1549" s="7"/>
      <c r="BU1549" s="2" t="s">
        <v>109</v>
      </c>
      <c r="BV1549" s="2" t="s">
        <v>97</v>
      </c>
      <c r="BW1549" s="2" t="s">
        <v>2097</v>
      </c>
      <c r="BX1549" s="2" t="s">
        <v>5688</v>
      </c>
      <c r="BY1549" s="2" t="s">
        <v>112</v>
      </c>
      <c r="BZ1549" s="2" t="s">
        <v>100</v>
      </c>
    </row>
    <row r="1550">
      <c r="A1550" s="2" t="s">
        <v>5689</v>
      </c>
      <c r="B1550" s="2" t="s">
        <v>5155</v>
      </c>
      <c r="C1550" s="2" t="s">
        <v>88</v>
      </c>
      <c r="D1550" s="2" t="s">
        <v>4216</v>
      </c>
      <c r="E1550" s="2" t="s">
        <v>5235</v>
      </c>
      <c r="F1550" s="2" t="s">
        <v>5671</v>
      </c>
      <c r="G1550" s="2" t="s">
        <v>5671</v>
      </c>
      <c r="H1550" s="2" t="s">
        <v>5671</v>
      </c>
      <c r="I1550" s="2" t="s">
        <v>5235</v>
      </c>
      <c r="J1550" s="2" t="s">
        <v>1443</v>
      </c>
      <c r="K1550" s="2" t="s">
        <v>179</v>
      </c>
      <c r="L1550" s="3">
        <v>26.4</v>
      </c>
      <c r="M1550" s="3">
        <v>27.72</v>
      </c>
      <c r="N1550" s="3">
        <v>59.99</v>
      </c>
      <c r="O1550" s="2" t="s">
        <v>97</v>
      </c>
      <c r="P1550" s="2" t="s">
        <v>123</v>
      </c>
      <c r="Q1550" s="2" t="s">
        <v>99</v>
      </c>
      <c r="R1550" s="2" t="s">
        <v>100</v>
      </c>
      <c r="S1550" s="2" t="s">
        <v>5690</v>
      </c>
      <c r="T1550" s="2" t="s">
        <v>190</v>
      </c>
      <c r="U1550" s="2" t="s">
        <v>1776</v>
      </c>
      <c r="V1550" s="2" t="s">
        <v>461</v>
      </c>
      <c r="W1550" s="2" t="s">
        <v>609</v>
      </c>
      <c r="X1550" s="2" t="s">
        <v>525</v>
      </c>
      <c r="Y1550" s="2" t="s">
        <v>1512</v>
      </c>
      <c r="Z1550" s="4">
        <v>773</v>
      </c>
      <c r="AA1550" s="4">
        <f>=ROUNDDOWN(40.6842105263158,0)</f>
      </c>
      <c r="AB1550" s="5">
        <v>19</v>
      </c>
      <c r="AC1550" s="2" t="s">
        <v>2604</v>
      </c>
      <c r="AD1550" s="4">
        <v>50</v>
      </c>
      <c r="AE1550" s="4">
        <v>360</v>
      </c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100</v>
      </c>
      <c r="AW1550" s="8" t="s">
        <v>100</v>
      </c>
      <c r="AX1550" s="4" t="s">
        <v>100</v>
      </c>
      <c r="AY1550" s="8" t="s">
        <v>100</v>
      </c>
      <c r="AZ1550" s="7" t="s">
        <v>100</v>
      </c>
      <c r="BA1550" s="7" t="s">
        <v>100</v>
      </c>
      <c r="BB1550" s="7"/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 t="s">
        <v>100</v>
      </c>
      <c r="BJ1550" s="4">
        <v>53</v>
      </c>
      <c r="BK1550" s="8">
        <v>1525.46</v>
      </c>
      <c r="BL1550" s="2" t="s">
        <v>2206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109</v>
      </c>
      <c r="BV1550" s="2" t="s">
        <v>97</v>
      </c>
      <c r="BW1550" s="2" t="s">
        <v>5674</v>
      </c>
      <c r="BX1550" s="2" t="s">
        <v>1835</v>
      </c>
      <c r="BY1550" s="2" t="s">
        <v>112</v>
      </c>
      <c r="BZ1550" s="2" t="s">
        <v>100</v>
      </c>
    </row>
    <row r="1551">
      <c r="A1551" s="2" t="s">
        <v>5691</v>
      </c>
      <c r="B1551" s="2" t="s">
        <v>5155</v>
      </c>
      <c r="C1551" s="2" t="s">
        <v>88</v>
      </c>
      <c r="D1551" s="2" t="s">
        <v>4216</v>
      </c>
      <c r="E1551" s="2" t="s">
        <v>5235</v>
      </c>
      <c r="F1551" s="2" t="s">
        <v>5671</v>
      </c>
      <c r="G1551" s="2" t="s">
        <v>5671</v>
      </c>
      <c r="H1551" s="2" t="s">
        <v>5671</v>
      </c>
      <c r="I1551" s="2" t="s">
        <v>5235</v>
      </c>
      <c r="J1551" s="2" t="s">
        <v>522</v>
      </c>
      <c r="K1551" s="2" t="s">
        <v>179</v>
      </c>
      <c r="L1551" s="3">
        <v>32.2</v>
      </c>
      <c r="M1551" s="3">
        <v>33.81</v>
      </c>
      <c r="N1551" s="3">
        <v>69.99</v>
      </c>
      <c r="O1551" s="2" t="s">
        <v>97</v>
      </c>
      <c r="P1551" s="2" t="s">
        <v>123</v>
      </c>
      <c r="Q1551" s="2" t="s">
        <v>99</v>
      </c>
      <c r="R1551" s="2" t="s">
        <v>100</v>
      </c>
      <c r="S1551" s="2" t="s">
        <v>5690</v>
      </c>
      <c r="T1551" s="2" t="s">
        <v>190</v>
      </c>
      <c r="U1551" s="2" t="s">
        <v>1776</v>
      </c>
      <c r="V1551" s="2" t="s">
        <v>461</v>
      </c>
      <c r="W1551" s="2" t="s">
        <v>609</v>
      </c>
      <c r="X1551" s="2" t="s">
        <v>525</v>
      </c>
      <c r="Y1551" s="2" t="s">
        <v>1512</v>
      </c>
      <c r="Z1551" s="4">
        <v>1237</v>
      </c>
      <c r="AA1551" s="4">
        <f>=ROUNDDOWN(32.5526315789474,0)</f>
      </c>
      <c r="AB1551" s="5">
        <v>38</v>
      </c>
      <c r="AC1551" s="2" t="s">
        <v>307</v>
      </c>
      <c r="AD1551" s="4">
        <v>50</v>
      </c>
      <c r="AE1551" s="4">
        <v>300</v>
      </c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100</v>
      </c>
      <c r="AW1551" s="8" t="s">
        <v>100</v>
      </c>
      <c r="AX1551" s="4" t="s">
        <v>100</v>
      </c>
      <c r="AY1551" s="8" t="s">
        <v>100</v>
      </c>
      <c r="AZ1551" s="7" t="s">
        <v>100</v>
      </c>
      <c r="BA1551" s="7" t="s">
        <v>100</v>
      </c>
      <c r="BB1551" s="7"/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 t="s">
        <v>100</v>
      </c>
      <c r="BJ1551" s="4">
        <v>95</v>
      </c>
      <c r="BK1551" s="8">
        <v>3208.74</v>
      </c>
      <c r="BL1551" s="2" t="s">
        <v>5692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5674</v>
      </c>
      <c r="BX1551" s="2" t="s">
        <v>4745</v>
      </c>
      <c r="BY1551" s="2" t="s">
        <v>112</v>
      </c>
      <c r="BZ1551" s="2" t="s">
        <v>100</v>
      </c>
    </row>
    <row r="1552">
      <c r="A1552" s="2" t="s">
        <v>5693</v>
      </c>
      <c r="B1552" s="2" t="s">
        <v>5155</v>
      </c>
      <c r="C1552" s="2" t="s">
        <v>88</v>
      </c>
      <c r="D1552" s="2" t="s">
        <v>4216</v>
      </c>
      <c r="E1552" s="2" t="s">
        <v>5235</v>
      </c>
      <c r="F1552" s="2" t="s">
        <v>5671</v>
      </c>
      <c r="G1552" s="2" t="s">
        <v>5671</v>
      </c>
      <c r="H1552" s="2" t="s">
        <v>5671</v>
      </c>
      <c r="I1552" s="2" t="s">
        <v>5235</v>
      </c>
      <c r="J1552" s="2" t="s">
        <v>114</v>
      </c>
      <c r="K1552" s="2" t="s">
        <v>179</v>
      </c>
      <c r="L1552" s="3">
        <v>36.8</v>
      </c>
      <c r="M1552" s="3">
        <v>38.64</v>
      </c>
      <c r="N1552" s="3">
        <v>79.99</v>
      </c>
      <c r="O1552" s="2" t="s">
        <v>97</v>
      </c>
      <c r="P1552" s="2" t="s">
        <v>123</v>
      </c>
      <c r="Q1552" s="2" t="s">
        <v>99</v>
      </c>
      <c r="R1552" s="2" t="s">
        <v>100</v>
      </c>
      <c r="S1552" s="2" t="s">
        <v>5690</v>
      </c>
      <c r="T1552" s="2" t="s">
        <v>190</v>
      </c>
      <c r="U1552" s="2" t="s">
        <v>1776</v>
      </c>
      <c r="V1552" s="2" t="s">
        <v>461</v>
      </c>
      <c r="W1552" s="2" t="s">
        <v>609</v>
      </c>
      <c r="X1552" s="2" t="s">
        <v>525</v>
      </c>
      <c r="Y1552" s="2" t="s">
        <v>1512</v>
      </c>
      <c r="Z1552" s="4">
        <v>750</v>
      </c>
      <c r="AA1552" s="4">
        <f>=ROUNDDOWN(19.7368421052632,0)</f>
      </c>
      <c r="AB1552" s="5">
        <v>38</v>
      </c>
      <c r="AC1552" s="2" t="s">
        <v>2604</v>
      </c>
      <c r="AD1552" s="4">
        <v>200</v>
      </c>
      <c r="AE1552" s="4">
        <v>400</v>
      </c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100</v>
      </c>
      <c r="AW1552" s="8" t="s">
        <v>100</v>
      </c>
      <c r="AX1552" s="4" t="s">
        <v>100</v>
      </c>
      <c r="AY1552" s="8" t="s">
        <v>100</v>
      </c>
      <c r="AZ1552" s="7" t="s">
        <v>100</v>
      </c>
      <c r="BA1552" s="7" t="s">
        <v>100</v>
      </c>
      <c r="BB1552" s="7"/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 t="s">
        <v>100</v>
      </c>
      <c r="BJ1552" s="4">
        <v>114</v>
      </c>
      <c r="BK1552" s="8">
        <v>4598.91</v>
      </c>
      <c r="BL1552" s="2" t="s">
        <v>5694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5674</v>
      </c>
      <c r="BX1552" s="2" t="s">
        <v>199</v>
      </c>
      <c r="BY1552" s="2" t="s">
        <v>112</v>
      </c>
      <c r="BZ1552" s="2" t="s">
        <v>100</v>
      </c>
    </row>
    <row r="1553">
      <c r="A1553" s="2" t="s">
        <v>5695</v>
      </c>
      <c r="B1553" s="2" t="s">
        <v>5155</v>
      </c>
      <c r="C1553" s="2" t="s">
        <v>88</v>
      </c>
      <c r="D1553" s="2" t="s">
        <v>4216</v>
      </c>
      <c r="E1553" s="2" t="s">
        <v>5235</v>
      </c>
      <c r="F1553" s="2" t="s">
        <v>5671</v>
      </c>
      <c r="G1553" s="2" t="s">
        <v>5671</v>
      </c>
      <c r="H1553" s="2" t="s">
        <v>5671</v>
      </c>
      <c r="I1553" s="2" t="s">
        <v>5235</v>
      </c>
      <c r="J1553" s="2" t="s">
        <v>1443</v>
      </c>
      <c r="K1553" s="2" t="s">
        <v>96</v>
      </c>
      <c r="L1553" s="3">
        <v>26.4</v>
      </c>
      <c r="M1553" s="3">
        <v>27.72</v>
      </c>
      <c r="N1553" s="3">
        <v>59.99</v>
      </c>
      <c r="O1553" s="2" t="s">
        <v>97</v>
      </c>
      <c r="P1553" s="2" t="s">
        <v>139</v>
      </c>
      <c r="Q1553" s="2" t="s">
        <v>99</v>
      </c>
      <c r="R1553" s="2" t="s">
        <v>100</v>
      </c>
      <c r="S1553" s="2" t="s">
        <v>100</v>
      </c>
      <c r="T1553" s="2" t="s">
        <v>190</v>
      </c>
      <c r="U1553" s="2" t="s">
        <v>100</v>
      </c>
      <c r="V1553" s="2" t="s">
        <v>461</v>
      </c>
      <c r="W1553" s="2" t="s">
        <v>609</v>
      </c>
      <c r="X1553" s="2" t="s">
        <v>100</v>
      </c>
      <c r="Y1553" s="2" t="s">
        <v>1935</v>
      </c>
      <c r="Z1553" s="4">
        <v>574</v>
      </c>
      <c r="AA1553" s="4">
        <f>=ROUNDDOWN(33.7647058823529,0)</f>
      </c>
      <c r="AB1553" s="5">
        <v>17</v>
      </c>
      <c r="AC1553" s="2" t="s">
        <v>307</v>
      </c>
      <c r="AD1553" s="4">
        <v>100</v>
      </c>
      <c r="AE1553" s="4">
        <v>220</v>
      </c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/>
      <c r="BJ1553" s="4">
        <v>39</v>
      </c>
      <c r="BK1553" s="8">
        <v>1109.19</v>
      </c>
      <c r="BL1553" s="2" t="s">
        <v>859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109</v>
      </c>
      <c r="BV1553" s="2" t="s">
        <v>97</v>
      </c>
      <c r="BW1553" s="2" t="s">
        <v>127</v>
      </c>
      <c r="BX1553" s="2" t="s">
        <v>4348</v>
      </c>
      <c r="BY1553" s="2" t="s">
        <v>112</v>
      </c>
      <c r="BZ1553" s="2" t="s">
        <v>100</v>
      </c>
    </row>
    <row r="1554">
      <c r="A1554" s="2" t="s">
        <v>5696</v>
      </c>
      <c r="B1554" s="2" t="s">
        <v>5155</v>
      </c>
      <c r="C1554" s="2" t="s">
        <v>88</v>
      </c>
      <c r="D1554" s="2" t="s">
        <v>4216</v>
      </c>
      <c r="E1554" s="2" t="s">
        <v>5235</v>
      </c>
      <c r="F1554" s="2" t="s">
        <v>5671</v>
      </c>
      <c r="G1554" s="2" t="s">
        <v>5671</v>
      </c>
      <c r="H1554" s="2" t="s">
        <v>5671</v>
      </c>
      <c r="I1554" s="2" t="s">
        <v>5235</v>
      </c>
      <c r="J1554" s="2" t="s">
        <v>1443</v>
      </c>
      <c r="K1554" s="2" t="s">
        <v>1173</v>
      </c>
      <c r="L1554" s="3">
        <v>26.4</v>
      </c>
      <c r="M1554" s="3">
        <v>27.72</v>
      </c>
      <c r="N1554" s="3">
        <v>59.99</v>
      </c>
      <c r="O1554" s="2" t="s">
        <v>97</v>
      </c>
      <c r="P1554" s="2" t="s">
        <v>98</v>
      </c>
      <c r="Q1554" s="2" t="s">
        <v>99</v>
      </c>
      <c r="R1554" s="2" t="s">
        <v>100</v>
      </c>
      <c r="S1554" s="2" t="s">
        <v>100</v>
      </c>
      <c r="T1554" s="2" t="s">
        <v>190</v>
      </c>
      <c r="U1554" s="2" t="s">
        <v>100</v>
      </c>
      <c r="V1554" s="2" t="s">
        <v>461</v>
      </c>
      <c r="W1554" s="2" t="s">
        <v>609</v>
      </c>
      <c r="X1554" s="2" t="s">
        <v>100</v>
      </c>
      <c r="Y1554" s="2" t="s">
        <v>1935</v>
      </c>
      <c r="Z1554" s="4">
        <v>326</v>
      </c>
      <c r="AA1554" s="4">
        <f>=ROUNDDOWN(46.5714285714286,0)</f>
      </c>
      <c r="AB1554" s="5">
        <v>7</v>
      </c>
      <c r="AC1554" s="2" t="s">
        <v>307</v>
      </c>
      <c r="AD1554" s="4">
        <v>90</v>
      </c>
      <c r="AE1554" s="4">
        <v>90</v>
      </c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100</v>
      </c>
      <c r="AW1554" s="8" t="s">
        <v>100</v>
      </c>
      <c r="AX1554" s="4" t="s">
        <v>100</v>
      </c>
      <c r="AY1554" s="8" t="s">
        <v>100</v>
      </c>
      <c r="AZ1554" s="7" t="s">
        <v>100</v>
      </c>
      <c r="BA1554" s="7" t="s">
        <v>100</v>
      </c>
      <c r="BB1554" s="7"/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 t="s">
        <v>100</v>
      </c>
      <c r="BJ1554" s="4">
        <v>18</v>
      </c>
      <c r="BK1554" s="8">
        <v>503.81</v>
      </c>
      <c r="BL1554" s="2" t="s">
        <v>722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109</v>
      </c>
      <c r="BV1554" s="2" t="s">
        <v>97</v>
      </c>
      <c r="BW1554" s="2" t="s">
        <v>127</v>
      </c>
      <c r="BX1554" s="2" t="s">
        <v>4628</v>
      </c>
      <c r="BY1554" s="2" t="s">
        <v>112</v>
      </c>
      <c r="BZ1554" s="2" t="s">
        <v>100</v>
      </c>
    </row>
    <row r="1555">
      <c r="A1555" s="2" t="s">
        <v>5697</v>
      </c>
      <c r="B1555" s="2" t="s">
        <v>5155</v>
      </c>
      <c r="C1555" s="2" t="s">
        <v>88</v>
      </c>
      <c r="D1555" s="2" t="s">
        <v>4216</v>
      </c>
      <c r="E1555" s="2" t="s">
        <v>5235</v>
      </c>
      <c r="F1555" s="2" t="s">
        <v>5671</v>
      </c>
      <c r="G1555" s="2" t="s">
        <v>5671</v>
      </c>
      <c r="H1555" s="2" t="s">
        <v>5671</v>
      </c>
      <c r="I1555" s="2" t="s">
        <v>5235</v>
      </c>
      <c r="J1555" s="2" t="s">
        <v>522</v>
      </c>
      <c r="K1555" s="2" t="s">
        <v>1173</v>
      </c>
      <c r="L1555" s="3">
        <v>32.2</v>
      </c>
      <c r="M1555" s="3">
        <v>33.81</v>
      </c>
      <c r="N1555" s="3">
        <v>69.99</v>
      </c>
      <c r="O1555" s="2" t="s">
        <v>97</v>
      </c>
      <c r="P1555" s="2" t="s">
        <v>98</v>
      </c>
      <c r="Q1555" s="2" t="s">
        <v>99</v>
      </c>
      <c r="R1555" s="2" t="s">
        <v>100</v>
      </c>
      <c r="S1555" s="2" t="s">
        <v>100</v>
      </c>
      <c r="T1555" s="2" t="s">
        <v>190</v>
      </c>
      <c r="U1555" s="2" t="s">
        <v>100</v>
      </c>
      <c r="V1555" s="2" t="s">
        <v>461</v>
      </c>
      <c r="W1555" s="2" t="s">
        <v>609</v>
      </c>
      <c r="X1555" s="2" t="s">
        <v>100</v>
      </c>
      <c r="Y1555" s="2" t="s">
        <v>1935</v>
      </c>
      <c r="Z1555" s="4">
        <v>558</v>
      </c>
      <c r="AA1555" s="4">
        <f>=ROUNDDOWN(23.25,0)</f>
      </c>
      <c r="AB1555" s="5">
        <v>24</v>
      </c>
      <c r="AC1555" s="2" t="s">
        <v>307</v>
      </c>
      <c r="AD1555" s="4">
        <v>290</v>
      </c>
      <c r="AE1555" s="4">
        <v>290</v>
      </c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100</v>
      </c>
      <c r="AW1555" s="8" t="s">
        <v>100</v>
      </c>
      <c r="AX1555" s="4" t="s">
        <v>100</v>
      </c>
      <c r="AY1555" s="8" t="s">
        <v>100</v>
      </c>
      <c r="AZ1555" s="7" t="s">
        <v>100</v>
      </c>
      <c r="BA1555" s="7" t="s">
        <v>100</v>
      </c>
      <c r="BB1555" s="7"/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 t="s">
        <v>100</v>
      </c>
      <c r="BJ1555" s="4">
        <v>58</v>
      </c>
      <c r="BK1555" s="8">
        <v>1897</v>
      </c>
      <c r="BL1555" s="2" t="s">
        <v>5698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109</v>
      </c>
      <c r="BV1555" s="2" t="s">
        <v>97</v>
      </c>
      <c r="BW1555" s="2" t="s">
        <v>127</v>
      </c>
      <c r="BX1555" s="2" t="s">
        <v>2923</v>
      </c>
      <c r="BY1555" s="2" t="s">
        <v>112</v>
      </c>
      <c r="BZ1555" s="2" t="s">
        <v>100</v>
      </c>
    </row>
    <row r="1556">
      <c r="A1556" s="2" t="s">
        <v>5699</v>
      </c>
      <c r="B1556" s="2" t="s">
        <v>5155</v>
      </c>
      <c r="C1556" s="2" t="s">
        <v>88</v>
      </c>
      <c r="D1556" s="2" t="s">
        <v>4216</v>
      </c>
      <c r="E1556" s="2" t="s">
        <v>5235</v>
      </c>
      <c r="F1556" s="2" t="s">
        <v>5671</v>
      </c>
      <c r="G1556" s="2" t="s">
        <v>5671</v>
      </c>
      <c r="H1556" s="2" t="s">
        <v>5671</v>
      </c>
      <c r="I1556" s="2" t="s">
        <v>5235</v>
      </c>
      <c r="J1556" s="2" t="s">
        <v>114</v>
      </c>
      <c r="K1556" s="2" t="s">
        <v>1173</v>
      </c>
      <c r="L1556" s="3">
        <v>36.8</v>
      </c>
      <c r="M1556" s="3">
        <v>38.64</v>
      </c>
      <c r="N1556" s="3">
        <v>79.99</v>
      </c>
      <c r="O1556" s="2" t="s">
        <v>97</v>
      </c>
      <c r="P1556" s="2" t="s">
        <v>98</v>
      </c>
      <c r="Q1556" s="2" t="s">
        <v>99</v>
      </c>
      <c r="R1556" s="2" t="s">
        <v>100</v>
      </c>
      <c r="S1556" s="2" t="s">
        <v>100</v>
      </c>
      <c r="T1556" s="2" t="s">
        <v>190</v>
      </c>
      <c r="U1556" s="2" t="s">
        <v>100</v>
      </c>
      <c r="V1556" s="2" t="s">
        <v>461</v>
      </c>
      <c r="W1556" s="2" t="s">
        <v>609</v>
      </c>
      <c r="X1556" s="2" t="s">
        <v>100</v>
      </c>
      <c r="Y1556" s="2" t="s">
        <v>1935</v>
      </c>
      <c r="Z1556" s="4">
        <v>453</v>
      </c>
      <c r="AA1556" s="4">
        <f>=ROUNDDOWN(25.1666666666667,0)</f>
      </c>
      <c r="AB1556" s="5">
        <v>18</v>
      </c>
      <c r="AC1556" s="2" t="s">
        <v>307</v>
      </c>
      <c r="AD1556" s="4">
        <v>120</v>
      </c>
      <c r="AE1556" s="4">
        <v>120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100</v>
      </c>
      <c r="AW1556" s="8" t="s">
        <v>100</v>
      </c>
      <c r="AX1556" s="4" t="s">
        <v>100</v>
      </c>
      <c r="AY1556" s="8" t="s">
        <v>100</v>
      </c>
      <c r="AZ1556" s="7" t="s">
        <v>100</v>
      </c>
      <c r="BA1556" s="7" t="s">
        <v>100</v>
      </c>
      <c r="BB1556" s="7"/>
      <c r="BC1556" s="4" t="s">
        <v>100</v>
      </c>
      <c r="BD1556" s="8" t="s">
        <v>100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 t="s">
        <v>100</v>
      </c>
      <c r="BJ1556" s="4">
        <v>70</v>
      </c>
      <c r="BK1556" s="8">
        <v>2702.01</v>
      </c>
      <c r="BL1556" s="2" t="s">
        <v>5700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109</v>
      </c>
      <c r="BV1556" s="2" t="s">
        <v>97</v>
      </c>
      <c r="BW1556" s="2" t="s">
        <v>127</v>
      </c>
      <c r="BX1556" s="2" t="s">
        <v>5701</v>
      </c>
      <c r="BY1556" s="2" t="s">
        <v>112</v>
      </c>
      <c r="BZ1556" s="2" t="s">
        <v>100</v>
      </c>
    </row>
    <row r="1557">
      <c r="A1557" s="2" t="s">
        <v>5702</v>
      </c>
      <c r="B1557" s="2" t="s">
        <v>5155</v>
      </c>
      <c r="C1557" s="2" t="s">
        <v>88</v>
      </c>
      <c r="D1557" s="2" t="s">
        <v>89</v>
      </c>
      <c r="E1557" s="2" t="s">
        <v>887</v>
      </c>
      <c r="F1557" s="2" t="s">
        <v>5703</v>
      </c>
      <c r="G1557" s="2" t="s">
        <v>2222</v>
      </c>
      <c r="H1557" s="2" t="s">
        <v>5704</v>
      </c>
      <c r="I1557" s="2" t="s">
        <v>5705</v>
      </c>
      <c r="J1557" s="2" t="s">
        <v>1443</v>
      </c>
      <c r="K1557" s="2" t="s">
        <v>188</v>
      </c>
      <c r="L1557" s="3">
        <v>33.86</v>
      </c>
      <c r="M1557" s="3">
        <v>35.55</v>
      </c>
      <c r="N1557" s="3">
        <v>69.99</v>
      </c>
      <c r="O1557" s="2" t="s">
        <v>97</v>
      </c>
      <c r="P1557" s="2" t="s">
        <v>98</v>
      </c>
      <c r="Q1557" s="2" t="s">
        <v>99</v>
      </c>
      <c r="R1557" s="2" t="s">
        <v>100</v>
      </c>
      <c r="S1557" s="2" t="s">
        <v>5706</v>
      </c>
      <c r="T1557" s="2" t="s">
        <v>5436</v>
      </c>
      <c r="U1557" s="2" t="s">
        <v>894</v>
      </c>
      <c r="V1557" s="2" t="s">
        <v>103</v>
      </c>
      <c r="W1557" s="2" t="s">
        <v>2999</v>
      </c>
      <c r="X1557" s="2" t="s">
        <v>142</v>
      </c>
      <c r="Y1557" s="2" t="s">
        <v>5707</v>
      </c>
      <c r="Z1557" s="4">
        <v>61</v>
      </c>
      <c r="AA1557" s="4">
        <f>=ROUNDDOWN(6.1,0)</f>
      </c>
      <c r="AB1557" s="5">
        <v>10</v>
      </c>
      <c r="AC1557" s="2" t="s">
        <v>107</v>
      </c>
      <c r="AD1557" s="4">
        <v>60</v>
      </c>
      <c r="AE1557" s="4">
        <v>330</v>
      </c>
      <c r="AF1557" s="6">
        <v>65</v>
      </c>
      <c r="AG1557" s="6"/>
      <c r="AH1557" s="7">
        <v>0.9677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8</v>
      </c>
      <c r="AQ1557" s="8">
        <v>304.96</v>
      </c>
      <c r="AR1557" s="4"/>
      <c r="AS1557" s="8"/>
      <c r="AT1557" s="7"/>
      <c r="AU1557" s="7"/>
      <c r="AV1557" s="4">
        <v>18</v>
      </c>
      <c r="AW1557" s="8">
        <v>893.22</v>
      </c>
      <c r="AX1557" s="4" t="s">
        <v>100</v>
      </c>
      <c r="AY1557" s="8" t="s">
        <v>100</v>
      </c>
      <c r="AZ1557" s="7" t="s">
        <v>100</v>
      </c>
      <c r="BA1557" s="7" t="s">
        <v>100</v>
      </c>
      <c r="BB1557" s="7">
        <v>0.3414</v>
      </c>
      <c r="BC1557" s="4">
        <v>36</v>
      </c>
      <c r="BD1557" s="8">
        <v>1988.01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>
        <v>0.4493</v>
      </c>
      <c r="BJ1557" s="4">
        <v>45</v>
      </c>
      <c r="BK1557" s="8">
        <v>1632.28</v>
      </c>
      <c r="BL1557" s="2" t="s">
        <v>5708</v>
      </c>
      <c r="BM1557" s="7">
        <v>0.1778</v>
      </c>
      <c r="BN1557" s="7">
        <v>0.1868</v>
      </c>
      <c r="BO1557" s="4">
        <v>8</v>
      </c>
      <c r="BP1557" s="8">
        <v>304.96</v>
      </c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127</v>
      </c>
      <c r="BX1557" s="2" t="s">
        <v>5709</v>
      </c>
      <c r="BY1557" s="2" t="s">
        <v>112</v>
      </c>
      <c r="BZ1557" s="2" t="s">
        <v>100</v>
      </c>
    </row>
    <row r="1558">
      <c r="A1558" s="2" t="s">
        <v>5710</v>
      </c>
      <c r="B1558" s="2" t="s">
        <v>5155</v>
      </c>
      <c r="C1558" s="2" t="s">
        <v>88</v>
      </c>
      <c r="D1558" s="2" t="s">
        <v>89</v>
      </c>
      <c r="E1558" s="2" t="s">
        <v>887</v>
      </c>
      <c r="F1558" s="2" t="s">
        <v>5703</v>
      </c>
      <c r="G1558" s="2" t="s">
        <v>2222</v>
      </c>
      <c r="H1558" s="2" t="s">
        <v>5704</v>
      </c>
      <c r="I1558" s="2" t="s">
        <v>5705</v>
      </c>
      <c r="J1558" s="2" t="s">
        <v>522</v>
      </c>
      <c r="K1558" s="2" t="s">
        <v>188</v>
      </c>
      <c r="L1558" s="3">
        <v>48.58</v>
      </c>
      <c r="M1558" s="3">
        <v>51.01</v>
      </c>
      <c r="N1558" s="3">
        <v>99.99</v>
      </c>
      <c r="O1558" s="2" t="s">
        <v>97</v>
      </c>
      <c r="P1558" s="2" t="s">
        <v>98</v>
      </c>
      <c r="Q1558" s="2" t="s">
        <v>99</v>
      </c>
      <c r="R1558" s="2" t="s">
        <v>100</v>
      </c>
      <c r="S1558" s="2" t="s">
        <v>5706</v>
      </c>
      <c r="T1558" s="2" t="s">
        <v>5436</v>
      </c>
      <c r="U1558" s="2" t="s">
        <v>901</v>
      </c>
      <c r="V1558" s="2" t="s">
        <v>103</v>
      </c>
      <c r="W1558" s="2" t="s">
        <v>2999</v>
      </c>
      <c r="X1558" s="2" t="s">
        <v>142</v>
      </c>
      <c r="Y1558" s="2" t="s">
        <v>2430</v>
      </c>
      <c r="Z1558" s="4">
        <v>180</v>
      </c>
      <c r="AA1558" s="4">
        <f>=ROUNDDOWN(8.18181818181818,0)</f>
      </c>
      <c r="AB1558" s="5">
        <v>22</v>
      </c>
      <c r="AC1558" s="2" t="s">
        <v>107</v>
      </c>
      <c r="AD1558" s="4">
        <v>90</v>
      </c>
      <c r="AE1558" s="4">
        <v>580</v>
      </c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6</v>
      </c>
      <c r="AQ1558" s="8">
        <v>326.82</v>
      </c>
      <c r="AR1558" s="4"/>
      <c r="AS1558" s="8"/>
      <c r="AT1558" s="7"/>
      <c r="AU1558" s="7"/>
      <c r="AV1558" s="4" t="s">
        <v>100</v>
      </c>
      <c r="AW1558" s="8" t="s">
        <v>100</v>
      </c>
      <c r="AX1558" s="4" t="s">
        <v>100</v>
      </c>
      <c r="AY1558" s="8" t="s">
        <v>100</v>
      </c>
      <c r="AZ1558" s="7" t="s">
        <v>100</v>
      </c>
      <c r="BA1558" s="7" t="s">
        <v>100</v>
      </c>
      <c r="BB1558" s="7">
        <v>0.3659</v>
      </c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 t="s">
        <v>100</v>
      </c>
      <c r="BJ1558" s="4">
        <v>76</v>
      </c>
      <c r="BK1558" s="8">
        <v>4003</v>
      </c>
      <c r="BL1558" s="2" t="s">
        <v>5711</v>
      </c>
      <c r="BM1558" s="7">
        <v>0.0789</v>
      </c>
      <c r="BN1558" s="7">
        <v>0.0816</v>
      </c>
      <c r="BO1558" s="4">
        <v>6</v>
      </c>
      <c r="BP1558" s="8">
        <v>326.82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127</v>
      </c>
      <c r="BX1558" s="2" t="s">
        <v>5712</v>
      </c>
      <c r="BY1558" s="2" t="s">
        <v>112</v>
      </c>
      <c r="BZ1558" s="2" t="s">
        <v>100</v>
      </c>
    </row>
    <row r="1559">
      <c r="A1559" s="2" t="s">
        <v>5713</v>
      </c>
      <c r="B1559" s="2" t="s">
        <v>5155</v>
      </c>
      <c r="C1559" s="2" t="s">
        <v>88</v>
      </c>
      <c r="D1559" s="2" t="s">
        <v>89</v>
      </c>
      <c r="E1559" s="2" t="s">
        <v>887</v>
      </c>
      <c r="F1559" s="2" t="s">
        <v>5703</v>
      </c>
      <c r="G1559" s="2" t="s">
        <v>2222</v>
      </c>
      <c r="H1559" s="2" t="s">
        <v>5704</v>
      </c>
      <c r="I1559" s="2" t="s">
        <v>5705</v>
      </c>
      <c r="J1559" s="2" t="s">
        <v>529</v>
      </c>
      <c r="K1559" s="2" t="s">
        <v>188</v>
      </c>
      <c r="L1559" s="3">
        <v>58.6</v>
      </c>
      <c r="M1559" s="3">
        <v>61.53</v>
      </c>
      <c r="N1559" s="3">
        <v>119.99</v>
      </c>
      <c r="O1559" s="2" t="s">
        <v>97</v>
      </c>
      <c r="P1559" s="2" t="s">
        <v>156</v>
      </c>
      <c r="Q1559" s="2" t="s">
        <v>99</v>
      </c>
      <c r="R1559" s="2" t="s">
        <v>100</v>
      </c>
      <c r="S1559" s="2" t="s">
        <v>5706</v>
      </c>
      <c r="T1559" s="2" t="s">
        <v>5436</v>
      </c>
      <c r="U1559" s="2" t="s">
        <v>901</v>
      </c>
      <c r="V1559" s="2" t="s">
        <v>103</v>
      </c>
      <c r="W1559" s="2" t="s">
        <v>2999</v>
      </c>
      <c r="X1559" s="2" t="s">
        <v>142</v>
      </c>
      <c r="Y1559" s="2" t="s">
        <v>2430</v>
      </c>
      <c r="Z1559" s="4">
        <v>187</v>
      </c>
      <c r="AA1559" s="4">
        <f>=ROUNDDOWN(15.5833333333333,0)</f>
      </c>
      <c r="AB1559" s="5">
        <v>12</v>
      </c>
      <c r="AC1559" s="2" t="s">
        <v>107</v>
      </c>
      <c r="AD1559" s="4">
        <v>130</v>
      </c>
      <c r="AE1559" s="4">
        <v>228</v>
      </c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4</v>
      </c>
      <c r="AQ1559" s="8">
        <v>261.44</v>
      </c>
      <c r="AR1559" s="4"/>
      <c r="AS1559" s="8"/>
      <c r="AT1559" s="7"/>
      <c r="AU1559" s="7"/>
      <c r="AV1559" s="4" t="s">
        <v>100</v>
      </c>
      <c r="AW1559" s="8" t="s">
        <v>100</v>
      </c>
      <c r="AX1559" s="4" t="s">
        <v>100</v>
      </c>
      <c r="AY1559" s="8" t="s">
        <v>100</v>
      </c>
      <c r="AZ1559" s="7" t="s">
        <v>100</v>
      </c>
      <c r="BA1559" s="7" t="s">
        <v>100</v>
      </c>
      <c r="BB1559" s="7">
        <v>0.2927</v>
      </c>
      <c r="BC1559" s="4" t="s">
        <v>100</v>
      </c>
      <c r="BD1559" s="8" t="s">
        <v>100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 t="s">
        <v>100</v>
      </c>
      <c r="BJ1559" s="4">
        <v>32</v>
      </c>
      <c r="BK1559" s="8">
        <v>2022.88</v>
      </c>
      <c r="BL1559" s="2" t="s">
        <v>5714</v>
      </c>
      <c r="BM1559" s="7">
        <v>0.125</v>
      </c>
      <c r="BN1559" s="7">
        <v>0.1292</v>
      </c>
      <c r="BO1559" s="4">
        <v>4</v>
      </c>
      <c r="BP1559" s="8">
        <v>261.44</v>
      </c>
      <c r="BQ1559" s="4"/>
      <c r="BR1559" s="8"/>
      <c r="BS1559" s="7"/>
      <c r="BT1559" s="7"/>
      <c r="BU1559" s="2" t="s">
        <v>109</v>
      </c>
      <c r="BV1559" s="2" t="s">
        <v>97</v>
      </c>
      <c r="BW1559" s="2" t="s">
        <v>127</v>
      </c>
      <c r="BX1559" s="2" t="s">
        <v>227</v>
      </c>
      <c r="BY1559" s="2" t="s">
        <v>112</v>
      </c>
      <c r="BZ1559" s="2" t="s">
        <v>100</v>
      </c>
    </row>
    <row r="1560">
      <c r="A1560" s="2" t="s">
        <v>5715</v>
      </c>
      <c r="B1560" s="2" t="s">
        <v>5155</v>
      </c>
      <c r="C1560" s="2" t="s">
        <v>88</v>
      </c>
      <c r="D1560" s="2" t="s">
        <v>89</v>
      </c>
      <c r="E1560" s="2" t="s">
        <v>887</v>
      </c>
      <c r="F1560" s="2" t="s">
        <v>5703</v>
      </c>
      <c r="G1560" s="2" t="s">
        <v>2222</v>
      </c>
      <c r="H1560" s="2" t="s">
        <v>5704</v>
      </c>
      <c r="I1560" s="2" t="s">
        <v>5705</v>
      </c>
      <c r="J1560" s="2" t="s">
        <v>1443</v>
      </c>
      <c r="K1560" s="2" t="s">
        <v>1373</v>
      </c>
      <c r="L1560" s="3">
        <v>33.86</v>
      </c>
      <c r="M1560" s="3">
        <v>35.55</v>
      </c>
      <c r="N1560" s="3">
        <v>69.99</v>
      </c>
      <c r="O1560" s="2" t="s">
        <v>97</v>
      </c>
      <c r="P1560" s="2" t="s">
        <v>139</v>
      </c>
      <c r="Q1560" s="2" t="s">
        <v>99</v>
      </c>
      <c r="R1560" s="2" t="s">
        <v>100</v>
      </c>
      <c r="S1560" s="2" t="s">
        <v>5716</v>
      </c>
      <c r="T1560" s="2" t="s">
        <v>5436</v>
      </c>
      <c r="U1560" s="2" t="s">
        <v>894</v>
      </c>
      <c r="V1560" s="2" t="s">
        <v>103</v>
      </c>
      <c r="W1560" s="2" t="s">
        <v>2999</v>
      </c>
      <c r="X1560" s="2" t="s">
        <v>142</v>
      </c>
      <c r="Y1560" s="2" t="s">
        <v>5707</v>
      </c>
      <c r="Z1560" s="4">
        <v>379</v>
      </c>
      <c r="AA1560" s="4">
        <f>=ROUNDDOWN(47.375,0)</f>
      </c>
      <c r="AB1560" s="5">
        <v>8</v>
      </c>
      <c r="AC1560" s="2" t="s">
        <v>145</v>
      </c>
      <c r="AD1560" s="4">
        <v>50</v>
      </c>
      <c r="AE1560" s="4">
        <v>50</v>
      </c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1</v>
      </c>
      <c r="AQ1560" s="8">
        <v>38.12</v>
      </c>
      <c r="AR1560" s="4"/>
      <c r="AS1560" s="8"/>
      <c r="AT1560" s="7"/>
      <c r="AU1560" s="7"/>
      <c r="AV1560" s="4">
        <v>13</v>
      </c>
      <c r="AW1560" s="8">
        <v>778.88</v>
      </c>
      <c r="AX1560" s="4" t="s">
        <v>100</v>
      </c>
      <c r="AY1560" s="8" t="s">
        <v>100</v>
      </c>
      <c r="AZ1560" s="7" t="s">
        <v>100</v>
      </c>
      <c r="BA1560" s="7" t="s">
        <v>100</v>
      </c>
      <c r="BB1560" s="7">
        <v>0.0489</v>
      </c>
      <c r="BC1560" s="4" t="s">
        <v>100</v>
      </c>
      <c r="BD1560" s="8" t="s">
        <v>100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>
        <v>0.3918</v>
      </c>
      <c r="BJ1560" s="4">
        <v>14</v>
      </c>
      <c r="BK1560" s="8">
        <v>530.33</v>
      </c>
      <c r="BL1560" s="2" t="s">
        <v>1878</v>
      </c>
      <c r="BM1560" s="7">
        <v>0.0714</v>
      </c>
      <c r="BN1560" s="7">
        <v>0.0719</v>
      </c>
      <c r="BO1560" s="4">
        <v>1</v>
      </c>
      <c r="BP1560" s="8">
        <v>38.12</v>
      </c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127</v>
      </c>
      <c r="BX1560" s="2" t="s">
        <v>2128</v>
      </c>
      <c r="BY1560" s="2" t="s">
        <v>112</v>
      </c>
      <c r="BZ1560" s="2" t="s">
        <v>100</v>
      </c>
    </row>
    <row r="1561">
      <c r="A1561" s="2" t="s">
        <v>5717</v>
      </c>
      <c r="B1561" s="2" t="s">
        <v>5155</v>
      </c>
      <c r="C1561" s="2" t="s">
        <v>88</v>
      </c>
      <c r="D1561" s="2" t="s">
        <v>89</v>
      </c>
      <c r="E1561" s="2" t="s">
        <v>887</v>
      </c>
      <c r="F1561" s="2" t="s">
        <v>5703</v>
      </c>
      <c r="G1561" s="2" t="s">
        <v>2222</v>
      </c>
      <c r="H1561" s="2" t="s">
        <v>5704</v>
      </c>
      <c r="I1561" s="2" t="s">
        <v>5705</v>
      </c>
      <c r="J1561" s="2" t="s">
        <v>522</v>
      </c>
      <c r="K1561" s="2" t="s">
        <v>1373</v>
      </c>
      <c r="L1561" s="3">
        <v>48.58</v>
      </c>
      <c r="M1561" s="3">
        <v>51.01</v>
      </c>
      <c r="N1561" s="3">
        <v>99.99</v>
      </c>
      <c r="O1561" s="2" t="s">
        <v>97</v>
      </c>
      <c r="P1561" s="2" t="s">
        <v>139</v>
      </c>
      <c r="Q1561" s="2" t="s">
        <v>99</v>
      </c>
      <c r="R1561" s="2" t="s">
        <v>100</v>
      </c>
      <c r="S1561" s="2" t="s">
        <v>5716</v>
      </c>
      <c r="T1561" s="2" t="s">
        <v>5436</v>
      </c>
      <c r="U1561" s="2" t="s">
        <v>901</v>
      </c>
      <c r="V1561" s="2" t="s">
        <v>103</v>
      </c>
      <c r="W1561" s="2" t="s">
        <v>2999</v>
      </c>
      <c r="X1561" s="2" t="s">
        <v>142</v>
      </c>
      <c r="Y1561" s="2" t="s">
        <v>5707</v>
      </c>
      <c r="Z1561" s="4">
        <v>652</v>
      </c>
      <c r="AA1561" s="4">
        <f>=ROUNDDOWN(18.1111111111111,0)</f>
      </c>
      <c r="AB1561" s="5">
        <v>36</v>
      </c>
      <c r="AC1561" s="2" t="s">
        <v>145</v>
      </c>
      <c r="AD1561" s="4">
        <v>133</v>
      </c>
      <c r="AE1561" s="4">
        <v>583</v>
      </c>
      <c r="AF1561" s="6">
        <v>65</v>
      </c>
      <c r="AG1561" s="6">
        <v>48</v>
      </c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4</v>
      </c>
      <c r="AQ1561" s="8">
        <v>217.88</v>
      </c>
      <c r="AR1561" s="4"/>
      <c r="AS1561" s="8"/>
      <c r="AT1561" s="7"/>
      <c r="AU1561" s="7"/>
      <c r="AV1561" s="4" t="s">
        <v>100</v>
      </c>
      <c r="AW1561" s="8" t="s">
        <v>100</v>
      </c>
      <c r="AX1561" s="4" t="s">
        <v>100</v>
      </c>
      <c r="AY1561" s="8" t="s">
        <v>100</v>
      </c>
      <c r="AZ1561" s="7" t="s">
        <v>100</v>
      </c>
      <c r="BA1561" s="7" t="s">
        <v>100</v>
      </c>
      <c r="BB1561" s="7">
        <v>0.2797</v>
      </c>
      <c r="BC1561" s="4" t="s">
        <v>100</v>
      </c>
      <c r="BD1561" s="8" t="s">
        <v>100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 t="s">
        <v>100</v>
      </c>
      <c r="BJ1561" s="4">
        <v>97</v>
      </c>
      <c r="BK1561" s="8">
        <v>5158.56</v>
      </c>
      <c r="BL1561" s="2" t="s">
        <v>5718</v>
      </c>
      <c r="BM1561" s="7">
        <v>0.0412</v>
      </c>
      <c r="BN1561" s="7">
        <v>0.0422</v>
      </c>
      <c r="BO1561" s="4">
        <v>4</v>
      </c>
      <c r="BP1561" s="8">
        <v>217.88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127</v>
      </c>
      <c r="BX1561" s="2" t="s">
        <v>2273</v>
      </c>
      <c r="BY1561" s="2" t="s">
        <v>112</v>
      </c>
      <c r="BZ1561" s="2" t="s">
        <v>100</v>
      </c>
    </row>
    <row r="1562">
      <c r="A1562" s="2" t="s">
        <v>5719</v>
      </c>
      <c r="B1562" s="2" t="s">
        <v>5155</v>
      </c>
      <c r="C1562" s="2" t="s">
        <v>88</v>
      </c>
      <c r="D1562" s="2" t="s">
        <v>89</v>
      </c>
      <c r="E1562" s="2" t="s">
        <v>887</v>
      </c>
      <c r="F1562" s="2" t="s">
        <v>5703</v>
      </c>
      <c r="G1562" s="2" t="s">
        <v>2222</v>
      </c>
      <c r="H1562" s="2" t="s">
        <v>5704</v>
      </c>
      <c r="I1562" s="2" t="s">
        <v>5705</v>
      </c>
      <c r="J1562" s="2" t="s">
        <v>529</v>
      </c>
      <c r="K1562" s="2" t="s">
        <v>1373</v>
      </c>
      <c r="L1562" s="3">
        <v>58.6</v>
      </c>
      <c r="M1562" s="3">
        <v>61.53</v>
      </c>
      <c r="N1562" s="3">
        <v>119.99</v>
      </c>
      <c r="O1562" s="2" t="s">
        <v>97</v>
      </c>
      <c r="P1562" s="2" t="s">
        <v>139</v>
      </c>
      <c r="Q1562" s="2" t="s">
        <v>99</v>
      </c>
      <c r="R1562" s="2" t="s">
        <v>100</v>
      </c>
      <c r="S1562" s="2" t="s">
        <v>5716</v>
      </c>
      <c r="T1562" s="2" t="s">
        <v>5436</v>
      </c>
      <c r="U1562" s="2" t="s">
        <v>901</v>
      </c>
      <c r="V1562" s="2" t="s">
        <v>103</v>
      </c>
      <c r="W1562" s="2" t="s">
        <v>2999</v>
      </c>
      <c r="X1562" s="2" t="s">
        <v>142</v>
      </c>
      <c r="Y1562" s="2" t="s">
        <v>5707</v>
      </c>
      <c r="Z1562" s="4">
        <v>614</v>
      </c>
      <c r="AA1562" s="4">
        <f>=ROUNDDOWN(17.0555555555556,0)</f>
      </c>
      <c r="AB1562" s="5">
        <v>36</v>
      </c>
      <c r="AC1562" s="2" t="s">
        <v>145</v>
      </c>
      <c r="AD1562" s="4">
        <v>125</v>
      </c>
      <c r="AE1562" s="4">
        <v>525</v>
      </c>
      <c r="AF1562" s="6">
        <v>65</v>
      </c>
      <c r="AG1562" s="6">
        <v>48</v>
      </c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8</v>
      </c>
      <c r="AQ1562" s="8">
        <v>522.88</v>
      </c>
      <c r="AR1562" s="4"/>
      <c r="AS1562" s="8"/>
      <c r="AT1562" s="7"/>
      <c r="AU1562" s="7"/>
      <c r="AV1562" s="4" t="s">
        <v>100</v>
      </c>
      <c r="AW1562" s="8" t="s">
        <v>100</v>
      </c>
      <c r="AX1562" s="4" t="s">
        <v>100</v>
      </c>
      <c r="AY1562" s="8" t="s">
        <v>100</v>
      </c>
      <c r="AZ1562" s="7" t="s">
        <v>100</v>
      </c>
      <c r="BA1562" s="7" t="s">
        <v>100</v>
      </c>
      <c r="BB1562" s="7">
        <v>0.6713</v>
      </c>
      <c r="BC1562" s="4" t="s">
        <v>100</v>
      </c>
      <c r="BD1562" s="8" t="s">
        <v>100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 t="s">
        <v>100</v>
      </c>
      <c r="BJ1562" s="4">
        <v>115</v>
      </c>
      <c r="BK1562" s="8">
        <v>7323.43</v>
      </c>
      <c r="BL1562" s="2" t="s">
        <v>5720</v>
      </c>
      <c r="BM1562" s="7">
        <v>0.0696</v>
      </c>
      <c r="BN1562" s="7">
        <v>0.0714</v>
      </c>
      <c r="BO1562" s="4">
        <v>8</v>
      </c>
      <c r="BP1562" s="8">
        <v>522.88</v>
      </c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127</v>
      </c>
      <c r="BX1562" s="2" t="s">
        <v>2273</v>
      </c>
      <c r="BY1562" s="2" t="s">
        <v>112</v>
      </c>
      <c r="BZ1562" s="2" t="s">
        <v>100</v>
      </c>
    </row>
    <row r="1563">
      <c r="A1563" s="2" t="s">
        <v>5721</v>
      </c>
      <c r="B1563" s="2" t="s">
        <v>5155</v>
      </c>
      <c r="C1563" s="2" t="s">
        <v>88</v>
      </c>
      <c r="D1563" s="2" t="s">
        <v>89</v>
      </c>
      <c r="E1563" s="2" t="s">
        <v>887</v>
      </c>
      <c r="F1563" s="2" t="s">
        <v>5703</v>
      </c>
      <c r="G1563" s="2" t="s">
        <v>2222</v>
      </c>
      <c r="H1563" s="2" t="s">
        <v>5704</v>
      </c>
      <c r="I1563" s="2" t="s">
        <v>5705</v>
      </c>
      <c r="J1563" s="2" t="s">
        <v>522</v>
      </c>
      <c r="K1563" s="2" t="s">
        <v>96</v>
      </c>
      <c r="L1563" s="3">
        <v>48.58</v>
      </c>
      <c r="M1563" s="3">
        <v>51.01</v>
      </c>
      <c r="N1563" s="3">
        <v>99.99</v>
      </c>
      <c r="O1563" s="2" t="s">
        <v>97</v>
      </c>
      <c r="P1563" s="2" t="s">
        <v>98</v>
      </c>
      <c r="Q1563" s="2" t="s">
        <v>99</v>
      </c>
      <c r="R1563" s="2" t="s">
        <v>100</v>
      </c>
      <c r="S1563" s="2" t="s">
        <v>5722</v>
      </c>
      <c r="T1563" s="2" t="s">
        <v>5436</v>
      </c>
      <c r="U1563" s="2" t="s">
        <v>901</v>
      </c>
      <c r="V1563" s="2" t="s">
        <v>103</v>
      </c>
      <c r="W1563" s="2" t="s">
        <v>2999</v>
      </c>
      <c r="X1563" s="2" t="s">
        <v>142</v>
      </c>
      <c r="Y1563" s="2" t="s">
        <v>5723</v>
      </c>
      <c r="Z1563" s="4">
        <v>207</v>
      </c>
      <c r="AA1563" s="4">
        <f>=ROUNDDOWN(12.9375,0)</f>
      </c>
      <c r="AB1563" s="5">
        <v>16</v>
      </c>
      <c r="AC1563" s="2" t="s">
        <v>107</v>
      </c>
      <c r="AD1563" s="4">
        <v>110</v>
      </c>
      <c r="AE1563" s="4">
        <v>175</v>
      </c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1</v>
      </c>
      <c r="AQ1563" s="8">
        <v>54.47</v>
      </c>
      <c r="AR1563" s="4"/>
      <c r="AS1563" s="8"/>
      <c r="AT1563" s="7"/>
      <c r="AU1563" s="7"/>
      <c r="AV1563" s="4">
        <v>5</v>
      </c>
      <c r="AW1563" s="8">
        <v>315.91</v>
      </c>
      <c r="AX1563" s="4" t="s">
        <v>100</v>
      </c>
      <c r="AY1563" s="8" t="s">
        <v>100</v>
      </c>
      <c r="AZ1563" s="7" t="s">
        <v>100</v>
      </c>
      <c r="BA1563" s="7" t="s">
        <v>100</v>
      </c>
      <c r="BB1563" s="7">
        <v>0.1724</v>
      </c>
      <c r="BC1563" s="4" t="s">
        <v>100</v>
      </c>
      <c r="BD1563" s="8" t="s">
        <v>100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>
        <v>0.1589</v>
      </c>
      <c r="BJ1563" s="4">
        <v>49</v>
      </c>
      <c r="BK1563" s="8">
        <v>2635.31</v>
      </c>
      <c r="BL1563" s="2" t="s">
        <v>5337</v>
      </c>
      <c r="BM1563" s="7">
        <v>0.0204</v>
      </c>
      <c r="BN1563" s="7">
        <v>0.0207</v>
      </c>
      <c r="BO1563" s="4">
        <v>1</v>
      </c>
      <c r="BP1563" s="8">
        <v>54.47</v>
      </c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5724</v>
      </c>
      <c r="BX1563" s="2" t="s">
        <v>5725</v>
      </c>
      <c r="BY1563" s="2" t="s">
        <v>112</v>
      </c>
      <c r="BZ1563" s="2" t="s">
        <v>100</v>
      </c>
    </row>
    <row r="1564">
      <c r="A1564" s="2" t="s">
        <v>5726</v>
      </c>
      <c r="B1564" s="2" t="s">
        <v>5155</v>
      </c>
      <c r="C1564" s="2" t="s">
        <v>88</v>
      </c>
      <c r="D1564" s="2" t="s">
        <v>89</v>
      </c>
      <c r="E1564" s="2" t="s">
        <v>887</v>
      </c>
      <c r="F1564" s="2" t="s">
        <v>5703</v>
      </c>
      <c r="G1564" s="2" t="s">
        <v>2222</v>
      </c>
      <c r="H1564" s="2" t="s">
        <v>5704</v>
      </c>
      <c r="I1564" s="2" t="s">
        <v>5705</v>
      </c>
      <c r="J1564" s="2" t="s">
        <v>529</v>
      </c>
      <c r="K1564" s="2" t="s">
        <v>96</v>
      </c>
      <c r="L1564" s="3">
        <v>58.6</v>
      </c>
      <c r="M1564" s="3">
        <v>61.53</v>
      </c>
      <c r="N1564" s="3">
        <v>119.99</v>
      </c>
      <c r="O1564" s="2" t="s">
        <v>97</v>
      </c>
      <c r="P1564" s="2" t="s">
        <v>98</v>
      </c>
      <c r="Q1564" s="2" t="s">
        <v>99</v>
      </c>
      <c r="R1564" s="2" t="s">
        <v>100</v>
      </c>
      <c r="S1564" s="2" t="s">
        <v>5722</v>
      </c>
      <c r="T1564" s="2" t="s">
        <v>5436</v>
      </c>
      <c r="U1564" s="2" t="s">
        <v>901</v>
      </c>
      <c r="V1564" s="2" t="s">
        <v>103</v>
      </c>
      <c r="W1564" s="2" t="s">
        <v>2999</v>
      </c>
      <c r="X1564" s="2" t="s">
        <v>142</v>
      </c>
      <c r="Y1564" s="2" t="s">
        <v>5723</v>
      </c>
      <c r="Z1564" s="4">
        <v>311</v>
      </c>
      <c r="AA1564" s="4">
        <f>=ROUNDDOWN(20.7333333333333,0)</f>
      </c>
      <c r="AB1564" s="5">
        <v>15</v>
      </c>
      <c r="AC1564" s="2" t="s">
        <v>107</v>
      </c>
      <c r="AD1564" s="4">
        <v>80</v>
      </c>
      <c r="AE1564" s="4">
        <v>230</v>
      </c>
      <c r="AF1564" s="6">
        <v>65</v>
      </c>
      <c r="AG1564" s="6">
        <v>48</v>
      </c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4</v>
      </c>
      <c r="AQ1564" s="8">
        <v>261.44</v>
      </c>
      <c r="AR1564" s="4"/>
      <c r="AS1564" s="8"/>
      <c r="AT1564" s="7"/>
      <c r="AU1564" s="7"/>
      <c r="AV1564" s="4" t="s">
        <v>100</v>
      </c>
      <c r="AW1564" s="8" t="s">
        <v>100</v>
      </c>
      <c r="AX1564" s="4" t="s">
        <v>100</v>
      </c>
      <c r="AY1564" s="8" t="s">
        <v>100</v>
      </c>
      <c r="AZ1564" s="7" t="s">
        <v>100</v>
      </c>
      <c r="BA1564" s="7" t="s">
        <v>100</v>
      </c>
      <c r="BB1564" s="7">
        <v>0.8276</v>
      </c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 t="s">
        <v>100</v>
      </c>
      <c r="BJ1564" s="4">
        <v>44</v>
      </c>
      <c r="BK1564" s="8">
        <v>2790.2</v>
      </c>
      <c r="BL1564" s="2" t="s">
        <v>5727</v>
      </c>
      <c r="BM1564" s="7">
        <v>0.0909</v>
      </c>
      <c r="BN1564" s="7">
        <v>0.0937</v>
      </c>
      <c r="BO1564" s="4">
        <v>4</v>
      </c>
      <c r="BP1564" s="8">
        <v>261.44</v>
      </c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1033</v>
      </c>
      <c r="BX1564" s="2" t="s">
        <v>5476</v>
      </c>
      <c r="BY1564" s="2" t="s">
        <v>112</v>
      </c>
      <c r="BZ1564" s="2" t="s">
        <v>100</v>
      </c>
    </row>
    <row r="1565">
      <c r="A1565" s="2" t="s">
        <v>5728</v>
      </c>
      <c r="B1565" s="2" t="s">
        <v>5155</v>
      </c>
      <c r="C1565" s="2" t="s">
        <v>88</v>
      </c>
      <c r="D1565" s="2" t="s">
        <v>89</v>
      </c>
      <c r="E1565" s="2" t="s">
        <v>887</v>
      </c>
      <c r="F1565" s="2" t="s">
        <v>5703</v>
      </c>
      <c r="G1565" s="2" t="s">
        <v>2222</v>
      </c>
      <c r="H1565" s="2" t="s">
        <v>5704</v>
      </c>
      <c r="I1565" s="2" t="s">
        <v>5705</v>
      </c>
      <c r="J1565" s="2" t="s">
        <v>522</v>
      </c>
      <c r="K1565" s="2" t="s">
        <v>471</v>
      </c>
      <c r="L1565" s="3">
        <v>48.58</v>
      </c>
      <c r="M1565" s="3">
        <v>51.01</v>
      </c>
      <c r="N1565" s="3">
        <v>99.99</v>
      </c>
      <c r="O1565" s="2" t="s">
        <v>97</v>
      </c>
      <c r="P1565" s="2" t="s">
        <v>98</v>
      </c>
      <c r="Q1565" s="2" t="s">
        <v>99</v>
      </c>
      <c r="R1565" s="2" t="s">
        <v>100</v>
      </c>
      <c r="S1565" s="2" t="s">
        <v>5729</v>
      </c>
      <c r="T1565" s="2" t="s">
        <v>5436</v>
      </c>
      <c r="U1565" s="2" t="s">
        <v>901</v>
      </c>
      <c r="V1565" s="2" t="s">
        <v>103</v>
      </c>
      <c r="W1565" s="2" t="s">
        <v>2999</v>
      </c>
      <c r="X1565" s="2" t="s">
        <v>142</v>
      </c>
      <c r="Y1565" s="2" t="s">
        <v>381</v>
      </c>
      <c r="Z1565" s="4">
        <v>302</v>
      </c>
      <c r="AA1565" s="4">
        <f>=ROUNDDOWN(30.2,0)</f>
      </c>
      <c r="AB1565" s="5">
        <v>10</v>
      </c>
      <c r="AC1565" s="2" t="s">
        <v>201</v>
      </c>
      <c r="AD1565" s="4">
        <v>200</v>
      </c>
      <c r="AE1565" s="4">
        <v>200</v>
      </c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100</v>
      </c>
      <c r="AW1565" s="8" t="s">
        <v>100</v>
      </c>
      <c r="AX1565" s="4" t="s">
        <v>100</v>
      </c>
      <c r="AY1565" s="8" t="s">
        <v>100</v>
      </c>
      <c r="AZ1565" s="7" t="s">
        <v>100</v>
      </c>
      <c r="BA1565" s="7" t="s">
        <v>100</v>
      </c>
      <c r="BB1565" s="7"/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 t="s">
        <v>100</v>
      </c>
      <c r="BJ1565" s="4">
        <v>27</v>
      </c>
      <c r="BK1565" s="8">
        <v>1411.41</v>
      </c>
      <c r="BL1565" s="2" t="s">
        <v>4262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171</v>
      </c>
      <c r="BV1565" s="2" t="s">
        <v>97</v>
      </c>
      <c r="BW1565" s="2" t="s">
        <v>100</v>
      </c>
      <c r="BX1565" s="2" t="s">
        <v>100</v>
      </c>
      <c r="BY1565" s="2" t="s">
        <v>112</v>
      </c>
      <c r="BZ1565" s="2" t="s">
        <v>100</v>
      </c>
    </row>
    <row r="1566">
      <c r="A1566" s="2" t="s">
        <v>5730</v>
      </c>
      <c r="B1566" s="2" t="s">
        <v>5155</v>
      </c>
      <c r="C1566" s="2" t="s">
        <v>88</v>
      </c>
      <c r="D1566" s="2" t="s">
        <v>89</v>
      </c>
      <c r="E1566" s="2" t="s">
        <v>887</v>
      </c>
      <c r="F1566" s="2" t="s">
        <v>5703</v>
      </c>
      <c r="G1566" s="2" t="s">
        <v>2222</v>
      </c>
      <c r="H1566" s="2" t="s">
        <v>5704</v>
      </c>
      <c r="I1566" s="2" t="s">
        <v>5705</v>
      </c>
      <c r="J1566" s="2" t="s">
        <v>529</v>
      </c>
      <c r="K1566" s="2" t="s">
        <v>471</v>
      </c>
      <c r="L1566" s="3">
        <v>58.6</v>
      </c>
      <c r="M1566" s="3">
        <v>61.53</v>
      </c>
      <c r="N1566" s="3">
        <v>119.99</v>
      </c>
      <c r="O1566" s="2" t="s">
        <v>97</v>
      </c>
      <c r="P1566" s="2" t="s">
        <v>98</v>
      </c>
      <c r="Q1566" s="2" t="s">
        <v>99</v>
      </c>
      <c r="R1566" s="2" t="s">
        <v>100</v>
      </c>
      <c r="S1566" s="2" t="s">
        <v>5729</v>
      </c>
      <c r="T1566" s="2" t="s">
        <v>5436</v>
      </c>
      <c r="U1566" s="2" t="s">
        <v>901</v>
      </c>
      <c r="V1566" s="2" t="s">
        <v>103</v>
      </c>
      <c r="W1566" s="2" t="s">
        <v>2999</v>
      </c>
      <c r="X1566" s="2" t="s">
        <v>142</v>
      </c>
      <c r="Y1566" s="2" t="s">
        <v>381</v>
      </c>
      <c r="Z1566" s="4">
        <v>270</v>
      </c>
      <c r="AA1566" s="4">
        <f>=ROUNDDOWN(43.5483870967742,0)</f>
      </c>
      <c r="AB1566" s="5">
        <v>6.2</v>
      </c>
      <c r="AC1566" s="2" t="s">
        <v>201</v>
      </c>
      <c r="AD1566" s="4">
        <v>50</v>
      </c>
      <c r="AE1566" s="4">
        <v>50</v>
      </c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100</v>
      </c>
      <c r="AW1566" s="8" t="s">
        <v>100</v>
      </c>
      <c r="AX1566" s="4" t="s">
        <v>100</v>
      </c>
      <c r="AY1566" s="8" t="s">
        <v>100</v>
      </c>
      <c r="AZ1566" s="7" t="s">
        <v>100</v>
      </c>
      <c r="BA1566" s="7" t="s">
        <v>100</v>
      </c>
      <c r="BB1566" s="7"/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 t="s">
        <v>100</v>
      </c>
      <c r="BJ1566" s="4">
        <v>22</v>
      </c>
      <c r="BK1566" s="8">
        <v>1413.95</v>
      </c>
      <c r="BL1566" s="2" t="s">
        <v>5731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171</v>
      </c>
      <c r="BV1566" s="2" t="s">
        <v>97</v>
      </c>
      <c r="BW1566" s="2" t="s">
        <v>100</v>
      </c>
      <c r="BX1566" s="2" t="s">
        <v>100</v>
      </c>
      <c r="BY1566" s="2" t="s">
        <v>112</v>
      </c>
      <c r="BZ1566" s="2" t="s">
        <v>100</v>
      </c>
    </row>
    <row r="1567">
      <c r="A1567" s="2" t="s">
        <v>5732</v>
      </c>
      <c r="B1567" s="2" t="s">
        <v>5155</v>
      </c>
      <c r="C1567" s="2" t="s">
        <v>88</v>
      </c>
      <c r="D1567" s="2" t="s">
        <v>89</v>
      </c>
      <c r="E1567" s="2" t="s">
        <v>887</v>
      </c>
      <c r="F1567" s="2" t="s">
        <v>5733</v>
      </c>
      <c r="G1567" s="2" t="s">
        <v>5734</v>
      </c>
      <c r="H1567" s="2" t="s">
        <v>5734</v>
      </c>
      <c r="I1567" s="2" t="s">
        <v>5735</v>
      </c>
      <c r="J1567" s="2" t="s">
        <v>522</v>
      </c>
      <c r="K1567" s="2" t="s">
        <v>165</v>
      </c>
      <c r="L1567" s="3">
        <v>39.1</v>
      </c>
      <c r="M1567" s="3">
        <v>41.06</v>
      </c>
      <c r="N1567" s="3">
        <v>84.99</v>
      </c>
      <c r="O1567" s="2" t="s">
        <v>97</v>
      </c>
      <c r="P1567" s="2" t="s">
        <v>317</v>
      </c>
      <c r="Q1567" s="2" t="s">
        <v>99</v>
      </c>
      <c r="R1567" s="2" t="s">
        <v>100</v>
      </c>
      <c r="S1567" s="2" t="s">
        <v>5736</v>
      </c>
      <c r="T1567" s="2" t="s">
        <v>5436</v>
      </c>
      <c r="U1567" s="2" t="s">
        <v>100</v>
      </c>
      <c r="V1567" s="2" t="s">
        <v>461</v>
      </c>
      <c r="W1567" s="2" t="s">
        <v>1136</v>
      </c>
      <c r="X1567" s="2" t="s">
        <v>493</v>
      </c>
      <c r="Y1567" s="2" t="s">
        <v>144</v>
      </c>
      <c r="Z1567" s="4">
        <v>780</v>
      </c>
      <c r="AA1567" s="4">
        <f>=ROUNDDOWN(18.1395348837209,0)</f>
      </c>
      <c r="AB1567" s="5">
        <v>43</v>
      </c>
      <c r="AC1567" s="2" t="s">
        <v>130</v>
      </c>
      <c r="AD1567" s="4">
        <v>50</v>
      </c>
      <c r="AE1567" s="4">
        <v>750</v>
      </c>
      <c r="AF1567" s="6">
        <v>65</v>
      </c>
      <c r="AG1567" s="6">
        <v>48</v>
      </c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9</v>
      </c>
      <c r="AQ1567" s="8">
        <v>357.21</v>
      </c>
      <c r="AR1567" s="4"/>
      <c r="AS1567" s="8"/>
      <c r="AT1567" s="7"/>
      <c r="AU1567" s="7"/>
      <c r="AV1567" s="4">
        <v>9</v>
      </c>
      <c r="AW1567" s="8">
        <v>357.21</v>
      </c>
      <c r="AX1567" s="4"/>
      <c r="AY1567" s="8"/>
      <c r="AZ1567" s="7"/>
      <c r="BA1567" s="7"/>
      <c r="BB1567" s="7">
        <v>1</v>
      </c>
      <c r="BC1567" s="4">
        <v>16</v>
      </c>
      <c r="BD1567" s="8">
        <v>666.12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>
        <v>0.5363</v>
      </c>
      <c r="BJ1567" s="4">
        <v>135</v>
      </c>
      <c r="BK1567" s="8">
        <v>5463.16</v>
      </c>
      <c r="BL1567" s="2" t="s">
        <v>5737</v>
      </c>
      <c r="BM1567" s="7">
        <v>0.0667</v>
      </c>
      <c r="BN1567" s="7">
        <v>0.0654</v>
      </c>
      <c r="BO1567" s="4">
        <v>9</v>
      </c>
      <c r="BP1567" s="8">
        <v>357.21</v>
      </c>
      <c r="BQ1567" s="4"/>
      <c r="BR1567" s="8"/>
      <c r="BS1567" s="7"/>
      <c r="BT1567" s="7"/>
      <c r="BU1567" s="2" t="s">
        <v>109</v>
      </c>
      <c r="BV1567" s="2" t="s">
        <v>97</v>
      </c>
      <c r="BW1567" s="2" t="s">
        <v>4107</v>
      </c>
      <c r="BX1567" s="2" t="s">
        <v>2179</v>
      </c>
      <c r="BY1567" s="2" t="s">
        <v>112</v>
      </c>
      <c r="BZ1567" s="2" t="s">
        <v>100</v>
      </c>
    </row>
    <row r="1568">
      <c r="A1568" s="2" t="s">
        <v>5738</v>
      </c>
      <c r="B1568" s="2" t="s">
        <v>5155</v>
      </c>
      <c r="C1568" s="2" t="s">
        <v>88</v>
      </c>
      <c r="D1568" s="2" t="s">
        <v>89</v>
      </c>
      <c r="E1568" s="2" t="s">
        <v>887</v>
      </c>
      <c r="F1568" s="2" t="s">
        <v>5733</v>
      </c>
      <c r="G1568" s="2" t="s">
        <v>5734</v>
      </c>
      <c r="H1568" s="2" t="s">
        <v>5734</v>
      </c>
      <c r="I1568" s="2" t="s">
        <v>5735</v>
      </c>
      <c r="J1568" s="2" t="s">
        <v>529</v>
      </c>
      <c r="K1568" s="2" t="s">
        <v>5739</v>
      </c>
      <c r="L1568" s="3">
        <v>44.65</v>
      </c>
      <c r="M1568" s="3">
        <v>46.88</v>
      </c>
      <c r="N1568" s="3">
        <v>94.99</v>
      </c>
      <c r="O1568" s="2" t="s">
        <v>97</v>
      </c>
      <c r="P1568" s="2" t="s">
        <v>123</v>
      </c>
      <c r="Q1568" s="2" t="s">
        <v>99</v>
      </c>
      <c r="R1568" s="2" t="s">
        <v>100</v>
      </c>
      <c r="S1568" s="2" t="s">
        <v>5740</v>
      </c>
      <c r="T1568" s="2" t="s">
        <v>5436</v>
      </c>
      <c r="U1568" s="2" t="s">
        <v>100</v>
      </c>
      <c r="V1568" s="2" t="s">
        <v>461</v>
      </c>
      <c r="W1568" s="2" t="s">
        <v>1136</v>
      </c>
      <c r="X1568" s="2" t="s">
        <v>493</v>
      </c>
      <c r="Y1568" s="2" t="s">
        <v>144</v>
      </c>
      <c r="Z1568" s="4">
        <v>982</v>
      </c>
      <c r="AA1568" s="4">
        <f>=ROUNDDOWN(36.3703703703704,0)</f>
      </c>
      <c r="AB1568" s="5">
        <v>27</v>
      </c>
      <c r="AC1568" s="2" t="s">
        <v>5741</v>
      </c>
      <c r="AD1568" s="4">
        <v>50</v>
      </c>
      <c r="AE1568" s="4">
        <v>50</v>
      </c>
      <c r="AF1568" s="6">
        <v>65</v>
      </c>
      <c r="AG1568" s="6">
        <v>48</v>
      </c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6</v>
      </c>
      <c r="AQ1568" s="8">
        <v>272.16</v>
      </c>
      <c r="AR1568" s="4"/>
      <c r="AS1568" s="8"/>
      <c r="AT1568" s="7"/>
      <c r="AU1568" s="7"/>
      <c r="AV1568" s="4">
        <v>6</v>
      </c>
      <c r="AW1568" s="8">
        <v>272.16</v>
      </c>
      <c r="AX1568" s="4"/>
      <c r="AY1568" s="8"/>
      <c r="AZ1568" s="7"/>
      <c r="BA1568" s="7"/>
      <c r="BB1568" s="7">
        <v>1</v>
      </c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>
        <v>0.4086</v>
      </c>
      <c r="BJ1568" s="4">
        <v>54</v>
      </c>
      <c r="BK1568" s="8">
        <v>2459.87</v>
      </c>
      <c r="BL1568" s="2" t="s">
        <v>5742</v>
      </c>
      <c r="BM1568" s="7">
        <v>0.1111</v>
      </c>
      <c r="BN1568" s="7">
        <v>0.1106</v>
      </c>
      <c r="BO1568" s="4">
        <v>6</v>
      </c>
      <c r="BP1568" s="8">
        <v>272.16</v>
      </c>
      <c r="BQ1568" s="4"/>
      <c r="BR1568" s="8"/>
      <c r="BS1568" s="7"/>
      <c r="BT1568" s="7"/>
      <c r="BU1568" s="2" t="s">
        <v>109</v>
      </c>
      <c r="BV1568" s="2" t="s">
        <v>97</v>
      </c>
      <c r="BW1568" s="2" t="s">
        <v>4107</v>
      </c>
      <c r="BX1568" s="2" t="s">
        <v>1344</v>
      </c>
      <c r="BY1568" s="2" t="s">
        <v>112</v>
      </c>
      <c r="BZ1568" s="2" t="s">
        <v>100</v>
      </c>
    </row>
    <row r="1569">
      <c r="A1569" s="2" t="s">
        <v>5743</v>
      </c>
      <c r="B1569" s="2" t="s">
        <v>5155</v>
      </c>
      <c r="C1569" s="2" t="s">
        <v>88</v>
      </c>
      <c r="D1569" s="2" t="s">
        <v>89</v>
      </c>
      <c r="E1569" s="2" t="s">
        <v>887</v>
      </c>
      <c r="F1569" s="2" t="s">
        <v>5733</v>
      </c>
      <c r="G1569" s="2" t="s">
        <v>5734</v>
      </c>
      <c r="H1569" s="2" t="s">
        <v>5734</v>
      </c>
      <c r="I1569" s="2" t="s">
        <v>5735</v>
      </c>
      <c r="J1569" s="2" t="s">
        <v>522</v>
      </c>
      <c r="K1569" s="2" t="s">
        <v>5349</v>
      </c>
      <c r="L1569" s="3">
        <v>39.1</v>
      </c>
      <c r="M1569" s="3">
        <v>41.06</v>
      </c>
      <c r="N1569" s="3">
        <v>84.99</v>
      </c>
      <c r="O1569" s="2" t="s">
        <v>97</v>
      </c>
      <c r="P1569" s="2" t="s">
        <v>98</v>
      </c>
      <c r="Q1569" s="2" t="s">
        <v>99</v>
      </c>
      <c r="R1569" s="2" t="s">
        <v>100</v>
      </c>
      <c r="S1569" s="2" t="s">
        <v>5744</v>
      </c>
      <c r="T1569" s="2" t="s">
        <v>5436</v>
      </c>
      <c r="U1569" s="2" t="s">
        <v>100</v>
      </c>
      <c r="V1569" s="2" t="s">
        <v>461</v>
      </c>
      <c r="W1569" s="2" t="s">
        <v>1136</v>
      </c>
      <c r="X1569" s="2" t="s">
        <v>493</v>
      </c>
      <c r="Y1569" s="2" t="s">
        <v>144</v>
      </c>
      <c r="Z1569" s="4">
        <v>253</v>
      </c>
      <c r="AA1569" s="4">
        <f>=ROUNDDOWN(13.3157894736842,0)</f>
      </c>
      <c r="AB1569" s="5">
        <v>19</v>
      </c>
      <c r="AC1569" s="2" t="s">
        <v>725</v>
      </c>
      <c r="AD1569" s="4">
        <v>50</v>
      </c>
      <c r="AE1569" s="4">
        <v>380</v>
      </c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1</v>
      </c>
      <c r="AQ1569" s="8">
        <v>36.75</v>
      </c>
      <c r="AR1569" s="4"/>
      <c r="AS1569" s="8"/>
      <c r="AT1569" s="7"/>
      <c r="AU1569" s="7"/>
      <c r="AV1569" s="4">
        <v>1</v>
      </c>
      <c r="AW1569" s="8">
        <v>36.75</v>
      </c>
      <c r="AX1569" s="4"/>
      <c r="AY1569" s="8"/>
      <c r="AZ1569" s="7"/>
      <c r="BA1569" s="7"/>
      <c r="BB1569" s="7">
        <v>1</v>
      </c>
      <c r="BC1569" s="4" t="s">
        <v>100</v>
      </c>
      <c r="BD1569" s="8" t="s">
        <v>100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>
        <v>0.0552</v>
      </c>
      <c r="BJ1569" s="4">
        <v>49</v>
      </c>
      <c r="BK1569" s="8">
        <v>2052.08</v>
      </c>
      <c r="BL1569" s="2" t="s">
        <v>5745</v>
      </c>
      <c r="BM1569" s="7">
        <v>0.0204</v>
      </c>
      <c r="BN1569" s="7">
        <v>0.0179</v>
      </c>
      <c r="BO1569" s="4">
        <v>1</v>
      </c>
      <c r="BP1569" s="8">
        <v>36.75</v>
      </c>
      <c r="BQ1569" s="4"/>
      <c r="BR1569" s="8"/>
      <c r="BS1569" s="7"/>
      <c r="BT1569" s="7"/>
      <c r="BU1569" s="2" t="s">
        <v>109</v>
      </c>
      <c r="BV1569" s="2" t="s">
        <v>97</v>
      </c>
      <c r="BW1569" s="2" t="s">
        <v>4107</v>
      </c>
      <c r="BX1569" s="2" t="s">
        <v>4126</v>
      </c>
      <c r="BY1569" s="2" t="s">
        <v>112</v>
      </c>
      <c r="BZ1569" s="2" t="s">
        <v>100</v>
      </c>
    </row>
    <row r="1570">
      <c r="A1570" s="2" t="s">
        <v>5746</v>
      </c>
      <c r="B1570" s="2" t="s">
        <v>5155</v>
      </c>
      <c r="C1570" s="2" t="s">
        <v>88</v>
      </c>
      <c r="D1570" s="2" t="s">
        <v>89</v>
      </c>
      <c r="E1570" s="2" t="s">
        <v>887</v>
      </c>
      <c r="F1570" s="2" t="s">
        <v>5733</v>
      </c>
      <c r="G1570" s="2" t="s">
        <v>5734</v>
      </c>
      <c r="H1570" s="2" t="s">
        <v>5734</v>
      </c>
      <c r="I1570" s="2" t="s">
        <v>5735</v>
      </c>
      <c r="J1570" s="2" t="s">
        <v>522</v>
      </c>
      <c r="K1570" s="2" t="s">
        <v>471</v>
      </c>
      <c r="L1570" s="3">
        <v>39.1</v>
      </c>
      <c r="M1570" s="3">
        <v>41.06</v>
      </c>
      <c r="N1570" s="3">
        <v>84.99</v>
      </c>
      <c r="O1570" s="2" t="s">
        <v>97</v>
      </c>
      <c r="P1570" s="2" t="s">
        <v>98</v>
      </c>
      <c r="Q1570" s="2" t="s">
        <v>99</v>
      </c>
      <c r="R1570" s="2" t="s">
        <v>100</v>
      </c>
      <c r="S1570" s="2" t="s">
        <v>5747</v>
      </c>
      <c r="T1570" s="2" t="s">
        <v>5436</v>
      </c>
      <c r="U1570" s="2" t="s">
        <v>901</v>
      </c>
      <c r="V1570" s="2" t="s">
        <v>461</v>
      </c>
      <c r="W1570" s="2" t="s">
        <v>1136</v>
      </c>
      <c r="X1570" s="2" t="s">
        <v>493</v>
      </c>
      <c r="Y1570" s="2" t="s">
        <v>5748</v>
      </c>
      <c r="Z1570" s="4">
        <v>208</v>
      </c>
      <c r="AA1570" s="4">
        <f>=ROUNDDOWN(26,0)</f>
      </c>
      <c r="AB1570" s="5">
        <v>8</v>
      </c>
      <c r="AC1570" s="2" t="s">
        <v>1860</v>
      </c>
      <c r="AD1570" s="4">
        <v>150</v>
      </c>
      <c r="AE1570" s="4">
        <v>150</v>
      </c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100</v>
      </c>
      <c r="AW1570" s="8" t="s">
        <v>100</v>
      </c>
      <c r="AX1570" s="4" t="s">
        <v>100</v>
      </c>
      <c r="AY1570" s="8" t="s">
        <v>100</v>
      </c>
      <c r="AZ1570" s="7" t="s">
        <v>100</v>
      </c>
      <c r="BA1570" s="7" t="s">
        <v>100</v>
      </c>
      <c r="BB1570" s="7"/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 t="s">
        <v>100</v>
      </c>
      <c r="BJ1570" s="4">
        <v>21</v>
      </c>
      <c r="BK1570" s="8">
        <v>850.91</v>
      </c>
      <c r="BL1570" s="2" t="s">
        <v>5749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171</v>
      </c>
      <c r="BV1570" s="2" t="s">
        <v>97</v>
      </c>
      <c r="BW1570" s="2" t="s">
        <v>100</v>
      </c>
      <c r="BX1570" s="2" t="s">
        <v>100</v>
      </c>
      <c r="BY1570" s="2" t="s">
        <v>112</v>
      </c>
      <c r="BZ1570" s="2" t="s">
        <v>100</v>
      </c>
    </row>
    <row r="1571">
      <c r="A1571" s="2" t="s">
        <v>5750</v>
      </c>
      <c r="B1571" s="2" t="s">
        <v>5155</v>
      </c>
      <c r="C1571" s="2" t="s">
        <v>88</v>
      </c>
      <c r="D1571" s="2" t="s">
        <v>89</v>
      </c>
      <c r="E1571" s="2" t="s">
        <v>887</v>
      </c>
      <c r="F1571" s="2" t="s">
        <v>5733</v>
      </c>
      <c r="G1571" s="2" t="s">
        <v>5734</v>
      </c>
      <c r="H1571" s="2" t="s">
        <v>5734</v>
      </c>
      <c r="I1571" s="2" t="s">
        <v>5735</v>
      </c>
      <c r="J1571" s="2" t="s">
        <v>529</v>
      </c>
      <c r="K1571" s="2" t="s">
        <v>471</v>
      </c>
      <c r="L1571" s="3">
        <v>44.65</v>
      </c>
      <c r="M1571" s="3">
        <v>46.88</v>
      </c>
      <c r="N1571" s="3">
        <v>94.99</v>
      </c>
      <c r="O1571" s="2" t="s">
        <v>97</v>
      </c>
      <c r="P1571" s="2" t="s">
        <v>98</v>
      </c>
      <c r="Q1571" s="2" t="s">
        <v>99</v>
      </c>
      <c r="R1571" s="2" t="s">
        <v>100</v>
      </c>
      <c r="S1571" s="2" t="s">
        <v>5747</v>
      </c>
      <c r="T1571" s="2" t="s">
        <v>5436</v>
      </c>
      <c r="U1571" s="2" t="s">
        <v>901</v>
      </c>
      <c r="V1571" s="2" t="s">
        <v>461</v>
      </c>
      <c r="W1571" s="2" t="s">
        <v>1136</v>
      </c>
      <c r="X1571" s="2" t="s">
        <v>493</v>
      </c>
      <c r="Y1571" s="2" t="s">
        <v>5748</v>
      </c>
      <c r="Z1571" s="4">
        <v>243</v>
      </c>
      <c r="AA1571" s="4">
        <f>=ROUNDDOWN(24.3,0)</f>
      </c>
      <c r="AB1571" s="5">
        <v>10</v>
      </c>
      <c r="AC1571" s="2" t="s">
        <v>1860</v>
      </c>
      <c r="AD1571" s="4">
        <v>160</v>
      </c>
      <c r="AE1571" s="4">
        <v>160</v>
      </c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100</v>
      </c>
      <c r="AW1571" s="8" t="s">
        <v>100</v>
      </c>
      <c r="AX1571" s="4" t="s">
        <v>100</v>
      </c>
      <c r="AY1571" s="8" t="s">
        <v>100</v>
      </c>
      <c r="AZ1571" s="7" t="s">
        <v>100</v>
      </c>
      <c r="BA1571" s="7" t="s">
        <v>100</v>
      </c>
      <c r="BB1571" s="7"/>
      <c r="BC1571" s="4" t="s">
        <v>100</v>
      </c>
      <c r="BD1571" s="8" t="s">
        <v>100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 t="s">
        <v>100</v>
      </c>
      <c r="BJ1571" s="4">
        <v>27</v>
      </c>
      <c r="BK1571" s="8">
        <v>1241.8</v>
      </c>
      <c r="BL1571" s="2" t="s">
        <v>5751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171</v>
      </c>
      <c r="BV1571" s="2" t="s">
        <v>97</v>
      </c>
      <c r="BW1571" s="2" t="s">
        <v>100</v>
      </c>
      <c r="BX1571" s="2" t="s">
        <v>100</v>
      </c>
      <c r="BY1571" s="2" t="s">
        <v>112</v>
      </c>
      <c r="BZ1571" s="2" t="s">
        <v>100</v>
      </c>
    </row>
    <row r="1572">
      <c r="A1572" s="2" t="s">
        <v>5752</v>
      </c>
      <c r="B1572" s="2" t="s">
        <v>5155</v>
      </c>
      <c r="C1572" s="2" t="s">
        <v>88</v>
      </c>
      <c r="D1572" s="2" t="s">
        <v>89</v>
      </c>
      <c r="E1572" s="2" t="s">
        <v>887</v>
      </c>
      <c r="F1572" s="2" t="s">
        <v>5733</v>
      </c>
      <c r="G1572" s="2" t="s">
        <v>5734</v>
      </c>
      <c r="H1572" s="2" t="s">
        <v>5734</v>
      </c>
      <c r="I1572" s="2" t="s">
        <v>5735</v>
      </c>
      <c r="J1572" s="2" t="s">
        <v>522</v>
      </c>
      <c r="K1572" s="2" t="s">
        <v>96</v>
      </c>
      <c r="L1572" s="3">
        <v>39.1</v>
      </c>
      <c r="M1572" s="3">
        <v>41.06</v>
      </c>
      <c r="N1572" s="3">
        <v>84.99</v>
      </c>
      <c r="O1572" s="2" t="s">
        <v>97</v>
      </c>
      <c r="P1572" s="2" t="s">
        <v>123</v>
      </c>
      <c r="Q1572" s="2" t="s">
        <v>99</v>
      </c>
      <c r="R1572" s="2" t="s">
        <v>100</v>
      </c>
      <c r="S1572" s="2" t="s">
        <v>5753</v>
      </c>
      <c r="T1572" s="2" t="s">
        <v>5436</v>
      </c>
      <c r="U1572" s="2" t="s">
        <v>100</v>
      </c>
      <c r="V1572" s="2" t="s">
        <v>461</v>
      </c>
      <c r="W1572" s="2" t="s">
        <v>1136</v>
      </c>
      <c r="X1572" s="2" t="s">
        <v>493</v>
      </c>
      <c r="Y1572" s="2" t="s">
        <v>144</v>
      </c>
      <c r="Z1572" s="4">
        <v>571</v>
      </c>
      <c r="AA1572" s="4">
        <f>=ROUNDDOWN(27.1904761904762,0)</f>
      </c>
      <c r="AB1572" s="5">
        <v>21</v>
      </c>
      <c r="AC1572" s="2" t="s">
        <v>130</v>
      </c>
      <c r="AD1572" s="4">
        <v>60</v>
      </c>
      <c r="AE1572" s="4">
        <v>220</v>
      </c>
      <c r="AF1572" s="6">
        <v>65</v>
      </c>
      <c r="AG1572" s="6">
        <v>48</v>
      </c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/>
      <c r="AW1572" s="8"/>
      <c r="AX1572" s="4"/>
      <c r="AY1572" s="8"/>
      <c r="AZ1572" s="7"/>
      <c r="BA1572" s="7"/>
      <c r="BB1572" s="7"/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/>
      <c r="BJ1572" s="4">
        <v>53</v>
      </c>
      <c r="BK1572" s="8">
        <v>2159.3</v>
      </c>
      <c r="BL1572" s="2" t="s">
        <v>5754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109</v>
      </c>
      <c r="BV1572" s="2" t="s">
        <v>97</v>
      </c>
      <c r="BW1572" s="2" t="s">
        <v>4107</v>
      </c>
      <c r="BX1572" s="2" t="s">
        <v>1812</v>
      </c>
      <c r="BY1572" s="2" t="s">
        <v>112</v>
      </c>
      <c r="BZ1572" s="2" t="s">
        <v>100</v>
      </c>
    </row>
    <row r="1573">
      <c r="A1573" s="2" t="s">
        <v>5755</v>
      </c>
      <c r="B1573" s="2" t="s">
        <v>5155</v>
      </c>
      <c r="C1573" s="2" t="s">
        <v>88</v>
      </c>
      <c r="D1573" s="2" t="s">
        <v>89</v>
      </c>
      <c r="E1573" s="2" t="s">
        <v>887</v>
      </c>
      <c r="F1573" s="2" t="s">
        <v>5756</v>
      </c>
      <c r="G1573" s="2" t="s">
        <v>412</v>
      </c>
      <c r="H1573" s="2" t="s">
        <v>412</v>
      </c>
      <c r="I1573" s="2" t="s">
        <v>5757</v>
      </c>
      <c r="J1573" s="2" t="s">
        <v>522</v>
      </c>
      <c r="K1573" s="2" t="s">
        <v>165</v>
      </c>
      <c r="L1573" s="3">
        <v>52.38</v>
      </c>
      <c r="M1573" s="3">
        <v>55</v>
      </c>
      <c r="N1573" s="3">
        <v>109.99</v>
      </c>
      <c r="O1573" s="2" t="s">
        <v>97</v>
      </c>
      <c r="P1573" s="2" t="s">
        <v>98</v>
      </c>
      <c r="Q1573" s="2" t="s">
        <v>99</v>
      </c>
      <c r="R1573" s="2" t="s">
        <v>100</v>
      </c>
      <c r="S1573" s="2" t="s">
        <v>5758</v>
      </c>
      <c r="T1573" s="2" t="s">
        <v>5436</v>
      </c>
      <c r="U1573" s="2" t="s">
        <v>901</v>
      </c>
      <c r="V1573" s="2" t="s">
        <v>461</v>
      </c>
      <c r="W1573" s="2" t="s">
        <v>1136</v>
      </c>
      <c r="X1573" s="2" t="s">
        <v>609</v>
      </c>
      <c r="Y1573" s="2" t="s">
        <v>675</v>
      </c>
      <c r="Z1573" s="4">
        <v>232</v>
      </c>
      <c r="AA1573" s="4">
        <f>=ROUNDDOWN(29,0)</f>
      </c>
      <c r="AB1573" s="5">
        <v>8</v>
      </c>
      <c r="AC1573" s="2" t="s">
        <v>3200</v>
      </c>
      <c r="AD1573" s="4">
        <v>110</v>
      </c>
      <c r="AE1573" s="4">
        <v>110</v>
      </c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100</v>
      </c>
      <c r="AW1573" s="8" t="s">
        <v>100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/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/>
      <c r="BJ1573" s="4">
        <v>25</v>
      </c>
      <c r="BK1573" s="8">
        <v>1401.14</v>
      </c>
      <c r="BL1573" s="2" t="s">
        <v>384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171</v>
      </c>
      <c r="BV1573" s="2" t="s">
        <v>97</v>
      </c>
      <c r="BW1573" s="2" t="s">
        <v>100</v>
      </c>
      <c r="BX1573" s="2" t="s">
        <v>100</v>
      </c>
      <c r="BY1573" s="2" t="s">
        <v>112</v>
      </c>
      <c r="BZ1573" s="2" t="s">
        <v>100</v>
      </c>
    </row>
    <row r="1574">
      <c r="A1574" s="2" t="s">
        <v>5759</v>
      </c>
      <c r="B1574" s="2" t="s">
        <v>5155</v>
      </c>
      <c r="C1574" s="2" t="s">
        <v>88</v>
      </c>
      <c r="D1574" s="2" t="s">
        <v>89</v>
      </c>
      <c r="E1574" s="2" t="s">
        <v>887</v>
      </c>
      <c r="F1574" s="2" t="s">
        <v>5756</v>
      </c>
      <c r="G1574" s="2" t="s">
        <v>412</v>
      </c>
      <c r="H1574" s="2" t="s">
        <v>412</v>
      </c>
      <c r="I1574" s="2" t="s">
        <v>5757</v>
      </c>
      <c r="J1574" s="2" t="s">
        <v>529</v>
      </c>
      <c r="K1574" s="2" t="s">
        <v>165</v>
      </c>
      <c r="L1574" s="3">
        <v>61.9</v>
      </c>
      <c r="M1574" s="3">
        <v>65</v>
      </c>
      <c r="N1574" s="3">
        <v>129.99</v>
      </c>
      <c r="O1574" s="2" t="s">
        <v>97</v>
      </c>
      <c r="P1574" s="2" t="s">
        <v>98</v>
      </c>
      <c r="Q1574" s="2" t="s">
        <v>99</v>
      </c>
      <c r="R1574" s="2" t="s">
        <v>100</v>
      </c>
      <c r="S1574" s="2" t="s">
        <v>5758</v>
      </c>
      <c r="T1574" s="2" t="s">
        <v>5436</v>
      </c>
      <c r="U1574" s="2" t="s">
        <v>901</v>
      </c>
      <c r="V1574" s="2" t="s">
        <v>461</v>
      </c>
      <c r="W1574" s="2" t="s">
        <v>1136</v>
      </c>
      <c r="X1574" s="2" t="s">
        <v>609</v>
      </c>
      <c r="Y1574" s="2" t="s">
        <v>675</v>
      </c>
      <c r="Z1574" s="4">
        <v>238</v>
      </c>
      <c r="AA1574" s="4">
        <f>=ROUNDDOWN(29.0243902439024,0)</f>
      </c>
      <c r="AB1574" s="5">
        <v>8.2</v>
      </c>
      <c r="AC1574" s="2" t="s">
        <v>3200</v>
      </c>
      <c r="AD1574" s="4">
        <v>110</v>
      </c>
      <c r="AE1574" s="4">
        <v>110</v>
      </c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/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/>
      <c r="BJ1574" s="4">
        <v>38</v>
      </c>
      <c r="BK1574" s="8">
        <v>2621.62</v>
      </c>
      <c r="BL1574" s="2" t="s">
        <v>5760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171</v>
      </c>
      <c r="BV1574" s="2" t="s">
        <v>97</v>
      </c>
      <c r="BW1574" s="2" t="s">
        <v>100</v>
      </c>
      <c r="BX1574" s="2" t="s">
        <v>100</v>
      </c>
      <c r="BY1574" s="2" t="s">
        <v>112</v>
      </c>
      <c r="BZ1574" s="2" t="s">
        <v>100</v>
      </c>
    </row>
    <row r="1575">
      <c r="A1575" s="2" t="s">
        <v>5761</v>
      </c>
      <c r="B1575" s="2" t="s">
        <v>5155</v>
      </c>
      <c r="C1575" s="2" t="s">
        <v>88</v>
      </c>
      <c r="D1575" s="2" t="s">
        <v>89</v>
      </c>
      <c r="E1575" s="2" t="s">
        <v>887</v>
      </c>
      <c r="F1575" s="2" t="s">
        <v>5756</v>
      </c>
      <c r="G1575" s="2" t="s">
        <v>412</v>
      </c>
      <c r="H1575" s="2" t="s">
        <v>412</v>
      </c>
      <c r="I1575" s="2" t="s">
        <v>5757</v>
      </c>
      <c r="J1575" s="2" t="s">
        <v>522</v>
      </c>
      <c r="K1575" s="2" t="s">
        <v>96</v>
      </c>
      <c r="L1575" s="3">
        <v>52.38</v>
      </c>
      <c r="M1575" s="3">
        <v>55</v>
      </c>
      <c r="N1575" s="3">
        <v>109.99</v>
      </c>
      <c r="O1575" s="2" t="s">
        <v>97</v>
      </c>
      <c r="P1575" s="2" t="s">
        <v>98</v>
      </c>
      <c r="Q1575" s="2" t="s">
        <v>99</v>
      </c>
      <c r="R1575" s="2" t="s">
        <v>100</v>
      </c>
      <c r="S1575" s="2" t="s">
        <v>5762</v>
      </c>
      <c r="T1575" s="2" t="s">
        <v>5436</v>
      </c>
      <c r="U1575" s="2" t="s">
        <v>901</v>
      </c>
      <c r="V1575" s="2" t="s">
        <v>461</v>
      </c>
      <c r="W1575" s="2" t="s">
        <v>1136</v>
      </c>
      <c r="X1575" s="2" t="s">
        <v>609</v>
      </c>
      <c r="Y1575" s="2" t="s">
        <v>675</v>
      </c>
      <c r="Z1575" s="4">
        <v>366</v>
      </c>
      <c r="AA1575" s="4">
        <f>=ROUNDDOWN(73.2,0)</f>
      </c>
      <c r="AB1575" s="5">
        <v>5</v>
      </c>
      <c r="AC1575" s="2" t="s">
        <v>100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100</v>
      </c>
      <c r="AW1575" s="8" t="s">
        <v>100</v>
      </c>
      <c r="AX1575" s="4" t="s">
        <v>100</v>
      </c>
      <c r="AY1575" s="8" t="s">
        <v>100</v>
      </c>
      <c r="AZ1575" s="7" t="s">
        <v>100</v>
      </c>
      <c r="BA1575" s="7" t="s">
        <v>100</v>
      </c>
      <c r="BB1575" s="7"/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/>
      <c r="BJ1575" s="4">
        <v>13</v>
      </c>
      <c r="BK1575" s="8">
        <v>662.75</v>
      </c>
      <c r="BL1575" s="2" t="s">
        <v>1638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171</v>
      </c>
      <c r="BV1575" s="2" t="s">
        <v>97</v>
      </c>
      <c r="BW1575" s="2" t="s">
        <v>100</v>
      </c>
      <c r="BX1575" s="2" t="s">
        <v>100</v>
      </c>
      <c r="BY1575" s="2" t="s">
        <v>112</v>
      </c>
      <c r="BZ1575" s="2" t="s">
        <v>100</v>
      </c>
    </row>
    <row r="1576">
      <c r="A1576" s="2" t="s">
        <v>5763</v>
      </c>
      <c r="B1576" s="2" t="s">
        <v>5155</v>
      </c>
      <c r="C1576" s="2" t="s">
        <v>88</v>
      </c>
      <c r="D1576" s="2" t="s">
        <v>89</v>
      </c>
      <c r="E1576" s="2" t="s">
        <v>887</v>
      </c>
      <c r="F1576" s="2" t="s">
        <v>5756</v>
      </c>
      <c r="G1576" s="2" t="s">
        <v>412</v>
      </c>
      <c r="H1576" s="2" t="s">
        <v>412</v>
      </c>
      <c r="I1576" s="2" t="s">
        <v>5757</v>
      </c>
      <c r="J1576" s="2" t="s">
        <v>529</v>
      </c>
      <c r="K1576" s="2" t="s">
        <v>96</v>
      </c>
      <c r="L1576" s="3">
        <v>61.9</v>
      </c>
      <c r="M1576" s="3">
        <v>65</v>
      </c>
      <c r="N1576" s="3">
        <v>129.99</v>
      </c>
      <c r="O1576" s="2" t="s">
        <v>97</v>
      </c>
      <c r="P1576" s="2" t="s">
        <v>98</v>
      </c>
      <c r="Q1576" s="2" t="s">
        <v>99</v>
      </c>
      <c r="R1576" s="2" t="s">
        <v>100</v>
      </c>
      <c r="S1576" s="2" t="s">
        <v>5762</v>
      </c>
      <c r="T1576" s="2" t="s">
        <v>5436</v>
      </c>
      <c r="U1576" s="2" t="s">
        <v>901</v>
      </c>
      <c r="V1576" s="2" t="s">
        <v>461</v>
      </c>
      <c r="W1576" s="2" t="s">
        <v>1136</v>
      </c>
      <c r="X1576" s="2" t="s">
        <v>609</v>
      </c>
      <c r="Y1576" s="2" t="s">
        <v>675</v>
      </c>
      <c r="Z1576" s="4">
        <v>186</v>
      </c>
      <c r="AA1576" s="4">
        <f>=ROUNDDOWN(46.5,0)</f>
      </c>
      <c r="AB1576" s="5">
        <v>4</v>
      </c>
      <c r="AC1576" s="2" t="s">
        <v>100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/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/>
      <c r="BJ1576" s="4">
        <v>23</v>
      </c>
      <c r="BK1576" s="8">
        <v>1410.74</v>
      </c>
      <c r="BL1576" s="2" t="s">
        <v>5764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171</v>
      </c>
      <c r="BV1576" s="2" t="s">
        <v>97</v>
      </c>
      <c r="BW1576" s="2" t="s">
        <v>100</v>
      </c>
      <c r="BX1576" s="2" t="s">
        <v>100</v>
      </c>
      <c r="BY1576" s="2" t="s">
        <v>112</v>
      </c>
      <c r="BZ1576" s="2" t="s">
        <v>100</v>
      </c>
    </row>
    <row r="1577">
      <c r="A1577" s="2" t="s">
        <v>5765</v>
      </c>
      <c r="B1577" s="2" t="s">
        <v>5155</v>
      </c>
      <c r="C1577" s="2" t="s">
        <v>88</v>
      </c>
      <c r="D1577" s="2" t="s">
        <v>89</v>
      </c>
      <c r="E1577" s="2" t="s">
        <v>887</v>
      </c>
      <c r="F1577" s="2" t="s">
        <v>5756</v>
      </c>
      <c r="G1577" s="2" t="s">
        <v>412</v>
      </c>
      <c r="H1577" s="2" t="s">
        <v>412</v>
      </c>
      <c r="I1577" s="2" t="s">
        <v>5757</v>
      </c>
      <c r="J1577" s="2" t="s">
        <v>522</v>
      </c>
      <c r="K1577" s="2" t="s">
        <v>1373</v>
      </c>
      <c r="L1577" s="3">
        <v>52.38</v>
      </c>
      <c r="M1577" s="3">
        <v>55</v>
      </c>
      <c r="N1577" s="3">
        <v>109.99</v>
      </c>
      <c r="O1577" s="2" t="s">
        <v>97</v>
      </c>
      <c r="P1577" s="2" t="s">
        <v>98</v>
      </c>
      <c r="Q1577" s="2" t="s">
        <v>99</v>
      </c>
      <c r="R1577" s="2" t="s">
        <v>100</v>
      </c>
      <c r="S1577" s="2" t="s">
        <v>5766</v>
      </c>
      <c r="T1577" s="2" t="s">
        <v>5436</v>
      </c>
      <c r="U1577" s="2" t="s">
        <v>901</v>
      </c>
      <c r="V1577" s="2" t="s">
        <v>461</v>
      </c>
      <c r="W1577" s="2" t="s">
        <v>1136</v>
      </c>
      <c r="X1577" s="2" t="s">
        <v>609</v>
      </c>
      <c r="Y1577" s="2" t="s">
        <v>5767</v>
      </c>
      <c r="Z1577" s="4">
        <v>627</v>
      </c>
      <c r="AA1577" s="4">
        <f>=ROUNDDOWN(78.375,0)</f>
      </c>
      <c r="AB1577" s="5">
        <v>8</v>
      </c>
      <c r="AC1577" s="2" t="s">
        <v>1860</v>
      </c>
      <c r="AD1577" s="4">
        <v>240</v>
      </c>
      <c r="AE1577" s="4">
        <v>240</v>
      </c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100</v>
      </c>
      <c r="AW1577" s="8" t="s">
        <v>100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/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/>
      <c r="BJ1577" s="4">
        <v>46</v>
      </c>
      <c r="BK1577" s="8">
        <v>2536.18</v>
      </c>
      <c r="BL1577" s="2" t="s">
        <v>2993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171</v>
      </c>
      <c r="BV1577" s="2" t="s">
        <v>97</v>
      </c>
      <c r="BW1577" s="2" t="s">
        <v>100</v>
      </c>
      <c r="BX1577" s="2" t="s">
        <v>100</v>
      </c>
      <c r="BY1577" s="2" t="s">
        <v>112</v>
      </c>
      <c r="BZ1577" s="2" t="s">
        <v>100</v>
      </c>
    </row>
    <row r="1578">
      <c r="A1578" s="2" t="s">
        <v>5768</v>
      </c>
      <c r="B1578" s="2" t="s">
        <v>5155</v>
      </c>
      <c r="C1578" s="2" t="s">
        <v>88</v>
      </c>
      <c r="D1578" s="2" t="s">
        <v>89</v>
      </c>
      <c r="E1578" s="2" t="s">
        <v>887</v>
      </c>
      <c r="F1578" s="2" t="s">
        <v>5756</v>
      </c>
      <c r="G1578" s="2" t="s">
        <v>412</v>
      </c>
      <c r="H1578" s="2" t="s">
        <v>412</v>
      </c>
      <c r="I1578" s="2" t="s">
        <v>5757</v>
      </c>
      <c r="J1578" s="2" t="s">
        <v>529</v>
      </c>
      <c r="K1578" s="2" t="s">
        <v>1373</v>
      </c>
      <c r="L1578" s="3">
        <v>61.9</v>
      </c>
      <c r="M1578" s="3">
        <v>65</v>
      </c>
      <c r="N1578" s="3">
        <v>129.99</v>
      </c>
      <c r="O1578" s="2" t="s">
        <v>97</v>
      </c>
      <c r="P1578" s="2" t="s">
        <v>98</v>
      </c>
      <c r="Q1578" s="2" t="s">
        <v>99</v>
      </c>
      <c r="R1578" s="2" t="s">
        <v>100</v>
      </c>
      <c r="S1578" s="2" t="s">
        <v>5766</v>
      </c>
      <c r="T1578" s="2" t="s">
        <v>5436</v>
      </c>
      <c r="U1578" s="2" t="s">
        <v>901</v>
      </c>
      <c r="V1578" s="2" t="s">
        <v>461</v>
      </c>
      <c r="W1578" s="2" t="s">
        <v>1136</v>
      </c>
      <c r="X1578" s="2" t="s">
        <v>609</v>
      </c>
      <c r="Y1578" s="2" t="s">
        <v>5767</v>
      </c>
      <c r="Z1578" s="4">
        <v>424</v>
      </c>
      <c r="AA1578" s="4">
        <f>=ROUNDDOWN(32.6153846153846,0)</f>
      </c>
      <c r="AB1578" s="5">
        <v>13</v>
      </c>
      <c r="AC1578" s="2" t="s">
        <v>1860</v>
      </c>
      <c r="AD1578" s="4">
        <v>230</v>
      </c>
      <c r="AE1578" s="4">
        <v>230</v>
      </c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/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/>
      <c r="BJ1578" s="4">
        <v>29</v>
      </c>
      <c r="BK1578" s="8">
        <v>1792.01</v>
      </c>
      <c r="BL1578" s="2" t="s">
        <v>2607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171</v>
      </c>
      <c r="BV1578" s="2" t="s">
        <v>97</v>
      </c>
      <c r="BW1578" s="2" t="s">
        <v>100</v>
      </c>
      <c r="BX1578" s="2" t="s">
        <v>100</v>
      </c>
      <c r="BY1578" s="2" t="s">
        <v>112</v>
      </c>
      <c r="BZ1578" s="2" t="s">
        <v>100</v>
      </c>
    </row>
    <row r="1579">
      <c r="A1579" s="2" t="s">
        <v>5769</v>
      </c>
      <c r="B1579" s="2" t="s">
        <v>5155</v>
      </c>
      <c r="C1579" s="2" t="s">
        <v>88</v>
      </c>
      <c r="D1579" s="2" t="s">
        <v>89</v>
      </c>
      <c r="E1579" s="2" t="s">
        <v>887</v>
      </c>
      <c r="F1579" s="2" t="s">
        <v>5770</v>
      </c>
      <c r="G1579" s="2" t="s">
        <v>916</v>
      </c>
      <c r="H1579" s="2" t="s">
        <v>916</v>
      </c>
      <c r="I1579" s="2" t="s">
        <v>5771</v>
      </c>
      <c r="J1579" s="2" t="s">
        <v>522</v>
      </c>
      <c r="K1579" s="2" t="s">
        <v>188</v>
      </c>
      <c r="L1579" s="3">
        <v>43.2</v>
      </c>
      <c r="M1579" s="3">
        <v>45.36</v>
      </c>
      <c r="N1579" s="3">
        <v>89.99</v>
      </c>
      <c r="O1579" s="2" t="s">
        <v>97</v>
      </c>
      <c r="P1579" s="2" t="s">
        <v>317</v>
      </c>
      <c r="Q1579" s="2" t="s">
        <v>99</v>
      </c>
      <c r="R1579" s="2" t="s">
        <v>100</v>
      </c>
      <c r="S1579" s="2" t="s">
        <v>5772</v>
      </c>
      <c r="T1579" s="2" t="s">
        <v>5436</v>
      </c>
      <c r="U1579" s="2" t="s">
        <v>901</v>
      </c>
      <c r="V1579" s="2" t="s">
        <v>461</v>
      </c>
      <c r="W1579" s="2" t="s">
        <v>1136</v>
      </c>
      <c r="X1579" s="2" t="s">
        <v>142</v>
      </c>
      <c r="Y1579" s="2" t="s">
        <v>5773</v>
      </c>
      <c r="Z1579" s="4">
        <v>397</v>
      </c>
      <c r="AA1579" s="4">
        <f>=ROUNDDOWN(12.8064516129032,0)</f>
      </c>
      <c r="AB1579" s="5">
        <v>31</v>
      </c>
      <c r="AC1579" s="2" t="s">
        <v>725</v>
      </c>
      <c r="AD1579" s="4">
        <v>190</v>
      </c>
      <c r="AE1579" s="4">
        <v>1330</v>
      </c>
      <c r="AF1579" s="6">
        <v>65</v>
      </c>
      <c r="AG1579" s="6">
        <v>48</v>
      </c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100</v>
      </c>
      <c r="AW1579" s="8" t="s">
        <v>100</v>
      </c>
      <c r="AX1579" s="4" t="s">
        <v>100</v>
      </c>
      <c r="AY1579" s="8" t="s">
        <v>100</v>
      </c>
      <c r="AZ1579" s="7" t="s">
        <v>100</v>
      </c>
      <c r="BA1579" s="7" t="s">
        <v>100</v>
      </c>
      <c r="BB1579" s="7"/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/>
      <c r="BJ1579" s="4">
        <v>91</v>
      </c>
      <c r="BK1579" s="8">
        <v>4262.96</v>
      </c>
      <c r="BL1579" s="2" t="s">
        <v>5774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5775</v>
      </c>
      <c r="BX1579" s="2" t="s">
        <v>5776</v>
      </c>
      <c r="BY1579" s="2" t="s">
        <v>112</v>
      </c>
      <c r="BZ1579" s="2" t="s">
        <v>100</v>
      </c>
    </row>
    <row r="1580">
      <c r="A1580" s="2" t="s">
        <v>5777</v>
      </c>
      <c r="B1580" s="2" t="s">
        <v>5155</v>
      </c>
      <c r="C1580" s="2" t="s">
        <v>88</v>
      </c>
      <c r="D1580" s="2" t="s">
        <v>89</v>
      </c>
      <c r="E1580" s="2" t="s">
        <v>887</v>
      </c>
      <c r="F1580" s="2" t="s">
        <v>5770</v>
      </c>
      <c r="G1580" s="2" t="s">
        <v>916</v>
      </c>
      <c r="H1580" s="2" t="s">
        <v>916</v>
      </c>
      <c r="I1580" s="2" t="s">
        <v>5771</v>
      </c>
      <c r="J1580" s="2" t="s">
        <v>529</v>
      </c>
      <c r="K1580" s="2" t="s">
        <v>188</v>
      </c>
      <c r="L1580" s="3">
        <v>49</v>
      </c>
      <c r="M1580" s="3">
        <v>51.45</v>
      </c>
      <c r="N1580" s="3">
        <v>99.99</v>
      </c>
      <c r="O1580" s="2" t="s">
        <v>97</v>
      </c>
      <c r="P1580" s="2" t="s">
        <v>317</v>
      </c>
      <c r="Q1580" s="2" t="s">
        <v>99</v>
      </c>
      <c r="R1580" s="2" t="s">
        <v>100</v>
      </c>
      <c r="S1580" s="2" t="s">
        <v>5772</v>
      </c>
      <c r="T1580" s="2" t="s">
        <v>5436</v>
      </c>
      <c r="U1580" s="2" t="s">
        <v>901</v>
      </c>
      <c r="V1580" s="2" t="s">
        <v>461</v>
      </c>
      <c r="W1580" s="2" t="s">
        <v>1136</v>
      </c>
      <c r="X1580" s="2" t="s">
        <v>142</v>
      </c>
      <c r="Y1580" s="2" t="s">
        <v>2253</v>
      </c>
      <c r="Z1580" s="4">
        <v>257</v>
      </c>
      <c r="AA1580" s="4">
        <f>=ROUNDDOWN(9.51851851851852,0)</f>
      </c>
      <c r="AB1580" s="5">
        <v>27</v>
      </c>
      <c r="AC1580" s="2" t="s">
        <v>307</v>
      </c>
      <c r="AD1580" s="4">
        <v>50</v>
      </c>
      <c r="AE1580" s="4">
        <v>1280</v>
      </c>
      <c r="AF1580" s="6">
        <v>65</v>
      </c>
      <c r="AG1580" s="6">
        <v>48</v>
      </c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 t="s">
        <v>100</v>
      </c>
      <c r="AW1580" s="8" t="s">
        <v>100</v>
      </c>
      <c r="AX1580" s="4" t="s">
        <v>100</v>
      </c>
      <c r="AY1580" s="8" t="s">
        <v>100</v>
      </c>
      <c r="AZ1580" s="7" t="s">
        <v>100</v>
      </c>
      <c r="BA1580" s="7" t="s">
        <v>100</v>
      </c>
      <c r="BB1580" s="7"/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/>
      <c r="BJ1580" s="4">
        <v>54</v>
      </c>
      <c r="BK1580" s="8">
        <v>2957.29</v>
      </c>
      <c r="BL1580" s="2" t="s">
        <v>5778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5779</v>
      </c>
      <c r="BX1580" s="2" t="s">
        <v>5780</v>
      </c>
      <c r="BY1580" s="2" t="s">
        <v>112</v>
      </c>
      <c r="BZ1580" s="2" t="s">
        <v>100</v>
      </c>
    </row>
    <row r="1581">
      <c r="A1581" s="2" t="s">
        <v>5781</v>
      </c>
      <c r="B1581" s="2" t="s">
        <v>5155</v>
      </c>
      <c r="C1581" s="2" t="s">
        <v>88</v>
      </c>
      <c r="D1581" s="2" t="s">
        <v>89</v>
      </c>
      <c r="E1581" s="2" t="s">
        <v>887</v>
      </c>
      <c r="F1581" s="2" t="s">
        <v>5770</v>
      </c>
      <c r="G1581" s="2" t="s">
        <v>916</v>
      </c>
      <c r="H1581" s="2" t="s">
        <v>916</v>
      </c>
      <c r="I1581" s="2" t="s">
        <v>5771</v>
      </c>
      <c r="J1581" s="2" t="s">
        <v>352</v>
      </c>
      <c r="K1581" s="2" t="s">
        <v>96</v>
      </c>
      <c r="L1581" s="3">
        <v>32.2</v>
      </c>
      <c r="M1581" s="3">
        <v>33.81</v>
      </c>
      <c r="N1581" s="3">
        <v>69.99</v>
      </c>
      <c r="O1581" s="2" t="s">
        <v>97</v>
      </c>
      <c r="P1581" s="2" t="s">
        <v>139</v>
      </c>
      <c r="Q1581" s="2" t="s">
        <v>99</v>
      </c>
      <c r="R1581" s="2" t="s">
        <v>100</v>
      </c>
      <c r="S1581" s="2" t="s">
        <v>5782</v>
      </c>
      <c r="T1581" s="2" t="s">
        <v>5436</v>
      </c>
      <c r="U1581" s="2" t="s">
        <v>894</v>
      </c>
      <c r="V1581" s="2" t="s">
        <v>461</v>
      </c>
      <c r="W1581" s="2" t="s">
        <v>1136</v>
      </c>
      <c r="X1581" s="2" t="s">
        <v>142</v>
      </c>
      <c r="Y1581" s="2" t="s">
        <v>5783</v>
      </c>
      <c r="Z1581" s="4">
        <v>214</v>
      </c>
      <c r="AA1581" s="4">
        <f>=ROUNDDOWN(19.4545454545455,0)</f>
      </c>
      <c r="AB1581" s="5">
        <v>11</v>
      </c>
      <c r="AC1581" s="2" t="s">
        <v>307</v>
      </c>
      <c r="AD1581" s="4">
        <v>30</v>
      </c>
      <c r="AE1581" s="4">
        <v>220</v>
      </c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100</v>
      </c>
      <c r="AW1581" s="8" t="s">
        <v>100</v>
      </c>
      <c r="AX1581" s="4" t="s">
        <v>100</v>
      </c>
      <c r="AY1581" s="8" t="s">
        <v>100</v>
      </c>
      <c r="AZ1581" s="7" t="s">
        <v>100</v>
      </c>
      <c r="BA1581" s="7" t="s">
        <v>100</v>
      </c>
      <c r="BB1581" s="7"/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/>
      <c r="BJ1581" s="4">
        <v>19</v>
      </c>
      <c r="BK1581" s="8">
        <v>655.58</v>
      </c>
      <c r="BL1581" s="2" t="s">
        <v>5784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171</v>
      </c>
      <c r="BV1581" s="2" t="s">
        <v>97</v>
      </c>
      <c r="BW1581" s="2" t="s">
        <v>100</v>
      </c>
      <c r="BX1581" s="2" t="s">
        <v>100</v>
      </c>
      <c r="BY1581" s="2" t="s">
        <v>112</v>
      </c>
      <c r="BZ1581" s="2" t="s">
        <v>100</v>
      </c>
    </row>
    <row r="1582">
      <c r="A1582" s="2" t="s">
        <v>5785</v>
      </c>
      <c r="B1582" s="2" t="s">
        <v>5155</v>
      </c>
      <c r="C1582" s="2" t="s">
        <v>88</v>
      </c>
      <c r="D1582" s="2" t="s">
        <v>89</v>
      </c>
      <c r="E1582" s="2" t="s">
        <v>887</v>
      </c>
      <c r="F1582" s="2" t="s">
        <v>5770</v>
      </c>
      <c r="G1582" s="2" t="s">
        <v>916</v>
      </c>
      <c r="H1582" s="2" t="s">
        <v>916</v>
      </c>
      <c r="I1582" s="2" t="s">
        <v>5771</v>
      </c>
      <c r="J1582" s="2" t="s">
        <v>522</v>
      </c>
      <c r="K1582" s="2" t="s">
        <v>96</v>
      </c>
      <c r="L1582" s="3">
        <v>43.2</v>
      </c>
      <c r="M1582" s="3">
        <v>45.36</v>
      </c>
      <c r="N1582" s="3">
        <v>89.99</v>
      </c>
      <c r="O1582" s="2" t="s">
        <v>97</v>
      </c>
      <c r="P1582" s="2" t="s">
        <v>139</v>
      </c>
      <c r="Q1582" s="2" t="s">
        <v>99</v>
      </c>
      <c r="R1582" s="2" t="s">
        <v>100</v>
      </c>
      <c r="S1582" s="2" t="s">
        <v>5782</v>
      </c>
      <c r="T1582" s="2" t="s">
        <v>5436</v>
      </c>
      <c r="U1582" s="2" t="s">
        <v>901</v>
      </c>
      <c r="V1582" s="2" t="s">
        <v>461</v>
      </c>
      <c r="W1582" s="2" t="s">
        <v>1136</v>
      </c>
      <c r="X1582" s="2" t="s">
        <v>142</v>
      </c>
      <c r="Y1582" s="2" t="s">
        <v>5783</v>
      </c>
      <c r="Z1582" s="4">
        <v>334</v>
      </c>
      <c r="AA1582" s="4">
        <f>=ROUNDDOWN(17.5789473684211,0)</f>
      </c>
      <c r="AB1582" s="5">
        <v>19</v>
      </c>
      <c r="AC1582" s="2" t="s">
        <v>307</v>
      </c>
      <c r="AD1582" s="4">
        <v>80</v>
      </c>
      <c r="AE1582" s="4">
        <v>370</v>
      </c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100</v>
      </c>
      <c r="AW1582" s="8" t="s">
        <v>100</v>
      </c>
      <c r="AX1582" s="4" t="s">
        <v>100</v>
      </c>
      <c r="AY1582" s="8" t="s">
        <v>100</v>
      </c>
      <c r="AZ1582" s="7" t="s">
        <v>100</v>
      </c>
      <c r="BA1582" s="7" t="s">
        <v>100</v>
      </c>
      <c r="BB1582" s="7"/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/>
      <c r="BJ1582" s="4">
        <v>40</v>
      </c>
      <c r="BK1582" s="8">
        <v>1822.46</v>
      </c>
      <c r="BL1582" s="2" t="s">
        <v>384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171</v>
      </c>
      <c r="BV1582" s="2" t="s">
        <v>97</v>
      </c>
      <c r="BW1582" s="2" t="s">
        <v>100</v>
      </c>
      <c r="BX1582" s="2" t="s">
        <v>100</v>
      </c>
      <c r="BY1582" s="2" t="s">
        <v>112</v>
      </c>
      <c r="BZ1582" s="2" t="s">
        <v>100</v>
      </c>
    </row>
    <row r="1583">
      <c r="A1583" s="2" t="s">
        <v>5786</v>
      </c>
      <c r="B1583" s="2" t="s">
        <v>5155</v>
      </c>
      <c r="C1583" s="2" t="s">
        <v>88</v>
      </c>
      <c r="D1583" s="2" t="s">
        <v>89</v>
      </c>
      <c r="E1583" s="2" t="s">
        <v>887</v>
      </c>
      <c r="F1583" s="2" t="s">
        <v>5770</v>
      </c>
      <c r="G1583" s="2" t="s">
        <v>916</v>
      </c>
      <c r="H1583" s="2" t="s">
        <v>916</v>
      </c>
      <c r="I1583" s="2" t="s">
        <v>5771</v>
      </c>
      <c r="J1583" s="2" t="s">
        <v>529</v>
      </c>
      <c r="K1583" s="2" t="s">
        <v>96</v>
      </c>
      <c r="L1583" s="3">
        <v>49</v>
      </c>
      <c r="M1583" s="3">
        <v>51.45</v>
      </c>
      <c r="N1583" s="3">
        <v>99.99</v>
      </c>
      <c r="O1583" s="2" t="s">
        <v>97</v>
      </c>
      <c r="P1583" s="2" t="s">
        <v>139</v>
      </c>
      <c r="Q1583" s="2" t="s">
        <v>99</v>
      </c>
      <c r="R1583" s="2" t="s">
        <v>100</v>
      </c>
      <c r="S1583" s="2" t="s">
        <v>5782</v>
      </c>
      <c r="T1583" s="2" t="s">
        <v>5436</v>
      </c>
      <c r="U1583" s="2" t="s">
        <v>901</v>
      </c>
      <c r="V1583" s="2" t="s">
        <v>461</v>
      </c>
      <c r="W1583" s="2" t="s">
        <v>1136</v>
      </c>
      <c r="X1583" s="2" t="s">
        <v>142</v>
      </c>
      <c r="Y1583" s="2" t="s">
        <v>5783</v>
      </c>
      <c r="Z1583" s="4">
        <v>260</v>
      </c>
      <c r="AA1583" s="4">
        <f>=ROUNDDOWN(14.4444444444444,0)</f>
      </c>
      <c r="AB1583" s="5">
        <v>18</v>
      </c>
      <c r="AC1583" s="2" t="s">
        <v>307</v>
      </c>
      <c r="AD1583" s="4">
        <v>150</v>
      </c>
      <c r="AE1583" s="4">
        <v>480</v>
      </c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100</v>
      </c>
      <c r="AW1583" s="8" t="s">
        <v>100</v>
      </c>
      <c r="AX1583" s="4" t="s">
        <v>100</v>
      </c>
      <c r="AY1583" s="8" t="s">
        <v>100</v>
      </c>
      <c r="AZ1583" s="7" t="s">
        <v>100</v>
      </c>
      <c r="BA1583" s="7" t="s">
        <v>100</v>
      </c>
      <c r="BB1583" s="7"/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/>
      <c r="BJ1583" s="4">
        <v>34</v>
      </c>
      <c r="BK1583" s="8">
        <v>1768.75</v>
      </c>
      <c r="BL1583" s="2" t="s">
        <v>5787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171</v>
      </c>
      <c r="BV1583" s="2" t="s">
        <v>97</v>
      </c>
      <c r="BW1583" s="2" t="s">
        <v>100</v>
      </c>
      <c r="BX1583" s="2" t="s">
        <v>100</v>
      </c>
      <c r="BY1583" s="2" t="s">
        <v>112</v>
      </c>
      <c r="BZ1583" s="2" t="s">
        <v>100</v>
      </c>
    </row>
    <row r="1584">
      <c r="A1584" s="2" t="s">
        <v>5788</v>
      </c>
      <c r="B1584" s="2" t="s">
        <v>5155</v>
      </c>
      <c r="C1584" s="2" t="s">
        <v>88</v>
      </c>
      <c r="D1584" s="2" t="s">
        <v>89</v>
      </c>
      <c r="E1584" s="2" t="s">
        <v>887</v>
      </c>
      <c r="F1584" s="2" t="s">
        <v>5789</v>
      </c>
      <c r="G1584" s="2" t="s">
        <v>3841</v>
      </c>
      <c r="H1584" s="2" t="s">
        <v>3841</v>
      </c>
      <c r="I1584" s="2" t="s">
        <v>5790</v>
      </c>
      <c r="J1584" s="2" t="s">
        <v>1443</v>
      </c>
      <c r="K1584" s="2" t="s">
        <v>3022</v>
      </c>
      <c r="L1584" s="3">
        <v>26.28</v>
      </c>
      <c r="M1584" s="3">
        <v>27.59</v>
      </c>
      <c r="N1584" s="3">
        <v>59.99</v>
      </c>
      <c r="O1584" s="2" t="s">
        <v>97</v>
      </c>
      <c r="P1584" s="2" t="s">
        <v>98</v>
      </c>
      <c r="Q1584" s="2" t="s">
        <v>99</v>
      </c>
      <c r="R1584" s="2" t="s">
        <v>100</v>
      </c>
      <c r="S1584" s="2" t="s">
        <v>5791</v>
      </c>
      <c r="T1584" s="2" t="s">
        <v>5327</v>
      </c>
      <c r="U1584" s="2" t="s">
        <v>894</v>
      </c>
      <c r="V1584" s="2" t="s">
        <v>367</v>
      </c>
      <c r="W1584" s="2" t="s">
        <v>594</v>
      </c>
      <c r="X1584" s="2" t="s">
        <v>525</v>
      </c>
      <c r="Y1584" s="2" t="s">
        <v>5792</v>
      </c>
      <c r="Z1584" s="4">
        <v>58</v>
      </c>
      <c r="AA1584" s="4">
        <f>=ROUNDDOWN(58,0)</f>
      </c>
      <c r="AB1584" s="5">
        <v>1</v>
      </c>
      <c r="AC1584" s="2" t="s">
        <v>3033</v>
      </c>
      <c r="AD1584" s="4">
        <v>40</v>
      </c>
      <c r="AE1584" s="4">
        <v>40</v>
      </c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100</v>
      </c>
      <c r="AW1584" s="8" t="s">
        <v>100</v>
      </c>
      <c r="AX1584" s="4" t="s">
        <v>100</v>
      </c>
      <c r="AY1584" s="8" t="s">
        <v>100</v>
      </c>
      <c r="AZ1584" s="7" t="s">
        <v>100</v>
      </c>
      <c r="BA1584" s="7" t="s">
        <v>100</v>
      </c>
      <c r="BB1584" s="7"/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/>
      <c r="BJ1584" s="4">
        <v>3</v>
      </c>
      <c r="BK1584" s="8">
        <v>78.63</v>
      </c>
      <c r="BL1584" s="2" t="s">
        <v>2763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171</v>
      </c>
      <c r="BV1584" s="2" t="s">
        <v>97</v>
      </c>
      <c r="BW1584" s="2" t="s">
        <v>100</v>
      </c>
      <c r="BX1584" s="2" t="s">
        <v>100</v>
      </c>
      <c r="BY1584" s="2" t="s">
        <v>112</v>
      </c>
      <c r="BZ1584" s="2" t="s">
        <v>100</v>
      </c>
    </row>
    <row r="1585">
      <c r="A1585" s="2" t="s">
        <v>5793</v>
      </c>
      <c r="B1585" s="2" t="s">
        <v>5155</v>
      </c>
      <c r="C1585" s="2" t="s">
        <v>88</v>
      </c>
      <c r="D1585" s="2" t="s">
        <v>89</v>
      </c>
      <c r="E1585" s="2" t="s">
        <v>887</v>
      </c>
      <c r="F1585" s="2" t="s">
        <v>5789</v>
      </c>
      <c r="G1585" s="2" t="s">
        <v>3841</v>
      </c>
      <c r="H1585" s="2" t="s">
        <v>3841</v>
      </c>
      <c r="I1585" s="2" t="s">
        <v>5790</v>
      </c>
      <c r="J1585" s="2" t="s">
        <v>522</v>
      </c>
      <c r="K1585" s="2" t="s">
        <v>3022</v>
      </c>
      <c r="L1585" s="3">
        <v>33.33</v>
      </c>
      <c r="M1585" s="3">
        <v>35</v>
      </c>
      <c r="N1585" s="3">
        <v>69.99</v>
      </c>
      <c r="O1585" s="2" t="s">
        <v>97</v>
      </c>
      <c r="P1585" s="2" t="s">
        <v>98</v>
      </c>
      <c r="Q1585" s="2" t="s">
        <v>99</v>
      </c>
      <c r="R1585" s="2" t="s">
        <v>100</v>
      </c>
      <c r="S1585" s="2" t="s">
        <v>5791</v>
      </c>
      <c r="T1585" s="2" t="s">
        <v>5327</v>
      </c>
      <c r="U1585" s="2" t="s">
        <v>901</v>
      </c>
      <c r="V1585" s="2" t="s">
        <v>367</v>
      </c>
      <c r="W1585" s="2" t="s">
        <v>594</v>
      </c>
      <c r="X1585" s="2" t="s">
        <v>525</v>
      </c>
      <c r="Y1585" s="2" t="s">
        <v>5792</v>
      </c>
      <c r="Z1585" s="4">
        <v>57</v>
      </c>
      <c r="AA1585" s="4">
        <f>=ROUNDDOWN(11.4,0)</f>
      </c>
      <c r="AB1585" s="5">
        <v>5</v>
      </c>
      <c r="AC1585" s="2" t="s">
        <v>3033</v>
      </c>
      <c r="AD1585" s="4">
        <v>60</v>
      </c>
      <c r="AE1585" s="4">
        <v>60</v>
      </c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100</v>
      </c>
      <c r="AW1585" s="8" t="s">
        <v>100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/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/>
      <c r="BJ1585" s="4">
        <v>13</v>
      </c>
      <c r="BK1585" s="8">
        <v>438.04</v>
      </c>
      <c r="BL1585" s="2" t="s">
        <v>2053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171</v>
      </c>
      <c r="BV1585" s="2" t="s">
        <v>97</v>
      </c>
      <c r="BW1585" s="2" t="s">
        <v>100</v>
      </c>
      <c r="BX1585" s="2" t="s">
        <v>100</v>
      </c>
      <c r="BY1585" s="2" t="s">
        <v>112</v>
      </c>
      <c r="BZ1585" s="2" t="s">
        <v>100</v>
      </c>
    </row>
    <row r="1586">
      <c r="A1586" s="2" t="s">
        <v>5794</v>
      </c>
      <c r="B1586" s="2" t="s">
        <v>5155</v>
      </c>
      <c r="C1586" s="2" t="s">
        <v>88</v>
      </c>
      <c r="D1586" s="2" t="s">
        <v>89</v>
      </c>
      <c r="E1586" s="2" t="s">
        <v>887</v>
      </c>
      <c r="F1586" s="2" t="s">
        <v>5789</v>
      </c>
      <c r="G1586" s="2" t="s">
        <v>3841</v>
      </c>
      <c r="H1586" s="2" t="s">
        <v>3841</v>
      </c>
      <c r="I1586" s="2" t="s">
        <v>5790</v>
      </c>
      <c r="J1586" s="2" t="s">
        <v>529</v>
      </c>
      <c r="K1586" s="2" t="s">
        <v>3022</v>
      </c>
      <c r="L1586" s="3">
        <v>38.09</v>
      </c>
      <c r="M1586" s="3">
        <v>39.99</v>
      </c>
      <c r="N1586" s="3">
        <v>79.99</v>
      </c>
      <c r="O1586" s="2" t="s">
        <v>97</v>
      </c>
      <c r="P1586" s="2" t="s">
        <v>98</v>
      </c>
      <c r="Q1586" s="2" t="s">
        <v>99</v>
      </c>
      <c r="R1586" s="2" t="s">
        <v>100</v>
      </c>
      <c r="S1586" s="2" t="s">
        <v>5791</v>
      </c>
      <c r="T1586" s="2" t="s">
        <v>5327</v>
      </c>
      <c r="U1586" s="2" t="s">
        <v>901</v>
      </c>
      <c r="V1586" s="2" t="s">
        <v>367</v>
      </c>
      <c r="W1586" s="2" t="s">
        <v>594</v>
      </c>
      <c r="X1586" s="2" t="s">
        <v>525</v>
      </c>
      <c r="Y1586" s="2" t="s">
        <v>5792</v>
      </c>
      <c r="Z1586" s="4">
        <v>3</v>
      </c>
      <c r="AA1586" s="4">
        <f>=ROUNDDOWN(0.6,0)</f>
      </c>
      <c r="AB1586" s="5">
        <v>5</v>
      </c>
      <c r="AC1586" s="2" t="s">
        <v>1142</v>
      </c>
      <c r="AD1586" s="4">
        <v>50</v>
      </c>
      <c r="AE1586" s="4">
        <v>140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100</v>
      </c>
      <c r="AW1586" s="8" t="s">
        <v>100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/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/>
      <c r="BJ1586" s="4">
        <v>20</v>
      </c>
      <c r="BK1586" s="8">
        <v>811.21</v>
      </c>
      <c r="BL1586" s="2" t="s">
        <v>3056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171</v>
      </c>
      <c r="BV1586" s="2" t="s">
        <v>97</v>
      </c>
      <c r="BW1586" s="2" t="s">
        <v>100</v>
      </c>
      <c r="BX1586" s="2" t="s">
        <v>100</v>
      </c>
      <c r="BY1586" s="2" t="s">
        <v>112</v>
      </c>
      <c r="BZ1586" s="2" t="s">
        <v>100</v>
      </c>
    </row>
    <row r="1587">
      <c r="A1587" s="2" t="s">
        <v>5795</v>
      </c>
      <c r="B1587" s="2" t="s">
        <v>5155</v>
      </c>
      <c r="C1587" s="2" t="s">
        <v>88</v>
      </c>
      <c r="D1587" s="2" t="s">
        <v>89</v>
      </c>
      <c r="E1587" s="2" t="s">
        <v>887</v>
      </c>
      <c r="F1587" s="2" t="s">
        <v>2154</v>
      </c>
      <c r="G1587" s="2" t="s">
        <v>5796</v>
      </c>
      <c r="H1587" s="2" t="s">
        <v>5796</v>
      </c>
      <c r="I1587" s="2" t="s">
        <v>5797</v>
      </c>
      <c r="J1587" s="2" t="s">
        <v>522</v>
      </c>
      <c r="K1587" s="2" t="s">
        <v>138</v>
      </c>
      <c r="L1587" s="3">
        <v>50.6</v>
      </c>
      <c r="M1587" s="3">
        <v>53.13</v>
      </c>
      <c r="N1587" s="3">
        <v>109.99</v>
      </c>
      <c r="O1587" s="2" t="s">
        <v>97</v>
      </c>
      <c r="P1587" s="2" t="s">
        <v>98</v>
      </c>
      <c r="Q1587" s="2" t="s">
        <v>99</v>
      </c>
      <c r="R1587" s="2" t="s">
        <v>100</v>
      </c>
      <c r="S1587" s="2" t="s">
        <v>5798</v>
      </c>
      <c r="T1587" s="2" t="s">
        <v>4296</v>
      </c>
      <c r="U1587" s="2" t="s">
        <v>100</v>
      </c>
      <c r="V1587" s="2" t="s">
        <v>461</v>
      </c>
      <c r="W1587" s="2" t="s">
        <v>609</v>
      </c>
      <c r="X1587" s="2" t="s">
        <v>1147</v>
      </c>
      <c r="Y1587" s="2" t="s">
        <v>144</v>
      </c>
      <c r="Z1587" s="4"/>
      <c r="AA1587" s="4">
        <f>=ROUNDDOWN({0},0)</f>
      </c>
      <c r="AB1587" s="5">
        <v>11</v>
      </c>
      <c r="AC1587" s="2" t="s">
        <v>1142</v>
      </c>
      <c r="AD1587" s="4">
        <v>130</v>
      </c>
      <c r="AE1587" s="4">
        <v>330</v>
      </c>
      <c r="AF1587" s="6">
        <v>65</v>
      </c>
      <c r="AG1587" s="6"/>
      <c r="AH1587" s="7">
        <v>0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100</v>
      </c>
      <c r="AW1587" s="8" t="s">
        <v>100</v>
      </c>
      <c r="AX1587" s="4" t="s">
        <v>100</v>
      </c>
      <c r="AY1587" s="8" t="s">
        <v>100</v>
      </c>
      <c r="AZ1587" s="7" t="s">
        <v>100</v>
      </c>
      <c r="BA1587" s="7" t="s">
        <v>100</v>
      </c>
      <c r="BB1587" s="7"/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/>
      <c r="BJ1587" s="4">
        <v>2</v>
      </c>
      <c r="BK1587" s="8">
        <v>106.24</v>
      </c>
      <c r="BL1587" s="2" t="s">
        <v>3477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109</v>
      </c>
      <c r="BV1587" s="2" t="s">
        <v>97</v>
      </c>
      <c r="BW1587" s="2" t="s">
        <v>4107</v>
      </c>
      <c r="BX1587" s="2" t="s">
        <v>2179</v>
      </c>
      <c r="BY1587" s="2" t="s">
        <v>112</v>
      </c>
      <c r="BZ1587" s="2" t="s">
        <v>100</v>
      </c>
    </row>
    <row r="1588">
      <c r="A1588" s="2" t="s">
        <v>5799</v>
      </c>
      <c r="B1588" s="2" t="s">
        <v>5155</v>
      </c>
      <c r="C1588" s="2" t="s">
        <v>88</v>
      </c>
      <c r="D1588" s="2" t="s">
        <v>89</v>
      </c>
      <c r="E1588" s="2" t="s">
        <v>887</v>
      </c>
      <c r="F1588" s="2" t="s">
        <v>2154</v>
      </c>
      <c r="G1588" s="2" t="s">
        <v>5796</v>
      </c>
      <c r="H1588" s="2" t="s">
        <v>5796</v>
      </c>
      <c r="I1588" s="2" t="s">
        <v>5797</v>
      </c>
      <c r="J1588" s="2" t="s">
        <v>529</v>
      </c>
      <c r="K1588" s="2" t="s">
        <v>138</v>
      </c>
      <c r="L1588" s="3">
        <v>55.2</v>
      </c>
      <c r="M1588" s="3">
        <v>57.96</v>
      </c>
      <c r="N1588" s="3">
        <v>119.99</v>
      </c>
      <c r="O1588" s="2" t="s">
        <v>97</v>
      </c>
      <c r="P1588" s="2" t="s">
        <v>98</v>
      </c>
      <c r="Q1588" s="2" t="s">
        <v>99</v>
      </c>
      <c r="R1588" s="2" t="s">
        <v>100</v>
      </c>
      <c r="S1588" s="2" t="s">
        <v>5798</v>
      </c>
      <c r="T1588" s="2" t="s">
        <v>4296</v>
      </c>
      <c r="U1588" s="2" t="s">
        <v>100</v>
      </c>
      <c r="V1588" s="2" t="s">
        <v>461</v>
      </c>
      <c r="W1588" s="2" t="s">
        <v>609</v>
      </c>
      <c r="X1588" s="2" t="s">
        <v>1147</v>
      </c>
      <c r="Y1588" s="2" t="s">
        <v>144</v>
      </c>
      <c r="Z1588" s="4"/>
      <c r="AA1588" s="4">
        <f>=ROUNDDOWN({0},0)</f>
      </c>
      <c r="AB1588" s="5">
        <v>16</v>
      </c>
      <c r="AC1588" s="2" t="s">
        <v>1142</v>
      </c>
      <c r="AD1588" s="4">
        <v>200</v>
      </c>
      <c r="AE1588" s="4">
        <v>510</v>
      </c>
      <c r="AF1588" s="6">
        <v>65</v>
      </c>
      <c r="AG1588" s="6"/>
      <c r="AH1588" s="7">
        <v>0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100</v>
      </c>
      <c r="AW1588" s="8" t="s">
        <v>100</v>
      </c>
      <c r="AX1588" s="4" t="s">
        <v>100</v>
      </c>
      <c r="AY1588" s="8" t="s">
        <v>100</v>
      </c>
      <c r="AZ1588" s="7" t="s">
        <v>100</v>
      </c>
      <c r="BA1588" s="7" t="s">
        <v>100</v>
      </c>
      <c r="BB1588" s="7"/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/>
      <c r="BJ1588" s="4">
        <v>1</v>
      </c>
      <c r="BK1588" s="8">
        <v>57.95</v>
      </c>
      <c r="BL1588" s="2" t="s">
        <v>3477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109</v>
      </c>
      <c r="BV1588" s="2" t="s">
        <v>97</v>
      </c>
      <c r="BW1588" s="2" t="s">
        <v>4107</v>
      </c>
      <c r="BX1588" s="2" t="s">
        <v>5800</v>
      </c>
      <c r="BY1588" s="2" t="s">
        <v>112</v>
      </c>
      <c r="BZ1588" s="2" t="s">
        <v>100</v>
      </c>
    </row>
    <row r="1589">
      <c r="A1589" s="2" t="s">
        <v>5801</v>
      </c>
      <c r="B1589" s="2" t="s">
        <v>5155</v>
      </c>
      <c r="C1589" s="2" t="s">
        <v>88</v>
      </c>
      <c r="D1589" s="2" t="s">
        <v>89</v>
      </c>
      <c r="E1589" s="2" t="s">
        <v>887</v>
      </c>
      <c r="F1589" s="2" t="s">
        <v>2154</v>
      </c>
      <c r="G1589" s="2" t="s">
        <v>5796</v>
      </c>
      <c r="H1589" s="2" t="s">
        <v>5796</v>
      </c>
      <c r="I1589" s="2" t="s">
        <v>5797</v>
      </c>
      <c r="J1589" s="2" t="s">
        <v>522</v>
      </c>
      <c r="K1589" s="2" t="s">
        <v>96</v>
      </c>
      <c r="L1589" s="3">
        <v>50.6</v>
      </c>
      <c r="M1589" s="3">
        <v>53.13</v>
      </c>
      <c r="N1589" s="3">
        <v>109.99</v>
      </c>
      <c r="O1589" s="2" t="s">
        <v>97</v>
      </c>
      <c r="P1589" s="2" t="s">
        <v>98</v>
      </c>
      <c r="Q1589" s="2" t="s">
        <v>99</v>
      </c>
      <c r="R1589" s="2" t="s">
        <v>100</v>
      </c>
      <c r="S1589" s="2" t="s">
        <v>5802</v>
      </c>
      <c r="T1589" s="2" t="s">
        <v>4296</v>
      </c>
      <c r="U1589" s="2" t="s">
        <v>100</v>
      </c>
      <c r="V1589" s="2" t="s">
        <v>461</v>
      </c>
      <c r="W1589" s="2" t="s">
        <v>609</v>
      </c>
      <c r="X1589" s="2" t="s">
        <v>1147</v>
      </c>
      <c r="Y1589" s="2" t="s">
        <v>144</v>
      </c>
      <c r="Z1589" s="4">
        <v>2</v>
      </c>
      <c r="AA1589" s="4">
        <f>=ROUNDDOWN(0.125,0)</f>
      </c>
      <c r="AB1589" s="5">
        <v>16</v>
      </c>
      <c r="AC1589" s="2" t="s">
        <v>1142</v>
      </c>
      <c r="AD1589" s="4">
        <v>210</v>
      </c>
      <c r="AE1589" s="4">
        <v>520</v>
      </c>
      <c r="AF1589" s="6">
        <v>65</v>
      </c>
      <c r="AG1589" s="6"/>
      <c r="AH1589" s="7">
        <v>0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 t="s">
        <v>100</v>
      </c>
      <c r="AW1589" s="8" t="s">
        <v>100</v>
      </c>
      <c r="AX1589" s="4" t="s">
        <v>100</v>
      </c>
      <c r="AY1589" s="8" t="s">
        <v>100</v>
      </c>
      <c r="AZ1589" s="7" t="s">
        <v>100</v>
      </c>
      <c r="BA1589" s="7" t="s">
        <v>100</v>
      </c>
      <c r="BB1589" s="7"/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/>
      <c r="BJ1589" s="4"/>
      <c r="BK1589" s="8"/>
      <c r="BL1589" s="2" t="s">
        <v>100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4107</v>
      </c>
      <c r="BX1589" s="2" t="s">
        <v>5803</v>
      </c>
      <c r="BY1589" s="2" t="s">
        <v>112</v>
      </c>
      <c r="BZ1589" s="2" t="s">
        <v>100</v>
      </c>
    </row>
    <row r="1590">
      <c r="A1590" s="2" t="s">
        <v>5804</v>
      </c>
      <c r="B1590" s="2" t="s">
        <v>5155</v>
      </c>
      <c r="C1590" s="2" t="s">
        <v>88</v>
      </c>
      <c r="D1590" s="2" t="s">
        <v>89</v>
      </c>
      <c r="E1590" s="2" t="s">
        <v>887</v>
      </c>
      <c r="F1590" s="2" t="s">
        <v>2154</v>
      </c>
      <c r="G1590" s="2" t="s">
        <v>5796</v>
      </c>
      <c r="H1590" s="2" t="s">
        <v>5796</v>
      </c>
      <c r="I1590" s="2" t="s">
        <v>5797</v>
      </c>
      <c r="J1590" s="2" t="s">
        <v>529</v>
      </c>
      <c r="K1590" s="2" t="s">
        <v>96</v>
      </c>
      <c r="L1590" s="3">
        <v>55.2</v>
      </c>
      <c r="M1590" s="3">
        <v>57.96</v>
      </c>
      <c r="N1590" s="3">
        <v>119.99</v>
      </c>
      <c r="O1590" s="2" t="s">
        <v>97</v>
      </c>
      <c r="P1590" s="2" t="s">
        <v>98</v>
      </c>
      <c r="Q1590" s="2" t="s">
        <v>99</v>
      </c>
      <c r="R1590" s="2" t="s">
        <v>100</v>
      </c>
      <c r="S1590" s="2" t="s">
        <v>5802</v>
      </c>
      <c r="T1590" s="2" t="s">
        <v>4296</v>
      </c>
      <c r="U1590" s="2" t="s">
        <v>100</v>
      </c>
      <c r="V1590" s="2" t="s">
        <v>461</v>
      </c>
      <c r="W1590" s="2" t="s">
        <v>609</v>
      </c>
      <c r="X1590" s="2" t="s">
        <v>1147</v>
      </c>
      <c r="Y1590" s="2" t="s">
        <v>144</v>
      </c>
      <c r="Z1590" s="4"/>
      <c r="AA1590" s="4">
        <f>=ROUNDDOWN({0},0)</f>
      </c>
      <c r="AB1590" s="5">
        <v>22</v>
      </c>
      <c r="AC1590" s="2" t="s">
        <v>1142</v>
      </c>
      <c r="AD1590" s="4">
        <v>270</v>
      </c>
      <c r="AE1590" s="4">
        <v>700</v>
      </c>
      <c r="AF1590" s="6">
        <v>65</v>
      </c>
      <c r="AG1590" s="6"/>
      <c r="AH1590" s="7">
        <v>0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100</v>
      </c>
      <c r="AW1590" s="8" t="s">
        <v>100</v>
      </c>
      <c r="AX1590" s="4" t="s">
        <v>100</v>
      </c>
      <c r="AY1590" s="8" t="s">
        <v>100</v>
      </c>
      <c r="AZ1590" s="7" t="s">
        <v>100</v>
      </c>
      <c r="BA1590" s="7" t="s">
        <v>100</v>
      </c>
      <c r="BB1590" s="7"/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/>
      <c r="BJ1590" s="4">
        <v>1</v>
      </c>
      <c r="BK1590" s="8">
        <v>57.95</v>
      </c>
      <c r="BL1590" s="2" t="s">
        <v>3477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4107</v>
      </c>
      <c r="BX1590" s="2" t="s">
        <v>1812</v>
      </c>
      <c r="BY1590" s="2" t="s">
        <v>112</v>
      </c>
      <c r="BZ1590" s="2" t="s">
        <v>100</v>
      </c>
    </row>
    <row r="1591">
      <c r="A1591" s="2" t="s">
        <v>5805</v>
      </c>
      <c r="B1591" s="2" t="s">
        <v>5155</v>
      </c>
      <c r="C1591" s="2" t="s">
        <v>88</v>
      </c>
      <c r="D1591" s="2" t="s">
        <v>89</v>
      </c>
      <c r="E1591" s="2" t="s">
        <v>887</v>
      </c>
      <c r="F1591" s="2" t="s">
        <v>2154</v>
      </c>
      <c r="G1591" s="2" t="s">
        <v>5796</v>
      </c>
      <c r="H1591" s="2" t="s">
        <v>5796</v>
      </c>
      <c r="I1591" s="2" t="s">
        <v>5797</v>
      </c>
      <c r="J1591" s="2" t="s">
        <v>522</v>
      </c>
      <c r="K1591" s="2" t="s">
        <v>223</v>
      </c>
      <c r="L1591" s="3">
        <v>50.6</v>
      </c>
      <c r="M1591" s="3">
        <v>53.13</v>
      </c>
      <c r="N1591" s="3">
        <v>109.99</v>
      </c>
      <c r="O1591" s="2" t="s">
        <v>97</v>
      </c>
      <c r="P1591" s="2" t="s">
        <v>98</v>
      </c>
      <c r="Q1591" s="2" t="s">
        <v>99</v>
      </c>
      <c r="R1591" s="2" t="s">
        <v>100</v>
      </c>
      <c r="S1591" s="2" t="s">
        <v>5806</v>
      </c>
      <c r="T1591" s="2" t="s">
        <v>4296</v>
      </c>
      <c r="U1591" s="2" t="s">
        <v>100</v>
      </c>
      <c r="V1591" s="2" t="s">
        <v>461</v>
      </c>
      <c r="W1591" s="2" t="s">
        <v>609</v>
      </c>
      <c r="X1591" s="2" t="s">
        <v>1147</v>
      </c>
      <c r="Y1591" s="2" t="s">
        <v>144</v>
      </c>
      <c r="Z1591" s="4"/>
      <c r="AA1591" s="4">
        <f>=ROUNDDOWN({0},0)</f>
      </c>
      <c r="AB1591" s="5">
        <v>12</v>
      </c>
      <c r="AC1591" s="2" t="s">
        <v>1142</v>
      </c>
      <c r="AD1591" s="4">
        <v>160</v>
      </c>
      <c r="AE1591" s="4">
        <v>400</v>
      </c>
      <c r="AF1591" s="6">
        <v>65</v>
      </c>
      <c r="AG1591" s="6"/>
      <c r="AH1591" s="7">
        <v>0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100</v>
      </c>
      <c r="AW1591" s="8" t="s">
        <v>100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/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/>
      <c r="BJ1591" s="4">
        <v>2</v>
      </c>
      <c r="BK1591" s="8">
        <v>106.24</v>
      </c>
      <c r="BL1591" s="2" t="s">
        <v>3477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4107</v>
      </c>
      <c r="BX1591" s="2" t="s">
        <v>5807</v>
      </c>
      <c r="BY1591" s="2" t="s">
        <v>112</v>
      </c>
      <c r="BZ1591" s="2" t="s">
        <v>100</v>
      </c>
    </row>
    <row r="1592">
      <c r="A1592" s="2" t="s">
        <v>5808</v>
      </c>
      <c r="B1592" s="2" t="s">
        <v>5155</v>
      </c>
      <c r="C1592" s="2" t="s">
        <v>88</v>
      </c>
      <c r="D1592" s="2" t="s">
        <v>89</v>
      </c>
      <c r="E1592" s="2" t="s">
        <v>887</v>
      </c>
      <c r="F1592" s="2" t="s">
        <v>2154</v>
      </c>
      <c r="G1592" s="2" t="s">
        <v>5796</v>
      </c>
      <c r="H1592" s="2" t="s">
        <v>5796</v>
      </c>
      <c r="I1592" s="2" t="s">
        <v>5797</v>
      </c>
      <c r="J1592" s="2" t="s">
        <v>529</v>
      </c>
      <c r="K1592" s="2" t="s">
        <v>223</v>
      </c>
      <c r="L1592" s="3">
        <v>55.2</v>
      </c>
      <c r="M1592" s="3">
        <v>57.96</v>
      </c>
      <c r="N1592" s="3">
        <v>119.99</v>
      </c>
      <c r="O1592" s="2" t="s">
        <v>97</v>
      </c>
      <c r="P1592" s="2" t="s">
        <v>98</v>
      </c>
      <c r="Q1592" s="2" t="s">
        <v>99</v>
      </c>
      <c r="R1592" s="2" t="s">
        <v>100</v>
      </c>
      <c r="S1592" s="2" t="s">
        <v>5806</v>
      </c>
      <c r="T1592" s="2" t="s">
        <v>4296</v>
      </c>
      <c r="U1592" s="2" t="s">
        <v>100</v>
      </c>
      <c r="V1592" s="2" t="s">
        <v>461</v>
      </c>
      <c r="W1592" s="2" t="s">
        <v>609</v>
      </c>
      <c r="X1592" s="2" t="s">
        <v>1147</v>
      </c>
      <c r="Y1592" s="2" t="s">
        <v>144</v>
      </c>
      <c r="Z1592" s="4">
        <v>1</v>
      </c>
      <c r="AA1592" s="4">
        <f>=ROUNDDOWN(0.0833333333333333,0)</f>
      </c>
      <c r="AB1592" s="5">
        <v>12</v>
      </c>
      <c r="AC1592" s="2" t="s">
        <v>1142</v>
      </c>
      <c r="AD1592" s="4">
        <v>160</v>
      </c>
      <c r="AE1592" s="4">
        <v>410</v>
      </c>
      <c r="AF1592" s="6">
        <v>65</v>
      </c>
      <c r="AG1592" s="6"/>
      <c r="AH1592" s="7">
        <v>0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100</v>
      </c>
      <c r="AW1592" s="8" t="s">
        <v>100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/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/>
      <c r="BJ1592" s="4"/>
      <c r="BK1592" s="8"/>
      <c r="BL1592" s="2" t="s">
        <v>100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4107</v>
      </c>
      <c r="BX1592" s="2" t="s">
        <v>2179</v>
      </c>
      <c r="BY1592" s="2" t="s">
        <v>112</v>
      </c>
      <c r="BZ1592" s="2" t="s">
        <v>100</v>
      </c>
    </row>
    <row r="1593">
      <c r="A1593" s="2" t="s">
        <v>5809</v>
      </c>
      <c r="B1593" s="2" t="s">
        <v>5155</v>
      </c>
      <c r="C1593" s="2" t="s">
        <v>88</v>
      </c>
      <c r="D1593" s="2" t="s">
        <v>89</v>
      </c>
      <c r="E1593" s="2" t="s">
        <v>90</v>
      </c>
      <c r="F1593" s="2" t="s">
        <v>5460</v>
      </c>
      <c r="G1593" s="2" t="s">
        <v>5461</v>
      </c>
      <c r="H1593" s="2" t="s">
        <v>5461</v>
      </c>
      <c r="I1593" s="2" t="s">
        <v>5810</v>
      </c>
      <c r="J1593" s="2" t="s">
        <v>522</v>
      </c>
      <c r="K1593" s="2" t="s">
        <v>96</v>
      </c>
      <c r="L1593" s="3">
        <v>49.68</v>
      </c>
      <c r="M1593" s="3">
        <v>52.16</v>
      </c>
      <c r="N1593" s="3">
        <v>109.99</v>
      </c>
      <c r="O1593" s="2" t="s">
        <v>97</v>
      </c>
      <c r="P1593" s="2" t="s">
        <v>156</v>
      </c>
      <c r="Q1593" s="2" t="s">
        <v>99</v>
      </c>
      <c r="R1593" s="2" t="s">
        <v>100</v>
      </c>
      <c r="S1593" s="2" t="s">
        <v>5811</v>
      </c>
      <c r="T1593" s="2" t="s">
        <v>5436</v>
      </c>
      <c r="U1593" s="2" t="s">
        <v>100</v>
      </c>
      <c r="V1593" s="2" t="s">
        <v>2510</v>
      </c>
      <c r="W1593" s="2" t="s">
        <v>1136</v>
      </c>
      <c r="X1593" s="2" t="s">
        <v>1875</v>
      </c>
      <c r="Y1593" s="2" t="s">
        <v>144</v>
      </c>
      <c r="Z1593" s="4">
        <v>118</v>
      </c>
      <c r="AA1593" s="4">
        <f>=ROUNDDOWN(13.1111111111111,0)</f>
      </c>
      <c r="AB1593" s="5">
        <v>9</v>
      </c>
      <c r="AC1593" s="2" t="s">
        <v>307</v>
      </c>
      <c r="AD1593" s="4">
        <v>130</v>
      </c>
      <c r="AE1593" s="4">
        <v>210</v>
      </c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>
        <v>1</v>
      </c>
      <c r="AW1593" s="8">
        <v>53.87</v>
      </c>
      <c r="AX1593" s="4" t="s">
        <v>100</v>
      </c>
      <c r="AY1593" s="8" t="s">
        <v>100</v>
      </c>
      <c r="AZ1593" s="7" t="s">
        <v>100</v>
      </c>
      <c r="BA1593" s="7" t="s">
        <v>100</v>
      </c>
      <c r="BB1593" s="7"/>
      <c r="BC1593" s="4">
        <v>1</v>
      </c>
      <c r="BD1593" s="8">
        <v>53.87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>
        <v>1</v>
      </c>
      <c r="BJ1593" s="4">
        <v>29</v>
      </c>
      <c r="BK1593" s="8">
        <v>1528.37</v>
      </c>
      <c r="BL1593" s="2" t="s">
        <v>5812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109</v>
      </c>
      <c r="BV1593" s="2" t="s">
        <v>97</v>
      </c>
      <c r="BW1593" s="2" t="s">
        <v>4107</v>
      </c>
      <c r="BX1593" s="2" t="s">
        <v>5813</v>
      </c>
      <c r="BY1593" s="2" t="s">
        <v>112</v>
      </c>
      <c r="BZ1593" s="2" t="s">
        <v>100</v>
      </c>
    </row>
    <row r="1594">
      <c r="A1594" s="2" t="s">
        <v>5814</v>
      </c>
      <c r="B1594" s="2" t="s">
        <v>5155</v>
      </c>
      <c r="C1594" s="2" t="s">
        <v>88</v>
      </c>
      <c r="D1594" s="2" t="s">
        <v>89</v>
      </c>
      <c r="E1594" s="2" t="s">
        <v>90</v>
      </c>
      <c r="F1594" s="2" t="s">
        <v>5460</v>
      </c>
      <c r="G1594" s="2" t="s">
        <v>5461</v>
      </c>
      <c r="H1594" s="2" t="s">
        <v>5461</v>
      </c>
      <c r="I1594" s="2" t="s">
        <v>5810</v>
      </c>
      <c r="J1594" s="2" t="s">
        <v>114</v>
      </c>
      <c r="K1594" s="2" t="s">
        <v>96</v>
      </c>
      <c r="L1594" s="3">
        <v>57.13</v>
      </c>
      <c r="M1594" s="3">
        <v>59.99</v>
      </c>
      <c r="N1594" s="3">
        <v>124.99</v>
      </c>
      <c r="O1594" s="2" t="s">
        <v>97</v>
      </c>
      <c r="P1594" s="2" t="s">
        <v>156</v>
      </c>
      <c r="Q1594" s="2" t="s">
        <v>99</v>
      </c>
      <c r="R1594" s="2" t="s">
        <v>100</v>
      </c>
      <c r="S1594" s="2" t="s">
        <v>5811</v>
      </c>
      <c r="T1594" s="2" t="s">
        <v>5436</v>
      </c>
      <c r="U1594" s="2" t="s">
        <v>100</v>
      </c>
      <c r="V1594" s="2" t="s">
        <v>2510</v>
      </c>
      <c r="W1594" s="2" t="s">
        <v>1136</v>
      </c>
      <c r="X1594" s="2" t="s">
        <v>1875</v>
      </c>
      <c r="Y1594" s="2" t="s">
        <v>144</v>
      </c>
      <c r="Z1594" s="4">
        <v>272</v>
      </c>
      <c r="AA1594" s="4">
        <f>=ROUNDDOWN(19.4285714285714,0)</f>
      </c>
      <c r="AB1594" s="5">
        <v>14</v>
      </c>
      <c r="AC1594" s="2" t="s">
        <v>307</v>
      </c>
      <c r="AD1594" s="4">
        <v>50</v>
      </c>
      <c r="AE1594" s="4">
        <v>250</v>
      </c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1</v>
      </c>
      <c r="AQ1594" s="8">
        <v>53.87</v>
      </c>
      <c r="AR1594" s="4"/>
      <c r="AS1594" s="8"/>
      <c r="AT1594" s="7"/>
      <c r="AU1594" s="7"/>
      <c r="AV1594" s="4" t="s">
        <v>100</v>
      </c>
      <c r="AW1594" s="8" t="s">
        <v>100</v>
      </c>
      <c r="AX1594" s="4" t="s">
        <v>100</v>
      </c>
      <c r="AY1594" s="8" t="s">
        <v>100</v>
      </c>
      <c r="AZ1594" s="7" t="s">
        <v>100</v>
      </c>
      <c r="BA1594" s="7" t="s">
        <v>100</v>
      </c>
      <c r="BB1594" s="7">
        <v>1</v>
      </c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 t="s">
        <v>100</v>
      </c>
      <c r="BJ1594" s="4">
        <v>43</v>
      </c>
      <c r="BK1594" s="8">
        <v>2544.35</v>
      </c>
      <c r="BL1594" s="2" t="s">
        <v>5815</v>
      </c>
      <c r="BM1594" s="7">
        <v>0.0233</v>
      </c>
      <c r="BN1594" s="7">
        <v>0.0212</v>
      </c>
      <c r="BO1594" s="4">
        <v>1</v>
      </c>
      <c r="BP1594" s="8">
        <v>53.87</v>
      </c>
      <c r="BQ1594" s="4"/>
      <c r="BR1594" s="8"/>
      <c r="BS1594" s="7"/>
      <c r="BT1594" s="7"/>
      <c r="BU1594" s="2" t="s">
        <v>109</v>
      </c>
      <c r="BV1594" s="2" t="s">
        <v>97</v>
      </c>
      <c r="BW1594" s="2" t="s">
        <v>4107</v>
      </c>
      <c r="BX1594" s="2" t="s">
        <v>5816</v>
      </c>
      <c r="BY1594" s="2" t="s">
        <v>112</v>
      </c>
      <c r="BZ1594" s="2" t="s">
        <v>100</v>
      </c>
    </row>
    <row r="1595">
      <c r="A1595" s="2" t="s">
        <v>5817</v>
      </c>
      <c r="B1595" s="2" t="s">
        <v>5155</v>
      </c>
      <c r="C1595" s="2" t="s">
        <v>88</v>
      </c>
      <c r="D1595" s="2" t="s">
        <v>89</v>
      </c>
      <c r="E1595" s="2" t="s">
        <v>90</v>
      </c>
      <c r="F1595" s="2" t="s">
        <v>5460</v>
      </c>
      <c r="G1595" s="2" t="s">
        <v>5461</v>
      </c>
      <c r="H1595" s="2" t="s">
        <v>5461</v>
      </c>
      <c r="I1595" s="2" t="s">
        <v>5810</v>
      </c>
      <c r="J1595" s="2" t="s">
        <v>522</v>
      </c>
      <c r="K1595" s="2" t="s">
        <v>1857</v>
      </c>
      <c r="L1595" s="3">
        <v>49.68</v>
      </c>
      <c r="M1595" s="3">
        <v>52.16</v>
      </c>
      <c r="N1595" s="3">
        <v>109.99</v>
      </c>
      <c r="O1595" s="2" t="s">
        <v>97</v>
      </c>
      <c r="P1595" s="2" t="s">
        <v>98</v>
      </c>
      <c r="Q1595" s="2" t="s">
        <v>99</v>
      </c>
      <c r="R1595" s="2" t="s">
        <v>100</v>
      </c>
      <c r="S1595" s="2" t="s">
        <v>5818</v>
      </c>
      <c r="T1595" s="2" t="s">
        <v>5436</v>
      </c>
      <c r="U1595" s="2" t="s">
        <v>1228</v>
      </c>
      <c r="V1595" s="2" t="s">
        <v>2510</v>
      </c>
      <c r="W1595" s="2" t="s">
        <v>1136</v>
      </c>
      <c r="X1595" s="2" t="s">
        <v>493</v>
      </c>
      <c r="Y1595" s="2" t="s">
        <v>5775</v>
      </c>
      <c r="Z1595" s="4">
        <v>127</v>
      </c>
      <c r="AA1595" s="4">
        <f>=ROUNDDOWN(18.1428571428571,0)</f>
      </c>
      <c r="AB1595" s="5">
        <v>7</v>
      </c>
      <c r="AC1595" s="2" t="s">
        <v>307</v>
      </c>
      <c r="AD1595" s="4">
        <v>80</v>
      </c>
      <c r="AE1595" s="4">
        <v>180</v>
      </c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 t="s">
        <v>100</v>
      </c>
      <c r="AW1595" s="8" t="s">
        <v>100</v>
      </c>
      <c r="AX1595" s="4" t="s">
        <v>100</v>
      </c>
      <c r="AY1595" s="8" t="s">
        <v>100</v>
      </c>
      <c r="AZ1595" s="7" t="s">
        <v>100</v>
      </c>
      <c r="BA1595" s="7" t="s">
        <v>100</v>
      </c>
      <c r="BB1595" s="7"/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 t="s">
        <v>100</v>
      </c>
      <c r="BJ1595" s="4">
        <v>17</v>
      </c>
      <c r="BK1595" s="8">
        <v>896.69</v>
      </c>
      <c r="BL1595" s="2" t="s">
        <v>5819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1040</v>
      </c>
      <c r="BV1595" s="2" t="s">
        <v>97</v>
      </c>
      <c r="BW1595" s="2" t="s">
        <v>100</v>
      </c>
      <c r="BX1595" s="2" t="s">
        <v>100</v>
      </c>
      <c r="BY1595" s="2" t="s">
        <v>112</v>
      </c>
      <c r="BZ1595" s="2" t="s">
        <v>100</v>
      </c>
    </row>
    <row r="1596">
      <c r="A1596" s="2" t="s">
        <v>5820</v>
      </c>
      <c r="B1596" s="2" t="s">
        <v>5155</v>
      </c>
      <c r="C1596" s="2" t="s">
        <v>88</v>
      </c>
      <c r="D1596" s="2" t="s">
        <v>89</v>
      </c>
      <c r="E1596" s="2" t="s">
        <v>90</v>
      </c>
      <c r="F1596" s="2" t="s">
        <v>5460</v>
      </c>
      <c r="G1596" s="2" t="s">
        <v>5461</v>
      </c>
      <c r="H1596" s="2" t="s">
        <v>5461</v>
      </c>
      <c r="I1596" s="2" t="s">
        <v>5810</v>
      </c>
      <c r="J1596" s="2" t="s">
        <v>114</v>
      </c>
      <c r="K1596" s="2" t="s">
        <v>1857</v>
      </c>
      <c r="L1596" s="3">
        <v>57.13</v>
      </c>
      <c r="M1596" s="3">
        <v>59.99</v>
      </c>
      <c r="N1596" s="3">
        <v>124.99</v>
      </c>
      <c r="O1596" s="2" t="s">
        <v>97</v>
      </c>
      <c r="P1596" s="2" t="s">
        <v>98</v>
      </c>
      <c r="Q1596" s="2" t="s">
        <v>99</v>
      </c>
      <c r="R1596" s="2" t="s">
        <v>100</v>
      </c>
      <c r="S1596" s="2" t="s">
        <v>5818</v>
      </c>
      <c r="T1596" s="2" t="s">
        <v>5436</v>
      </c>
      <c r="U1596" s="2" t="s">
        <v>1228</v>
      </c>
      <c r="V1596" s="2" t="s">
        <v>2510</v>
      </c>
      <c r="W1596" s="2" t="s">
        <v>1136</v>
      </c>
      <c r="X1596" s="2" t="s">
        <v>493</v>
      </c>
      <c r="Y1596" s="2" t="s">
        <v>5775</v>
      </c>
      <c r="Z1596" s="4">
        <v>62</v>
      </c>
      <c r="AA1596" s="4">
        <f>=ROUNDDOWN(4.76923076923077,0)</f>
      </c>
      <c r="AB1596" s="5">
        <v>13</v>
      </c>
      <c r="AC1596" s="2" t="s">
        <v>307</v>
      </c>
      <c r="AD1596" s="4">
        <v>140</v>
      </c>
      <c r="AE1596" s="4">
        <v>320</v>
      </c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100</v>
      </c>
      <c r="AW1596" s="8" t="s">
        <v>100</v>
      </c>
      <c r="AX1596" s="4" t="s">
        <v>100</v>
      </c>
      <c r="AY1596" s="8" t="s">
        <v>100</v>
      </c>
      <c r="AZ1596" s="7" t="s">
        <v>100</v>
      </c>
      <c r="BA1596" s="7" t="s">
        <v>100</v>
      </c>
      <c r="BB1596" s="7"/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 t="s">
        <v>100</v>
      </c>
      <c r="BJ1596" s="4">
        <v>44</v>
      </c>
      <c r="BK1596" s="8">
        <v>2604.99</v>
      </c>
      <c r="BL1596" s="2" t="s">
        <v>5821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1040</v>
      </c>
      <c r="BV1596" s="2" t="s">
        <v>97</v>
      </c>
      <c r="BW1596" s="2" t="s">
        <v>100</v>
      </c>
      <c r="BX1596" s="2" t="s">
        <v>100</v>
      </c>
      <c r="BY1596" s="2" t="s">
        <v>112</v>
      </c>
      <c r="BZ1596" s="2" t="s">
        <v>100</v>
      </c>
    </row>
    <row r="1597">
      <c r="A1597" s="2" t="s">
        <v>5822</v>
      </c>
      <c r="B1597" s="2" t="s">
        <v>5155</v>
      </c>
      <c r="C1597" s="2" t="s">
        <v>88</v>
      </c>
      <c r="D1597" s="2" t="s">
        <v>89</v>
      </c>
      <c r="E1597" s="2" t="s">
        <v>90</v>
      </c>
      <c r="F1597" s="2" t="s">
        <v>5460</v>
      </c>
      <c r="G1597" s="2" t="s">
        <v>5461</v>
      </c>
      <c r="H1597" s="2" t="s">
        <v>5461</v>
      </c>
      <c r="I1597" s="2" t="s">
        <v>5810</v>
      </c>
      <c r="J1597" s="2" t="s">
        <v>522</v>
      </c>
      <c r="K1597" s="2" t="s">
        <v>138</v>
      </c>
      <c r="L1597" s="3">
        <v>49.68</v>
      </c>
      <c r="M1597" s="3">
        <v>52.16</v>
      </c>
      <c r="N1597" s="3">
        <v>109.99</v>
      </c>
      <c r="O1597" s="2" t="s">
        <v>97</v>
      </c>
      <c r="P1597" s="2" t="s">
        <v>98</v>
      </c>
      <c r="Q1597" s="2" t="s">
        <v>99</v>
      </c>
      <c r="R1597" s="2" t="s">
        <v>100</v>
      </c>
      <c r="S1597" s="2" t="s">
        <v>5823</v>
      </c>
      <c r="T1597" s="2" t="s">
        <v>5436</v>
      </c>
      <c r="U1597" s="2" t="s">
        <v>100</v>
      </c>
      <c r="V1597" s="2" t="s">
        <v>2510</v>
      </c>
      <c r="W1597" s="2" t="s">
        <v>1136</v>
      </c>
      <c r="X1597" s="2" t="s">
        <v>1875</v>
      </c>
      <c r="Y1597" s="2" t="s">
        <v>144</v>
      </c>
      <c r="Z1597" s="4">
        <v>185</v>
      </c>
      <c r="AA1597" s="4">
        <f>=ROUNDDOWN(20.5555555555556,0)</f>
      </c>
      <c r="AB1597" s="5">
        <v>9</v>
      </c>
      <c r="AC1597" s="2" t="s">
        <v>1860</v>
      </c>
      <c r="AD1597" s="4">
        <v>150</v>
      </c>
      <c r="AE1597" s="4">
        <v>150</v>
      </c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/>
      <c r="AW1597" s="8"/>
      <c r="AX1597" s="4"/>
      <c r="AY1597" s="8"/>
      <c r="AZ1597" s="7"/>
      <c r="BA1597" s="7"/>
      <c r="BB1597" s="7"/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/>
      <c r="BJ1597" s="4">
        <v>22</v>
      </c>
      <c r="BK1597" s="8">
        <v>1154.74</v>
      </c>
      <c r="BL1597" s="2" t="s">
        <v>5824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109</v>
      </c>
      <c r="BV1597" s="2" t="s">
        <v>97</v>
      </c>
      <c r="BW1597" s="2" t="s">
        <v>4107</v>
      </c>
      <c r="BX1597" s="2" t="s">
        <v>1812</v>
      </c>
      <c r="BY1597" s="2" t="s">
        <v>112</v>
      </c>
      <c r="BZ1597" s="2" t="s">
        <v>100</v>
      </c>
    </row>
    <row r="1598">
      <c r="A1598" s="2" t="s">
        <v>5825</v>
      </c>
      <c r="B1598" s="2" t="s">
        <v>5155</v>
      </c>
      <c r="C1598" s="2" t="s">
        <v>88</v>
      </c>
      <c r="D1598" s="2" t="s">
        <v>89</v>
      </c>
      <c r="E1598" s="2" t="s">
        <v>90</v>
      </c>
      <c r="F1598" s="2" t="s">
        <v>5460</v>
      </c>
      <c r="G1598" s="2" t="s">
        <v>5461</v>
      </c>
      <c r="H1598" s="2" t="s">
        <v>5461</v>
      </c>
      <c r="I1598" s="2" t="s">
        <v>5810</v>
      </c>
      <c r="J1598" s="2" t="s">
        <v>522</v>
      </c>
      <c r="K1598" s="2" t="s">
        <v>5826</v>
      </c>
      <c r="L1598" s="3">
        <v>49.68</v>
      </c>
      <c r="M1598" s="3">
        <v>52.16</v>
      </c>
      <c r="N1598" s="3">
        <v>109.99</v>
      </c>
      <c r="O1598" s="2" t="s">
        <v>97</v>
      </c>
      <c r="P1598" s="2" t="s">
        <v>123</v>
      </c>
      <c r="Q1598" s="2" t="s">
        <v>99</v>
      </c>
      <c r="R1598" s="2" t="s">
        <v>100</v>
      </c>
      <c r="S1598" s="2" t="s">
        <v>5827</v>
      </c>
      <c r="T1598" s="2" t="s">
        <v>5436</v>
      </c>
      <c r="U1598" s="2" t="s">
        <v>1228</v>
      </c>
      <c r="V1598" s="2" t="s">
        <v>2510</v>
      </c>
      <c r="W1598" s="2" t="s">
        <v>1136</v>
      </c>
      <c r="X1598" s="2" t="s">
        <v>493</v>
      </c>
      <c r="Y1598" s="2" t="s">
        <v>5779</v>
      </c>
      <c r="Z1598" s="4">
        <v>12</v>
      </c>
      <c r="AA1598" s="4">
        <f>=ROUNDDOWN(0.8,0)</f>
      </c>
      <c r="AB1598" s="5">
        <v>15</v>
      </c>
      <c r="AC1598" s="2" t="s">
        <v>307</v>
      </c>
      <c r="AD1598" s="4">
        <v>110</v>
      </c>
      <c r="AE1598" s="4">
        <v>587</v>
      </c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100</v>
      </c>
      <c r="AW1598" s="8" t="s">
        <v>100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/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 t="s">
        <v>100</v>
      </c>
      <c r="BJ1598" s="4">
        <v>52</v>
      </c>
      <c r="BK1598" s="8">
        <v>2798.87</v>
      </c>
      <c r="BL1598" s="2" t="s">
        <v>5828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1040</v>
      </c>
      <c r="BV1598" s="2" t="s">
        <v>97</v>
      </c>
      <c r="BW1598" s="2" t="s">
        <v>100</v>
      </c>
      <c r="BX1598" s="2" t="s">
        <v>100</v>
      </c>
      <c r="BY1598" s="2" t="s">
        <v>112</v>
      </c>
      <c r="BZ1598" s="2" t="s">
        <v>100</v>
      </c>
    </row>
    <row r="1599">
      <c r="A1599" s="2" t="s">
        <v>5829</v>
      </c>
      <c r="B1599" s="2" t="s">
        <v>5155</v>
      </c>
      <c r="C1599" s="2" t="s">
        <v>88</v>
      </c>
      <c r="D1599" s="2" t="s">
        <v>89</v>
      </c>
      <c r="E1599" s="2" t="s">
        <v>90</v>
      </c>
      <c r="F1599" s="2" t="s">
        <v>5460</v>
      </c>
      <c r="G1599" s="2" t="s">
        <v>5461</v>
      </c>
      <c r="H1599" s="2" t="s">
        <v>5461</v>
      </c>
      <c r="I1599" s="2" t="s">
        <v>5810</v>
      </c>
      <c r="J1599" s="2" t="s">
        <v>114</v>
      </c>
      <c r="K1599" s="2" t="s">
        <v>5826</v>
      </c>
      <c r="L1599" s="3">
        <v>57.13</v>
      </c>
      <c r="M1599" s="3">
        <v>59.99</v>
      </c>
      <c r="N1599" s="3">
        <v>124.99</v>
      </c>
      <c r="O1599" s="2" t="s">
        <v>97</v>
      </c>
      <c r="P1599" s="2" t="s">
        <v>123</v>
      </c>
      <c r="Q1599" s="2" t="s">
        <v>99</v>
      </c>
      <c r="R1599" s="2" t="s">
        <v>100</v>
      </c>
      <c r="S1599" s="2" t="s">
        <v>5827</v>
      </c>
      <c r="T1599" s="2" t="s">
        <v>5436</v>
      </c>
      <c r="U1599" s="2" t="s">
        <v>1228</v>
      </c>
      <c r="V1599" s="2" t="s">
        <v>2510</v>
      </c>
      <c r="W1599" s="2" t="s">
        <v>1136</v>
      </c>
      <c r="X1599" s="2" t="s">
        <v>493</v>
      </c>
      <c r="Y1599" s="2" t="s">
        <v>5779</v>
      </c>
      <c r="Z1599" s="4">
        <v>130</v>
      </c>
      <c r="AA1599" s="4">
        <f>=ROUNDDOWN(5,0)</f>
      </c>
      <c r="AB1599" s="5">
        <v>26</v>
      </c>
      <c r="AC1599" s="2" t="s">
        <v>307</v>
      </c>
      <c r="AD1599" s="4">
        <v>200</v>
      </c>
      <c r="AE1599" s="4">
        <v>840</v>
      </c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/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 t="s">
        <v>100</v>
      </c>
      <c r="BJ1599" s="4">
        <v>57</v>
      </c>
      <c r="BK1599" s="8">
        <v>3472.98</v>
      </c>
      <c r="BL1599" s="2" t="s">
        <v>5830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1040</v>
      </c>
      <c r="BV1599" s="2" t="s">
        <v>97</v>
      </c>
      <c r="BW1599" s="2" t="s">
        <v>100</v>
      </c>
      <c r="BX1599" s="2" t="s">
        <v>100</v>
      </c>
      <c r="BY1599" s="2" t="s">
        <v>112</v>
      </c>
      <c r="BZ1599" s="2" t="s">
        <v>100</v>
      </c>
    </row>
    <row r="1600">
      <c r="A1600" s="2" t="s">
        <v>5831</v>
      </c>
      <c r="B1600" s="2" t="s">
        <v>5155</v>
      </c>
      <c r="C1600" s="2" t="s">
        <v>88</v>
      </c>
      <c r="D1600" s="2" t="s">
        <v>89</v>
      </c>
      <c r="E1600" s="2" t="s">
        <v>90</v>
      </c>
      <c r="F1600" s="2" t="s">
        <v>5460</v>
      </c>
      <c r="G1600" s="2" t="s">
        <v>5461</v>
      </c>
      <c r="H1600" s="2" t="s">
        <v>5461</v>
      </c>
      <c r="I1600" s="2" t="s">
        <v>5810</v>
      </c>
      <c r="J1600" s="2" t="s">
        <v>522</v>
      </c>
      <c r="K1600" s="2" t="s">
        <v>523</v>
      </c>
      <c r="L1600" s="3">
        <v>49.68</v>
      </c>
      <c r="M1600" s="3">
        <v>52.16</v>
      </c>
      <c r="N1600" s="3">
        <v>109.99</v>
      </c>
      <c r="O1600" s="2" t="s">
        <v>97</v>
      </c>
      <c r="P1600" s="2" t="s">
        <v>98</v>
      </c>
      <c r="Q1600" s="2" t="s">
        <v>99</v>
      </c>
      <c r="R1600" s="2" t="s">
        <v>100</v>
      </c>
      <c r="S1600" s="2" t="s">
        <v>5832</v>
      </c>
      <c r="T1600" s="2" t="s">
        <v>5436</v>
      </c>
      <c r="U1600" s="2" t="s">
        <v>100</v>
      </c>
      <c r="V1600" s="2" t="s">
        <v>2510</v>
      </c>
      <c r="W1600" s="2" t="s">
        <v>1136</v>
      </c>
      <c r="X1600" s="2" t="s">
        <v>1875</v>
      </c>
      <c r="Y1600" s="2" t="s">
        <v>144</v>
      </c>
      <c r="Z1600" s="4">
        <v>62</v>
      </c>
      <c r="AA1600" s="4">
        <f>=ROUNDDOWN(12.4,0)</f>
      </c>
      <c r="AB1600" s="5">
        <v>5</v>
      </c>
      <c r="AC1600" s="2" t="s">
        <v>307</v>
      </c>
      <c r="AD1600" s="4">
        <v>150</v>
      </c>
      <c r="AE1600" s="4">
        <v>250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100</v>
      </c>
      <c r="AW1600" s="8" t="s">
        <v>100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/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 t="s">
        <v>100</v>
      </c>
      <c r="BJ1600" s="4">
        <v>10</v>
      </c>
      <c r="BK1600" s="8">
        <v>559.42</v>
      </c>
      <c r="BL1600" s="2" t="s">
        <v>5833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4107</v>
      </c>
      <c r="BX1600" s="2" t="s">
        <v>5813</v>
      </c>
      <c r="BY1600" s="2" t="s">
        <v>112</v>
      </c>
      <c r="BZ1600" s="2" t="s">
        <v>100</v>
      </c>
    </row>
    <row r="1601">
      <c r="A1601" s="2" t="s">
        <v>5834</v>
      </c>
      <c r="B1601" s="2" t="s">
        <v>5155</v>
      </c>
      <c r="C1601" s="2" t="s">
        <v>88</v>
      </c>
      <c r="D1601" s="2" t="s">
        <v>89</v>
      </c>
      <c r="E1601" s="2" t="s">
        <v>90</v>
      </c>
      <c r="F1601" s="2" t="s">
        <v>5460</v>
      </c>
      <c r="G1601" s="2" t="s">
        <v>5461</v>
      </c>
      <c r="H1601" s="2" t="s">
        <v>5461</v>
      </c>
      <c r="I1601" s="2" t="s">
        <v>5810</v>
      </c>
      <c r="J1601" s="2" t="s">
        <v>114</v>
      </c>
      <c r="K1601" s="2" t="s">
        <v>523</v>
      </c>
      <c r="L1601" s="3">
        <v>57.13</v>
      </c>
      <c r="M1601" s="3">
        <v>59.99</v>
      </c>
      <c r="N1601" s="3">
        <v>124.99</v>
      </c>
      <c r="O1601" s="2" t="s">
        <v>97</v>
      </c>
      <c r="P1601" s="2" t="s">
        <v>98</v>
      </c>
      <c r="Q1601" s="2" t="s">
        <v>99</v>
      </c>
      <c r="R1601" s="2" t="s">
        <v>100</v>
      </c>
      <c r="S1601" s="2" t="s">
        <v>5832</v>
      </c>
      <c r="T1601" s="2" t="s">
        <v>5436</v>
      </c>
      <c r="U1601" s="2" t="s">
        <v>1228</v>
      </c>
      <c r="V1601" s="2" t="s">
        <v>2510</v>
      </c>
      <c r="W1601" s="2" t="s">
        <v>1136</v>
      </c>
      <c r="X1601" s="2" t="s">
        <v>1875</v>
      </c>
      <c r="Y1601" s="2" t="s">
        <v>144</v>
      </c>
      <c r="Z1601" s="4">
        <v>205</v>
      </c>
      <c r="AA1601" s="4">
        <f>=ROUNDDOWN(25.625,0)</f>
      </c>
      <c r="AB1601" s="5">
        <v>8</v>
      </c>
      <c r="AC1601" s="2" t="s">
        <v>307</v>
      </c>
      <c r="AD1601" s="4">
        <v>50</v>
      </c>
      <c r="AE1601" s="4">
        <v>250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100</v>
      </c>
      <c r="AW1601" s="8" t="s">
        <v>100</v>
      </c>
      <c r="AX1601" s="4" t="s">
        <v>100</v>
      </c>
      <c r="AY1601" s="8" t="s">
        <v>100</v>
      </c>
      <c r="AZ1601" s="7" t="s">
        <v>100</v>
      </c>
      <c r="BA1601" s="7" t="s">
        <v>100</v>
      </c>
      <c r="BB1601" s="7"/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 t="s">
        <v>100</v>
      </c>
      <c r="BJ1601" s="4">
        <v>19</v>
      </c>
      <c r="BK1601" s="8">
        <v>1138.15</v>
      </c>
      <c r="BL1601" s="2" t="s">
        <v>5778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4107</v>
      </c>
      <c r="BX1601" s="2" t="s">
        <v>2179</v>
      </c>
      <c r="BY1601" s="2" t="s">
        <v>112</v>
      </c>
      <c r="BZ1601" s="2" t="s">
        <v>100</v>
      </c>
    </row>
    <row r="1602">
      <c r="A1602" s="2" t="s">
        <v>5835</v>
      </c>
      <c r="B1602" s="2" t="s">
        <v>5155</v>
      </c>
      <c r="C1602" s="2" t="s">
        <v>88</v>
      </c>
      <c r="D1602" s="2" t="s">
        <v>2505</v>
      </c>
      <c r="E1602" s="2" t="s">
        <v>2506</v>
      </c>
      <c r="F1602" s="2" t="s">
        <v>5836</v>
      </c>
      <c r="G1602" s="2" t="s">
        <v>3813</v>
      </c>
      <c r="H1602" s="2" t="s">
        <v>3813</v>
      </c>
      <c r="I1602" s="2" t="s">
        <v>5837</v>
      </c>
      <c r="J1602" s="2" t="s">
        <v>3172</v>
      </c>
      <c r="K1602" s="2" t="s">
        <v>165</v>
      </c>
      <c r="L1602" s="3">
        <v>17.86</v>
      </c>
      <c r="M1602" s="3">
        <v>18.75</v>
      </c>
      <c r="N1602" s="3">
        <v>39.99</v>
      </c>
      <c r="O1602" s="2" t="s">
        <v>97</v>
      </c>
      <c r="P1602" s="2" t="s">
        <v>98</v>
      </c>
      <c r="Q1602" s="2" t="s">
        <v>99</v>
      </c>
      <c r="R1602" s="2" t="s">
        <v>100</v>
      </c>
      <c r="S1602" s="2" t="s">
        <v>5838</v>
      </c>
      <c r="T1602" s="2" t="s">
        <v>5436</v>
      </c>
      <c r="U1602" s="2" t="s">
        <v>100</v>
      </c>
      <c r="V1602" s="2" t="s">
        <v>2510</v>
      </c>
      <c r="W1602" s="2" t="s">
        <v>1136</v>
      </c>
      <c r="X1602" s="2" t="s">
        <v>100</v>
      </c>
      <c r="Y1602" s="2" t="s">
        <v>5839</v>
      </c>
      <c r="Z1602" s="4">
        <v>270</v>
      </c>
      <c r="AA1602" s="4">
        <f>=ROUNDDOWN(13.5,0)</f>
      </c>
      <c r="AB1602" s="5">
        <v>20</v>
      </c>
      <c r="AC1602" s="2" t="s">
        <v>100</v>
      </c>
      <c r="AD1602" s="4"/>
      <c r="AE1602" s="4"/>
      <c r="AF1602" s="6">
        <v>64</v>
      </c>
      <c r="AG1602" s="6"/>
      <c r="AH1602" s="7">
        <v>0.871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2</v>
      </c>
      <c r="AQ1602" s="8">
        <v>30.24</v>
      </c>
      <c r="AR1602" s="4"/>
      <c r="AS1602" s="8"/>
      <c r="AT1602" s="7"/>
      <c r="AU1602" s="7"/>
      <c r="AV1602" s="4">
        <v>2</v>
      </c>
      <c r="AW1602" s="8">
        <v>30.24</v>
      </c>
      <c r="AX1602" s="4"/>
      <c r="AY1602" s="8"/>
      <c r="AZ1602" s="7"/>
      <c r="BA1602" s="7"/>
      <c r="BB1602" s="7">
        <v>1</v>
      </c>
      <c r="BC1602" s="4">
        <v>2</v>
      </c>
      <c r="BD1602" s="8">
        <v>30.24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>
        <v>1</v>
      </c>
      <c r="BJ1602" s="4">
        <v>40</v>
      </c>
      <c r="BK1602" s="8">
        <v>744.86</v>
      </c>
      <c r="BL1602" s="2" t="s">
        <v>2184</v>
      </c>
      <c r="BM1602" s="7">
        <v>0.05</v>
      </c>
      <c r="BN1602" s="7">
        <v>0.0406</v>
      </c>
      <c r="BO1602" s="4">
        <v>2</v>
      </c>
      <c r="BP1602" s="8">
        <v>30.24</v>
      </c>
      <c r="BQ1602" s="4"/>
      <c r="BR1602" s="8"/>
      <c r="BS1602" s="7"/>
      <c r="BT1602" s="7"/>
      <c r="BU1602" s="2" t="s">
        <v>109</v>
      </c>
      <c r="BV1602" s="2" t="s">
        <v>97</v>
      </c>
      <c r="BW1602" s="2" t="s">
        <v>5840</v>
      </c>
      <c r="BX1602" s="2" t="s">
        <v>5841</v>
      </c>
      <c r="BY1602" s="2" t="s">
        <v>112</v>
      </c>
      <c r="BZ1602" s="2" t="s">
        <v>100</v>
      </c>
    </row>
    <row r="1603">
      <c r="A1603" s="2" t="s">
        <v>5842</v>
      </c>
      <c r="B1603" s="2" t="s">
        <v>5155</v>
      </c>
      <c r="C1603" s="2" t="s">
        <v>88</v>
      </c>
      <c r="D1603" s="2" t="s">
        <v>2505</v>
      </c>
      <c r="E1603" s="2" t="s">
        <v>2506</v>
      </c>
      <c r="F1603" s="2" t="s">
        <v>5836</v>
      </c>
      <c r="G1603" s="2" t="s">
        <v>3813</v>
      </c>
      <c r="H1603" s="2" t="s">
        <v>3813</v>
      </c>
      <c r="I1603" s="2" t="s">
        <v>5837</v>
      </c>
      <c r="J1603" s="2" t="s">
        <v>3172</v>
      </c>
      <c r="K1603" s="2" t="s">
        <v>1373</v>
      </c>
      <c r="L1603" s="3">
        <v>17.86</v>
      </c>
      <c r="M1603" s="3">
        <v>18.75</v>
      </c>
      <c r="N1603" s="3">
        <v>39.99</v>
      </c>
      <c r="O1603" s="2" t="s">
        <v>97</v>
      </c>
      <c r="P1603" s="2" t="s">
        <v>98</v>
      </c>
      <c r="Q1603" s="2" t="s">
        <v>99</v>
      </c>
      <c r="R1603" s="2" t="s">
        <v>100</v>
      </c>
      <c r="S1603" s="2" t="s">
        <v>5843</v>
      </c>
      <c r="T1603" s="2" t="s">
        <v>5436</v>
      </c>
      <c r="U1603" s="2" t="s">
        <v>100</v>
      </c>
      <c r="V1603" s="2" t="s">
        <v>2510</v>
      </c>
      <c r="W1603" s="2" t="s">
        <v>1136</v>
      </c>
      <c r="X1603" s="2" t="s">
        <v>100</v>
      </c>
      <c r="Y1603" s="2" t="s">
        <v>5839</v>
      </c>
      <c r="Z1603" s="4">
        <v>223</v>
      </c>
      <c r="AA1603" s="4">
        <f>=ROUNDDOWN(17.1538461538462,0)</f>
      </c>
      <c r="AB1603" s="5">
        <v>13</v>
      </c>
      <c r="AC1603" s="2" t="s">
        <v>676</v>
      </c>
      <c r="AD1603" s="4">
        <v>300</v>
      </c>
      <c r="AE1603" s="4">
        <v>300</v>
      </c>
      <c r="AF1603" s="6">
        <v>64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/>
      <c r="AW1603" s="8"/>
      <c r="AX1603" s="4"/>
      <c r="AY1603" s="8"/>
      <c r="AZ1603" s="7"/>
      <c r="BA1603" s="7"/>
      <c r="BB1603" s="7"/>
      <c r="BC1603" s="4" t="s">
        <v>100</v>
      </c>
      <c r="BD1603" s="8" t="s">
        <v>100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/>
      <c r="BJ1603" s="4">
        <v>23</v>
      </c>
      <c r="BK1603" s="8">
        <v>461.75</v>
      </c>
      <c r="BL1603" s="2" t="s">
        <v>5844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109</v>
      </c>
      <c r="BV1603" s="2" t="s">
        <v>97</v>
      </c>
      <c r="BW1603" s="2" t="s">
        <v>5840</v>
      </c>
      <c r="BX1603" s="2" t="s">
        <v>5841</v>
      </c>
      <c r="BY1603" s="2" t="s">
        <v>112</v>
      </c>
      <c r="BZ1603" s="2" t="s">
        <v>100</v>
      </c>
    </row>
    <row r="1604">
      <c r="A1604" s="2" t="s">
        <v>5845</v>
      </c>
      <c r="B1604" s="2" t="s">
        <v>5155</v>
      </c>
      <c r="C1604" s="2" t="s">
        <v>88</v>
      </c>
      <c r="D1604" s="2" t="s">
        <v>2505</v>
      </c>
      <c r="E1604" s="2" t="s">
        <v>2506</v>
      </c>
      <c r="F1604" s="2" t="s">
        <v>5836</v>
      </c>
      <c r="G1604" s="2" t="s">
        <v>3813</v>
      </c>
      <c r="H1604" s="2" t="s">
        <v>3813</v>
      </c>
      <c r="I1604" s="2" t="s">
        <v>5837</v>
      </c>
      <c r="J1604" s="2" t="s">
        <v>3172</v>
      </c>
      <c r="K1604" s="2" t="s">
        <v>446</v>
      </c>
      <c r="L1604" s="3">
        <v>17.86</v>
      </c>
      <c r="M1604" s="3">
        <v>18.75</v>
      </c>
      <c r="N1604" s="3">
        <v>39.99</v>
      </c>
      <c r="O1604" s="2" t="s">
        <v>97</v>
      </c>
      <c r="P1604" s="2" t="s">
        <v>98</v>
      </c>
      <c r="Q1604" s="2" t="s">
        <v>99</v>
      </c>
      <c r="R1604" s="2" t="s">
        <v>100</v>
      </c>
      <c r="S1604" s="2" t="s">
        <v>5846</v>
      </c>
      <c r="T1604" s="2" t="s">
        <v>5436</v>
      </c>
      <c r="U1604" s="2" t="s">
        <v>100</v>
      </c>
      <c r="V1604" s="2" t="s">
        <v>2510</v>
      </c>
      <c r="W1604" s="2" t="s">
        <v>1136</v>
      </c>
      <c r="X1604" s="2" t="s">
        <v>100</v>
      </c>
      <c r="Y1604" s="2" t="s">
        <v>5839</v>
      </c>
      <c r="Z1604" s="4">
        <v>208</v>
      </c>
      <c r="AA1604" s="4">
        <f>=ROUNDDOWN(14.8571428571429,0)</f>
      </c>
      <c r="AB1604" s="5">
        <v>14</v>
      </c>
      <c r="AC1604" s="2" t="s">
        <v>676</v>
      </c>
      <c r="AD1604" s="4">
        <v>300</v>
      </c>
      <c r="AE1604" s="4">
        <v>300</v>
      </c>
      <c r="AF1604" s="6">
        <v>64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/>
      <c r="AW1604" s="8"/>
      <c r="AX1604" s="4"/>
      <c r="AY1604" s="8"/>
      <c r="AZ1604" s="7"/>
      <c r="BA1604" s="7"/>
      <c r="BB1604" s="7"/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/>
      <c r="BJ1604" s="4">
        <v>25</v>
      </c>
      <c r="BK1604" s="8">
        <v>497.51</v>
      </c>
      <c r="BL1604" s="2" t="s">
        <v>5847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109</v>
      </c>
      <c r="BV1604" s="2" t="s">
        <v>97</v>
      </c>
      <c r="BW1604" s="2" t="s">
        <v>5840</v>
      </c>
      <c r="BX1604" s="2" t="s">
        <v>5841</v>
      </c>
      <c r="BY1604" s="2" t="s">
        <v>112</v>
      </c>
      <c r="BZ1604" s="2" t="s">
        <v>100</v>
      </c>
    </row>
    <row r="1605">
      <c r="A1605" s="2" t="s">
        <v>5848</v>
      </c>
      <c r="B1605" s="2" t="s">
        <v>5155</v>
      </c>
      <c r="C1605" s="2" t="s">
        <v>88</v>
      </c>
      <c r="D1605" s="2" t="s">
        <v>2505</v>
      </c>
      <c r="E1605" s="2" t="s">
        <v>2506</v>
      </c>
      <c r="F1605" s="2" t="s">
        <v>5460</v>
      </c>
      <c r="G1605" s="2" t="s">
        <v>5461</v>
      </c>
      <c r="H1605" s="2" t="s">
        <v>5461</v>
      </c>
      <c r="I1605" s="2" t="s">
        <v>5837</v>
      </c>
      <c r="J1605" s="2" t="s">
        <v>3172</v>
      </c>
      <c r="K1605" s="2" t="s">
        <v>1857</v>
      </c>
      <c r="L1605" s="3">
        <v>14.83</v>
      </c>
      <c r="M1605" s="3">
        <v>15.57</v>
      </c>
      <c r="N1605" s="3">
        <v>31.99</v>
      </c>
      <c r="O1605" s="2" t="s">
        <v>97</v>
      </c>
      <c r="P1605" s="2" t="s">
        <v>98</v>
      </c>
      <c r="Q1605" s="2" t="s">
        <v>99</v>
      </c>
      <c r="R1605" s="2" t="s">
        <v>100</v>
      </c>
      <c r="S1605" s="2" t="s">
        <v>5463</v>
      </c>
      <c r="T1605" s="2" t="s">
        <v>5436</v>
      </c>
      <c r="U1605" s="2" t="s">
        <v>1776</v>
      </c>
      <c r="V1605" s="2" t="s">
        <v>367</v>
      </c>
      <c r="W1605" s="2" t="s">
        <v>1136</v>
      </c>
      <c r="X1605" s="2" t="s">
        <v>100</v>
      </c>
      <c r="Y1605" s="2" t="s">
        <v>5849</v>
      </c>
      <c r="Z1605" s="4">
        <v>455</v>
      </c>
      <c r="AA1605" s="4">
        <f>=ROUNDDOWN(25.2777777777778,0)</f>
      </c>
      <c r="AB1605" s="5">
        <v>18</v>
      </c>
      <c r="AC1605" s="2" t="s">
        <v>173</v>
      </c>
      <c r="AD1605" s="4">
        <v>180</v>
      </c>
      <c r="AE1605" s="4">
        <v>180</v>
      </c>
      <c r="AF1605" s="6">
        <v>64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1</v>
      </c>
      <c r="AQ1605" s="8">
        <v>10.49</v>
      </c>
      <c r="AR1605" s="4"/>
      <c r="AS1605" s="8"/>
      <c r="AT1605" s="7"/>
      <c r="AU1605" s="7"/>
      <c r="AV1605" s="4">
        <v>1</v>
      </c>
      <c r="AW1605" s="8">
        <v>10.49</v>
      </c>
      <c r="AX1605" s="4"/>
      <c r="AY1605" s="8"/>
      <c r="AZ1605" s="7"/>
      <c r="BA1605" s="7"/>
      <c r="BB1605" s="7">
        <v>1</v>
      </c>
      <c r="BC1605" s="4">
        <v>2</v>
      </c>
      <c r="BD1605" s="8">
        <v>20.98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>
        <v>0.5</v>
      </c>
      <c r="BJ1605" s="4">
        <v>48</v>
      </c>
      <c r="BK1605" s="8">
        <v>700.67</v>
      </c>
      <c r="BL1605" s="2" t="s">
        <v>5850</v>
      </c>
      <c r="BM1605" s="7">
        <v>0.0208</v>
      </c>
      <c r="BN1605" s="7">
        <v>0.015</v>
      </c>
      <c r="BO1605" s="4">
        <v>1</v>
      </c>
      <c r="BP1605" s="8">
        <v>10.49</v>
      </c>
      <c r="BQ1605" s="4"/>
      <c r="BR1605" s="8"/>
      <c r="BS1605" s="7"/>
      <c r="BT1605" s="7"/>
      <c r="BU1605" s="2" t="s">
        <v>109</v>
      </c>
      <c r="BV1605" s="2" t="s">
        <v>97</v>
      </c>
      <c r="BW1605" s="2" t="s">
        <v>1531</v>
      </c>
      <c r="BX1605" s="2" t="s">
        <v>5851</v>
      </c>
      <c r="BY1605" s="2" t="s">
        <v>112</v>
      </c>
      <c r="BZ1605" s="2" t="s">
        <v>100</v>
      </c>
    </row>
    <row r="1606">
      <c r="A1606" s="2" t="s">
        <v>5852</v>
      </c>
      <c r="B1606" s="2" t="s">
        <v>5155</v>
      </c>
      <c r="C1606" s="2" t="s">
        <v>88</v>
      </c>
      <c r="D1606" s="2" t="s">
        <v>2505</v>
      </c>
      <c r="E1606" s="2" t="s">
        <v>2506</v>
      </c>
      <c r="F1606" s="2" t="s">
        <v>5460</v>
      </c>
      <c r="G1606" s="2" t="s">
        <v>5461</v>
      </c>
      <c r="H1606" s="2" t="s">
        <v>5461</v>
      </c>
      <c r="I1606" s="2" t="s">
        <v>5837</v>
      </c>
      <c r="J1606" s="2" t="s">
        <v>3172</v>
      </c>
      <c r="K1606" s="2" t="s">
        <v>138</v>
      </c>
      <c r="L1606" s="3">
        <v>14.83</v>
      </c>
      <c r="M1606" s="3">
        <v>15.57</v>
      </c>
      <c r="N1606" s="3">
        <v>31.99</v>
      </c>
      <c r="O1606" s="2" t="s">
        <v>97</v>
      </c>
      <c r="P1606" s="2" t="s">
        <v>98</v>
      </c>
      <c r="Q1606" s="2" t="s">
        <v>99</v>
      </c>
      <c r="R1606" s="2" t="s">
        <v>100</v>
      </c>
      <c r="S1606" s="2" t="s">
        <v>5823</v>
      </c>
      <c r="T1606" s="2" t="s">
        <v>5436</v>
      </c>
      <c r="U1606" s="2" t="s">
        <v>100</v>
      </c>
      <c r="V1606" s="2" t="s">
        <v>2510</v>
      </c>
      <c r="W1606" s="2" t="s">
        <v>1136</v>
      </c>
      <c r="X1606" s="2" t="s">
        <v>100</v>
      </c>
      <c r="Y1606" s="2" t="s">
        <v>144</v>
      </c>
      <c r="Z1606" s="4">
        <v>524</v>
      </c>
      <c r="AA1606" s="4">
        <f>=ROUNDDOWN(27.5789473684211,0)</f>
      </c>
      <c r="AB1606" s="5">
        <v>19</v>
      </c>
      <c r="AC1606" s="2" t="s">
        <v>3200</v>
      </c>
      <c r="AD1606" s="4">
        <v>300</v>
      </c>
      <c r="AE1606" s="4">
        <v>450</v>
      </c>
      <c r="AF1606" s="6">
        <v>64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1</v>
      </c>
      <c r="AQ1606" s="8">
        <v>10.49</v>
      </c>
      <c r="AR1606" s="4"/>
      <c r="AS1606" s="8"/>
      <c r="AT1606" s="7"/>
      <c r="AU1606" s="7"/>
      <c r="AV1606" s="4">
        <v>1</v>
      </c>
      <c r="AW1606" s="8">
        <v>10.49</v>
      </c>
      <c r="AX1606" s="4"/>
      <c r="AY1606" s="8"/>
      <c r="AZ1606" s="7"/>
      <c r="BA1606" s="7"/>
      <c r="BB1606" s="7">
        <v>1</v>
      </c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>
        <v>0.5</v>
      </c>
      <c r="BJ1606" s="4">
        <v>83</v>
      </c>
      <c r="BK1606" s="8">
        <v>1175.91</v>
      </c>
      <c r="BL1606" s="2" t="s">
        <v>5853</v>
      </c>
      <c r="BM1606" s="7">
        <v>0.012</v>
      </c>
      <c r="BN1606" s="7">
        <v>0.0089</v>
      </c>
      <c r="BO1606" s="4">
        <v>1</v>
      </c>
      <c r="BP1606" s="8">
        <v>10.49</v>
      </c>
      <c r="BQ1606" s="4"/>
      <c r="BR1606" s="8"/>
      <c r="BS1606" s="7"/>
      <c r="BT1606" s="7"/>
      <c r="BU1606" s="2" t="s">
        <v>109</v>
      </c>
      <c r="BV1606" s="2" t="s">
        <v>97</v>
      </c>
      <c r="BW1606" s="2" t="s">
        <v>464</v>
      </c>
      <c r="BX1606" s="2" t="s">
        <v>870</v>
      </c>
      <c r="BY1606" s="2" t="s">
        <v>112</v>
      </c>
      <c r="BZ1606" s="2" t="s">
        <v>100</v>
      </c>
    </row>
    <row r="1607">
      <c r="A1607" s="2" t="s">
        <v>5854</v>
      </c>
      <c r="B1607" s="2" t="s">
        <v>5155</v>
      </c>
      <c r="C1607" s="2" t="s">
        <v>88</v>
      </c>
      <c r="D1607" s="2" t="s">
        <v>2505</v>
      </c>
      <c r="E1607" s="2" t="s">
        <v>2506</v>
      </c>
      <c r="F1607" s="2" t="s">
        <v>5460</v>
      </c>
      <c r="G1607" s="2" t="s">
        <v>5461</v>
      </c>
      <c r="H1607" s="2" t="s">
        <v>5461</v>
      </c>
      <c r="I1607" s="2" t="s">
        <v>5837</v>
      </c>
      <c r="J1607" s="2" t="s">
        <v>3172</v>
      </c>
      <c r="K1607" s="2" t="s">
        <v>96</v>
      </c>
      <c r="L1607" s="3">
        <v>14.83</v>
      </c>
      <c r="M1607" s="3">
        <v>15.57</v>
      </c>
      <c r="N1607" s="3">
        <v>31.99</v>
      </c>
      <c r="O1607" s="2" t="s">
        <v>97</v>
      </c>
      <c r="P1607" s="2" t="s">
        <v>123</v>
      </c>
      <c r="Q1607" s="2" t="s">
        <v>99</v>
      </c>
      <c r="R1607" s="2" t="s">
        <v>100</v>
      </c>
      <c r="S1607" s="2" t="s">
        <v>5811</v>
      </c>
      <c r="T1607" s="2" t="s">
        <v>5436</v>
      </c>
      <c r="U1607" s="2" t="s">
        <v>100</v>
      </c>
      <c r="V1607" s="2" t="s">
        <v>2510</v>
      </c>
      <c r="W1607" s="2" t="s">
        <v>1136</v>
      </c>
      <c r="X1607" s="2" t="s">
        <v>100</v>
      </c>
      <c r="Y1607" s="2" t="s">
        <v>1108</v>
      </c>
      <c r="Z1607" s="4">
        <v>300</v>
      </c>
      <c r="AA1607" s="4">
        <f>=ROUNDDOWN(8.33333333333333,0)</f>
      </c>
      <c r="AB1607" s="5">
        <v>36</v>
      </c>
      <c r="AC1607" s="2" t="s">
        <v>312</v>
      </c>
      <c r="AD1607" s="4">
        <v>300</v>
      </c>
      <c r="AE1607" s="4">
        <v>800</v>
      </c>
      <c r="AF1607" s="6">
        <v>64</v>
      </c>
      <c r="AG1607" s="6"/>
      <c r="AH1607" s="7">
        <v>0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/>
      <c r="AW1607" s="8"/>
      <c r="AX1607" s="4"/>
      <c r="AY1607" s="8"/>
      <c r="AZ1607" s="7"/>
      <c r="BA1607" s="7"/>
      <c r="BB1607" s="7"/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/>
      <c r="BJ1607" s="4">
        <v>1</v>
      </c>
      <c r="BK1607" s="8">
        <v>13.14</v>
      </c>
      <c r="BL1607" s="2" t="s">
        <v>2071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109</v>
      </c>
      <c r="BV1607" s="2" t="s">
        <v>97</v>
      </c>
      <c r="BW1607" s="2" t="s">
        <v>1824</v>
      </c>
      <c r="BX1607" s="2" t="s">
        <v>5855</v>
      </c>
      <c r="BY1607" s="2" t="s">
        <v>112</v>
      </c>
      <c r="BZ1607" s="2" t="s">
        <v>100</v>
      </c>
    </row>
    <row r="1608">
      <c r="A1608" s="2" t="s">
        <v>5856</v>
      </c>
      <c r="B1608" s="2" t="s">
        <v>5155</v>
      </c>
      <c r="C1608" s="2" t="s">
        <v>88</v>
      </c>
      <c r="D1608" s="2" t="s">
        <v>2505</v>
      </c>
      <c r="E1608" s="2" t="s">
        <v>2506</v>
      </c>
      <c r="F1608" s="2" t="s">
        <v>5460</v>
      </c>
      <c r="G1608" s="2" t="s">
        <v>5461</v>
      </c>
      <c r="H1608" s="2" t="s">
        <v>5461</v>
      </c>
      <c r="I1608" s="2" t="s">
        <v>5837</v>
      </c>
      <c r="J1608" s="2" t="s">
        <v>3172</v>
      </c>
      <c r="K1608" s="2" t="s">
        <v>5857</v>
      </c>
      <c r="L1608" s="3">
        <v>14.83</v>
      </c>
      <c r="M1608" s="3">
        <v>15.57</v>
      </c>
      <c r="N1608" s="3">
        <v>31.99</v>
      </c>
      <c r="O1608" s="2" t="s">
        <v>97</v>
      </c>
      <c r="P1608" s="2" t="s">
        <v>98</v>
      </c>
      <c r="Q1608" s="2" t="s">
        <v>99</v>
      </c>
      <c r="R1608" s="2" t="s">
        <v>100</v>
      </c>
      <c r="S1608" s="2" t="s">
        <v>5858</v>
      </c>
      <c r="T1608" s="2" t="s">
        <v>5436</v>
      </c>
      <c r="U1608" s="2" t="s">
        <v>1776</v>
      </c>
      <c r="V1608" s="2" t="s">
        <v>2510</v>
      </c>
      <c r="W1608" s="2" t="s">
        <v>1136</v>
      </c>
      <c r="X1608" s="2" t="s">
        <v>100</v>
      </c>
      <c r="Y1608" s="2" t="s">
        <v>5859</v>
      </c>
      <c r="Z1608" s="4">
        <v>297</v>
      </c>
      <c r="AA1608" s="4">
        <f>=ROUNDDOWN(39.0789473684211,0)</f>
      </c>
      <c r="AB1608" s="5">
        <v>7.6</v>
      </c>
      <c r="AC1608" s="2" t="s">
        <v>100</v>
      </c>
      <c r="AD1608" s="4"/>
      <c r="AE1608" s="4"/>
      <c r="AF1608" s="6">
        <v>64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/>
      <c r="BJ1608" s="4">
        <v>34</v>
      </c>
      <c r="BK1608" s="8">
        <v>508.43</v>
      </c>
      <c r="BL1608" s="2" t="s">
        <v>5860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109</v>
      </c>
      <c r="BV1608" s="2" t="s">
        <v>97</v>
      </c>
      <c r="BW1608" s="2" t="s">
        <v>1531</v>
      </c>
      <c r="BX1608" s="2" t="s">
        <v>2213</v>
      </c>
      <c r="BY1608" s="2" t="s">
        <v>112</v>
      </c>
      <c r="BZ1608" s="2" t="s">
        <v>100</v>
      </c>
    </row>
    <row r="1609">
      <c r="A1609" s="2" t="s">
        <v>5861</v>
      </c>
      <c r="B1609" s="2" t="s">
        <v>5155</v>
      </c>
      <c r="C1609" s="2" t="s">
        <v>88</v>
      </c>
      <c r="D1609" s="2" t="s">
        <v>2505</v>
      </c>
      <c r="E1609" s="2" t="s">
        <v>2506</v>
      </c>
      <c r="F1609" s="2" t="s">
        <v>5460</v>
      </c>
      <c r="G1609" s="2" t="s">
        <v>5461</v>
      </c>
      <c r="H1609" s="2" t="s">
        <v>5461</v>
      </c>
      <c r="I1609" s="2" t="s">
        <v>5837</v>
      </c>
      <c r="J1609" s="2" t="s">
        <v>3172</v>
      </c>
      <c r="K1609" s="2" t="s">
        <v>5826</v>
      </c>
      <c r="L1609" s="3">
        <v>14.83</v>
      </c>
      <c r="M1609" s="3">
        <v>15.57</v>
      </c>
      <c r="N1609" s="3">
        <v>31.99</v>
      </c>
      <c r="O1609" s="2" t="s">
        <v>97</v>
      </c>
      <c r="P1609" s="2" t="s">
        <v>98</v>
      </c>
      <c r="Q1609" s="2" t="s">
        <v>99</v>
      </c>
      <c r="R1609" s="2" t="s">
        <v>100</v>
      </c>
      <c r="S1609" s="2" t="s">
        <v>5862</v>
      </c>
      <c r="T1609" s="2" t="s">
        <v>5436</v>
      </c>
      <c r="U1609" s="2" t="s">
        <v>1776</v>
      </c>
      <c r="V1609" s="2" t="s">
        <v>2510</v>
      </c>
      <c r="W1609" s="2" t="s">
        <v>1136</v>
      </c>
      <c r="X1609" s="2" t="s">
        <v>100</v>
      </c>
      <c r="Y1609" s="2" t="s">
        <v>5863</v>
      </c>
      <c r="Z1609" s="4">
        <v>185</v>
      </c>
      <c r="AA1609" s="4">
        <f>=ROUNDDOWN(11.5625,0)</f>
      </c>
      <c r="AB1609" s="5">
        <v>16</v>
      </c>
      <c r="AC1609" s="2" t="s">
        <v>201</v>
      </c>
      <c r="AD1609" s="4">
        <v>200</v>
      </c>
      <c r="AE1609" s="4">
        <v>450</v>
      </c>
      <c r="AF1609" s="6">
        <v>64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/>
      <c r="AW1609" s="8"/>
      <c r="AX1609" s="4"/>
      <c r="AY1609" s="8"/>
      <c r="AZ1609" s="7"/>
      <c r="BA1609" s="7"/>
      <c r="BB1609" s="7"/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/>
      <c r="BJ1609" s="4">
        <v>38</v>
      </c>
      <c r="BK1609" s="8">
        <v>571.41</v>
      </c>
      <c r="BL1609" s="2" t="s">
        <v>5864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1531</v>
      </c>
      <c r="BX1609" s="2" t="s">
        <v>199</v>
      </c>
      <c r="BY1609" s="2" t="s">
        <v>112</v>
      </c>
      <c r="BZ1609" s="2" t="s">
        <v>100</v>
      </c>
    </row>
    <row r="1610">
      <c r="A1610" s="2" t="s">
        <v>5865</v>
      </c>
      <c r="B1610" s="2" t="s">
        <v>5155</v>
      </c>
      <c r="C1610" s="2" t="s">
        <v>88</v>
      </c>
      <c r="D1610" s="2" t="s">
        <v>2505</v>
      </c>
      <c r="E1610" s="2" t="s">
        <v>2506</v>
      </c>
      <c r="F1610" s="2" t="s">
        <v>5733</v>
      </c>
      <c r="G1610" s="2" t="s">
        <v>5734</v>
      </c>
      <c r="H1610" s="2" t="s">
        <v>5734</v>
      </c>
      <c r="I1610" s="2" t="s">
        <v>5837</v>
      </c>
      <c r="J1610" s="2" t="s">
        <v>3172</v>
      </c>
      <c r="K1610" s="2" t="s">
        <v>188</v>
      </c>
      <c r="L1610" s="3">
        <v>14.86</v>
      </c>
      <c r="M1610" s="3">
        <v>15.6</v>
      </c>
      <c r="N1610" s="3">
        <v>34.99</v>
      </c>
      <c r="O1610" s="2" t="s">
        <v>97</v>
      </c>
      <c r="P1610" s="2" t="s">
        <v>98</v>
      </c>
      <c r="Q1610" s="2" t="s">
        <v>99</v>
      </c>
      <c r="R1610" s="2" t="s">
        <v>100</v>
      </c>
      <c r="S1610" s="2" t="s">
        <v>5866</v>
      </c>
      <c r="T1610" s="2" t="s">
        <v>5436</v>
      </c>
      <c r="U1610" s="2" t="s">
        <v>100</v>
      </c>
      <c r="V1610" s="2" t="s">
        <v>461</v>
      </c>
      <c r="W1610" s="2" t="s">
        <v>1136</v>
      </c>
      <c r="X1610" s="2" t="s">
        <v>100</v>
      </c>
      <c r="Y1610" s="2" t="s">
        <v>106</v>
      </c>
      <c r="Z1610" s="4">
        <v>456</v>
      </c>
      <c r="AA1610" s="4">
        <f>=ROUNDDOWN(23.030303030303,0)</f>
      </c>
      <c r="AB1610" s="5">
        <v>19.8</v>
      </c>
      <c r="AC1610" s="2" t="s">
        <v>958</v>
      </c>
      <c r="AD1610" s="4">
        <v>150</v>
      </c>
      <c r="AE1610" s="4">
        <v>150</v>
      </c>
      <c r="AF1610" s="6">
        <v>64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1</v>
      </c>
      <c r="AQ1610" s="8">
        <v>11.81</v>
      </c>
      <c r="AR1610" s="4"/>
      <c r="AS1610" s="8"/>
      <c r="AT1610" s="7"/>
      <c r="AU1610" s="7"/>
      <c r="AV1610" s="4">
        <v>1</v>
      </c>
      <c r="AW1610" s="8">
        <v>11.81</v>
      </c>
      <c r="AX1610" s="4"/>
      <c r="AY1610" s="8"/>
      <c r="AZ1610" s="7"/>
      <c r="BA1610" s="7"/>
      <c r="BB1610" s="7">
        <v>1</v>
      </c>
      <c r="BC1610" s="4">
        <v>1</v>
      </c>
      <c r="BD1610" s="8">
        <v>11.81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>
        <v>1</v>
      </c>
      <c r="BJ1610" s="4">
        <v>46</v>
      </c>
      <c r="BK1610" s="8">
        <v>698.3</v>
      </c>
      <c r="BL1610" s="2" t="s">
        <v>5867</v>
      </c>
      <c r="BM1610" s="7">
        <v>0.0217</v>
      </c>
      <c r="BN1610" s="7">
        <v>0.0169</v>
      </c>
      <c r="BO1610" s="4">
        <v>1</v>
      </c>
      <c r="BP1610" s="8">
        <v>11.81</v>
      </c>
      <c r="BQ1610" s="4"/>
      <c r="BR1610" s="8"/>
      <c r="BS1610" s="7"/>
      <c r="BT1610" s="7"/>
      <c r="BU1610" s="2" t="s">
        <v>109</v>
      </c>
      <c r="BV1610" s="2" t="s">
        <v>97</v>
      </c>
      <c r="BW1610" s="2" t="s">
        <v>5840</v>
      </c>
      <c r="BX1610" s="2" t="s">
        <v>5615</v>
      </c>
      <c r="BY1610" s="2" t="s">
        <v>112</v>
      </c>
      <c r="BZ1610" s="2" t="s">
        <v>100</v>
      </c>
    </row>
    <row r="1611">
      <c r="A1611" s="2" t="s">
        <v>5868</v>
      </c>
      <c r="B1611" s="2" t="s">
        <v>5155</v>
      </c>
      <c r="C1611" s="2" t="s">
        <v>88</v>
      </c>
      <c r="D1611" s="2" t="s">
        <v>2505</v>
      </c>
      <c r="E1611" s="2" t="s">
        <v>2506</v>
      </c>
      <c r="F1611" s="2" t="s">
        <v>5733</v>
      </c>
      <c r="G1611" s="2" t="s">
        <v>5734</v>
      </c>
      <c r="H1611" s="2" t="s">
        <v>5734</v>
      </c>
      <c r="I1611" s="2" t="s">
        <v>5837</v>
      </c>
      <c r="J1611" s="2" t="s">
        <v>3172</v>
      </c>
      <c r="K1611" s="2" t="s">
        <v>165</v>
      </c>
      <c r="L1611" s="3">
        <v>14.86</v>
      </c>
      <c r="M1611" s="3">
        <v>15.6</v>
      </c>
      <c r="N1611" s="3">
        <v>34.99</v>
      </c>
      <c r="O1611" s="2" t="s">
        <v>97</v>
      </c>
      <c r="P1611" s="2" t="s">
        <v>156</v>
      </c>
      <c r="Q1611" s="2" t="s">
        <v>99</v>
      </c>
      <c r="R1611" s="2" t="s">
        <v>100</v>
      </c>
      <c r="S1611" s="2" t="s">
        <v>5869</v>
      </c>
      <c r="T1611" s="2" t="s">
        <v>5436</v>
      </c>
      <c r="U1611" s="2" t="s">
        <v>100</v>
      </c>
      <c r="V1611" s="2" t="s">
        <v>461</v>
      </c>
      <c r="W1611" s="2" t="s">
        <v>1136</v>
      </c>
      <c r="X1611" s="2" t="s">
        <v>100</v>
      </c>
      <c r="Y1611" s="2" t="s">
        <v>144</v>
      </c>
      <c r="Z1611" s="4">
        <v>692</v>
      </c>
      <c r="AA1611" s="4">
        <f>=ROUNDDOWN(27.68,0)</f>
      </c>
      <c r="AB1611" s="5">
        <v>25</v>
      </c>
      <c r="AC1611" s="2" t="s">
        <v>100</v>
      </c>
      <c r="AD1611" s="4"/>
      <c r="AE1611" s="4"/>
      <c r="AF1611" s="6">
        <v>64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/>
      <c r="BJ1611" s="4">
        <v>107</v>
      </c>
      <c r="BK1611" s="8">
        <v>1612.64</v>
      </c>
      <c r="BL1611" s="2" t="s">
        <v>5870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1824</v>
      </c>
      <c r="BX1611" s="2" t="s">
        <v>1826</v>
      </c>
      <c r="BY1611" s="2" t="s">
        <v>112</v>
      </c>
      <c r="BZ1611" s="2" t="s">
        <v>100</v>
      </c>
    </row>
    <row r="1612">
      <c r="A1612" s="2" t="s">
        <v>5871</v>
      </c>
      <c r="B1612" s="2" t="s">
        <v>5155</v>
      </c>
      <c r="C1612" s="2" t="s">
        <v>88</v>
      </c>
      <c r="D1612" s="2" t="s">
        <v>2505</v>
      </c>
      <c r="E1612" s="2" t="s">
        <v>2506</v>
      </c>
      <c r="F1612" s="2" t="s">
        <v>5733</v>
      </c>
      <c r="G1612" s="2" t="s">
        <v>5734</v>
      </c>
      <c r="H1612" s="2" t="s">
        <v>5734</v>
      </c>
      <c r="I1612" s="2" t="s">
        <v>5872</v>
      </c>
      <c r="J1612" s="2" t="s">
        <v>3172</v>
      </c>
      <c r="K1612" s="2" t="s">
        <v>179</v>
      </c>
      <c r="L1612" s="3">
        <v>14.86</v>
      </c>
      <c r="M1612" s="3">
        <v>15.6</v>
      </c>
      <c r="N1612" s="3">
        <v>34.99</v>
      </c>
      <c r="O1612" s="2" t="s">
        <v>97</v>
      </c>
      <c r="P1612" s="2" t="s">
        <v>98</v>
      </c>
      <c r="Q1612" s="2" t="s">
        <v>99</v>
      </c>
      <c r="R1612" s="2" t="s">
        <v>100</v>
      </c>
      <c r="S1612" s="2" t="s">
        <v>5747</v>
      </c>
      <c r="T1612" s="2" t="s">
        <v>100</v>
      </c>
      <c r="U1612" s="2" t="s">
        <v>100</v>
      </c>
      <c r="V1612" s="2" t="s">
        <v>461</v>
      </c>
      <c r="W1612" s="2" t="s">
        <v>1136</v>
      </c>
      <c r="X1612" s="2" t="s">
        <v>100</v>
      </c>
      <c r="Y1612" s="2" t="s">
        <v>4899</v>
      </c>
      <c r="Z1612" s="4">
        <v>419</v>
      </c>
      <c r="AA1612" s="4">
        <f>=ROUNDDOWN(18.0603448275862,0)</f>
      </c>
      <c r="AB1612" s="5">
        <v>23.2</v>
      </c>
      <c r="AC1612" s="2" t="s">
        <v>100</v>
      </c>
      <c r="AD1612" s="4"/>
      <c r="AE1612" s="4"/>
      <c r="AF1612" s="6">
        <v>64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/>
      <c r="BJ1612" s="4">
        <v>49</v>
      </c>
      <c r="BK1612" s="8">
        <v>743.12</v>
      </c>
      <c r="BL1612" s="2" t="s">
        <v>1380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171</v>
      </c>
      <c r="BV1612" s="2" t="s">
        <v>97</v>
      </c>
      <c r="BW1612" s="2" t="s">
        <v>100</v>
      </c>
      <c r="BX1612" s="2" t="s">
        <v>100</v>
      </c>
      <c r="BY1612" s="2" t="s">
        <v>112</v>
      </c>
      <c r="BZ1612" s="2" t="s">
        <v>100</v>
      </c>
    </row>
    <row r="1613">
      <c r="A1613" s="2" t="s">
        <v>5873</v>
      </c>
      <c r="B1613" s="2" t="s">
        <v>5155</v>
      </c>
      <c r="C1613" s="2" t="s">
        <v>88</v>
      </c>
      <c r="D1613" s="2" t="s">
        <v>2505</v>
      </c>
      <c r="E1613" s="2" t="s">
        <v>2506</v>
      </c>
      <c r="F1613" s="2" t="s">
        <v>5733</v>
      </c>
      <c r="G1613" s="2" t="s">
        <v>5734</v>
      </c>
      <c r="H1613" s="2" t="s">
        <v>5734</v>
      </c>
      <c r="I1613" s="2" t="s">
        <v>5837</v>
      </c>
      <c r="J1613" s="2" t="s">
        <v>3172</v>
      </c>
      <c r="K1613" s="2" t="s">
        <v>138</v>
      </c>
      <c r="L1613" s="3">
        <v>14.86</v>
      </c>
      <c r="M1613" s="3">
        <v>15.6</v>
      </c>
      <c r="N1613" s="3">
        <v>34.99</v>
      </c>
      <c r="O1613" s="2" t="s">
        <v>97</v>
      </c>
      <c r="P1613" s="2" t="s">
        <v>156</v>
      </c>
      <c r="Q1613" s="2" t="s">
        <v>99</v>
      </c>
      <c r="R1613" s="2" t="s">
        <v>100</v>
      </c>
      <c r="S1613" s="2" t="s">
        <v>5874</v>
      </c>
      <c r="T1613" s="2" t="s">
        <v>5436</v>
      </c>
      <c r="U1613" s="2" t="s">
        <v>100</v>
      </c>
      <c r="V1613" s="2" t="s">
        <v>461</v>
      </c>
      <c r="W1613" s="2" t="s">
        <v>1136</v>
      </c>
      <c r="X1613" s="2" t="s">
        <v>100</v>
      </c>
      <c r="Y1613" s="2" t="s">
        <v>144</v>
      </c>
      <c r="Z1613" s="4">
        <v>472</v>
      </c>
      <c r="AA1613" s="4">
        <f>=ROUNDDOWN(17.4814814814815,0)</f>
      </c>
      <c r="AB1613" s="5">
        <v>27</v>
      </c>
      <c r="AC1613" s="2" t="s">
        <v>824</v>
      </c>
      <c r="AD1613" s="4">
        <v>500</v>
      </c>
      <c r="AE1613" s="4">
        <v>1100</v>
      </c>
      <c r="AF1613" s="6">
        <v>64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/>
      <c r="BJ1613" s="4">
        <v>117</v>
      </c>
      <c r="BK1613" s="8">
        <v>1768.89</v>
      </c>
      <c r="BL1613" s="2" t="s">
        <v>5875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4187</v>
      </c>
      <c r="BX1613" s="2" t="s">
        <v>5876</v>
      </c>
      <c r="BY1613" s="2" t="s">
        <v>112</v>
      </c>
      <c r="BZ1613" s="2" t="s">
        <v>100</v>
      </c>
    </row>
    <row r="1614">
      <c r="A1614" s="2" t="s">
        <v>5877</v>
      </c>
      <c r="B1614" s="2" t="s">
        <v>5155</v>
      </c>
      <c r="C1614" s="2" t="s">
        <v>88</v>
      </c>
      <c r="D1614" s="2" t="s">
        <v>2505</v>
      </c>
      <c r="E1614" s="2" t="s">
        <v>2506</v>
      </c>
      <c r="F1614" s="2" t="s">
        <v>5733</v>
      </c>
      <c r="G1614" s="2" t="s">
        <v>5734</v>
      </c>
      <c r="H1614" s="2" t="s">
        <v>5734</v>
      </c>
      <c r="I1614" s="2" t="s">
        <v>5837</v>
      </c>
      <c r="J1614" s="2" t="s">
        <v>3172</v>
      </c>
      <c r="K1614" s="2" t="s">
        <v>96</v>
      </c>
      <c r="L1614" s="3">
        <v>14.86</v>
      </c>
      <c r="M1614" s="3">
        <v>15.6</v>
      </c>
      <c r="N1614" s="3">
        <v>34.99</v>
      </c>
      <c r="O1614" s="2" t="s">
        <v>97</v>
      </c>
      <c r="P1614" s="2" t="s">
        <v>123</v>
      </c>
      <c r="Q1614" s="2" t="s">
        <v>99</v>
      </c>
      <c r="R1614" s="2" t="s">
        <v>100</v>
      </c>
      <c r="S1614" s="2" t="s">
        <v>5878</v>
      </c>
      <c r="T1614" s="2" t="s">
        <v>5436</v>
      </c>
      <c r="U1614" s="2" t="s">
        <v>100</v>
      </c>
      <c r="V1614" s="2" t="s">
        <v>461</v>
      </c>
      <c r="W1614" s="2" t="s">
        <v>1136</v>
      </c>
      <c r="X1614" s="2" t="s">
        <v>100</v>
      </c>
      <c r="Y1614" s="2" t="s">
        <v>144</v>
      </c>
      <c r="Z1614" s="4">
        <v>1016</v>
      </c>
      <c r="AA1614" s="4">
        <f>=ROUNDDOWN(33.8666666666667,0)</f>
      </c>
      <c r="AB1614" s="5">
        <v>30</v>
      </c>
      <c r="AC1614" s="2" t="s">
        <v>824</v>
      </c>
      <c r="AD1614" s="4">
        <v>250</v>
      </c>
      <c r="AE1614" s="4">
        <v>450</v>
      </c>
      <c r="AF1614" s="6">
        <v>64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 t="s">
        <v>100</v>
      </c>
      <c r="BD1614" s="8" t="s">
        <v>100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/>
      <c r="BJ1614" s="4">
        <v>138</v>
      </c>
      <c r="BK1614" s="8">
        <v>2118.2</v>
      </c>
      <c r="BL1614" s="2" t="s">
        <v>1699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4187</v>
      </c>
      <c r="BX1614" s="2" t="s">
        <v>5661</v>
      </c>
      <c r="BY1614" s="2" t="s">
        <v>112</v>
      </c>
      <c r="BZ1614" s="2" t="s">
        <v>100</v>
      </c>
    </row>
    <row r="1615">
      <c r="A1615" s="2" t="s">
        <v>5879</v>
      </c>
      <c r="B1615" s="2" t="s">
        <v>5155</v>
      </c>
      <c r="C1615" s="2" t="s">
        <v>88</v>
      </c>
      <c r="D1615" s="2" t="s">
        <v>2505</v>
      </c>
      <c r="E1615" s="2" t="s">
        <v>2506</v>
      </c>
      <c r="F1615" s="2" t="s">
        <v>5733</v>
      </c>
      <c r="G1615" s="2" t="s">
        <v>5734</v>
      </c>
      <c r="H1615" s="2" t="s">
        <v>5734</v>
      </c>
      <c r="I1615" s="2" t="s">
        <v>5837</v>
      </c>
      <c r="J1615" s="2" t="s">
        <v>3172</v>
      </c>
      <c r="K1615" s="2" t="s">
        <v>1373</v>
      </c>
      <c r="L1615" s="3">
        <v>14.86</v>
      </c>
      <c r="M1615" s="3">
        <v>15.6</v>
      </c>
      <c r="N1615" s="3">
        <v>34.99</v>
      </c>
      <c r="O1615" s="2" t="s">
        <v>97</v>
      </c>
      <c r="P1615" s="2" t="s">
        <v>123</v>
      </c>
      <c r="Q1615" s="2" t="s">
        <v>99</v>
      </c>
      <c r="R1615" s="2" t="s">
        <v>100</v>
      </c>
      <c r="S1615" s="2" t="s">
        <v>5880</v>
      </c>
      <c r="T1615" s="2" t="s">
        <v>5436</v>
      </c>
      <c r="U1615" s="2" t="s">
        <v>100</v>
      </c>
      <c r="V1615" s="2" t="s">
        <v>461</v>
      </c>
      <c r="W1615" s="2" t="s">
        <v>1136</v>
      </c>
      <c r="X1615" s="2" t="s">
        <v>100</v>
      </c>
      <c r="Y1615" s="2" t="s">
        <v>144</v>
      </c>
      <c r="Z1615" s="4">
        <v>819</v>
      </c>
      <c r="AA1615" s="4">
        <f>=ROUNDDOWN(15.4528301886792,0)</f>
      </c>
      <c r="AB1615" s="5">
        <v>53</v>
      </c>
      <c r="AC1615" s="2" t="s">
        <v>824</v>
      </c>
      <c r="AD1615" s="4">
        <v>400</v>
      </c>
      <c r="AE1615" s="4">
        <v>752</v>
      </c>
      <c r="AF1615" s="6">
        <v>64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/>
      <c r="BJ1615" s="4">
        <v>239</v>
      </c>
      <c r="BK1615" s="8">
        <v>3617.1</v>
      </c>
      <c r="BL1615" s="2" t="s">
        <v>5881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4187</v>
      </c>
      <c r="BX1615" s="2" t="s">
        <v>1818</v>
      </c>
      <c r="BY1615" s="2" t="s">
        <v>112</v>
      </c>
      <c r="BZ1615" s="2" t="s">
        <v>100</v>
      </c>
    </row>
    <row r="1616">
      <c r="A1616" s="2" t="s">
        <v>5882</v>
      </c>
      <c r="B1616" s="2" t="s">
        <v>5155</v>
      </c>
      <c r="C1616" s="2" t="s">
        <v>88</v>
      </c>
      <c r="D1616" s="2" t="s">
        <v>1771</v>
      </c>
      <c r="E1616" s="2" t="s">
        <v>1772</v>
      </c>
      <c r="F1616" s="2" t="s">
        <v>2154</v>
      </c>
      <c r="G1616" s="2" t="s">
        <v>5796</v>
      </c>
      <c r="H1616" s="2" t="s">
        <v>5796</v>
      </c>
      <c r="I1616" s="2" t="s">
        <v>5883</v>
      </c>
      <c r="J1616" s="2" t="s">
        <v>5399</v>
      </c>
      <c r="K1616" s="2" t="s">
        <v>138</v>
      </c>
      <c r="L1616" s="3">
        <v>15.18</v>
      </c>
      <c r="M1616" s="3">
        <v>15.94</v>
      </c>
      <c r="N1616" s="3">
        <v>32.99</v>
      </c>
      <c r="O1616" s="2" t="s">
        <v>97</v>
      </c>
      <c r="P1616" s="2" t="s">
        <v>98</v>
      </c>
      <c r="Q1616" s="2" t="s">
        <v>99</v>
      </c>
      <c r="R1616" s="2" t="s">
        <v>100</v>
      </c>
      <c r="S1616" s="2" t="s">
        <v>5798</v>
      </c>
      <c r="T1616" s="2" t="s">
        <v>4296</v>
      </c>
      <c r="U1616" s="2" t="s">
        <v>100</v>
      </c>
      <c r="V1616" s="2" t="s">
        <v>461</v>
      </c>
      <c r="W1616" s="2" t="s">
        <v>609</v>
      </c>
      <c r="X1616" s="2" t="s">
        <v>100</v>
      </c>
      <c r="Y1616" s="2" t="s">
        <v>144</v>
      </c>
      <c r="Z1616" s="4"/>
      <c r="AA1616" s="4">
        <f>=ROUNDDOWN({0},0)</f>
      </c>
      <c r="AB1616" s="5">
        <v>40</v>
      </c>
      <c r="AC1616" s="2" t="s">
        <v>1142</v>
      </c>
      <c r="AD1616" s="4">
        <v>490</v>
      </c>
      <c r="AE1616" s="4">
        <v>1540</v>
      </c>
      <c r="AF1616" s="6">
        <v>65</v>
      </c>
      <c r="AG1616" s="6"/>
      <c r="AH1616" s="7">
        <v>0.0968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2</v>
      </c>
      <c r="AQ1616" s="8">
        <v>28.36</v>
      </c>
      <c r="AR1616" s="4"/>
      <c r="AS1616" s="8"/>
      <c r="AT1616" s="7"/>
      <c r="AU1616" s="7"/>
      <c r="AV1616" s="4">
        <v>2</v>
      </c>
      <c r="AW1616" s="8">
        <v>28.36</v>
      </c>
      <c r="AX1616" s="4"/>
      <c r="AY1616" s="8"/>
      <c r="AZ1616" s="7"/>
      <c r="BA1616" s="7"/>
      <c r="BB1616" s="7">
        <v>1</v>
      </c>
      <c r="BC1616" s="4">
        <v>2</v>
      </c>
      <c r="BD1616" s="8">
        <v>28.36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>
        <v>1</v>
      </c>
      <c r="BJ1616" s="4">
        <v>16</v>
      </c>
      <c r="BK1616" s="8">
        <v>267.53</v>
      </c>
      <c r="BL1616" s="2" t="s">
        <v>5884</v>
      </c>
      <c r="BM1616" s="7">
        <v>0.125</v>
      </c>
      <c r="BN1616" s="7">
        <v>0.106</v>
      </c>
      <c r="BO1616" s="4">
        <v>2</v>
      </c>
      <c r="BP1616" s="8">
        <v>28.36</v>
      </c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4187</v>
      </c>
      <c r="BX1616" s="2" t="s">
        <v>2203</v>
      </c>
      <c r="BY1616" s="2" t="s">
        <v>112</v>
      </c>
      <c r="BZ1616" s="2" t="s">
        <v>100</v>
      </c>
    </row>
    <row r="1617">
      <c r="A1617" s="2" t="s">
        <v>5885</v>
      </c>
      <c r="B1617" s="2" t="s">
        <v>5155</v>
      </c>
      <c r="C1617" s="2" t="s">
        <v>88</v>
      </c>
      <c r="D1617" s="2" t="s">
        <v>1771</v>
      </c>
      <c r="E1617" s="2" t="s">
        <v>1772</v>
      </c>
      <c r="F1617" s="2" t="s">
        <v>2154</v>
      </c>
      <c r="G1617" s="2" t="s">
        <v>5796</v>
      </c>
      <c r="H1617" s="2" t="s">
        <v>5796</v>
      </c>
      <c r="I1617" s="2" t="s">
        <v>5883</v>
      </c>
      <c r="J1617" s="2" t="s">
        <v>5399</v>
      </c>
      <c r="K1617" s="2" t="s">
        <v>96</v>
      </c>
      <c r="L1617" s="3">
        <v>15.18</v>
      </c>
      <c r="M1617" s="3">
        <v>15.94</v>
      </c>
      <c r="N1617" s="3">
        <v>32.99</v>
      </c>
      <c r="O1617" s="2" t="s">
        <v>97</v>
      </c>
      <c r="P1617" s="2" t="s">
        <v>98</v>
      </c>
      <c r="Q1617" s="2" t="s">
        <v>99</v>
      </c>
      <c r="R1617" s="2" t="s">
        <v>100</v>
      </c>
      <c r="S1617" s="2" t="s">
        <v>5802</v>
      </c>
      <c r="T1617" s="2" t="s">
        <v>4296</v>
      </c>
      <c r="U1617" s="2" t="s">
        <v>100</v>
      </c>
      <c r="V1617" s="2" t="s">
        <v>461</v>
      </c>
      <c r="W1617" s="2" t="s">
        <v>609</v>
      </c>
      <c r="X1617" s="2" t="s">
        <v>100</v>
      </c>
      <c r="Y1617" s="2" t="s">
        <v>144</v>
      </c>
      <c r="Z1617" s="4"/>
      <c r="AA1617" s="4">
        <f>=ROUNDDOWN({0},0)</f>
      </c>
      <c r="AB1617" s="5">
        <v>88</v>
      </c>
      <c r="AC1617" s="2" t="s">
        <v>1142</v>
      </c>
      <c r="AD1617" s="4">
        <v>1090</v>
      </c>
      <c r="AE1617" s="4">
        <v>3400</v>
      </c>
      <c r="AF1617" s="6">
        <v>65</v>
      </c>
      <c r="AG1617" s="6"/>
      <c r="AH1617" s="7">
        <v>0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/>
      <c r="BJ1617" s="4">
        <v>2</v>
      </c>
      <c r="BK1617" s="8">
        <v>31.88</v>
      </c>
      <c r="BL1617" s="2" t="s">
        <v>3477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4187</v>
      </c>
      <c r="BX1617" s="2" t="s">
        <v>4284</v>
      </c>
      <c r="BY1617" s="2" t="s">
        <v>112</v>
      </c>
      <c r="BZ1617" s="2" t="s">
        <v>100</v>
      </c>
    </row>
    <row r="1618">
      <c r="A1618" s="2" t="s">
        <v>5886</v>
      </c>
      <c r="B1618" s="2" t="s">
        <v>5155</v>
      </c>
      <c r="C1618" s="2" t="s">
        <v>88</v>
      </c>
      <c r="D1618" s="2" t="s">
        <v>1771</v>
      </c>
      <c r="E1618" s="2" t="s">
        <v>1772</v>
      </c>
      <c r="F1618" s="2" t="s">
        <v>2154</v>
      </c>
      <c r="G1618" s="2" t="s">
        <v>5796</v>
      </c>
      <c r="H1618" s="2" t="s">
        <v>5796</v>
      </c>
      <c r="I1618" s="2" t="s">
        <v>5883</v>
      </c>
      <c r="J1618" s="2" t="s">
        <v>5399</v>
      </c>
      <c r="K1618" s="2" t="s">
        <v>1373</v>
      </c>
      <c r="L1618" s="3">
        <v>15.18</v>
      </c>
      <c r="M1618" s="3">
        <v>15.94</v>
      </c>
      <c r="N1618" s="3">
        <v>32.99</v>
      </c>
      <c r="O1618" s="2" t="s">
        <v>97</v>
      </c>
      <c r="P1618" s="2" t="s">
        <v>98</v>
      </c>
      <c r="Q1618" s="2" t="s">
        <v>99</v>
      </c>
      <c r="R1618" s="2" t="s">
        <v>100</v>
      </c>
      <c r="S1618" s="2" t="s">
        <v>5887</v>
      </c>
      <c r="T1618" s="2" t="s">
        <v>4296</v>
      </c>
      <c r="U1618" s="2" t="s">
        <v>100</v>
      </c>
      <c r="V1618" s="2" t="s">
        <v>461</v>
      </c>
      <c r="W1618" s="2" t="s">
        <v>609</v>
      </c>
      <c r="X1618" s="2" t="s">
        <v>100</v>
      </c>
      <c r="Y1618" s="2" t="s">
        <v>144</v>
      </c>
      <c r="Z1618" s="4"/>
      <c r="AA1618" s="4">
        <f>=ROUNDDOWN({0},0)</f>
      </c>
      <c r="AB1618" s="5">
        <v>54</v>
      </c>
      <c r="AC1618" s="2" t="s">
        <v>1142</v>
      </c>
      <c r="AD1618" s="4">
        <v>680</v>
      </c>
      <c r="AE1618" s="4">
        <v>2120</v>
      </c>
      <c r="AF1618" s="6">
        <v>65</v>
      </c>
      <c r="AG1618" s="6"/>
      <c r="AH1618" s="7">
        <v>0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/>
      <c r="BJ1618" s="4">
        <v>1</v>
      </c>
      <c r="BK1618" s="8">
        <v>15.94</v>
      </c>
      <c r="BL1618" s="2" t="s">
        <v>3477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109</v>
      </c>
      <c r="BV1618" s="2" t="s">
        <v>97</v>
      </c>
      <c r="BW1618" s="2" t="s">
        <v>4187</v>
      </c>
      <c r="BX1618" s="2" t="s">
        <v>4194</v>
      </c>
      <c r="BY1618" s="2" t="s">
        <v>112</v>
      </c>
      <c r="BZ1618" s="2" t="s">
        <v>100</v>
      </c>
    </row>
    <row r="1619">
      <c r="A1619" s="2" t="s">
        <v>5888</v>
      </c>
      <c r="B1619" s="2" t="s">
        <v>5155</v>
      </c>
      <c r="C1619" s="2" t="s">
        <v>88</v>
      </c>
      <c r="D1619" s="2" t="s">
        <v>1771</v>
      </c>
      <c r="E1619" s="2" t="s">
        <v>1772</v>
      </c>
      <c r="F1619" s="2" t="s">
        <v>2154</v>
      </c>
      <c r="G1619" s="2" t="s">
        <v>5796</v>
      </c>
      <c r="H1619" s="2" t="s">
        <v>5796</v>
      </c>
      <c r="I1619" s="2" t="s">
        <v>5883</v>
      </c>
      <c r="J1619" s="2" t="s">
        <v>5399</v>
      </c>
      <c r="K1619" s="2" t="s">
        <v>223</v>
      </c>
      <c r="L1619" s="3">
        <v>15.18</v>
      </c>
      <c r="M1619" s="3">
        <v>15.94</v>
      </c>
      <c r="N1619" s="3">
        <v>32.99</v>
      </c>
      <c r="O1619" s="2" t="s">
        <v>97</v>
      </c>
      <c r="P1619" s="2" t="s">
        <v>98</v>
      </c>
      <c r="Q1619" s="2" t="s">
        <v>99</v>
      </c>
      <c r="R1619" s="2" t="s">
        <v>100</v>
      </c>
      <c r="S1619" s="2" t="s">
        <v>5806</v>
      </c>
      <c r="T1619" s="2" t="s">
        <v>4296</v>
      </c>
      <c r="U1619" s="2" t="s">
        <v>100</v>
      </c>
      <c r="V1619" s="2" t="s">
        <v>461</v>
      </c>
      <c r="W1619" s="2" t="s">
        <v>609</v>
      </c>
      <c r="X1619" s="2" t="s">
        <v>100</v>
      </c>
      <c r="Y1619" s="2" t="s">
        <v>144</v>
      </c>
      <c r="Z1619" s="4"/>
      <c r="AA1619" s="4">
        <f>=ROUNDDOWN({0},0)</f>
      </c>
      <c r="AB1619" s="5">
        <v>49</v>
      </c>
      <c r="AC1619" s="2" t="s">
        <v>1142</v>
      </c>
      <c r="AD1619" s="4">
        <v>610</v>
      </c>
      <c r="AE1619" s="4">
        <v>1920</v>
      </c>
      <c r="AF1619" s="6">
        <v>65</v>
      </c>
      <c r="AG1619" s="6"/>
      <c r="AH1619" s="7">
        <v>0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/>
      <c r="BJ1619" s="4">
        <v>4</v>
      </c>
      <c r="BK1619" s="8">
        <v>57.78</v>
      </c>
      <c r="BL1619" s="2" t="s">
        <v>5889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109</v>
      </c>
      <c r="BV1619" s="2" t="s">
        <v>97</v>
      </c>
      <c r="BW1619" s="2" t="s">
        <v>4187</v>
      </c>
      <c r="BX1619" s="2" t="s">
        <v>4194</v>
      </c>
      <c r="BY1619" s="2" t="s">
        <v>112</v>
      </c>
      <c r="BZ1619" s="2" t="s">
        <v>100</v>
      </c>
    </row>
    <row r="1620">
      <c r="A1620" s="2" t="s">
        <v>5890</v>
      </c>
      <c r="B1620" s="2" t="s">
        <v>5155</v>
      </c>
      <c r="C1620" s="2" t="s">
        <v>88</v>
      </c>
      <c r="D1620" s="2" t="s">
        <v>1771</v>
      </c>
      <c r="E1620" s="2" t="s">
        <v>1772</v>
      </c>
      <c r="F1620" s="2" t="s">
        <v>5891</v>
      </c>
      <c r="G1620" s="2" t="s">
        <v>5892</v>
      </c>
      <c r="H1620" s="2" t="s">
        <v>5892</v>
      </c>
      <c r="I1620" s="2" t="s">
        <v>5893</v>
      </c>
      <c r="J1620" s="2" t="s">
        <v>5894</v>
      </c>
      <c r="K1620" s="2" t="s">
        <v>5349</v>
      </c>
      <c r="L1620" s="3">
        <v>14.59</v>
      </c>
      <c r="M1620" s="3">
        <v>15.32</v>
      </c>
      <c r="N1620" s="3">
        <v>30.99</v>
      </c>
      <c r="O1620" s="2" t="s">
        <v>97</v>
      </c>
      <c r="P1620" s="2" t="s">
        <v>98</v>
      </c>
      <c r="Q1620" s="2" t="s">
        <v>99</v>
      </c>
      <c r="R1620" s="2" t="s">
        <v>100</v>
      </c>
      <c r="S1620" s="2" t="s">
        <v>5895</v>
      </c>
      <c r="T1620" s="2" t="s">
        <v>5436</v>
      </c>
      <c r="U1620" s="2" t="s">
        <v>100</v>
      </c>
      <c r="V1620" s="2" t="s">
        <v>473</v>
      </c>
      <c r="W1620" s="2" t="s">
        <v>609</v>
      </c>
      <c r="X1620" s="2" t="s">
        <v>100</v>
      </c>
      <c r="Y1620" s="2" t="s">
        <v>144</v>
      </c>
      <c r="Z1620" s="4">
        <v>1168</v>
      </c>
      <c r="AA1620" s="4">
        <f>=ROUNDDOWN(29.2,0)</f>
      </c>
      <c r="AB1620" s="5">
        <v>40</v>
      </c>
      <c r="AC1620" s="2" t="s">
        <v>100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/>
      <c r="BJ1620" s="4">
        <v>32</v>
      </c>
      <c r="BK1620" s="8">
        <v>488.84</v>
      </c>
      <c r="BL1620" s="2" t="s">
        <v>1625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109</v>
      </c>
      <c r="BV1620" s="2" t="s">
        <v>97</v>
      </c>
      <c r="BW1620" s="2" t="s">
        <v>4187</v>
      </c>
      <c r="BX1620" s="2" t="s">
        <v>5896</v>
      </c>
      <c r="BY1620" s="2" t="s">
        <v>112</v>
      </c>
      <c r="BZ1620" s="2" t="s">
        <v>100</v>
      </c>
    </row>
    <row r="1621">
      <c r="A1621" s="2" t="s">
        <v>5897</v>
      </c>
      <c r="B1621" s="2" t="s">
        <v>5155</v>
      </c>
      <c r="C1621" s="2" t="s">
        <v>88</v>
      </c>
      <c r="D1621" s="2" t="s">
        <v>1771</v>
      </c>
      <c r="E1621" s="2" t="s">
        <v>1772</v>
      </c>
      <c r="F1621" s="2" t="s">
        <v>5891</v>
      </c>
      <c r="G1621" s="2" t="s">
        <v>5892</v>
      </c>
      <c r="H1621" s="2" t="s">
        <v>5892</v>
      </c>
      <c r="I1621" s="2" t="s">
        <v>5893</v>
      </c>
      <c r="J1621" s="2" t="s">
        <v>5894</v>
      </c>
      <c r="K1621" s="2" t="s">
        <v>96</v>
      </c>
      <c r="L1621" s="3">
        <v>14.59</v>
      </c>
      <c r="M1621" s="3">
        <v>15.32</v>
      </c>
      <c r="N1621" s="3">
        <v>30.99</v>
      </c>
      <c r="O1621" s="2" t="s">
        <v>97</v>
      </c>
      <c r="P1621" s="2" t="s">
        <v>156</v>
      </c>
      <c r="Q1621" s="2" t="s">
        <v>99</v>
      </c>
      <c r="R1621" s="2" t="s">
        <v>100</v>
      </c>
      <c r="S1621" s="2" t="s">
        <v>5898</v>
      </c>
      <c r="T1621" s="2" t="s">
        <v>5436</v>
      </c>
      <c r="U1621" s="2" t="s">
        <v>100</v>
      </c>
      <c r="V1621" s="2" t="s">
        <v>473</v>
      </c>
      <c r="W1621" s="2" t="s">
        <v>609</v>
      </c>
      <c r="X1621" s="2" t="s">
        <v>100</v>
      </c>
      <c r="Y1621" s="2" t="s">
        <v>3289</v>
      </c>
      <c r="Z1621" s="4">
        <v>894</v>
      </c>
      <c r="AA1621" s="4">
        <f>=ROUNDDOWN(17.88,0)</f>
      </c>
      <c r="AB1621" s="5">
        <v>50</v>
      </c>
      <c r="AC1621" s="2" t="s">
        <v>201</v>
      </c>
      <c r="AD1621" s="4">
        <v>1000</v>
      </c>
      <c r="AE1621" s="4">
        <v>1000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/>
      <c r="BJ1621" s="4">
        <v>38</v>
      </c>
      <c r="BK1621" s="8">
        <v>578.15</v>
      </c>
      <c r="BL1621" s="2" t="s">
        <v>5899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109</v>
      </c>
      <c r="BV1621" s="2" t="s">
        <v>97</v>
      </c>
      <c r="BW1621" s="2" t="s">
        <v>4187</v>
      </c>
      <c r="BX1621" s="2" t="s">
        <v>1892</v>
      </c>
      <c r="BY1621" s="2" t="s">
        <v>112</v>
      </c>
      <c r="BZ1621" s="2" t="s">
        <v>100</v>
      </c>
    </row>
    <row r="1622">
      <c r="A1622" s="2" t="s">
        <v>5900</v>
      </c>
      <c r="B1622" s="2" t="s">
        <v>5155</v>
      </c>
      <c r="C1622" s="2" t="s">
        <v>88</v>
      </c>
      <c r="D1622" s="2" t="s">
        <v>1771</v>
      </c>
      <c r="E1622" s="2" t="s">
        <v>1772</v>
      </c>
      <c r="F1622" s="2" t="s">
        <v>5891</v>
      </c>
      <c r="G1622" s="2" t="s">
        <v>5892</v>
      </c>
      <c r="H1622" s="2" t="s">
        <v>5892</v>
      </c>
      <c r="I1622" s="2" t="s">
        <v>5893</v>
      </c>
      <c r="J1622" s="2" t="s">
        <v>5894</v>
      </c>
      <c r="K1622" s="2" t="s">
        <v>1373</v>
      </c>
      <c r="L1622" s="3">
        <v>14.59</v>
      </c>
      <c r="M1622" s="3">
        <v>15.32</v>
      </c>
      <c r="N1622" s="3">
        <v>30.99</v>
      </c>
      <c r="O1622" s="2" t="s">
        <v>97</v>
      </c>
      <c r="P1622" s="2" t="s">
        <v>156</v>
      </c>
      <c r="Q1622" s="2" t="s">
        <v>99</v>
      </c>
      <c r="R1622" s="2" t="s">
        <v>100</v>
      </c>
      <c r="S1622" s="2" t="s">
        <v>5898</v>
      </c>
      <c r="T1622" s="2" t="s">
        <v>5436</v>
      </c>
      <c r="U1622" s="2" t="s">
        <v>100</v>
      </c>
      <c r="V1622" s="2" t="s">
        <v>473</v>
      </c>
      <c r="W1622" s="2" t="s">
        <v>609</v>
      </c>
      <c r="X1622" s="2" t="s">
        <v>100</v>
      </c>
      <c r="Y1622" s="2" t="s">
        <v>151</v>
      </c>
      <c r="Z1622" s="4">
        <v>673</v>
      </c>
      <c r="AA1622" s="4">
        <f>=ROUNDDOWN(11.2166666666667,0)</f>
      </c>
      <c r="AB1622" s="5">
        <v>60</v>
      </c>
      <c r="AC1622" s="2" t="s">
        <v>201</v>
      </c>
      <c r="AD1622" s="4">
        <v>700</v>
      </c>
      <c r="AE1622" s="4">
        <v>700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/>
      <c r="BJ1622" s="4">
        <v>47</v>
      </c>
      <c r="BK1622" s="8">
        <v>685.79</v>
      </c>
      <c r="BL1622" s="2" t="s">
        <v>4269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109</v>
      </c>
      <c r="BV1622" s="2" t="s">
        <v>97</v>
      </c>
      <c r="BW1622" s="2" t="s">
        <v>4187</v>
      </c>
      <c r="BX1622" s="2" t="s">
        <v>503</v>
      </c>
      <c r="BY1622" s="2" t="s">
        <v>112</v>
      </c>
      <c r="BZ1622" s="2" t="s">
        <v>100</v>
      </c>
    </row>
    <row r="1623">
      <c r="A1623" s="2" t="s">
        <v>5901</v>
      </c>
      <c r="B1623" s="2" t="s">
        <v>5155</v>
      </c>
      <c r="C1623" s="2" t="s">
        <v>88</v>
      </c>
      <c r="D1623" s="2" t="s">
        <v>1771</v>
      </c>
      <c r="E1623" s="2" t="s">
        <v>5398</v>
      </c>
      <c r="F1623" s="2" t="s">
        <v>5902</v>
      </c>
      <c r="G1623" s="2" t="s">
        <v>2966</v>
      </c>
      <c r="H1623" s="2" t="s">
        <v>2966</v>
      </c>
      <c r="I1623" s="2" t="s">
        <v>5903</v>
      </c>
      <c r="J1623" s="2" t="s">
        <v>5894</v>
      </c>
      <c r="K1623" s="2" t="s">
        <v>188</v>
      </c>
      <c r="L1623" s="3">
        <v>17.86</v>
      </c>
      <c r="M1623" s="3">
        <v>18.75</v>
      </c>
      <c r="N1623" s="3">
        <v>39.99</v>
      </c>
      <c r="O1623" s="2" t="s">
        <v>97</v>
      </c>
      <c r="P1623" s="2" t="s">
        <v>98</v>
      </c>
      <c r="Q1623" s="2" t="s">
        <v>99</v>
      </c>
      <c r="R1623" s="2" t="s">
        <v>100</v>
      </c>
      <c r="S1623" s="2" t="s">
        <v>5904</v>
      </c>
      <c r="T1623" s="2" t="s">
        <v>100</v>
      </c>
      <c r="U1623" s="2" t="s">
        <v>1776</v>
      </c>
      <c r="V1623" s="2" t="s">
        <v>547</v>
      </c>
      <c r="W1623" s="2" t="s">
        <v>2999</v>
      </c>
      <c r="X1623" s="2" t="s">
        <v>100</v>
      </c>
      <c r="Y1623" s="2" t="s">
        <v>1671</v>
      </c>
      <c r="Z1623" s="4">
        <v>1371</v>
      </c>
      <c r="AA1623" s="4">
        <f>=ROUNDDOWN(48.9642857142857,0)</f>
      </c>
      <c r="AB1623" s="5">
        <v>28</v>
      </c>
      <c r="AC1623" s="2" t="s">
        <v>824</v>
      </c>
      <c r="AD1623" s="4">
        <v>246</v>
      </c>
      <c r="AE1623" s="4">
        <v>246</v>
      </c>
      <c r="AF1623" s="6">
        <v>69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1</v>
      </c>
      <c r="AQ1623" s="8">
        <v>17.86</v>
      </c>
      <c r="AR1623" s="4"/>
      <c r="AS1623" s="8"/>
      <c r="AT1623" s="7"/>
      <c r="AU1623" s="7"/>
      <c r="AV1623" s="4">
        <v>1</v>
      </c>
      <c r="AW1623" s="8">
        <v>17.86</v>
      </c>
      <c r="AX1623" s="4"/>
      <c r="AY1623" s="8"/>
      <c r="AZ1623" s="7"/>
      <c r="BA1623" s="7"/>
      <c r="BB1623" s="7">
        <v>1</v>
      </c>
      <c r="BC1623" s="4">
        <v>1</v>
      </c>
      <c r="BD1623" s="8">
        <v>17.86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>
        <v>1</v>
      </c>
      <c r="BJ1623" s="4">
        <v>60</v>
      </c>
      <c r="BK1623" s="8">
        <v>1188.65</v>
      </c>
      <c r="BL1623" s="2" t="s">
        <v>5905</v>
      </c>
      <c r="BM1623" s="7">
        <v>0.0167</v>
      </c>
      <c r="BN1623" s="7">
        <v>0.015</v>
      </c>
      <c r="BO1623" s="4">
        <v>1</v>
      </c>
      <c r="BP1623" s="8">
        <v>17.86</v>
      </c>
      <c r="BQ1623" s="4"/>
      <c r="BR1623" s="8"/>
      <c r="BS1623" s="7"/>
      <c r="BT1623" s="7"/>
      <c r="BU1623" s="2" t="s">
        <v>109</v>
      </c>
      <c r="BV1623" s="2" t="s">
        <v>97</v>
      </c>
      <c r="BW1623" s="2" t="s">
        <v>5906</v>
      </c>
      <c r="BX1623" s="2" t="s">
        <v>5907</v>
      </c>
      <c r="BY1623" s="2" t="s">
        <v>112</v>
      </c>
      <c r="BZ1623" s="2" t="s">
        <v>100</v>
      </c>
    </row>
    <row r="1624">
      <c r="A1624" s="2" t="s">
        <v>5908</v>
      </c>
      <c r="B1624" s="2" t="s">
        <v>5155</v>
      </c>
      <c r="C1624" s="2" t="s">
        <v>88</v>
      </c>
      <c r="D1624" s="2" t="s">
        <v>1771</v>
      </c>
      <c r="E1624" s="2" t="s">
        <v>5398</v>
      </c>
      <c r="F1624" s="2" t="s">
        <v>5902</v>
      </c>
      <c r="G1624" s="2" t="s">
        <v>2966</v>
      </c>
      <c r="H1624" s="2" t="s">
        <v>2966</v>
      </c>
      <c r="I1624" s="2" t="s">
        <v>5903</v>
      </c>
      <c r="J1624" s="2" t="s">
        <v>5894</v>
      </c>
      <c r="K1624" s="2" t="s">
        <v>96</v>
      </c>
      <c r="L1624" s="3">
        <v>17.86</v>
      </c>
      <c r="M1624" s="3">
        <v>18.75</v>
      </c>
      <c r="N1624" s="3">
        <v>39.99</v>
      </c>
      <c r="O1624" s="2" t="s">
        <v>97</v>
      </c>
      <c r="P1624" s="2" t="s">
        <v>98</v>
      </c>
      <c r="Q1624" s="2" t="s">
        <v>99</v>
      </c>
      <c r="R1624" s="2" t="s">
        <v>100</v>
      </c>
      <c r="S1624" s="2" t="s">
        <v>5904</v>
      </c>
      <c r="T1624" s="2" t="s">
        <v>100</v>
      </c>
      <c r="U1624" s="2" t="s">
        <v>1776</v>
      </c>
      <c r="V1624" s="2" t="s">
        <v>547</v>
      </c>
      <c r="W1624" s="2" t="s">
        <v>2999</v>
      </c>
      <c r="X1624" s="2" t="s">
        <v>100</v>
      </c>
      <c r="Y1624" s="2" t="s">
        <v>1671</v>
      </c>
      <c r="Z1624" s="4">
        <v>617</v>
      </c>
      <c r="AA1624" s="4">
        <f>=ROUNDDOWN(38.5625,0)</f>
      </c>
      <c r="AB1624" s="5">
        <v>16</v>
      </c>
      <c r="AC1624" s="2" t="s">
        <v>824</v>
      </c>
      <c r="AD1624" s="4">
        <v>279</v>
      </c>
      <c r="AE1624" s="4">
        <v>279</v>
      </c>
      <c r="AF1624" s="6">
        <v>69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/>
      <c r="AW1624" s="8"/>
      <c r="AX1624" s="4"/>
      <c r="AY1624" s="8"/>
      <c r="AZ1624" s="7"/>
      <c r="BA1624" s="7"/>
      <c r="BB1624" s="7"/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/>
      <c r="BJ1624" s="4">
        <v>33</v>
      </c>
      <c r="BK1624" s="8">
        <v>657.63</v>
      </c>
      <c r="BL1624" s="2" t="s">
        <v>1343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109</v>
      </c>
      <c r="BV1624" s="2" t="s">
        <v>97</v>
      </c>
      <c r="BW1624" s="2" t="s">
        <v>5906</v>
      </c>
      <c r="BX1624" s="2" t="s">
        <v>374</v>
      </c>
      <c r="BY1624" s="2" t="s">
        <v>112</v>
      </c>
      <c r="BZ1624" s="2" t="s">
        <v>100</v>
      </c>
    </row>
    <row r="1625">
      <c r="A1625" s="2" t="s">
        <v>5909</v>
      </c>
      <c r="B1625" s="2" t="s">
        <v>5155</v>
      </c>
      <c r="C1625" s="2" t="s">
        <v>88</v>
      </c>
      <c r="D1625" s="2" t="s">
        <v>1771</v>
      </c>
      <c r="E1625" s="2" t="s">
        <v>5398</v>
      </c>
      <c r="F1625" s="2" t="s">
        <v>5910</v>
      </c>
      <c r="G1625" s="2" t="s">
        <v>5910</v>
      </c>
      <c r="H1625" s="2" t="s">
        <v>5910</v>
      </c>
      <c r="I1625" s="2" t="s">
        <v>5398</v>
      </c>
      <c r="J1625" s="2" t="s">
        <v>5894</v>
      </c>
      <c r="K1625" s="2" t="s">
        <v>188</v>
      </c>
      <c r="L1625" s="3">
        <v>42.34</v>
      </c>
      <c r="M1625" s="3">
        <v>44.46</v>
      </c>
      <c r="N1625" s="3">
        <v>84.99</v>
      </c>
      <c r="O1625" s="2" t="s">
        <v>97</v>
      </c>
      <c r="P1625" s="2" t="s">
        <v>123</v>
      </c>
      <c r="Q1625" s="2" t="s">
        <v>99</v>
      </c>
      <c r="R1625" s="2" t="s">
        <v>100</v>
      </c>
      <c r="S1625" s="2" t="s">
        <v>5911</v>
      </c>
      <c r="T1625" s="2" t="s">
        <v>100</v>
      </c>
      <c r="U1625" s="2" t="s">
        <v>1776</v>
      </c>
      <c r="V1625" s="2" t="s">
        <v>461</v>
      </c>
      <c r="W1625" s="2" t="s">
        <v>609</v>
      </c>
      <c r="X1625" s="2" t="s">
        <v>1136</v>
      </c>
      <c r="Y1625" s="2" t="s">
        <v>4341</v>
      </c>
      <c r="Z1625" s="4">
        <v>811</v>
      </c>
      <c r="AA1625" s="4">
        <f>=ROUNDDOWN(42.6842105263158,0)</f>
      </c>
      <c r="AB1625" s="5">
        <v>19</v>
      </c>
      <c r="AC1625" s="2" t="s">
        <v>100</v>
      </c>
      <c r="AD1625" s="4"/>
      <c r="AE1625" s="4"/>
      <c r="AF1625" s="6">
        <v>64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/>
      <c r="BJ1625" s="4">
        <v>47</v>
      </c>
      <c r="BK1625" s="8">
        <v>2215.32</v>
      </c>
      <c r="BL1625" s="2" t="s">
        <v>5912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171</v>
      </c>
      <c r="BV1625" s="2" t="s">
        <v>97</v>
      </c>
      <c r="BW1625" s="2" t="s">
        <v>100</v>
      </c>
      <c r="BX1625" s="2" t="s">
        <v>100</v>
      </c>
      <c r="BY1625" s="2" t="s">
        <v>112</v>
      </c>
      <c r="BZ1625" s="2" t="s">
        <v>100</v>
      </c>
    </row>
    <row r="1626">
      <c r="A1626" s="2" t="s">
        <v>5913</v>
      </c>
      <c r="B1626" s="2" t="s">
        <v>5155</v>
      </c>
      <c r="C1626" s="2" t="s">
        <v>88</v>
      </c>
      <c r="D1626" s="2" t="s">
        <v>1771</v>
      </c>
      <c r="E1626" s="2" t="s">
        <v>5398</v>
      </c>
      <c r="F1626" s="2" t="s">
        <v>5910</v>
      </c>
      <c r="G1626" s="2" t="s">
        <v>5910</v>
      </c>
      <c r="H1626" s="2" t="s">
        <v>5910</v>
      </c>
      <c r="I1626" s="2" t="s">
        <v>5398</v>
      </c>
      <c r="J1626" s="2" t="s">
        <v>5894</v>
      </c>
      <c r="K1626" s="2" t="s">
        <v>138</v>
      </c>
      <c r="L1626" s="3">
        <v>42.34</v>
      </c>
      <c r="M1626" s="3">
        <v>44.46</v>
      </c>
      <c r="N1626" s="3">
        <v>84.99</v>
      </c>
      <c r="O1626" s="2" t="s">
        <v>97</v>
      </c>
      <c r="P1626" s="2" t="s">
        <v>98</v>
      </c>
      <c r="Q1626" s="2" t="s">
        <v>99</v>
      </c>
      <c r="R1626" s="2" t="s">
        <v>100</v>
      </c>
      <c r="S1626" s="2" t="s">
        <v>5914</v>
      </c>
      <c r="T1626" s="2" t="s">
        <v>100</v>
      </c>
      <c r="U1626" s="2" t="s">
        <v>1776</v>
      </c>
      <c r="V1626" s="2" t="s">
        <v>461</v>
      </c>
      <c r="W1626" s="2" t="s">
        <v>609</v>
      </c>
      <c r="X1626" s="2" t="s">
        <v>1136</v>
      </c>
      <c r="Y1626" s="2" t="s">
        <v>5915</v>
      </c>
      <c r="Z1626" s="4">
        <v>568</v>
      </c>
      <c r="AA1626" s="4">
        <f>=ROUNDDOWN(24.695652173913,0)</f>
      </c>
      <c r="AB1626" s="5">
        <v>23</v>
      </c>
      <c r="AC1626" s="2" t="s">
        <v>3082</v>
      </c>
      <c r="AD1626" s="4">
        <v>400</v>
      </c>
      <c r="AE1626" s="4">
        <v>400</v>
      </c>
      <c r="AF1626" s="6">
        <v>64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/>
      <c r="BJ1626" s="4">
        <v>52</v>
      </c>
      <c r="BK1626" s="8">
        <v>2337.5</v>
      </c>
      <c r="BL1626" s="2" t="s">
        <v>2404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171</v>
      </c>
      <c r="BV1626" s="2" t="s">
        <v>97</v>
      </c>
      <c r="BW1626" s="2" t="s">
        <v>100</v>
      </c>
      <c r="BX1626" s="2" t="s">
        <v>100</v>
      </c>
      <c r="BY1626" s="2" t="s">
        <v>112</v>
      </c>
      <c r="BZ1626" s="2" t="s">
        <v>100</v>
      </c>
    </row>
    <row r="1627">
      <c r="A1627" s="2" t="s">
        <v>5916</v>
      </c>
      <c r="B1627" s="2" t="s">
        <v>5155</v>
      </c>
      <c r="C1627" s="2" t="s">
        <v>88</v>
      </c>
      <c r="D1627" s="2" t="s">
        <v>1771</v>
      </c>
      <c r="E1627" s="2" t="s">
        <v>5398</v>
      </c>
      <c r="F1627" s="2" t="s">
        <v>5910</v>
      </c>
      <c r="G1627" s="2" t="s">
        <v>5910</v>
      </c>
      <c r="H1627" s="2" t="s">
        <v>5910</v>
      </c>
      <c r="I1627" s="2" t="s">
        <v>5398</v>
      </c>
      <c r="J1627" s="2" t="s">
        <v>5894</v>
      </c>
      <c r="K1627" s="2" t="s">
        <v>96</v>
      </c>
      <c r="L1627" s="3">
        <v>42.34</v>
      </c>
      <c r="M1627" s="3">
        <v>44.46</v>
      </c>
      <c r="N1627" s="3">
        <v>84.99</v>
      </c>
      <c r="O1627" s="2" t="s">
        <v>97</v>
      </c>
      <c r="P1627" s="2" t="s">
        <v>98</v>
      </c>
      <c r="Q1627" s="2" t="s">
        <v>99</v>
      </c>
      <c r="R1627" s="2" t="s">
        <v>100</v>
      </c>
      <c r="S1627" s="2" t="s">
        <v>5917</v>
      </c>
      <c r="T1627" s="2" t="s">
        <v>100</v>
      </c>
      <c r="U1627" s="2" t="s">
        <v>1776</v>
      </c>
      <c r="V1627" s="2" t="s">
        <v>461</v>
      </c>
      <c r="W1627" s="2" t="s">
        <v>609</v>
      </c>
      <c r="X1627" s="2" t="s">
        <v>1136</v>
      </c>
      <c r="Y1627" s="2" t="s">
        <v>4341</v>
      </c>
      <c r="Z1627" s="4">
        <v>549</v>
      </c>
      <c r="AA1627" s="4">
        <f>=ROUNDDOWN(17.15625,0)</f>
      </c>
      <c r="AB1627" s="5">
        <v>32</v>
      </c>
      <c r="AC1627" s="2" t="s">
        <v>3082</v>
      </c>
      <c r="AD1627" s="4">
        <v>450</v>
      </c>
      <c r="AE1627" s="4">
        <v>450</v>
      </c>
      <c r="AF1627" s="6">
        <v>64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/>
      <c r="AW1627" s="8"/>
      <c r="AX1627" s="4"/>
      <c r="AY1627" s="8"/>
      <c r="AZ1627" s="7"/>
      <c r="BA1627" s="7"/>
      <c r="BB1627" s="7"/>
      <c r="BC1627" s="4" t="s">
        <v>100</v>
      </c>
      <c r="BD1627" s="8" t="s">
        <v>100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/>
      <c r="BJ1627" s="4">
        <v>100</v>
      </c>
      <c r="BK1627" s="8">
        <v>4618.03</v>
      </c>
      <c r="BL1627" s="2" t="s">
        <v>5918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171</v>
      </c>
      <c r="BV1627" s="2" t="s">
        <v>97</v>
      </c>
      <c r="BW1627" s="2" t="s">
        <v>100</v>
      </c>
      <c r="BX1627" s="2" t="s">
        <v>100</v>
      </c>
      <c r="BY1627" s="2" t="s">
        <v>112</v>
      </c>
      <c r="BZ1627" s="2" t="s">
        <v>100</v>
      </c>
    </row>
    <row r="1628">
      <c r="A1628" s="2" t="s">
        <v>5919</v>
      </c>
      <c r="B1628" s="2" t="s">
        <v>5155</v>
      </c>
      <c r="C1628" s="2" t="s">
        <v>88</v>
      </c>
      <c r="D1628" s="2" t="s">
        <v>1771</v>
      </c>
      <c r="E1628" s="2" t="s">
        <v>5398</v>
      </c>
      <c r="F1628" s="2" t="s">
        <v>5910</v>
      </c>
      <c r="G1628" s="2" t="s">
        <v>5910</v>
      </c>
      <c r="H1628" s="2" t="s">
        <v>5910</v>
      </c>
      <c r="I1628" s="2" t="s">
        <v>5398</v>
      </c>
      <c r="J1628" s="2" t="s">
        <v>5894</v>
      </c>
      <c r="K1628" s="2" t="s">
        <v>1373</v>
      </c>
      <c r="L1628" s="3">
        <v>42.34</v>
      </c>
      <c r="M1628" s="3">
        <v>44.46</v>
      </c>
      <c r="N1628" s="3">
        <v>84.99</v>
      </c>
      <c r="O1628" s="2" t="s">
        <v>97</v>
      </c>
      <c r="P1628" s="2" t="s">
        <v>123</v>
      </c>
      <c r="Q1628" s="2" t="s">
        <v>99</v>
      </c>
      <c r="R1628" s="2" t="s">
        <v>100</v>
      </c>
      <c r="S1628" s="2" t="s">
        <v>5920</v>
      </c>
      <c r="T1628" s="2" t="s">
        <v>100</v>
      </c>
      <c r="U1628" s="2" t="s">
        <v>1776</v>
      </c>
      <c r="V1628" s="2" t="s">
        <v>461</v>
      </c>
      <c r="W1628" s="2" t="s">
        <v>609</v>
      </c>
      <c r="X1628" s="2" t="s">
        <v>1136</v>
      </c>
      <c r="Y1628" s="2" t="s">
        <v>4341</v>
      </c>
      <c r="Z1628" s="4">
        <v>887</v>
      </c>
      <c r="AA1628" s="4">
        <f>=ROUNDDOWN(22.7435897435897,0)</f>
      </c>
      <c r="AB1628" s="5">
        <v>39</v>
      </c>
      <c r="AC1628" s="2" t="s">
        <v>3082</v>
      </c>
      <c r="AD1628" s="4">
        <v>400</v>
      </c>
      <c r="AE1628" s="4">
        <v>400</v>
      </c>
      <c r="AF1628" s="6">
        <v>64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/>
      <c r="BJ1628" s="4">
        <v>102</v>
      </c>
      <c r="BK1628" s="8">
        <v>4888.35</v>
      </c>
      <c r="BL1628" s="2" t="s">
        <v>5921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171</v>
      </c>
      <c r="BV1628" s="2" t="s">
        <v>97</v>
      </c>
      <c r="BW1628" s="2" t="s">
        <v>100</v>
      </c>
      <c r="BX1628" s="2" t="s">
        <v>100</v>
      </c>
      <c r="BY1628" s="2" t="s">
        <v>112</v>
      </c>
      <c r="BZ1628" s="2" t="s">
        <v>100</v>
      </c>
    </row>
    <row r="1629">
      <c r="A1629" s="2" t="s">
        <v>5922</v>
      </c>
      <c r="B1629" s="2" t="s">
        <v>5155</v>
      </c>
      <c r="C1629" s="2" t="s">
        <v>88</v>
      </c>
      <c r="D1629" s="2" t="s">
        <v>1771</v>
      </c>
      <c r="E1629" s="2" t="s">
        <v>5398</v>
      </c>
      <c r="F1629" s="2" t="s">
        <v>5910</v>
      </c>
      <c r="G1629" s="2" t="s">
        <v>5910</v>
      </c>
      <c r="H1629" s="2" t="s">
        <v>5910</v>
      </c>
      <c r="I1629" s="2" t="s">
        <v>5398</v>
      </c>
      <c r="J1629" s="2" t="s">
        <v>5894</v>
      </c>
      <c r="K1629" s="2" t="s">
        <v>5923</v>
      </c>
      <c r="L1629" s="3">
        <v>42.34</v>
      </c>
      <c r="M1629" s="3">
        <v>44.46</v>
      </c>
      <c r="N1629" s="3">
        <v>84.99</v>
      </c>
      <c r="O1629" s="2" t="s">
        <v>97</v>
      </c>
      <c r="P1629" s="2" t="s">
        <v>98</v>
      </c>
      <c r="Q1629" s="2" t="s">
        <v>99</v>
      </c>
      <c r="R1629" s="2" t="s">
        <v>100</v>
      </c>
      <c r="S1629" s="2" t="s">
        <v>5924</v>
      </c>
      <c r="T1629" s="2" t="s">
        <v>100</v>
      </c>
      <c r="U1629" s="2" t="s">
        <v>1776</v>
      </c>
      <c r="V1629" s="2" t="s">
        <v>461</v>
      </c>
      <c r="W1629" s="2" t="s">
        <v>609</v>
      </c>
      <c r="X1629" s="2" t="s">
        <v>1136</v>
      </c>
      <c r="Y1629" s="2" t="s">
        <v>5915</v>
      </c>
      <c r="Z1629" s="4">
        <v>406</v>
      </c>
      <c r="AA1629" s="4">
        <f>=ROUNDDOWN(14.8717948717949,0)</f>
      </c>
      <c r="AB1629" s="5">
        <v>27.3</v>
      </c>
      <c r="AC1629" s="2" t="s">
        <v>3082</v>
      </c>
      <c r="AD1629" s="4">
        <v>400</v>
      </c>
      <c r="AE1629" s="4">
        <v>400</v>
      </c>
      <c r="AF1629" s="6">
        <v>64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/>
      <c r="BJ1629" s="4">
        <v>59</v>
      </c>
      <c r="BK1629" s="8">
        <v>2585.56</v>
      </c>
      <c r="BL1629" s="2" t="s">
        <v>859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171</v>
      </c>
      <c r="BV1629" s="2" t="s">
        <v>97</v>
      </c>
      <c r="BW1629" s="2" t="s">
        <v>100</v>
      </c>
      <c r="BX1629" s="2" t="s">
        <v>100</v>
      </c>
      <c r="BY1629" s="2" t="s">
        <v>112</v>
      </c>
      <c r="BZ1629" s="2" t="s">
        <v>100</v>
      </c>
    </row>
    <row r="1630">
      <c r="A1630" s="2" t="s">
        <v>5925</v>
      </c>
      <c r="B1630" s="2" t="s">
        <v>5155</v>
      </c>
      <c r="C1630" s="2" t="s">
        <v>88</v>
      </c>
      <c r="D1630" s="2" t="s">
        <v>1771</v>
      </c>
      <c r="E1630" s="2" t="s">
        <v>5398</v>
      </c>
      <c r="F1630" s="2" t="s">
        <v>5910</v>
      </c>
      <c r="G1630" s="2" t="s">
        <v>5910</v>
      </c>
      <c r="H1630" s="2" t="s">
        <v>5910</v>
      </c>
      <c r="I1630" s="2" t="s">
        <v>5398</v>
      </c>
      <c r="J1630" s="2" t="s">
        <v>5894</v>
      </c>
      <c r="K1630" s="2" t="s">
        <v>236</v>
      </c>
      <c r="L1630" s="3">
        <v>42.34</v>
      </c>
      <c r="M1630" s="3">
        <v>44.46</v>
      </c>
      <c r="N1630" s="3">
        <v>84.99</v>
      </c>
      <c r="O1630" s="2" t="s">
        <v>97</v>
      </c>
      <c r="P1630" s="2" t="s">
        <v>98</v>
      </c>
      <c r="Q1630" s="2" t="s">
        <v>99</v>
      </c>
      <c r="R1630" s="2" t="s">
        <v>100</v>
      </c>
      <c r="S1630" s="2" t="s">
        <v>5926</v>
      </c>
      <c r="T1630" s="2" t="s">
        <v>100</v>
      </c>
      <c r="U1630" s="2" t="s">
        <v>1776</v>
      </c>
      <c r="V1630" s="2" t="s">
        <v>461</v>
      </c>
      <c r="W1630" s="2" t="s">
        <v>609</v>
      </c>
      <c r="X1630" s="2" t="s">
        <v>1136</v>
      </c>
      <c r="Y1630" s="2" t="s">
        <v>5915</v>
      </c>
      <c r="Z1630" s="4">
        <v>659</v>
      </c>
      <c r="AA1630" s="4">
        <f>=ROUNDDOWN(109.833333333333,0)</f>
      </c>
      <c r="AB1630" s="5">
        <v>6</v>
      </c>
      <c r="AC1630" s="2" t="s">
        <v>100</v>
      </c>
      <c r="AD1630" s="4"/>
      <c r="AE1630" s="4"/>
      <c r="AF1630" s="6">
        <v>64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/>
      <c r="AW1630" s="8"/>
      <c r="AX1630" s="4"/>
      <c r="AY1630" s="8"/>
      <c r="AZ1630" s="7"/>
      <c r="BA1630" s="7"/>
      <c r="BB1630" s="7"/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/>
      <c r="BJ1630" s="4">
        <v>7</v>
      </c>
      <c r="BK1630" s="8">
        <v>304.77</v>
      </c>
      <c r="BL1630" s="2" t="s">
        <v>5927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171</v>
      </c>
      <c r="BV1630" s="2" t="s">
        <v>97</v>
      </c>
      <c r="BW1630" s="2" t="s">
        <v>100</v>
      </c>
      <c r="BX1630" s="2" t="s">
        <v>100</v>
      </c>
      <c r="BY1630" s="2" t="s">
        <v>112</v>
      </c>
      <c r="BZ1630" s="2" t="s">
        <v>100</v>
      </c>
    </row>
    <row r="1631">
      <c r="A1631" s="2" t="s">
        <v>5928</v>
      </c>
      <c r="B1631" s="2" t="s">
        <v>5155</v>
      </c>
      <c r="C1631" s="2" t="s">
        <v>88</v>
      </c>
      <c r="D1631" s="2" t="s">
        <v>1771</v>
      </c>
      <c r="E1631" s="2" t="s">
        <v>5398</v>
      </c>
      <c r="F1631" s="2" t="s">
        <v>5910</v>
      </c>
      <c r="G1631" s="2" t="s">
        <v>5910</v>
      </c>
      <c r="H1631" s="2" t="s">
        <v>5910</v>
      </c>
      <c r="I1631" s="2" t="s">
        <v>5398</v>
      </c>
      <c r="J1631" s="2" t="s">
        <v>5894</v>
      </c>
      <c r="K1631" s="2" t="s">
        <v>5929</v>
      </c>
      <c r="L1631" s="3">
        <v>42.34</v>
      </c>
      <c r="M1631" s="3">
        <v>44.46</v>
      </c>
      <c r="N1631" s="3">
        <v>84.99</v>
      </c>
      <c r="O1631" s="2" t="s">
        <v>97</v>
      </c>
      <c r="P1631" s="2" t="s">
        <v>98</v>
      </c>
      <c r="Q1631" s="2" t="s">
        <v>99</v>
      </c>
      <c r="R1631" s="2" t="s">
        <v>100</v>
      </c>
      <c r="S1631" s="2" t="s">
        <v>5930</v>
      </c>
      <c r="T1631" s="2" t="s">
        <v>100</v>
      </c>
      <c r="U1631" s="2" t="s">
        <v>1776</v>
      </c>
      <c r="V1631" s="2" t="s">
        <v>461</v>
      </c>
      <c r="W1631" s="2" t="s">
        <v>609</v>
      </c>
      <c r="X1631" s="2" t="s">
        <v>1136</v>
      </c>
      <c r="Y1631" s="2" t="s">
        <v>5915</v>
      </c>
      <c r="Z1631" s="4">
        <v>435</v>
      </c>
      <c r="AA1631" s="4">
        <f>=ROUNDDOWN(25.5882352941176,0)</f>
      </c>
      <c r="AB1631" s="5">
        <v>17</v>
      </c>
      <c r="AC1631" s="2" t="s">
        <v>3082</v>
      </c>
      <c r="AD1631" s="4">
        <v>400</v>
      </c>
      <c r="AE1631" s="4">
        <v>400</v>
      </c>
      <c r="AF1631" s="6">
        <v>64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/>
      <c r="BJ1631" s="4">
        <v>43</v>
      </c>
      <c r="BK1631" s="8">
        <v>1923.72</v>
      </c>
      <c r="BL1631" s="2" t="s">
        <v>5931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171</v>
      </c>
      <c r="BV1631" s="2" t="s">
        <v>97</v>
      </c>
      <c r="BW1631" s="2" t="s">
        <v>100</v>
      </c>
      <c r="BX1631" s="2" t="s">
        <v>100</v>
      </c>
      <c r="BY1631" s="2" t="s">
        <v>112</v>
      </c>
      <c r="BZ1631" s="2" t="s">
        <v>100</v>
      </c>
    </row>
    <row r="1632">
      <c r="A1632" s="2" t="s">
        <v>5932</v>
      </c>
      <c r="B1632" s="2" t="s">
        <v>5155</v>
      </c>
      <c r="C1632" s="2" t="s">
        <v>88</v>
      </c>
      <c r="D1632" s="2" t="s">
        <v>1771</v>
      </c>
      <c r="E1632" s="2" t="s">
        <v>5398</v>
      </c>
      <c r="F1632" s="2" t="s">
        <v>5933</v>
      </c>
      <c r="G1632" s="2" t="s">
        <v>5933</v>
      </c>
      <c r="H1632" s="2" t="s">
        <v>5933</v>
      </c>
      <c r="I1632" s="2" t="s">
        <v>5934</v>
      </c>
      <c r="J1632" s="2" t="s">
        <v>5894</v>
      </c>
      <c r="K1632" s="2" t="s">
        <v>4362</v>
      </c>
      <c r="L1632" s="3">
        <v>41.98</v>
      </c>
      <c r="M1632" s="3">
        <v>44.08</v>
      </c>
      <c r="N1632" s="3">
        <v>89.99</v>
      </c>
      <c r="O1632" s="2" t="s">
        <v>97</v>
      </c>
      <c r="P1632" s="2" t="s">
        <v>139</v>
      </c>
      <c r="Q1632" s="2" t="s">
        <v>99</v>
      </c>
      <c r="R1632" s="2" t="s">
        <v>100</v>
      </c>
      <c r="S1632" s="2" t="s">
        <v>5935</v>
      </c>
      <c r="T1632" s="2" t="s">
        <v>5936</v>
      </c>
      <c r="U1632" s="2" t="s">
        <v>1776</v>
      </c>
      <c r="V1632" s="2" t="s">
        <v>461</v>
      </c>
      <c r="W1632" s="2" t="s">
        <v>609</v>
      </c>
      <c r="X1632" s="2" t="s">
        <v>525</v>
      </c>
      <c r="Y1632" s="2" t="s">
        <v>5020</v>
      </c>
      <c r="Z1632" s="4">
        <v>545</v>
      </c>
      <c r="AA1632" s="4">
        <f>=ROUNDDOWN(41.9230769230769,0)</f>
      </c>
      <c r="AB1632" s="5">
        <v>13</v>
      </c>
      <c r="AC1632" s="2" t="s">
        <v>875</v>
      </c>
      <c r="AD1632" s="4">
        <v>300</v>
      </c>
      <c r="AE1632" s="4">
        <v>300</v>
      </c>
      <c r="AF1632" s="6">
        <v>64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 t="s">
        <v>100</v>
      </c>
      <c r="BD1632" s="8" t="s">
        <v>100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/>
      <c r="BJ1632" s="4">
        <v>28</v>
      </c>
      <c r="BK1632" s="8">
        <v>1245.35</v>
      </c>
      <c r="BL1632" s="2" t="s">
        <v>1082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171</v>
      </c>
      <c r="BV1632" s="2" t="s">
        <v>97</v>
      </c>
      <c r="BW1632" s="2" t="s">
        <v>100</v>
      </c>
      <c r="BX1632" s="2" t="s">
        <v>100</v>
      </c>
      <c r="BY1632" s="2" t="s">
        <v>112</v>
      </c>
      <c r="BZ1632" s="2" t="s">
        <v>100</v>
      </c>
    </row>
    <row r="1633">
      <c r="A1633" s="2" t="s">
        <v>5937</v>
      </c>
      <c r="B1633" s="2" t="s">
        <v>5155</v>
      </c>
      <c r="C1633" s="2" t="s">
        <v>88</v>
      </c>
      <c r="D1633" s="2" t="s">
        <v>1771</v>
      </c>
      <c r="E1633" s="2" t="s">
        <v>5398</v>
      </c>
      <c r="F1633" s="2" t="s">
        <v>5933</v>
      </c>
      <c r="G1633" s="2" t="s">
        <v>5933</v>
      </c>
      <c r="H1633" s="2" t="s">
        <v>5933</v>
      </c>
      <c r="I1633" s="2" t="s">
        <v>5934</v>
      </c>
      <c r="J1633" s="2" t="s">
        <v>5894</v>
      </c>
      <c r="K1633" s="2" t="s">
        <v>96</v>
      </c>
      <c r="L1633" s="3">
        <v>41.98</v>
      </c>
      <c r="M1633" s="3">
        <v>44.08</v>
      </c>
      <c r="N1633" s="3">
        <v>89.99</v>
      </c>
      <c r="O1633" s="2" t="s">
        <v>97</v>
      </c>
      <c r="P1633" s="2" t="s">
        <v>98</v>
      </c>
      <c r="Q1633" s="2" t="s">
        <v>99</v>
      </c>
      <c r="R1633" s="2" t="s">
        <v>100</v>
      </c>
      <c r="S1633" s="2" t="s">
        <v>5935</v>
      </c>
      <c r="T1633" s="2" t="s">
        <v>5936</v>
      </c>
      <c r="U1633" s="2" t="s">
        <v>1776</v>
      </c>
      <c r="V1633" s="2" t="s">
        <v>461</v>
      </c>
      <c r="W1633" s="2" t="s">
        <v>609</v>
      </c>
      <c r="X1633" s="2" t="s">
        <v>525</v>
      </c>
      <c r="Y1633" s="2" t="s">
        <v>5938</v>
      </c>
      <c r="Z1633" s="4">
        <v>747</v>
      </c>
      <c r="AA1633" s="4">
        <f>=ROUNDDOWN(37.35,0)</f>
      </c>
      <c r="AB1633" s="5">
        <v>20</v>
      </c>
      <c r="AC1633" s="2" t="s">
        <v>145</v>
      </c>
      <c r="AD1633" s="4">
        <v>100</v>
      </c>
      <c r="AE1633" s="4">
        <v>300</v>
      </c>
      <c r="AF1633" s="6">
        <v>64</v>
      </c>
      <c r="AG1633" s="6">
        <v>47</v>
      </c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/>
      <c r="BJ1633" s="4">
        <v>51</v>
      </c>
      <c r="BK1633" s="8">
        <v>2290.49</v>
      </c>
      <c r="BL1633" s="2" t="s">
        <v>5939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109</v>
      </c>
      <c r="BV1633" s="2" t="s">
        <v>97</v>
      </c>
      <c r="BW1633" s="2" t="s">
        <v>5476</v>
      </c>
      <c r="BX1633" s="2" t="s">
        <v>5940</v>
      </c>
      <c r="BY1633" s="2" t="s">
        <v>112</v>
      </c>
      <c r="BZ1633" s="2" t="s">
        <v>100</v>
      </c>
    </row>
    <row r="1634">
      <c r="A1634" s="2" t="s">
        <v>5941</v>
      </c>
      <c r="B1634" s="2" t="s">
        <v>5155</v>
      </c>
      <c r="C1634" s="2" t="s">
        <v>88</v>
      </c>
      <c r="D1634" s="2" t="s">
        <v>1771</v>
      </c>
      <c r="E1634" s="2" t="s">
        <v>5398</v>
      </c>
      <c r="F1634" s="2" t="s">
        <v>5933</v>
      </c>
      <c r="G1634" s="2" t="s">
        <v>5933</v>
      </c>
      <c r="H1634" s="2" t="s">
        <v>5933</v>
      </c>
      <c r="I1634" s="2" t="s">
        <v>5934</v>
      </c>
      <c r="J1634" s="2" t="s">
        <v>5894</v>
      </c>
      <c r="K1634" s="2" t="s">
        <v>1384</v>
      </c>
      <c r="L1634" s="3">
        <v>41.98</v>
      </c>
      <c r="M1634" s="3">
        <v>44.08</v>
      </c>
      <c r="N1634" s="3">
        <v>89.99</v>
      </c>
      <c r="O1634" s="2" t="s">
        <v>97</v>
      </c>
      <c r="P1634" s="2" t="s">
        <v>123</v>
      </c>
      <c r="Q1634" s="2" t="s">
        <v>99</v>
      </c>
      <c r="R1634" s="2" t="s">
        <v>100</v>
      </c>
      <c r="S1634" s="2" t="s">
        <v>5935</v>
      </c>
      <c r="T1634" s="2" t="s">
        <v>5936</v>
      </c>
      <c r="U1634" s="2" t="s">
        <v>1776</v>
      </c>
      <c r="V1634" s="2" t="s">
        <v>461</v>
      </c>
      <c r="W1634" s="2" t="s">
        <v>609</v>
      </c>
      <c r="X1634" s="2" t="s">
        <v>525</v>
      </c>
      <c r="Y1634" s="2" t="s">
        <v>5020</v>
      </c>
      <c r="Z1634" s="4">
        <v>803</v>
      </c>
      <c r="AA1634" s="4">
        <f>=ROUNDDOWN(17.0851063829787,0)</f>
      </c>
      <c r="AB1634" s="5">
        <v>47</v>
      </c>
      <c r="AC1634" s="2" t="s">
        <v>875</v>
      </c>
      <c r="AD1634" s="4">
        <v>400</v>
      </c>
      <c r="AE1634" s="4">
        <v>800</v>
      </c>
      <c r="AF1634" s="6">
        <v>64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/>
      <c r="BJ1634" s="4">
        <v>180</v>
      </c>
      <c r="BK1634" s="8">
        <v>7915.98</v>
      </c>
      <c r="BL1634" s="2" t="s">
        <v>5942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171</v>
      </c>
      <c r="BV1634" s="2" t="s">
        <v>97</v>
      </c>
      <c r="BW1634" s="2" t="s">
        <v>100</v>
      </c>
      <c r="BX1634" s="2" t="s">
        <v>100</v>
      </c>
      <c r="BY1634" s="2" t="s">
        <v>112</v>
      </c>
      <c r="BZ1634" s="2" t="s">
        <v>100</v>
      </c>
    </row>
    <row r="1635">
      <c r="A1635" s="2" t="s">
        <v>5943</v>
      </c>
      <c r="B1635" s="2" t="s">
        <v>5155</v>
      </c>
      <c r="C1635" s="2" t="s">
        <v>88</v>
      </c>
      <c r="D1635" s="2" t="s">
        <v>1771</v>
      </c>
      <c r="E1635" s="2" t="s">
        <v>5398</v>
      </c>
      <c r="F1635" s="2" t="s">
        <v>5933</v>
      </c>
      <c r="G1635" s="2" t="s">
        <v>5933</v>
      </c>
      <c r="H1635" s="2" t="s">
        <v>5933</v>
      </c>
      <c r="I1635" s="2" t="s">
        <v>5934</v>
      </c>
      <c r="J1635" s="2" t="s">
        <v>5894</v>
      </c>
      <c r="K1635" s="2" t="s">
        <v>1373</v>
      </c>
      <c r="L1635" s="3">
        <v>41.98</v>
      </c>
      <c r="M1635" s="3">
        <v>44.08</v>
      </c>
      <c r="N1635" s="3">
        <v>89.99</v>
      </c>
      <c r="O1635" s="2" t="s">
        <v>97</v>
      </c>
      <c r="P1635" s="2" t="s">
        <v>98</v>
      </c>
      <c r="Q1635" s="2" t="s">
        <v>99</v>
      </c>
      <c r="R1635" s="2" t="s">
        <v>100</v>
      </c>
      <c r="S1635" s="2" t="s">
        <v>5935</v>
      </c>
      <c r="T1635" s="2" t="s">
        <v>5936</v>
      </c>
      <c r="U1635" s="2" t="s">
        <v>1776</v>
      </c>
      <c r="V1635" s="2" t="s">
        <v>461</v>
      </c>
      <c r="W1635" s="2" t="s">
        <v>609</v>
      </c>
      <c r="X1635" s="2" t="s">
        <v>525</v>
      </c>
      <c r="Y1635" s="2" t="s">
        <v>5938</v>
      </c>
      <c r="Z1635" s="4">
        <v>1186</v>
      </c>
      <c r="AA1635" s="4">
        <f>=ROUNDDOWN(40.8965517241379,0)</f>
      </c>
      <c r="AB1635" s="5">
        <v>29</v>
      </c>
      <c r="AC1635" s="2" t="s">
        <v>145</v>
      </c>
      <c r="AD1635" s="4">
        <v>100</v>
      </c>
      <c r="AE1635" s="4">
        <v>300</v>
      </c>
      <c r="AF1635" s="6">
        <v>64</v>
      </c>
      <c r="AG1635" s="6">
        <v>47</v>
      </c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/>
      <c r="BJ1635" s="4">
        <v>98</v>
      </c>
      <c r="BK1635" s="8">
        <v>4321.5</v>
      </c>
      <c r="BL1635" s="2" t="s">
        <v>5944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5476</v>
      </c>
      <c r="BX1635" s="2" t="s">
        <v>5945</v>
      </c>
      <c r="BY1635" s="2" t="s">
        <v>112</v>
      </c>
      <c r="BZ1635" s="2" t="s">
        <v>100</v>
      </c>
    </row>
    <row r="1636">
      <c r="A1636" s="2" t="s">
        <v>5946</v>
      </c>
      <c r="B1636" s="2" t="s">
        <v>5155</v>
      </c>
      <c r="C1636" s="2" t="s">
        <v>88</v>
      </c>
      <c r="D1636" s="2" t="s">
        <v>1771</v>
      </c>
      <c r="E1636" s="2" t="s">
        <v>5398</v>
      </c>
      <c r="F1636" s="2" t="s">
        <v>5933</v>
      </c>
      <c r="G1636" s="2" t="s">
        <v>5933</v>
      </c>
      <c r="H1636" s="2" t="s">
        <v>5933</v>
      </c>
      <c r="I1636" s="2" t="s">
        <v>5934</v>
      </c>
      <c r="J1636" s="2" t="s">
        <v>5894</v>
      </c>
      <c r="K1636" s="2" t="s">
        <v>236</v>
      </c>
      <c r="L1636" s="3">
        <v>41.98</v>
      </c>
      <c r="M1636" s="3">
        <v>44.08</v>
      </c>
      <c r="N1636" s="3">
        <v>89.99</v>
      </c>
      <c r="O1636" s="2" t="s">
        <v>97</v>
      </c>
      <c r="P1636" s="2" t="s">
        <v>98</v>
      </c>
      <c r="Q1636" s="2" t="s">
        <v>99</v>
      </c>
      <c r="R1636" s="2" t="s">
        <v>100</v>
      </c>
      <c r="S1636" s="2" t="s">
        <v>5947</v>
      </c>
      <c r="T1636" s="2" t="s">
        <v>5936</v>
      </c>
      <c r="U1636" s="2" t="s">
        <v>1776</v>
      </c>
      <c r="V1636" s="2" t="s">
        <v>461</v>
      </c>
      <c r="W1636" s="2" t="s">
        <v>525</v>
      </c>
      <c r="X1636" s="2" t="s">
        <v>193</v>
      </c>
      <c r="Y1636" s="2" t="s">
        <v>3446</v>
      </c>
      <c r="Z1636" s="4">
        <v>602</v>
      </c>
      <c r="AA1636" s="4">
        <f>=ROUNDDOWN(54.7272727272727,0)</f>
      </c>
      <c r="AB1636" s="5">
        <v>11</v>
      </c>
      <c r="AC1636" s="2" t="s">
        <v>100</v>
      </c>
      <c r="AD1636" s="4"/>
      <c r="AE1636" s="4"/>
      <c r="AF1636" s="6">
        <v>64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/>
      <c r="AW1636" s="8"/>
      <c r="AX1636" s="4"/>
      <c r="AY1636" s="8"/>
      <c r="AZ1636" s="7"/>
      <c r="BA1636" s="7"/>
      <c r="BB1636" s="7"/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/>
      <c r="BJ1636" s="4">
        <v>21</v>
      </c>
      <c r="BK1636" s="8">
        <v>885.49</v>
      </c>
      <c r="BL1636" s="2" t="s">
        <v>5948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171</v>
      </c>
      <c r="BV1636" s="2" t="s">
        <v>97</v>
      </c>
      <c r="BW1636" s="2" t="s">
        <v>100</v>
      </c>
      <c r="BX1636" s="2" t="s">
        <v>100</v>
      </c>
      <c r="BY1636" s="2" t="s">
        <v>112</v>
      </c>
      <c r="BZ1636" s="2" t="s">
        <v>100</v>
      </c>
    </row>
    <row r="1637">
      <c r="A1637" s="2" t="s">
        <v>5949</v>
      </c>
      <c r="B1637" s="2" t="s">
        <v>5155</v>
      </c>
      <c r="C1637" s="2" t="s">
        <v>88</v>
      </c>
      <c r="D1637" s="2" t="s">
        <v>1771</v>
      </c>
      <c r="E1637" s="2" t="s">
        <v>5398</v>
      </c>
      <c r="F1637" s="2" t="s">
        <v>5933</v>
      </c>
      <c r="G1637" s="2" t="s">
        <v>5933</v>
      </c>
      <c r="H1637" s="2" t="s">
        <v>5933</v>
      </c>
      <c r="I1637" s="2" t="s">
        <v>5934</v>
      </c>
      <c r="J1637" s="2" t="s">
        <v>5894</v>
      </c>
      <c r="K1637" s="2" t="s">
        <v>5929</v>
      </c>
      <c r="L1637" s="3">
        <v>41.98</v>
      </c>
      <c r="M1637" s="3">
        <v>44.08</v>
      </c>
      <c r="N1637" s="3">
        <v>89.99</v>
      </c>
      <c r="O1637" s="2" t="s">
        <v>97</v>
      </c>
      <c r="P1637" s="2" t="s">
        <v>98</v>
      </c>
      <c r="Q1637" s="2" t="s">
        <v>99</v>
      </c>
      <c r="R1637" s="2" t="s">
        <v>100</v>
      </c>
      <c r="S1637" s="2" t="s">
        <v>5950</v>
      </c>
      <c r="T1637" s="2" t="s">
        <v>5936</v>
      </c>
      <c r="U1637" s="2" t="s">
        <v>1776</v>
      </c>
      <c r="V1637" s="2" t="s">
        <v>461</v>
      </c>
      <c r="W1637" s="2" t="s">
        <v>525</v>
      </c>
      <c r="X1637" s="2" t="s">
        <v>193</v>
      </c>
      <c r="Y1637" s="2" t="s">
        <v>3446</v>
      </c>
      <c r="Z1637" s="4">
        <v>636</v>
      </c>
      <c r="AA1637" s="4">
        <f>=ROUNDDOWN(57.8181818181818,0)</f>
      </c>
      <c r="AB1637" s="5">
        <v>11</v>
      </c>
      <c r="AC1637" s="2" t="s">
        <v>100</v>
      </c>
      <c r="AD1637" s="4"/>
      <c r="AE1637" s="4"/>
      <c r="AF1637" s="6">
        <v>64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/>
      <c r="AW1637" s="8"/>
      <c r="AX1637" s="4"/>
      <c r="AY1637" s="8"/>
      <c r="AZ1637" s="7"/>
      <c r="BA1637" s="7"/>
      <c r="BB1637" s="7"/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/>
      <c r="BJ1637" s="4">
        <v>33</v>
      </c>
      <c r="BK1637" s="8">
        <v>1420.14</v>
      </c>
      <c r="BL1637" s="2" t="s">
        <v>5948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171</v>
      </c>
      <c r="BV1637" s="2" t="s">
        <v>97</v>
      </c>
      <c r="BW1637" s="2" t="s">
        <v>100</v>
      </c>
      <c r="BX1637" s="2" t="s">
        <v>100</v>
      </c>
      <c r="BY1637" s="2" t="s">
        <v>112</v>
      </c>
      <c r="BZ1637" s="2" t="s">
        <v>100</v>
      </c>
    </row>
    <row r="1638">
      <c r="A1638" s="2" t="s">
        <v>5951</v>
      </c>
      <c r="B1638" s="2" t="s">
        <v>5155</v>
      </c>
      <c r="C1638" s="2" t="s">
        <v>88</v>
      </c>
      <c r="D1638" s="2" t="s">
        <v>1771</v>
      </c>
      <c r="E1638" s="2" t="s">
        <v>5398</v>
      </c>
      <c r="F1638" s="2" t="s">
        <v>5933</v>
      </c>
      <c r="G1638" s="2" t="s">
        <v>5933</v>
      </c>
      <c r="H1638" s="2" t="s">
        <v>5933</v>
      </c>
      <c r="I1638" s="2" t="s">
        <v>5934</v>
      </c>
      <c r="J1638" s="2" t="s">
        <v>5894</v>
      </c>
      <c r="K1638" s="2" t="s">
        <v>523</v>
      </c>
      <c r="L1638" s="3">
        <v>41.98</v>
      </c>
      <c r="M1638" s="3">
        <v>44.08</v>
      </c>
      <c r="N1638" s="3">
        <v>89.99</v>
      </c>
      <c r="O1638" s="2" t="s">
        <v>97</v>
      </c>
      <c r="P1638" s="2" t="s">
        <v>123</v>
      </c>
      <c r="Q1638" s="2" t="s">
        <v>99</v>
      </c>
      <c r="R1638" s="2" t="s">
        <v>100</v>
      </c>
      <c r="S1638" s="2" t="s">
        <v>5952</v>
      </c>
      <c r="T1638" s="2" t="s">
        <v>5936</v>
      </c>
      <c r="U1638" s="2" t="s">
        <v>1776</v>
      </c>
      <c r="V1638" s="2" t="s">
        <v>461</v>
      </c>
      <c r="W1638" s="2" t="s">
        <v>525</v>
      </c>
      <c r="X1638" s="2" t="s">
        <v>193</v>
      </c>
      <c r="Y1638" s="2" t="s">
        <v>2689</v>
      </c>
      <c r="Z1638" s="4">
        <v>1475</v>
      </c>
      <c r="AA1638" s="4">
        <f>=ROUNDDOWN(46.09375,0)</f>
      </c>
      <c r="AB1638" s="5">
        <v>32</v>
      </c>
      <c r="AC1638" s="2" t="s">
        <v>875</v>
      </c>
      <c r="AD1638" s="4">
        <v>300</v>
      </c>
      <c r="AE1638" s="4">
        <v>300</v>
      </c>
      <c r="AF1638" s="6">
        <v>64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/>
      <c r="BJ1638" s="4">
        <v>117</v>
      </c>
      <c r="BK1638" s="8">
        <v>5192.48</v>
      </c>
      <c r="BL1638" s="2" t="s">
        <v>5953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171</v>
      </c>
      <c r="BV1638" s="2" t="s">
        <v>97</v>
      </c>
      <c r="BW1638" s="2" t="s">
        <v>100</v>
      </c>
      <c r="BX1638" s="2" t="s">
        <v>100</v>
      </c>
      <c r="BY1638" s="2" t="s">
        <v>112</v>
      </c>
      <c r="BZ1638" s="2" t="s">
        <v>100</v>
      </c>
    </row>
    <row r="1639">
      <c r="A1639" s="2" t="s">
        <v>5954</v>
      </c>
      <c r="B1639" s="2" t="s">
        <v>5155</v>
      </c>
      <c r="C1639" s="2" t="s">
        <v>88</v>
      </c>
      <c r="D1639" s="2" t="s">
        <v>1771</v>
      </c>
      <c r="E1639" s="2" t="s">
        <v>5398</v>
      </c>
      <c r="F1639" s="2" t="s">
        <v>5933</v>
      </c>
      <c r="G1639" s="2" t="s">
        <v>5933</v>
      </c>
      <c r="H1639" s="2" t="s">
        <v>5933</v>
      </c>
      <c r="I1639" s="2" t="s">
        <v>5934</v>
      </c>
      <c r="J1639" s="2" t="s">
        <v>5894</v>
      </c>
      <c r="K1639" s="2" t="s">
        <v>626</v>
      </c>
      <c r="L1639" s="3">
        <v>41.98</v>
      </c>
      <c r="M1639" s="3">
        <v>44.08</v>
      </c>
      <c r="N1639" s="3">
        <v>89.99</v>
      </c>
      <c r="O1639" s="2" t="s">
        <v>97</v>
      </c>
      <c r="P1639" s="2" t="s">
        <v>98</v>
      </c>
      <c r="Q1639" s="2" t="s">
        <v>99</v>
      </c>
      <c r="R1639" s="2" t="s">
        <v>100</v>
      </c>
      <c r="S1639" s="2" t="s">
        <v>5955</v>
      </c>
      <c r="T1639" s="2" t="s">
        <v>5936</v>
      </c>
      <c r="U1639" s="2" t="s">
        <v>1776</v>
      </c>
      <c r="V1639" s="2" t="s">
        <v>461</v>
      </c>
      <c r="W1639" s="2" t="s">
        <v>525</v>
      </c>
      <c r="X1639" s="2" t="s">
        <v>193</v>
      </c>
      <c r="Y1639" s="2" t="s">
        <v>3446</v>
      </c>
      <c r="Z1639" s="4">
        <v>570</v>
      </c>
      <c r="AA1639" s="4">
        <f>=ROUNDDOWN(43.8461538461538,0)</f>
      </c>
      <c r="AB1639" s="5">
        <v>13</v>
      </c>
      <c r="AC1639" s="2" t="s">
        <v>875</v>
      </c>
      <c r="AD1639" s="4">
        <v>300</v>
      </c>
      <c r="AE1639" s="4">
        <v>300</v>
      </c>
      <c r="AF1639" s="6">
        <v>64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/>
      <c r="BJ1639" s="4">
        <v>32</v>
      </c>
      <c r="BK1639" s="8">
        <v>1351.29</v>
      </c>
      <c r="BL1639" s="2" t="s">
        <v>3052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171</v>
      </c>
      <c r="BV1639" s="2" t="s">
        <v>97</v>
      </c>
      <c r="BW1639" s="2" t="s">
        <v>100</v>
      </c>
      <c r="BX1639" s="2" t="s">
        <v>100</v>
      </c>
      <c r="BY1639" s="2" t="s">
        <v>112</v>
      </c>
      <c r="BZ1639" s="2" t="s">
        <v>100</v>
      </c>
    </row>
    <row r="1640">
      <c r="A1640" s="2" t="s">
        <v>5956</v>
      </c>
      <c r="B1640" s="2" t="s">
        <v>5155</v>
      </c>
      <c r="C1640" s="2" t="s">
        <v>88</v>
      </c>
      <c r="D1640" s="2" t="s">
        <v>1771</v>
      </c>
      <c r="E1640" s="2" t="s">
        <v>5398</v>
      </c>
      <c r="F1640" s="2" t="s">
        <v>5836</v>
      </c>
      <c r="G1640" s="2" t="s">
        <v>3813</v>
      </c>
      <c r="H1640" s="2" t="s">
        <v>3813</v>
      </c>
      <c r="I1640" s="2" t="s">
        <v>5957</v>
      </c>
      <c r="J1640" s="2" t="s">
        <v>5894</v>
      </c>
      <c r="K1640" s="2" t="s">
        <v>165</v>
      </c>
      <c r="L1640" s="3">
        <v>26.68</v>
      </c>
      <c r="M1640" s="3">
        <v>28.01</v>
      </c>
      <c r="N1640" s="3">
        <v>57.99</v>
      </c>
      <c r="O1640" s="2" t="s">
        <v>97</v>
      </c>
      <c r="P1640" s="2" t="s">
        <v>98</v>
      </c>
      <c r="Q1640" s="2" t="s">
        <v>99</v>
      </c>
      <c r="R1640" s="2" t="s">
        <v>100</v>
      </c>
      <c r="S1640" s="2" t="s">
        <v>5838</v>
      </c>
      <c r="T1640" s="2" t="s">
        <v>5436</v>
      </c>
      <c r="U1640" s="2" t="s">
        <v>100</v>
      </c>
      <c r="V1640" s="2" t="s">
        <v>2510</v>
      </c>
      <c r="W1640" s="2" t="s">
        <v>1136</v>
      </c>
      <c r="X1640" s="2" t="s">
        <v>100</v>
      </c>
      <c r="Y1640" s="2" t="s">
        <v>106</v>
      </c>
      <c r="Z1640" s="4">
        <v>257</v>
      </c>
      <c r="AA1640" s="4">
        <f>=ROUNDDOWN(26.2244897959184,0)</f>
      </c>
      <c r="AB1640" s="5">
        <v>9.8</v>
      </c>
      <c r="AC1640" s="2" t="s">
        <v>100</v>
      </c>
      <c r="AD1640" s="4"/>
      <c r="AE1640" s="4"/>
      <c r="AF1640" s="6">
        <v>64</v>
      </c>
      <c r="AG1640" s="6"/>
      <c r="AH1640" s="7">
        <v>0.871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/>
      <c r="BJ1640" s="4">
        <v>15</v>
      </c>
      <c r="BK1640" s="8">
        <v>424.86</v>
      </c>
      <c r="BL1640" s="2" t="s">
        <v>5958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109</v>
      </c>
      <c r="BV1640" s="2" t="s">
        <v>97</v>
      </c>
      <c r="BW1640" s="2" t="s">
        <v>5840</v>
      </c>
      <c r="BX1640" s="2" t="s">
        <v>127</v>
      </c>
      <c r="BY1640" s="2" t="s">
        <v>112</v>
      </c>
      <c r="BZ1640" s="2" t="s">
        <v>100</v>
      </c>
    </row>
    <row r="1641">
      <c r="A1641" s="2" t="s">
        <v>5959</v>
      </c>
      <c r="B1641" s="2" t="s">
        <v>5155</v>
      </c>
      <c r="C1641" s="2" t="s">
        <v>88</v>
      </c>
      <c r="D1641" s="2" t="s">
        <v>1771</v>
      </c>
      <c r="E1641" s="2" t="s">
        <v>5398</v>
      </c>
      <c r="F1641" s="2" t="s">
        <v>5836</v>
      </c>
      <c r="G1641" s="2" t="s">
        <v>3813</v>
      </c>
      <c r="H1641" s="2" t="s">
        <v>3813</v>
      </c>
      <c r="I1641" s="2" t="s">
        <v>5957</v>
      </c>
      <c r="J1641" s="2" t="s">
        <v>5894</v>
      </c>
      <c r="K1641" s="2" t="s">
        <v>1373</v>
      </c>
      <c r="L1641" s="3">
        <v>26.68</v>
      </c>
      <c r="M1641" s="3">
        <v>28.01</v>
      </c>
      <c r="N1641" s="3">
        <v>57.99</v>
      </c>
      <c r="O1641" s="2" t="s">
        <v>97</v>
      </c>
      <c r="P1641" s="2" t="s">
        <v>98</v>
      </c>
      <c r="Q1641" s="2" t="s">
        <v>99</v>
      </c>
      <c r="R1641" s="2" t="s">
        <v>100</v>
      </c>
      <c r="S1641" s="2" t="s">
        <v>5843</v>
      </c>
      <c r="T1641" s="2" t="s">
        <v>5436</v>
      </c>
      <c r="U1641" s="2" t="s">
        <v>100</v>
      </c>
      <c r="V1641" s="2" t="s">
        <v>2510</v>
      </c>
      <c r="W1641" s="2" t="s">
        <v>1136</v>
      </c>
      <c r="X1641" s="2" t="s">
        <v>100</v>
      </c>
      <c r="Y1641" s="2" t="s">
        <v>106</v>
      </c>
      <c r="Z1641" s="4">
        <v>207</v>
      </c>
      <c r="AA1641" s="4">
        <f>=ROUNDDOWN(17.25,0)</f>
      </c>
      <c r="AB1641" s="5">
        <v>12</v>
      </c>
      <c r="AC1641" s="2" t="s">
        <v>676</v>
      </c>
      <c r="AD1641" s="4">
        <v>300</v>
      </c>
      <c r="AE1641" s="4">
        <v>300</v>
      </c>
      <c r="AF1641" s="6">
        <v>64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/>
      <c r="BJ1641" s="4">
        <v>29</v>
      </c>
      <c r="BK1641" s="8">
        <v>844.22</v>
      </c>
      <c r="BL1641" s="2" t="s">
        <v>4280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109</v>
      </c>
      <c r="BV1641" s="2" t="s">
        <v>97</v>
      </c>
      <c r="BW1641" s="2" t="s">
        <v>5840</v>
      </c>
      <c r="BX1641" s="2" t="s">
        <v>4353</v>
      </c>
      <c r="BY1641" s="2" t="s">
        <v>112</v>
      </c>
      <c r="BZ1641" s="2" t="s">
        <v>100</v>
      </c>
    </row>
    <row r="1642">
      <c r="A1642" s="2" t="s">
        <v>5960</v>
      </c>
      <c r="B1642" s="2" t="s">
        <v>5155</v>
      </c>
      <c r="C1642" s="2" t="s">
        <v>88</v>
      </c>
      <c r="D1642" s="2" t="s">
        <v>1771</v>
      </c>
      <c r="E1642" s="2" t="s">
        <v>5398</v>
      </c>
      <c r="F1642" s="2" t="s">
        <v>5836</v>
      </c>
      <c r="G1642" s="2" t="s">
        <v>3813</v>
      </c>
      <c r="H1642" s="2" t="s">
        <v>3813</v>
      </c>
      <c r="I1642" s="2" t="s">
        <v>5957</v>
      </c>
      <c r="J1642" s="2" t="s">
        <v>5894</v>
      </c>
      <c r="K1642" s="2" t="s">
        <v>446</v>
      </c>
      <c r="L1642" s="3">
        <v>26.68</v>
      </c>
      <c r="M1642" s="3">
        <v>28.01</v>
      </c>
      <c r="N1642" s="3">
        <v>57.99</v>
      </c>
      <c r="O1642" s="2" t="s">
        <v>97</v>
      </c>
      <c r="P1642" s="2" t="s">
        <v>98</v>
      </c>
      <c r="Q1642" s="2" t="s">
        <v>99</v>
      </c>
      <c r="R1642" s="2" t="s">
        <v>100</v>
      </c>
      <c r="S1642" s="2" t="s">
        <v>5846</v>
      </c>
      <c r="T1642" s="2" t="s">
        <v>5436</v>
      </c>
      <c r="U1642" s="2" t="s">
        <v>100</v>
      </c>
      <c r="V1642" s="2" t="s">
        <v>2510</v>
      </c>
      <c r="W1642" s="2" t="s">
        <v>1136</v>
      </c>
      <c r="X1642" s="2" t="s">
        <v>100</v>
      </c>
      <c r="Y1642" s="2" t="s">
        <v>106</v>
      </c>
      <c r="Z1642" s="4">
        <v>237</v>
      </c>
      <c r="AA1642" s="4">
        <f>=ROUNDDOWN(18.2307692307692,0)</f>
      </c>
      <c r="AB1642" s="5">
        <v>13</v>
      </c>
      <c r="AC1642" s="2" t="s">
        <v>676</v>
      </c>
      <c r="AD1642" s="4">
        <v>350</v>
      </c>
      <c r="AE1642" s="4">
        <v>350</v>
      </c>
      <c r="AF1642" s="6">
        <v>64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/>
      <c r="BJ1642" s="4">
        <v>21</v>
      </c>
      <c r="BK1642" s="8">
        <v>614.72</v>
      </c>
      <c r="BL1642" s="2" t="s">
        <v>1119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109</v>
      </c>
      <c r="BV1642" s="2" t="s">
        <v>97</v>
      </c>
      <c r="BW1642" s="2" t="s">
        <v>5840</v>
      </c>
      <c r="BX1642" s="2" t="s">
        <v>5615</v>
      </c>
      <c r="BY1642" s="2" t="s">
        <v>112</v>
      </c>
      <c r="BZ1642" s="2" t="s">
        <v>100</v>
      </c>
    </row>
    <row r="1643">
      <c r="A1643" s="2" t="s">
        <v>5961</v>
      </c>
      <c r="B1643" s="2" t="s">
        <v>5155</v>
      </c>
      <c r="C1643" s="2" t="s">
        <v>88</v>
      </c>
      <c r="D1643" s="2" t="s">
        <v>1771</v>
      </c>
      <c r="E1643" s="2" t="s">
        <v>5398</v>
      </c>
      <c r="F1643" s="2" t="s">
        <v>5962</v>
      </c>
      <c r="G1643" s="2" t="s">
        <v>1582</v>
      </c>
      <c r="H1643" s="2" t="s">
        <v>1582</v>
      </c>
      <c r="I1643" s="2" t="s">
        <v>5963</v>
      </c>
      <c r="J1643" s="2" t="s">
        <v>5894</v>
      </c>
      <c r="K1643" s="2" t="s">
        <v>96</v>
      </c>
      <c r="L1643" s="3">
        <v>15.85</v>
      </c>
      <c r="M1643" s="3">
        <v>16.64</v>
      </c>
      <c r="N1643" s="3">
        <v>36.99</v>
      </c>
      <c r="O1643" s="2" t="s">
        <v>97</v>
      </c>
      <c r="P1643" s="2" t="s">
        <v>98</v>
      </c>
      <c r="Q1643" s="2" t="s">
        <v>99</v>
      </c>
      <c r="R1643" s="2" t="s">
        <v>100</v>
      </c>
      <c r="S1643" s="2" t="s">
        <v>5964</v>
      </c>
      <c r="T1643" s="2" t="s">
        <v>5436</v>
      </c>
      <c r="U1643" s="2" t="s">
        <v>1776</v>
      </c>
      <c r="V1643" s="2" t="s">
        <v>461</v>
      </c>
      <c r="W1643" s="2" t="s">
        <v>1136</v>
      </c>
      <c r="X1643" s="2" t="s">
        <v>100</v>
      </c>
      <c r="Y1643" s="2" t="s">
        <v>5965</v>
      </c>
      <c r="Z1643" s="4">
        <v>293</v>
      </c>
      <c r="AA1643" s="4">
        <f>=ROUNDDOWN(41.8571428571429,0)</f>
      </c>
      <c r="AB1643" s="5">
        <v>7</v>
      </c>
      <c r="AC1643" s="2" t="s">
        <v>1468</v>
      </c>
      <c r="AD1643" s="4">
        <v>250</v>
      </c>
      <c r="AE1643" s="4">
        <v>250</v>
      </c>
      <c r="AF1643" s="6">
        <v>64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/>
      <c r="BJ1643" s="4">
        <v>11</v>
      </c>
      <c r="BK1643" s="8">
        <v>192.17</v>
      </c>
      <c r="BL1643" s="2" t="s">
        <v>5966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171</v>
      </c>
      <c r="BV1643" s="2" t="s">
        <v>97</v>
      </c>
      <c r="BW1643" s="2" t="s">
        <v>100</v>
      </c>
      <c r="BX1643" s="2" t="s">
        <v>100</v>
      </c>
      <c r="BY1643" s="2" t="s">
        <v>112</v>
      </c>
      <c r="BZ1643" s="2" t="s">
        <v>100</v>
      </c>
    </row>
    <row r="1644">
      <c r="A1644" s="2" t="s">
        <v>5967</v>
      </c>
      <c r="B1644" s="2" t="s">
        <v>5155</v>
      </c>
      <c r="C1644" s="2" t="s">
        <v>88</v>
      </c>
      <c r="D1644" s="2" t="s">
        <v>1771</v>
      </c>
      <c r="E1644" s="2" t="s">
        <v>5398</v>
      </c>
      <c r="F1644" s="2" t="s">
        <v>5962</v>
      </c>
      <c r="G1644" s="2" t="s">
        <v>1582</v>
      </c>
      <c r="H1644" s="2" t="s">
        <v>1582</v>
      </c>
      <c r="I1644" s="2" t="s">
        <v>5963</v>
      </c>
      <c r="J1644" s="2" t="s">
        <v>5894</v>
      </c>
      <c r="K1644" s="2" t="s">
        <v>1373</v>
      </c>
      <c r="L1644" s="3">
        <v>15.85</v>
      </c>
      <c r="M1644" s="3">
        <v>16.64</v>
      </c>
      <c r="N1644" s="3">
        <v>36.99</v>
      </c>
      <c r="O1644" s="2" t="s">
        <v>97</v>
      </c>
      <c r="P1644" s="2" t="s">
        <v>98</v>
      </c>
      <c r="Q1644" s="2" t="s">
        <v>99</v>
      </c>
      <c r="R1644" s="2" t="s">
        <v>100</v>
      </c>
      <c r="S1644" s="2" t="s">
        <v>5964</v>
      </c>
      <c r="T1644" s="2" t="s">
        <v>5436</v>
      </c>
      <c r="U1644" s="2" t="s">
        <v>1776</v>
      </c>
      <c r="V1644" s="2" t="s">
        <v>461</v>
      </c>
      <c r="W1644" s="2" t="s">
        <v>1136</v>
      </c>
      <c r="X1644" s="2" t="s">
        <v>100</v>
      </c>
      <c r="Y1644" s="2" t="s">
        <v>5965</v>
      </c>
      <c r="Z1644" s="4">
        <v>242</v>
      </c>
      <c r="AA1644" s="4">
        <f>=ROUNDDOWN(24.2,0)</f>
      </c>
      <c r="AB1644" s="5">
        <v>10</v>
      </c>
      <c r="AC1644" s="2" t="s">
        <v>1468</v>
      </c>
      <c r="AD1644" s="4">
        <v>250</v>
      </c>
      <c r="AE1644" s="4">
        <v>250</v>
      </c>
      <c r="AF1644" s="6">
        <v>64</v>
      </c>
      <c r="AG1644" s="6"/>
      <c r="AH1644" s="7">
        <v>0.7742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/>
      <c r="BJ1644" s="4">
        <v>14</v>
      </c>
      <c r="BK1644" s="8">
        <v>243.42</v>
      </c>
      <c r="BL1644" s="2" t="s">
        <v>5968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171</v>
      </c>
      <c r="BV1644" s="2" t="s">
        <v>97</v>
      </c>
      <c r="BW1644" s="2" t="s">
        <v>100</v>
      </c>
      <c r="BX1644" s="2" t="s">
        <v>100</v>
      </c>
      <c r="BY1644" s="2" t="s">
        <v>112</v>
      </c>
      <c r="BZ1644" s="2" t="s">
        <v>100</v>
      </c>
    </row>
    <row r="1645">
      <c r="A1645" s="2" t="s">
        <v>5969</v>
      </c>
      <c r="B1645" s="2" t="s">
        <v>5155</v>
      </c>
      <c r="C1645" s="2" t="s">
        <v>88</v>
      </c>
      <c r="D1645" s="2" t="s">
        <v>1771</v>
      </c>
      <c r="E1645" s="2" t="s">
        <v>5398</v>
      </c>
      <c r="F1645" s="2" t="s">
        <v>5970</v>
      </c>
      <c r="G1645" s="2" t="s">
        <v>5970</v>
      </c>
      <c r="H1645" s="2" t="s">
        <v>5970</v>
      </c>
      <c r="I1645" s="2" t="s">
        <v>5971</v>
      </c>
      <c r="J1645" s="2" t="s">
        <v>5399</v>
      </c>
      <c r="K1645" s="2" t="s">
        <v>165</v>
      </c>
      <c r="L1645" s="3">
        <v>11.64</v>
      </c>
      <c r="M1645" s="3">
        <v>12.22</v>
      </c>
      <c r="N1645" s="3">
        <v>25.99</v>
      </c>
      <c r="O1645" s="2" t="s">
        <v>97</v>
      </c>
      <c r="P1645" s="2" t="s">
        <v>98</v>
      </c>
      <c r="Q1645" s="2" t="s">
        <v>99</v>
      </c>
      <c r="R1645" s="2" t="s">
        <v>100</v>
      </c>
      <c r="S1645" s="2" t="s">
        <v>5972</v>
      </c>
      <c r="T1645" s="2" t="s">
        <v>4296</v>
      </c>
      <c r="U1645" s="2" t="s">
        <v>100</v>
      </c>
      <c r="V1645" s="2" t="s">
        <v>473</v>
      </c>
      <c r="W1645" s="2" t="s">
        <v>609</v>
      </c>
      <c r="X1645" s="2" t="s">
        <v>142</v>
      </c>
      <c r="Y1645" s="2" t="s">
        <v>144</v>
      </c>
      <c r="Z1645" s="4">
        <v>154</v>
      </c>
      <c r="AA1645" s="4">
        <f>=ROUNDDOWN(11,0)</f>
      </c>
      <c r="AB1645" s="5">
        <v>14</v>
      </c>
      <c r="AC1645" s="2" t="s">
        <v>145</v>
      </c>
      <c r="AD1645" s="4">
        <v>300</v>
      </c>
      <c r="AE1645" s="4">
        <v>500</v>
      </c>
      <c r="AF1645" s="6">
        <v>64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/>
      <c r="BJ1645" s="4">
        <v>24</v>
      </c>
      <c r="BK1645" s="8">
        <v>285.64</v>
      </c>
      <c r="BL1645" s="2" t="s">
        <v>5973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109</v>
      </c>
      <c r="BV1645" s="2" t="s">
        <v>97</v>
      </c>
      <c r="BW1645" s="2" t="s">
        <v>1824</v>
      </c>
      <c r="BX1645" s="2" t="s">
        <v>1900</v>
      </c>
      <c r="BY1645" s="2" t="s">
        <v>112</v>
      </c>
      <c r="BZ1645" s="2" t="s">
        <v>100</v>
      </c>
    </row>
    <row r="1646">
      <c r="A1646" s="2" t="s">
        <v>5974</v>
      </c>
      <c r="B1646" s="2" t="s">
        <v>5155</v>
      </c>
      <c r="C1646" s="2" t="s">
        <v>88</v>
      </c>
      <c r="D1646" s="2" t="s">
        <v>1771</v>
      </c>
      <c r="E1646" s="2" t="s">
        <v>5398</v>
      </c>
      <c r="F1646" s="2" t="s">
        <v>5970</v>
      </c>
      <c r="G1646" s="2" t="s">
        <v>5970</v>
      </c>
      <c r="H1646" s="2" t="s">
        <v>5970</v>
      </c>
      <c r="I1646" s="2" t="s">
        <v>5971</v>
      </c>
      <c r="J1646" s="2" t="s">
        <v>5399</v>
      </c>
      <c r="K1646" s="2" t="s">
        <v>223</v>
      </c>
      <c r="L1646" s="3">
        <v>11.64</v>
      </c>
      <c r="M1646" s="3">
        <v>12.22</v>
      </c>
      <c r="N1646" s="3">
        <v>25.99</v>
      </c>
      <c r="O1646" s="2" t="s">
        <v>97</v>
      </c>
      <c r="P1646" s="2" t="s">
        <v>98</v>
      </c>
      <c r="Q1646" s="2" t="s">
        <v>99</v>
      </c>
      <c r="R1646" s="2" t="s">
        <v>100</v>
      </c>
      <c r="S1646" s="2" t="s">
        <v>5975</v>
      </c>
      <c r="T1646" s="2" t="s">
        <v>4296</v>
      </c>
      <c r="U1646" s="2" t="s">
        <v>100</v>
      </c>
      <c r="V1646" s="2" t="s">
        <v>473</v>
      </c>
      <c r="W1646" s="2" t="s">
        <v>609</v>
      </c>
      <c r="X1646" s="2" t="s">
        <v>142</v>
      </c>
      <c r="Y1646" s="2" t="s">
        <v>144</v>
      </c>
      <c r="Z1646" s="4">
        <v>408</v>
      </c>
      <c r="AA1646" s="4">
        <f>=ROUNDDOWN(18.6301369863014,0)</f>
      </c>
      <c r="AB1646" s="5">
        <v>21.9</v>
      </c>
      <c r="AC1646" s="2" t="s">
        <v>145</v>
      </c>
      <c r="AD1646" s="4">
        <v>200</v>
      </c>
      <c r="AE1646" s="4">
        <v>500</v>
      </c>
      <c r="AF1646" s="6">
        <v>64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/>
      <c r="BJ1646" s="4">
        <v>57</v>
      </c>
      <c r="BK1646" s="8">
        <v>683.38</v>
      </c>
      <c r="BL1646" s="2" t="s">
        <v>5976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109</v>
      </c>
      <c r="BV1646" s="2" t="s">
        <v>97</v>
      </c>
      <c r="BW1646" s="2" t="s">
        <v>464</v>
      </c>
      <c r="BX1646" s="2" t="s">
        <v>5422</v>
      </c>
      <c r="BY1646" s="2" t="s">
        <v>112</v>
      </c>
      <c r="BZ1646" s="2" t="s">
        <v>100</v>
      </c>
    </row>
    <row r="1647">
      <c r="A1647" s="2" t="s">
        <v>5977</v>
      </c>
      <c r="B1647" s="2" t="s">
        <v>5155</v>
      </c>
      <c r="C1647" s="2" t="s">
        <v>88</v>
      </c>
      <c r="D1647" s="2" t="s">
        <v>1771</v>
      </c>
      <c r="E1647" s="2" t="s">
        <v>5398</v>
      </c>
      <c r="F1647" s="2" t="s">
        <v>5978</v>
      </c>
      <c r="G1647" s="2" t="s">
        <v>5978</v>
      </c>
      <c r="H1647" s="2" t="s">
        <v>5978</v>
      </c>
      <c r="I1647" s="2" t="s">
        <v>5398</v>
      </c>
      <c r="J1647" s="2" t="s">
        <v>5894</v>
      </c>
      <c r="K1647" s="2" t="s">
        <v>471</v>
      </c>
      <c r="L1647" s="3">
        <v>18.09</v>
      </c>
      <c r="M1647" s="3">
        <v>18.99</v>
      </c>
      <c r="N1647" s="3">
        <v>39.99</v>
      </c>
      <c r="O1647" s="2" t="s">
        <v>97</v>
      </c>
      <c r="P1647" s="2" t="s">
        <v>156</v>
      </c>
      <c r="Q1647" s="2" t="s">
        <v>99</v>
      </c>
      <c r="R1647" s="2" t="s">
        <v>100</v>
      </c>
      <c r="S1647" s="2" t="s">
        <v>5979</v>
      </c>
      <c r="T1647" s="2" t="s">
        <v>5436</v>
      </c>
      <c r="U1647" s="2" t="s">
        <v>1776</v>
      </c>
      <c r="V1647" s="2" t="s">
        <v>461</v>
      </c>
      <c r="W1647" s="2" t="s">
        <v>1136</v>
      </c>
      <c r="X1647" s="2" t="s">
        <v>100</v>
      </c>
      <c r="Y1647" s="2" t="s">
        <v>1691</v>
      </c>
      <c r="Z1647" s="4">
        <v>385</v>
      </c>
      <c r="AA1647" s="4">
        <f>=ROUNDDOWN(27.5,0)</f>
      </c>
      <c r="AB1647" s="5">
        <v>14</v>
      </c>
      <c r="AC1647" s="2" t="s">
        <v>312</v>
      </c>
      <c r="AD1647" s="4">
        <v>400</v>
      </c>
      <c r="AE1647" s="4">
        <v>400</v>
      </c>
      <c r="AF1647" s="6">
        <v>64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/>
      <c r="BJ1647" s="4">
        <v>35</v>
      </c>
      <c r="BK1647" s="8">
        <v>662.55</v>
      </c>
      <c r="BL1647" s="2" t="s">
        <v>5980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109</v>
      </c>
      <c r="BV1647" s="2" t="s">
        <v>97</v>
      </c>
      <c r="BW1647" s="2" t="s">
        <v>5840</v>
      </c>
      <c r="BX1647" s="2" t="s">
        <v>127</v>
      </c>
      <c r="BY1647" s="2" t="s">
        <v>112</v>
      </c>
      <c r="BZ1647" s="2" t="s">
        <v>100</v>
      </c>
    </row>
    <row r="1648">
      <c r="A1648" s="2" t="s">
        <v>5981</v>
      </c>
      <c r="B1648" s="2" t="s">
        <v>5155</v>
      </c>
      <c r="C1648" s="2" t="s">
        <v>88</v>
      </c>
      <c r="D1648" s="2" t="s">
        <v>1771</v>
      </c>
      <c r="E1648" s="2" t="s">
        <v>5398</v>
      </c>
      <c r="F1648" s="2" t="s">
        <v>5978</v>
      </c>
      <c r="G1648" s="2" t="s">
        <v>5978</v>
      </c>
      <c r="H1648" s="2" t="s">
        <v>5978</v>
      </c>
      <c r="I1648" s="2" t="s">
        <v>5398</v>
      </c>
      <c r="J1648" s="2" t="s">
        <v>5894</v>
      </c>
      <c r="K1648" s="2" t="s">
        <v>165</v>
      </c>
      <c r="L1648" s="3">
        <v>18.09</v>
      </c>
      <c r="M1648" s="3">
        <v>18.99</v>
      </c>
      <c r="N1648" s="3">
        <v>39.99</v>
      </c>
      <c r="O1648" s="2" t="s">
        <v>97</v>
      </c>
      <c r="P1648" s="2" t="s">
        <v>156</v>
      </c>
      <c r="Q1648" s="2" t="s">
        <v>99</v>
      </c>
      <c r="R1648" s="2" t="s">
        <v>100</v>
      </c>
      <c r="S1648" s="2" t="s">
        <v>5982</v>
      </c>
      <c r="T1648" s="2" t="s">
        <v>5436</v>
      </c>
      <c r="U1648" s="2" t="s">
        <v>1776</v>
      </c>
      <c r="V1648" s="2" t="s">
        <v>461</v>
      </c>
      <c r="W1648" s="2" t="s">
        <v>1136</v>
      </c>
      <c r="X1648" s="2" t="s">
        <v>100</v>
      </c>
      <c r="Y1648" s="2" t="s">
        <v>5983</v>
      </c>
      <c r="Z1648" s="4">
        <v>1289</v>
      </c>
      <c r="AA1648" s="4">
        <f>=ROUNDDOWN(56.0434782608696,0)</f>
      </c>
      <c r="AB1648" s="5">
        <v>23</v>
      </c>
      <c r="AC1648" s="2" t="s">
        <v>100</v>
      </c>
      <c r="AD1648" s="4"/>
      <c r="AE1648" s="4"/>
      <c r="AF1648" s="6">
        <v>64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/>
      <c r="BJ1648" s="4">
        <v>60</v>
      </c>
      <c r="BK1648" s="8">
        <v>1114.54</v>
      </c>
      <c r="BL1648" s="2" t="s">
        <v>5984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171</v>
      </c>
      <c r="BV1648" s="2" t="s">
        <v>97</v>
      </c>
      <c r="BW1648" s="2" t="s">
        <v>100</v>
      </c>
      <c r="BX1648" s="2" t="s">
        <v>100</v>
      </c>
      <c r="BY1648" s="2" t="s">
        <v>112</v>
      </c>
      <c r="BZ1648" s="2" t="s">
        <v>100</v>
      </c>
    </row>
    <row r="1649">
      <c r="A1649" s="2" t="s">
        <v>5985</v>
      </c>
      <c r="B1649" s="2" t="s">
        <v>5155</v>
      </c>
      <c r="C1649" s="2" t="s">
        <v>88</v>
      </c>
      <c r="D1649" s="2" t="s">
        <v>1771</v>
      </c>
      <c r="E1649" s="2" t="s">
        <v>5398</v>
      </c>
      <c r="F1649" s="2" t="s">
        <v>5978</v>
      </c>
      <c r="G1649" s="2" t="s">
        <v>5978</v>
      </c>
      <c r="H1649" s="2" t="s">
        <v>5978</v>
      </c>
      <c r="I1649" s="2" t="s">
        <v>5398</v>
      </c>
      <c r="J1649" s="2" t="s">
        <v>5894</v>
      </c>
      <c r="K1649" s="2" t="s">
        <v>188</v>
      </c>
      <c r="L1649" s="3">
        <v>18.09</v>
      </c>
      <c r="M1649" s="3">
        <v>18.99</v>
      </c>
      <c r="N1649" s="3">
        <v>39.99</v>
      </c>
      <c r="O1649" s="2" t="s">
        <v>97</v>
      </c>
      <c r="P1649" s="2" t="s">
        <v>317</v>
      </c>
      <c r="Q1649" s="2" t="s">
        <v>99</v>
      </c>
      <c r="R1649" s="2" t="s">
        <v>100</v>
      </c>
      <c r="S1649" s="2" t="s">
        <v>5979</v>
      </c>
      <c r="T1649" s="2" t="s">
        <v>5436</v>
      </c>
      <c r="U1649" s="2" t="s">
        <v>1776</v>
      </c>
      <c r="V1649" s="2" t="s">
        <v>461</v>
      </c>
      <c r="W1649" s="2" t="s">
        <v>1136</v>
      </c>
      <c r="X1649" s="2" t="s">
        <v>100</v>
      </c>
      <c r="Y1649" s="2" t="s">
        <v>1691</v>
      </c>
      <c r="Z1649" s="4">
        <v>1731</v>
      </c>
      <c r="AA1649" s="4">
        <f>=ROUNDDOWN(30.3684210526316,0)</f>
      </c>
      <c r="AB1649" s="5">
        <v>57</v>
      </c>
      <c r="AC1649" s="2" t="s">
        <v>832</v>
      </c>
      <c r="AD1649" s="4">
        <v>150</v>
      </c>
      <c r="AE1649" s="4">
        <v>800</v>
      </c>
      <c r="AF1649" s="6">
        <v>64</v>
      </c>
      <c r="AG1649" s="6">
        <v>47</v>
      </c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/>
      <c r="BJ1649" s="4">
        <v>128</v>
      </c>
      <c r="BK1649" s="8">
        <v>2409.79</v>
      </c>
      <c r="BL1649" s="2" t="s">
        <v>5986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109</v>
      </c>
      <c r="BV1649" s="2" t="s">
        <v>97</v>
      </c>
      <c r="BW1649" s="2" t="s">
        <v>5840</v>
      </c>
      <c r="BX1649" s="2" t="s">
        <v>4353</v>
      </c>
      <c r="BY1649" s="2" t="s">
        <v>112</v>
      </c>
      <c r="BZ1649" s="2" t="s">
        <v>100</v>
      </c>
    </row>
    <row r="1650">
      <c r="A1650" s="2" t="s">
        <v>5987</v>
      </c>
      <c r="B1650" s="2" t="s">
        <v>5155</v>
      </c>
      <c r="C1650" s="2" t="s">
        <v>88</v>
      </c>
      <c r="D1650" s="2" t="s">
        <v>1771</v>
      </c>
      <c r="E1650" s="2" t="s">
        <v>5398</v>
      </c>
      <c r="F1650" s="2" t="s">
        <v>5978</v>
      </c>
      <c r="G1650" s="2" t="s">
        <v>5978</v>
      </c>
      <c r="H1650" s="2" t="s">
        <v>5978</v>
      </c>
      <c r="I1650" s="2" t="s">
        <v>5398</v>
      </c>
      <c r="J1650" s="2" t="s">
        <v>5894</v>
      </c>
      <c r="K1650" s="2" t="s">
        <v>96</v>
      </c>
      <c r="L1650" s="3">
        <v>18.09</v>
      </c>
      <c r="M1650" s="3">
        <v>18.99</v>
      </c>
      <c r="N1650" s="3">
        <v>39.99</v>
      </c>
      <c r="O1650" s="2" t="s">
        <v>97</v>
      </c>
      <c r="P1650" s="2" t="s">
        <v>317</v>
      </c>
      <c r="Q1650" s="2" t="s">
        <v>99</v>
      </c>
      <c r="R1650" s="2" t="s">
        <v>100</v>
      </c>
      <c r="S1650" s="2" t="s">
        <v>5988</v>
      </c>
      <c r="T1650" s="2" t="s">
        <v>5436</v>
      </c>
      <c r="U1650" s="2" t="s">
        <v>1776</v>
      </c>
      <c r="V1650" s="2" t="s">
        <v>461</v>
      </c>
      <c r="W1650" s="2" t="s">
        <v>1136</v>
      </c>
      <c r="X1650" s="2" t="s">
        <v>100</v>
      </c>
      <c r="Y1650" s="2" t="s">
        <v>144</v>
      </c>
      <c r="Z1650" s="4">
        <v>1711</v>
      </c>
      <c r="AA1650" s="4">
        <f>=ROUNDDOWN(38.8863636363636,0)</f>
      </c>
      <c r="AB1650" s="5">
        <v>44</v>
      </c>
      <c r="AC1650" s="2" t="s">
        <v>832</v>
      </c>
      <c r="AD1650" s="4">
        <v>150</v>
      </c>
      <c r="AE1650" s="4">
        <v>800</v>
      </c>
      <c r="AF1650" s="6">
        <v>64</v>
      </c>
      <c r="AG1650" s="6">
        <v>47</v>
      </c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/>
      <c r="BJ1650" s="4">
        <v>123</v>
      </c>
      <c r="BK1650" s="8">
        <v>2355.27</v>
      </c>
      <c r="BL1650" s="2" t="s">
        <v>5989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109</v>
      </c>
      <c r="BV1650" s="2" t="s">
        <v>97</v>
      </c>
      <c r="BW1650" s="2" t="s">
        <v>1824</v>
      </c>
      <c r="BX1650" s="2" t="s">
        <v>5990</v>
      </c>
      <c r="BY1650" s="2" t="s">
        <v>112</v>
      </c>
      <c r="BZ1650" s="2" t="s">
        <v>100</v>
      </c>
    </row>
    <row r="1651">
      <c r="A1651" s="2" t="s">
        <v>5991</v>
      </c>
      <c r="B1651" s="2" t="s">
        <v>5155</v>
      </c>
      <c r="C1651" s="2" t="s">
        <v>88</v>
      </c>
      <c r="D1651" s="2" t="s">
        <v>1771</v>
      </c>
      <c r="E1651" s="2" t="s">
        <v>5398</v>
      </c>
      <c r="F1651" s="2" t="s">
        <v>5978</v>
      </c>
      <c r="G1651" s="2" t="s">
        <v>5978</v>
      </c>
      <c r="H1651" s="2" t="s">
        <v>5978</v>
      </c>
      <c r="I1651" s="2" t="s">
        <v>5398</v>
      </c>
      <c r="J1651" s="2" t="s">
        <v>5894</v>
      </c>
      <c r="K1651" s="2" t="s">
        <v>1373</v>
      </c>
      <c r="L1651" s="3">
        <v>18.09</v>
      </c>
      <c r="M1651" s="3">
        <v>18.99</v>
      </c>
      <c r="N1651" s="3">
        <v>39.99</v>
      </c>
      <c r="O1651" s="2" t="s">
        <v>97</v>
      </c>
      <c r="P1651" s="2" t="s">
        <v>317</v>
      </c>
      <c r="Q1651" s="2" t="s">
        <v>99</v>
      </c>
      <c r="R1651" s="2" t="s">
        <v>100</v>
      </c>
      <c r="S1651" s="2" t="s">
        <v>5992</v>
      </c>
      <c r="T1651" s="2" t="s">
        <v>5436</v>
      </c>
      <c r="U1651" s="2" t="s">
        <v>1776</v>
      </c>
      <c r="V1651" s="2" t="s">
        <v>461</v>
      </c>
      <c r="W1651" s="2" t="s">
        <v>1136</v>
      </c>
      <c r="X1651" s="2" t="s">
        <v>100</v>
      </c>
      <c r="Y1651" s="2" t="s">
        <v>144</v>
      </c>
      <c r="Z1651" s="4">
        <v>2021</v>
      </c>
      <c r="AA1651" s="4">
        <f>=ROUNDDOWN(15.5461538461538,0)</f>
      </c>
      <c r="AB1651" s="5">
        <v>130</v>
      </c>
      <c r="AC1651" s="2" t="s">
        <v>832</v>
      </c>
      <c r="AD1651" s="4">
        <v>150</v>
      </c>
      <c r="AE1651" s="4">
        <v>800</v>
      </c>
      <c r="AF1651" s="6">
        <v>64</v>
      </c>
      <c r="AG1651" s="6">
        <v>47</v>
      </c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/>
      <c r="BJ1651" s="4">
        <v>316</v>
      </c>
      <c r="BK1651" s="8">
        <v>6050.15</v>
      </c>
      <c r="BL1651" s="2" t="s">
        <v>5993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109</v>
      </c>
      <c r="BV1651" s="2" t="s">
        <v>97</v>
      </c>
      <c r="BW1651" s="2" t="s">
        <v>1824</v>
      </c>
      <c r="BX1651" s="2" t="s">
        <v>5653</v>
      </c>
      <c r="BY1651" s="2" t="s">
        <v>112</v>
      </c>
      <c r="BZ1651" s="2" t="s">
        <v>100</v>
      </c>
    </row>
    <row r="1652">
      <c r="A1652" s="2" t="s">
        <v>5994</v>
      </c>
      <c r="B1652" s="2" t="s">
        <v>5155</v>
      </c>
      <c r="C1652" s="2" t="s">
        <v>88</v>
      </c>
      <c r="D1652" s="2" t="s">
        <v>1771</v>
      </c>
      <c r="E1652" s="2" t="s">
        <v>5398</v>
      </c>
      <c r="F1652" s="2" t="s">
        <v>5978</v>
      </c>
      <c r="G1652" s="2" t="s">
        <v>5978</v>
      </c>
      <c r="H1652" s="2" t="s">
        <v>5978</v>
      </c>
      <c r="I1652" s="2" t="s">
        <v>5398</v>
      </c>
      <c r="J1652" s="2" t="s">
        <v>5894</v>
      </c>
      <c r="K1652" s="2" t="s">
        <v>5281</v>
      </c>
      <c r="L1652" s="3">
        <v>18.09</v>
      </c>
      <c r="M1652" s="3">
        <v>18.99</v>
      </c>
      <c r="N1652" s="3">
        <v>39.99</v>
      </c>
      <c r="O1652" s="2" t="s">
        <v>97</v>
      </c>
      <c r="P1652" s="2" t="s">
        <v>139</v>
      </c>
      <c r="Q1652" s="2" t="s">
        <v>99</v>
      </c>
      <c r="R1652" s="2" t="s">
        <v>100</v>
      </c>
      <c r="S1652" s="2" t="s">
        <v>5979</v>
      </c>
      <c r="T1652" s="2" t="s">
        <v>5436</v>
      </c>
      <c r="U1652" s="2" t="s">
        <v>1776</v>
      </c>
      <c r="V1652" s="2" t="s">
        <v>461</v>
      </c>
      <c r="W1652" s="2" t="s">
        <v>1136</v>
      </c>
      <c r="X1652" s="2" t="s">
        <v>100</v>
      </c>
      <c r="Y1652" s="2" t="s">
        <v>1691</v>
      </c>
      <c r="Z1652" s="4">
        <v>791</v>
      </c>
      <c r="AA1652" s="4">
        <f>=ROUNDDOWN(15.82,0)</f>
      </c>
      <c r="AB1652" s="5">
        <v>50</v>
      </c>
      <c r="AC1652" s="2" t="s">
        <v>312</v>
      </c>
      <c r="AD1652" s="4">
        <v>300</v>
      </c>
      <c r="AE1652" s="4">
        <v>1100</v>
      </c>
      <c r="AF1652" s="6">
        <v>64</v>
      </c>
      <c r="AG1652" s="6">
        <v>47</v>
      </c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/>
      <c r="BJ1652" s="4">
        <v>133</v>
      </c>
      <c r="BK1652" s="8">
        <v>2549.04</v>
      </c>
      <c r="BL1652" s="2" t="s">
        <v>5092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109</v>
      </c>
      <c r="BV1652" s="2" t="s">
        <v>97</v>
      </c>
      <c r="BW1652" s="2" t="s">
        <v>5840</v>
      </c>
      <c r="BX1652" s="2" t="s">
        <v>1725</v>
      </c>
      <c r="BY1652" s="2" t="s">
        <v>112</v>
      </c>
      <c r="BZ1652" s="2" t="s">
        <v>100</v>
      </c>
    </row>
    <row r="1653">
      <c r="A1653" s="2" t="s">
        <v>5995</v>
      </c>
      <c r="B1653" s="2" t="s">
        <v>5155</v>
      </c>
      <c r="C1653" s="2" t="s">
        <v>88</v>
      </c>
      <c r="D1653" s="2" t="s">
        <v>1771</v>
      </c>
      <c r="E1653" s="2" t="s">
        <v>5398</v>
      </c>
      <c r="F1653" s="2" t="s">
        <v>5978</v>
      </c>
      <c r="G1653" s="2" t="s">
        <v>5978</v>
      </c>
      <c r="H1653" s="2" t="s">
        <v>5978</v>
      </c>
      <c r="I1653" s="2" t="s">
        <v>5398</v>
      </c>
      <c r="J1653" s="2" t="s">
        <v>5894</v>
      </c>
      <c r="K1653" s="2" t="s">
        <v>5996</v>
      </c>
      <c r="L1653" s="3">
        <v>18.09</v>
      </c>
      <c r="M1653" s="3">
        <v>18.99</v>
      </c>
      <c r="N1653" s="3">
        <v>39.99</v>
      </c>
      <c r="O1653" s="2" t="s">
        <v>97</v>
      </c>
      <c r="P1653" s="2" t="s">
        <v>123</v>
      </c>
      <c r="Q1653" s="2" t="s">
        <v>99</v>
      </c>
      <c r="R1653" s="2" t="s">
        <v>100</v>
      </c>
      <c r="S1653" s="2" t="s">
        <v>5997</v>
      </c>
      <c r="T1653" s="2" t="s">
        <v>5436</v>
      </c>
      <c r="U1653" s="2" t="s">
        <v>1776</v>
      </c>
      <c r="V1653" s="2" t="s">
        <v>142</v>
      </c>
      <c r="W1653" s="2" t="s">
        <v>1136</v>
      </c>
      <c r="X1653" s="2" t="s">
        <v>100</v>
      </c>
      <c r="Y1653" s="2" t="s">
        <v>5053</v>
      </c>
      <c r="Z1653" s="4">
        <v>501</v>
      </c>
      <c r="AA1653" s="4">
        <f>=ROUNDDOWN(17.2758620689655,0)</f>
      </c>
      <c r="AB1653" s="5">
        <v>29</v>
      </c>
      <c r="AC1653" s="2" t="s">
        <v>312</v>
      </c>
      <c r="AD1653" s="4">
        <v>400</v>
      </c>
      <c r="AE1653" s="4">
        <v>1200</v>
      </c>
      <c r="AF1653" s="6">
        <v>64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/>
      <c r="BJ1653" s="4">
        <v>92</v>
      </c>
      <c r="BK1653" s="8">
        <v>1818.82</v>
      </c>
      <c r="BL1653" s="2" t="s">
        <v>1458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171</v>
      </c>
      <c r="BV1653" s="2" t="s">
        <v>97</v>
      </c>
      <c r="BW1653" s="2" t="s">
        <v>100</v>
      </c>
      <c r="BX1653" s="2" t="s">
        <v>100</v>
      </c>
      <c r="BY1653" s="2" t="s">
        <v>112</v>
      </c>
      <c r="BZ1653" s="2" t="s">
        <v>100</v>
      </c>
    </row>
    <row r="1654">
      <c r="A1654" s="2" t="s">
        <v>5998</v>
      </c>
      <c r="B1654" s="2" t="s">
        <v>5155</v>
      </c>
      <c r="C1654" s="2" t="s">
        <v>88</v>
      </c>
      <c r="D1654" s="2" t="s">
        <v>1771</v>
      </c>
      <c r="E1654" s="2" t="s">
        <v>5398</v>
      </c>
      <c r="F1654" s="2" t="s">
        <v>5978</v>
      </c>
      <c r="G1654" s="2" t="s">
        <v>5978</v>
      </c>
      <c r="H1654" s="2" t="s">
        <v>5978</v>
      </c>
      <c r="I1654" s="2" t="s">
        <v>5398</v>
      </c>
      <c r="J1654" s="2" t="s">
        <v>5894</v>
      </c>
      <c r="K1654" s="2" t="s">
        <v>4391</v>
      </c>
      <c r="L1654" s="3">
        <v>18.09</v>
      </c>
      <c r="M1654" s="3">
        <v>18.99</v>
      </c>
      <c r="N1654" s="3">
        <v>39.99</v>
      </c>
      <c r="O1654" s="2" t="s">
        <v>97</v>
      </c>
      <c r="P1654" s="2" t="s">
        <v>123</v>
      </c>
      <c r="Q1654" s="2" t="s">
        <v>99</v>
      </c>
      <c r="R1654" s="2" t="s">
        <v>100</v>
      </c>
      <c r="S1654" s="2" t="s">
        <v>5999</v>
      </c>
      <c r="T1654" s="2" t="s">
        <v>5436</v>
      </c>
      <c r="U1654" s="2" t="s">
        <v>1776</v>
      </c>
      <c r="V1654" s="2" t="s">
        <v>142</v>
      </c>
      <c r="W1654" s="2" t="s">
        <v>1136</v>
      </c>
      <c r="X1654" s="2" t="s">
        <v>100</v>
      </c>
      <c r="Y1654" s="2" t="s">
        <v>4651</v>
      </c>
      <c r="Z1654" s="4">
        <v>927</v>
      </c>
      <c r="AA1654" s="4">
        <f>=ROUNDDOWN(28.96875,0)</f>
      </c>
      <c r="AB1654" s="5">
        <v>32</v>
      </c>
      <c r="AC1654" s="2" t="s">
        <v>201</v>
      </c>
      <c r="AD1654" s="4">
        <v>400</v>
      </c>
      <c r="AE1654" s="4">
        <v>800</v>
      </c>
      <c r="AF1654" s="6">
        <v>64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/>
      <c r="BJ1654" s="4">
        <v>108</v>
      </c>
      <c r="BK1654" s="8">
        <v>2091.76</v>
      </c>
      <c r="BL1654" s="2" t="s">
        <v>722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171</v>
      </c>
      <c r="BV1654" s="2" t="s">
        <v>97</v>
      </c>
      <c r="BW1654" s="2" t="s">
        <v>100</v>
      </c>
      <c r="BX1654" s="2" t="s">
        <v>100</v>
      </c>
      <c r="BY1654" s="2" t="s">
        <v>112</v>
      </c>
      <c r="BZ1654" s="2" t="s">
        <v>100</v>
      </c>
    </row>
    <row r="1655">
      <c r="A1655" s="2" t="s">
        <v>6000</v>
      </c>
      <c r="B1655" s="2" t="s">
        <v>5155</v>
      </c>
      <c r="C1655" s="2" t="s">
        <v>88</v>
      </c>
      <c r="D1655" s="2" t="s">
        <v>1771</v>
      </c>
      <c r="E1655" s="2" t="s">
        <v>5398</v>
      </c>
      <c r="F1655" s="2" t="s">
        <v>5978</v>
      </c>
      <c r="G1655" s="2" t="s">
        <v>5978</v>
      </c>
      <c r="H1655" s="2" t="s">
        <v>5978</v>
      </c>
      <c r="I1655" s="2" t="s">
        <v>5398</v>
      </c>
      <c r="J1655" s="2" t="s">
        <v>5894</v>
      </c>
      <c r="K1655" s="2" t="s">
        <v>842</v>
      </c>
      <c r="L1655" s="3">
        <v>18.09</v>
      </c>
      <c r="M1655" s="3">
        <v>18.99</v>
      </c>
      <c r="N1655" s="3">
        <v>39.99</v>
      </c>
      <c r="O1655" s="2" t="s">
        <v>97</v>
      </c>
      <c r="P1655" s="2" t="s">
        <v>139</v>
      </c>
      <c r="Q1655" s="2" t="s">
        <v>99</v>
      </c>
      <c r="R1655" s="2" t="s">
        <v>100</v>
      </c>
      <c r="S1655" s="2" t="s">
        <v>6001</v>
      </c>
      <c r="T1655" s="2" t="s">
        <v>5436</v>
      </c>
      <c r="U1655" s="2" t="s">
        <v>1776</v>
      </c>
      <c r="V1655" s="2" t="s">
        <v>461</v>
      </c>
      <c r="W1655" s="2" t="s">
        <v>1136</v>
      </c>
      <c r="X1655" s="2" t="s">
        <v>100</v>
      </c>
      <c r="Y1655" s="2" t="s">
        <v>144</v>
      </c>
      <c r="Z1655" s="4">
        <v>1451</v>
      </c>
      <c r="AA1655" s="4">
        <f>=ROUNDDOWN(27.377358490566,0)</f>
      </c>
      <c r="AB1655" s="5">
        <v>53</v>
      </c>
      <c r="AC1655" s="2" t="s">
        <v>130</v>
      </c>
      <c r="AD1655" s="4">
        <v>200</v>
      </c>
      <c r="AE1655" s="4">
        <v>800</v>
      </c>
      <c r="AF1655" s="6">
        <v>64</v>
      </c>
      <c r="AG1655" s="6">
        <v>47</v>
      </c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/>
      <c r="BJ1655" s="4">
        <v>115</v>
      </c>
      <c r="BK1655" s="8">
        <v>2146.82</v>
      </c>
      <c r="BL1655" s="2" t="s">
        <v>6002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109</v>
      </c>
      <c r="BV1655" s="2" t="s">
        <v>97</v>
      </c>
      <c r="BW1655" s="2" t="s">
        <v>1824</v>
      </c>
      <c r="BX1655" s="2" t="s">
        <v>1892</v>
      </c>
      <c r="BY1655" s="2" t="s">
        <v>112</v>
      </c>
      <c r="BZ1655" s="2" t="s">
        <v>100</v>
      </c>
    </row>
    <row r="1656">
      <c r="A1656" s="2" t="s">
        <v>6003</v>
      </c>
      <c r="B1656" s="2" t="s">
        <v>5155</v>
      </c>
      <c r="C1656" s="2" t="s">
        <v>88</v>
      </c>
      <c r="D1656" s="2" t="s">
        <v>1771</v>
      </c>
      <c r="E1656" s="2" t="s">
        <v>5398</v>
      </c>
      <c r="F1656" s="2" t="s">
        <v>6004</v>
      </c>
      <c r="G1656" s="2" t="s">
        <v>6005</v>
      </c>
      <c r="H1656" s="2" t="s">
        <v>6005</v>
      </c>
      <c r="I1656" s="2" t="s">
        <v>6006</v>
      </c>
      <c r="J1656" s="2" t="s">
        <v>5399</v>
      </c>
      <c r="K1656" s="2" t="s">
        <v>188</v>
      </c>
      <c r="L1656" s="3">
        <v>14.85</v>
      </c>
      <c r="M1656" s="3">
        <v>15.59</v>
      </c>
      <c r="N1656" s="3">
        <v>32.99</v>
      </c>
      <c r="O1656" s="2" t="s">
        <v>97</v>
      </c>
      <c r="P1656" s="2" t="s">
        <v>98</v>
      </c>
      <c r="Q1656" s="2" t="s">
        <v>99</v>
      </c>
      <c r="R1656" s="2" t="s">
        <v>100</v>
      </c>
      <c r="S1656" s="2" t="s">
        <v>6007</v>
      </c>
      <c r="T1656" s="2" t="s">
        <v>5436</v>
      </c>
      <c r="U1656" s="2" t="s">
        <v>1776</v>
      </c>
      <c r="V1656" s="2" t="s">
        <v>547</v>
      </c>
      <c r="W1656" s="2" t="s">
        <v>493</v>
      </c>
      <c r="X1656" s="2" t="s">
        <v>1136</v>
      </c>
      <c r="Y1656" s="2" t="s">
        <v>6008</v>
      </c>
      <c r="Z1656" s="4">
        <v>1775</v>
      </c>
      <c r="AA1656" s="4">
        <f>=ROUNDDOWN(177.5,0)</f>
      </c>
      <c r="AB1656" s="5">
        <v>10</v>
      </c>
      <c r="AC1656" s="2" t="s">
        <v>100</v>
      </c>
      <c r="AD1656" s="4"/>
      <c r="AE1656" s="4"/>
      <c r="AF1656" s="6">
        <v>64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/>
      <c r="AW1656" s="8"/>
      <c r="AX1656" s="4"/>
      <c r="AY1656" s="8"/>
      <c r="AZ1656" s="7"/>
      <c r="BA1656" s="7"/>
      <c r="BB1656" s="7"/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/>
      <c r="BJ1656" s="4">
        <v>17</v>
      </c>
      <c r="BK1656" s="8">
        <v>263.46</v>
      </c>
      <c r="BL1656" s="2" t="s">
        <v>710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171</v>
      </c>
      <c r="BV1656" s="2" t="s">
        <v>97</v>
      </c>
      <c r="BW1656" s="2" t="s">
        <v>100</v>
      </c>
      <c r="BX1656" s="2" t="s">
        <v>100</v>
      </c>
      <c r="BY1656" s="2" t="s">
        <v>112</v>
      </c>
      <c r="BZ1656" s="2" t="s">
        <v>100</v>
      </c>
    </row>
    <row r="1657">
      <c r="A1657" s="2" t="s">
        <v>6009</v>
      </c>
      <c r="B1657" s="2" t="s">
        <v>5155</v>
      </c>
      <c r="C1657" s="2" t="s">
        <v>88</v>
      </c>
      <c r="D1657" s="2" t="s">
        <v>1771</v>
      </c>
      <c r="E1657" s="2" t="s">
        <v>5398</v>
      </c>
      <c r="F1657" s="2" t="s">
        <v>6004</v>
      </c>
      <c r="G1657" s="2" t="s">
        <v>6005</v>
      </c>
      <c r="H1657" s="2" t="s">
        <v>6005</v>
      </c>
      <c r="I1657" s="2" t="s">
        <v>6006</v>
      </c>
      <c r="J1657" s="2" t="s">
        <v>5399</v>
      </c>
      <c r="K1657" s="2" t="s">
        <v>96</v>
      </c>
      <c r="L1657" s="3">
        <v>14.85</v>
      </c>
      <c r="M1657" s="3">
        <v>15.59</v>
      </c>
      <c r="N1657" s="3">
        <v>32.99</v>
      </c>
      <c r="O1657" s="2" t="s">
        <v>97</v>
      </c>
      <c r="P1657" s="2" t="s">
        <v>156</v>
      </c>
      <c r="Q1657" s="2" t="s">
        <v>99</v>
      </c>
      <c r="R1657" s="2" t="s">
        <v>100</v>
      </c>
      <c r="S1657" s="2" t="s">
        <v>6010</v>
      </c>
      <c r="T1657" s="2" t="s">
        <v>5436</v>
      </c>
      <c r="U1657" s="2" t="s">
        <v>100</v>
      </c>
      <c r="V1657" s="2" t="s">
        <v>547</v>
      </c>
      <c r="W1657" s="2" t="s">
        <v>493</v>
      </c>
      <c r="X1657" s="2" t="s">
        <v>1136</v>
      </c>
      <c r="Y1657" s="2" t="s">
        <v>4146</v>
      </c>
      <c r="Z1657" s="4">
        <v>1955</v>
      </c>
      <c r="AA1657" s="4">
        <f>=ROUNDDOWN(72.4074074074074,0)</f>
      </c>
      <c r="AB1657" s="5">
        <v>27</v>
      </c>
      <c r="AC1657" s="2" t="s">
        <v>100</v>
      </c>
      <c r="AD1657" s="4"/>
      <c r="AE1657" s="4"/>
      <c r="AF1657" s="6">
        <v>64</v>
      </c>
      <c r="AG1657" s="6">
        <v>47</v>
      </c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/>
      <c r="AW1657" s="8"/>
      <c r="AX1657" s="4"/>
      <c r="AY1657" s="8"/>
      <c r="AZ1657" s="7"/>
      <c r="BA1657" s="7"/>
      <c r="BB1657" s="7"/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/>
      <c r="BJ1657" s="4">
        <v>76</v>
      </c>
      <c r="BK1657" s="8">
        <v>1196.88</v>
      </c>
      <c r="BL1657" s="2" t="s">
        <v>6011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109</v>
      </c>
      <c r="BV1657" s="2" t="s">
        <v>97</v>
      </c>
      <c r="BW1657" s="2" t="s">
        <v>5840</v>
      </c>
      <c r="BX1657" s="2" t="s">
        <v>2190</v>
      </c>
      <c r="BY1657" s="2" t="s">
        <v>112</v>
      </c>
      <c r="BZ1657" s="2" t="s">
        <v>100</v>
      </c>
    </row>
    <row r="1658">
      <c r="A1658" s="2" t="s">
        <v>6012</v>
      </c>
      <c r="B1658" s="2" t="s">
        <v>5155</v>
      </c>
      <c r="C1658" s="2" t="s">
        <v>88</v>
      </c>
      <c r="D1658" s="2" t="s">
        <v>1771</v>
      </c>
      <c r="E1658" s="2" t="s">
        <v>5398</v>
      </c>
      <c r="F1658" s="2" t="s">
        <v>6004</v>
      </c>
      <c r="G1658" s="2" t="s">
        <v>6005</v>
      </c>
      <c r="H1658" s="2" t="s">
        <v>6005</v>
      </c>
      <c r="I1658" s="2" t="s">
        <v>6006</v>
      </c>
      <c r="J1658" s="2" t="s">
        <v>5399</v>
      </c>
      <c r="K1658" s="2" t="s">
        <v>446</v>
      </c>
      <c r="L1658" s="3">
        <v>14.85</v>
      </c>
      <c r="M1658" s="3">
        <v>15.59</v>
      </c>
      <c r="N1658" s="3">
        <v>32.99</v>
      </c>
      <c r="O1658" s="2" t="s">
        <v>97</v>
      </c>
      <c r="P1658" s="2" t="s">
        <v>156</v>
      </c>
      <c r="Q1658" s="2" t="s">
        <v>99</v>
      </c>
      <c r="R1658" s="2" t="s">
        <v>100</v>
      </c>
      <c r="S1658" s="2" t="s">
        <v>6013</v>
      </c>
      <c r="T1658" s="2" t="s">
        <v>5436</v>
      </c>
      <c r="U1658" s="2" t="s">
        <v>100</v>
      </c>
      <c r="V1658" s="2" t="s">
        <v>547</v>
      </c>
      <c r="W1658" s="2" t="s">
        <v>493</v>
      </c>
      <c r="X1658" s="2" t="s">
        <v>1136</v>
      </c>
      <c r="Y1658" s="2" t="s">
        <v>4146</v>
      </c>
      <c r="Z1658" s="4">
        <v>1465</v>
      </c>
      <c r="AA1658" s="4">
        <f>=ROUNDDOWN(50.5172413793103,0)</f>
      </c>
      <c r="AB1658" s="5">
        <v>29</v>
      </c>
      <c r="AC1658" s="2" t="s">
        <v>100</v>
      </c>
      <c r="AD1658" s="4"/>
      <c r="AE1658" s="4"/>
      <c r="AF1658" s="6">
        <v>64</v>
      </c>
      <c r="AG1658" s="6">
        <v>47</v>
      </c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/>
      <c r="BJ1658" s="4">
        <v>72</v>
      </c>
      <c r="BK1658" s="8">
        <v>1149.65</v>
      </c>
      <c r="BL1658" s="2" t="s">
        <v>6014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109</v>
      </c>
      <c r="BV1658" s="2" t="s">
        <v>97</v>
      </c>
      <c r="BW1658" s="2" t="s">
        <v>5840</v>
      </c>
      <c r="BX1658" s="2" t="s">
        <v>2478</v>
      </c>
      <c r="BY1658" s="2" t="s">
        <v>112</v>
      </c>
      <c r="BZ1658" s="2" t="s">
        <v>100</v>
      </c>
    </row>
    <row r="1659">
      <c r="A1659" s="2" t="s">
        <v>6015</v>
      </c>
      <c r="B1659" s="2" t="s">
        <v>5155</v>
      </c>
      <c r="C1659" s="2" t="s">
        <v>88</v>
      </c>
      <c r="D1659" s="2" t="s">
        <v>1771</v>
      </c>
      <c r="E1659" s="2" t="s">
        <v>5398</v>
      </c>
      <c r="F1659" s="2" t="s">
        <v>6016</v>
      </c>
      <c r="G1659" s="2" t="s">
        <v>6017</v>
      </c>
      <c r="H1659" s="2" t="s">
        <v>6017</v>
      </c>
      <c r="I1659" s="2" t="s">
        <v>5957</v>
      </c>
      <c r="J1659" s="2" t="s">
        <v>5894</v>
      </c>
      <c r="K1659" s="2" t="s">
        <v>1373</v>
      </c>
      <c r="L1659" s="3">
        <v>20.57</v>
      </c>
      <c r="M1659" s="3">
        <v>21.6</v>
      </c>
      <c r="N1659" s="3">
        <v>44.99</v>
      </c>
      <c r="O1659" s="2" t="s">
        <v>97</v>
      </c>
      <c r="P1659" s="2" t="s">
        <v>98</v>
      </c>
      <c r="Q1659" s="2" t="s">
        <v>99</v>
      </c>
      <c r="R1659" s="2" t="s">
        <v>100</v>
      </c>
      <c r="S1659" s="2" t="s">
        <v>6018</v>
      </c>
      <c r="T1659" s="2" t="s">
        <v>5436</v>
      </c>
      <c r="U1659" s="2" t="s">
        <v>1776</v>
      </c>
      <c r="V1659" s="2" t="s">
        <v>461</v>
      </c>
      <c r="W1659" s="2" t="s">
        <v>1136</v>
      </c>
      <c r="X1659" s="2" t="s">
        <v>100</v>
      </c>
      <c r="Y1659" s="2" t="s">
        <v>6019</v>
      </c>
      <c r="Z1659" s="4">
        <v>140</v>
      </c>
      <c r="AA1659" s="4">
        <f>=ROUNDDOWN(5,0)</f>
      </c>
      <c r="AB1659" s="5">
        <v>28</v>
      </c>
      <c r="AC1659" s="2" t="s">
        <v>1468</v>
      </c>
      <c r="AD1659" s="4">
        <v>258</v>
      </c>
      <c r="AE1659" s="4">
        <v>758</v>
      </c>
      <c r="AF1659" s="6">
        <v>64</v>
      </c>
      <c r="AG1659" s="6"/>
      <c r="AH1659" s="7">
        <v>0.0645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/>
      <c r="BD1659" s="8"/>
      <c r="BE1659" s="4"/>
      <c r="BF1659" s="8"/>
      <c r="BG1659" s="7"/>
      <c r="BH1659" s="7"/>
      <c r="BI1659" s="7"/>
      <c r="BJ1659" s="4"/>
      <c r="BK1659" s="8"/>
      <c r="BL1659" s="2" t="s">
        <v>100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171</v>
      </c>
      <c r="BV1659" s="2" t="s">
        <v>97</v>
      </c>
      <c r="BW1659" s="2" t="s">
        <v>100</v>
      </c>
      <c r="BX1659" s="2" t="s">
        <v>100</v>
      </c>
      <c r="BY1659" s="2" t="s">
        <v>112</v>
      </c>
      <c r="BZ1659" s="2" t="s">
        <v>100</v>
      </c>
    </row>
    <row r="1660">
      <c r="A1660" s="2" t="s">
        <v>6020</v>
      </c>
      <c r="B1660" s="2" t="s">
        <v>5155</v>
      </c>
      <c r="C1660" s="2" t="s">
        <v>88</v>
      </c>
      <c r="D1660" s="2" t="s">
        <v>1496</v>
      </c>
      <c r="E1660" s="2" t="s">
        <v>1497</v>
      </c>
      <c r="F1660" s="2" t="s">
        <v>6021</v>
      </c>
      <c r="G1660" s="2" t="s">
        <v>3944</v>
      </c>
      <c r="H1660" s="2" t="s">
        <v>3944</v>
      </c>
      <c r="I1660" s="2" t="s">
        <v>6022</v>
      </c>
      <c r="J1660" s="2" t="s">
        <v>522</v>
      </c>
      <c r="K1660" s="2" t="s">
        <v>1373</v>
      </c>
      <c r="L1660" s="3">
        <v>32.5</v>
      </c>
      <c r="M1660" s="3">
        <v>34.13</v>
      </c>
      <c r="N1660" s="3">
        <v>64.99</v>
      </c>
      <c r="O1660" s="2" t="s">
        <v>97</v>
      </c>
      <c r="P1660" s="2" t="s">
        <v>98</v>
      </c>
      <c r="Q1660" s="2" t="s">
        <v>99</v>
      </c>
      <c r="R1660" s="2" t="s">
        <v>100</v>
      </c>
      <c r="S1660" s="2" t="s">
        <v>6023</v>
      </c>
      <c r="T1660" s="2" t="s">
        <v>5436</v>
      </c>
      <c r="U1660" s="2" t="s">
        <v>901</v>
      </c>
      <c r="V1660" s="2" t="s">
        <v>473</v>
      </c>
      <c r="W1660" s="2" t="s">
        <v>1136</v>
      </c>
      <c r="X1660" s="2" t="s">
        <v>493</v>
      </c>
      <c r="Y1660" s="2" t="s">
        <v>6024</v>
      </c>
      <c r="Z1660" s="4">
        <v>130</v>
      </c>
      <c r="AA1660" s="4">
        <f>=ROUNDDOWN(18.5714285714286,0)</f>
      </c>
      <c r="AB1660" s="5">
        <v>7</v>
      </c>
      <c r="AC1660" s="2" t="s">
        <v>3271</v>
      </c>
      <c r="AD1660" s="4">
        <v>50</v>
      </c>
      <c r="AE1660" s="4">
        <v>110</v>
      </c>
      <c r="AF1660" s="6">
        <v>65</v>
      </c>
      <c r="AG1660" s="6">
        <v>48</v>
      </c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100</v>
      </c>
      <c r="AW1660" s="8" t="s">
        <v>100</v>
      </c>
      <c r="AX1660" s="4" t="s">
        <v>100</v>
      </c>
      <c r="AY1660" s="8" t="s">
        <v>100</v>
      </c>
      <c r="AZ1660" s="7" t="s">
        <v>100</v>
      </c>
      <c r="BA1660" s="7" t="s">
        <v>100</v>
      </c>
      <c r="BB1660" s="7"/>
      <c r="BC1660" s="4" t="s">
        <v>100</v>
      </c>
      <c r="BD1660" s="8" t="s">
        <v>100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/>
      <c r="BJ1660" s="4">
        <v>12</v>
      </c>
      <c r="BK1660" s="8">
        <v>425.21</v>
      </c>
      <c r="BL1660" s="2" t="s">
        <v>1503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171</v>
      </c>
      <c r="BV1660" s="2" t="s">
        <v>97</v>
      </c>
      <c r="BW1660" s="2" t="s">
        <v>100</v>
      </c>
      <c r="BX1660" s="2" t="s">
        <v>100</v>
      </c>
      <c r="BY1660" s="2" t="s">
        <v>112</v>
      </c>
      <c r="BZ1660" s="2" t="s">
        <v>100</v>
      </c>
    </row>
    <row r="1661">
      <c r="A1661" s="2" t="s">
        <v>6025</v>
      </c>
      <c r="B1661" s="2" t="s">
        <v>5155</v>
      </c>
      <c r="C1661" s="2" t="s">
        <v>88</v>
      </c>
      <c r="D1661" s="2" t="s">
        <v>1496</v>
      </c>
      <c r="E1661" s="2" t="s">
        <v>1497</v>
      </c>
      <c r="F1661" s="2" t="s">
        <v>6021</v>
      </c>
      <c r="G1661" s="2" t="s">
        <v>3944</v>
      </c>
      <c r="H1661" s="2" t="s">
        <v>3944</v>
      </c>
      <c r="I1661" s="2" t="s">
        <v>6022</v>
      </c>
      <c r="J1661" s="2" t="s">
        <v>529</v>
      </c>
      <c r="K1661" s="2" t="s">
        <v>1373</v>
      </c>
      <c r="L1661" s="3">
        <v>37.5</v>
      </c>
      <c r="M1661" s="3">
        <v>39.38</v>
      </c>
      <c r="N1661" s="3">
        <v>74.99</v>
      </c>
      <c r="O1661" s="2" t="s">
        <v>97</v>
      </c>
      <c r="P1661" s="2" t="s">
        <v>98</v>
      </c>
      <c r="Q1661" s="2" t="s">
        <v>99</v>
      </c>
      <c r="R1661" s="2" t="s">
        <v>100</v>
      </c>
      <c r="S1661" s="2" t="s">
        <v>6023</v>
      </c>
      <c r="T1661" s="2" t="s">
        <v>5436</v>
      </c>
      <c r="U1661" s="2" t="s">
        <v>901</v>
      </c>
      <c r="V1661" s="2" t="s">
        <v>473</v>
      </c>
      <c r="W1661" s="2" t="s">
        <v>1136</v>
      </c>
      <c r="X1661" s="2" t="s">
        <v>493</v>
      </c>
      <c r="Y1661" s="2" t="s">
        <v>6026</v>
      </c>
      <c r="Z1661" s="4">
        <v>141</v>
      </c>
      <c r="AA1661" s="4">
        <f>=ROUNDDOWN(11.75,0)</f>
      </c>
      <c r="AB1661" s="5">
        <v>12</v>
      </c>
      <c r="AC1661" s="2" t="s">
        <v>2604</v>
      </c>
      <c r="AD1661" s="4">
        <v>90</v>
      </c>
      <c r="AE1661" s="4">
        <v>90</v>
      </c>
      <c r="AF1661" s="6">
        <v>65</v>
      </c>
      <c r="AG1661" s="6">
        <v>48</v>
      </c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100</v>
      </c>
      <c r="AW1661" s="8" t="s">
        <v>100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/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/>
      <c r="BJ1661" s="4">
        <v>17</v>
      </c>
      <c r="BK1661" s="8">
        <v>875.88</v>
      </c>
      <c r="BL1661" s="2" t="s">
        <v>6027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171</v>
      </c>
      <c r="BV1661" s="2" t="s">
        <v>97</v>
      </c>
      <c r="BW1661" s="2" t="s">
        <v>100</v>
      </c>
      <c r="BX1661" s="2" t="s">
        <v>100</v>
      </c>
      <c r="BY1661" s="2" t="s">
        <v>112</v>
      </c>
      <c r="BZ1661" s="2" t="s">
        <v>100</v>
      </c>
    </row>
    <row r="1662">
      <c r="A1662" s="2" t="s">
        <v>6028</v>
      </c>
      <c r="B1662" s="2" t="s">
        <v>5155</v>
      </c>
      <c r="C1662" s="2" t="s">
        <v>88</v>
      </c>
      <c r="D1662" s="2" t="s">
        <v>1496</v>
      </c>
      <c r="E1662" s="2" t="s">
        <v>1497</v>
      </c>
      <c r="F1662" s="2" t="s">
        <v>5703</v>
      </c>
      <c r="G1662" s="2" t="s">
        <v>2222</v>
      </c>
      <c r="H1662" s="2" t="s">
        <v>5704</v>
      </c>
      <c r="I1662" s="2" t="s">
        <v>6029</v>
      </c>
      <c r="J1662" s="2" t="s">
        <v>522</v>
      </c>
      <c r="K1662" s="2" t="s">
        <v>1373</v>
      </c>
      <c r="L1662" s="3">
        <v>37.14</v>
      </c>
      <c r="M1662" s="3">
        <v>39</v>
      </c>
      <c r="N1662" s="3">
        <v>74.99</v>
      </c>
      <c r="O1662" s="2" t="s">
        <v>97</v>
      </c>
      <c r="P1662" s="2" t="s">
        <v>98</v>
      </c>
      <c r="Q1662" s="2" t="s">
        <v>99</v>
      </c>
      <c r="R1662" s="2" t="s">
        <v>100</v>
      </c>
      <c r="S1662" s="2" t="s">
        <v>6030</v>
      </c>
      <c r="T1662" s="2" t="s">
        <v>5436</v>
      </c>
      <c r="U1662" s="2" t="s">
        <v>901</v>
      </c>
      <c r="V1662" s="2" t="s">
        <v>103</v>
      </c>
      <c r="W1662" s="2" t="s">
        <v>2999</v>
      </c>
      <c r="X1662" s="2" t="s">
        <v>142</v>
      </c>
      <c r="Y1662" s="2" t="s">
        <v>6031</v>
      </c>
      <c r="Z1662" s="4">
        <v>124</v>
      </c>
      <c r="AA1662" s="4">
        <f>=ROUNDDOWN(13.7777777777778,0)</f>
      </c>
      <c r="AB1662" s="5">
        <v>9</v>
      </c>
      <c r="AC1662" s="2" t="s">
        <v>1468</v>
      </c>
      <c r="AD1662" s="4">
        <v>90</v>
      </c>
      <c r="AE1662" s="4">
        <v>90</v>
      </c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/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/>
      <c r="BJ1662" s="4">
        <v>8</v>
      </c>
      <c r="BK1662" s="8">
        <v>324.87</v>
      </c>
      <c r="BL1662" s="2" t="s">
        <v>5847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171</v>
      </c>
      <c r="BV1662" s="2" t="s">
        <v>97</v>
      </c>
      <c r="BW1662" s="2" t="s">
        <v>100</v>
      </c>
      <c r="BX1662" s="2" t="s">
        <v>100</v>
      </c>
      <c r="BY1662" s="2" t="s">
        <v>112</v>
      </c>
      <c r="BZ1662" s="2" t="s">
        <v>100</v>
      </c>
    </row>
    <row r="1663">
      <c r="A1663" s="2" t="s">
        <v>6032</v>
      </c>
      <c r="B1663" s="2" t="s">
        <v>5155</v>
      </c>
      <c r="C1663" s="2" t="s">
        <v>88</v>
      </c>
      <c r="D1663" s="2" t="s">
        <v>1496</v>
      </c>
      <c r="E1663" s="2" t="s">
        <v>1497</v>
      </c>
      <c r="F1663" s="2" t="s">
        <v>5703</v>
      </c>
      <c r="G1663" s="2" t="s">
        <v>2222</v>
      </c>
      <c r="H1663" s="2" t="s">
        <v>5704</v>
      </c>
      <c r="I1663" s="2" t="s">
        <v>6029</v>
      </c>
      <c r="J1663" s="2" t="s">
        <v>114</v>
      </c>
      <c r="K1663" s="2" t="s">
        <v>1373</v>
      </c>
      <c r="L1663" s="3">
        <v>42.09</v>
      </c>
      <c r="M1663" s="3">
        <v>44.19</v>
      </c>
      <c r="N1663" s="3">
        <v>84.99</v>
      </c>
      <c r="O1663" s="2" t="s">
        <v>97</v>
      </c>
      <c r="P1663" s="2" t="s">
        <v>98</v>
      </c>
      <c r="Q1663" s="2" t="s">
        <v>99</v>
      </c>
      <c r="R1663" s="2" t="s">
        <v>100</v>
      </c>
      <c r="S1663" s="2" t="s">
        <v>6030</v>
      </c>
      <c r="T1663" s="2" t="s">
        <v>5436</v>
      </c>
      <c r="U1663" s="2" t="s">
        <v>901</v>
      </c>
      <c r="V1663" s="2" t="s">
        <v>103</v>
      </c>
      <c r="W1663" s="2" t="s">
        <v>2999</v>
      </c>
      <c r="X1663" s="2" t="s">
        <v>142</v>
      </c>
      <c r="Y1663" s="2" t="s">
        <v>6031</v>
      </c>
      <c r="Z1663" s="4">
        <v>28</v>
      </c>
      <c r="AA1663" s="4">
        <f>=ROUNDDOWN(3.11111111111111,0)</f>
      </c>
      <c r="AB1663" s="5">
        <v>9</v>
      </c>
      <c r="AC1663" s="2" t="s">
        <v>145</v>
      </c>
      <c r="AD1663" s="4">
        <v>57</v>
      </c>
      <c r="AE1663" s="4">
        <v>117</v>
      </c>
      <c r="AF1663" s="6">
        <v>65</v>
      </c>
      <c r="AG1663" s="6"/>
      <c r="AH1663" s="7">
        <v>0.2903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100</v>
      </c>
      <c r="AW1663" s="8" t="s">
        <v>100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/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/>
      <c r="BJ1663" s="4">
        <v>3</v>
      </c>
      <c r="BK1663" s="8">
        <v>139.2</v>
      </c>
      <c r="BL1663" s="2" t="s">
        <v>5889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171</v>
      </c>
      <c r="BV1663" s="2" t="s">
        <v>97</v>
      </c>
      <c r="BW1663" s="2" t="s">
        <v>100</v>
      </c>
      <c r="BX1663" s="2" t="s">
        <v>100</v>
      </c>
      <c r="BY1663" s="2" t="s">
        <v>112</v>
      </c>
      <c r="BZ1663" s="2" t="s">
        <v>100</v>
      </c>
    </row>
    <row r="1664">
      <c r="A1664" s="2" t="s">
        <v>6033</v>
      </c>
      <c r="B1664" s="2" t="s">
        <v>5155</v>
      </c>
      <c r="C1664" s="2" t="s">
        <v>3449</v>
      </c>
      <c r="D1664" s="2" t="s">
        <v>4216</v>
      </c>
      <c r="E1664" s="2" t="s">
        <v>5235</v>
      </c>
      <c r="F1664" s="2" t="s">
        <v>6034</v>
      </c>
      <c r="G1664" s="2" t="s">
        <v>6034</v>
      </c>
      <c r="H1664" s="2" t="s">
        <v>6034</v>
      </c>
      <c r="I1664" s="2" t="s">
        <v>6035</v>
      </c>
      <c r="J1664" s="2" t="s">
        <v>522</v>
      </c>
      <c r="K1664" s="2" t="s">
        <v>471</v>
      </c>
      <c r="L1664" s="3">
        <v>15.46</v>
      </c>
      <c r="M1664" s="3">
        <v>16.23</v>
      </c>
      <c r="N1664" s="3">
        <v>34.99</v>
      </c>
      <c r="O1664" s="2" t="s">
        <v>97</v>
      </c>
      <c r="P1664" s="2" t="s">
        <v>98</v>
      </c>
      <c r="Q1664" s="2" t="s">
        <v>99</v>
      </c>
      <c r="R1664" s="2" t="s">
        <v>100</v>
      </c>
      <c r="S1664" s="2" t="s">
        <v>6036</v>
      </c>
      <c r="T1664" s="2" t="s">
        <v>4296</v>
      </c>
      <c r="U1664" s="2" t="s">
        <v>100</v>
      </c>
      <c r="V1664" s="2" t="s">
        <v>461</v>
      </c>
      <c r="W1664" s="2" t="s">
        <v>609</v>
      </c>
      <c r="X1664" s="2" t="s">
        <v>100</v>
      </c>
      <c r="Y1664" s="2" t="s">
        <v>144</v>
      </c>
      <c r="Z1664" s="4">
        <v>570</v>
      </c>
      <c r="AA1664" s="4">
        <f>=ROUNDDOWN(15.8333333333333,0)</f>
      </c>
      <c r="AB1664" s="5">
        <v>36</v>
      </c>
      <c r="AC1664" s="2" t="s">
        <v>1201</v>
      </c>
      <c r="AD1664" s="4">
        <v>200</v>
      </c>
      <c r="AE1664" s="4">
        <v>670</v>
      </c>
      <c r="AF1664" s="6">
        <v>64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56</v>
      </c>
      <c r="AQ1664" s="8">
        <v>793.52</v>
      </c>
      <c r="AR1664" s="4"/>
      <c r="AS1664" s="8"/>
      <c r="AT1664" s="7"/>
      <c r="AU1664" s="7"/>
      <c r="AV1664" s="4">
        <v>59</v>
      </c>
      <c r="AW1664" s="8">
        <v>844.52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>
        <v>0.9396</v>
      </c>
      <c r="BC1664" s="4">
        <v>166</v>
      </c>
      <c r="BD1664" s="8">
        <v>2318.32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>
        <v>0.3643</v>
      </c>
      <c r="BJ1664" s="4">
        <v>133</v>
      </c>
      <c r="BK1664" s="8">
        <v>2007.36</v>
      </c>
      <c r="BL1664" s="2" t="s">
        <v>6037</v>
      </c>
      <c r="BM1664" s="7">
        <v>0.4211</v>
      </c>
      <c r="BN1664" s="7">
        <v>0.3953</v>
      </c>
      <c r="BO1664" s="4">
        <v>56</v>
      </c>
      <c r="BP1664" s="8">
        <v>793.52</v>
      </c>
      <c r="BQ1664" s="4"/>
      <c r="BR1664" s="8"/>
      <c r="BS1664" s="7"/>
      <c r="BT1664" s="7"/>
      <c r="BU1664" s="2" t="s">
        <v>109</v>
      </c>
      <c r="BV1664" s="2" t="s">
        <v>97</v>
      </c>
      <c r="BW1664" s="2" t="s">
        <v>464</v>
      </c>
      <c r="BX1664" s="2" t="s">
        <v>5807</v>
      </c>
      <c r="BY1664" s="2" t="s">
        <v>112</v>
      </c>
      <c r="BZ1664" s="2" t="s">
        <v>100</v>
      </c>
    </row>
    <row r="1665">
      <c r="A1665" s="2" t="s">
        <v>6038</v>
      </c>
      <c r="B1665" s="2" t="s">
        <v>5155</v>
      </c>
      <c r="C1665" s="2" t="s">
        <v>3449</v>
      </c>
      <c r="D1665" s="2" t="s">
        <v>4216</v>
      </c>
      <c r="E1665" s="2" t="s">
        <v>5235</v>
      </c>
      <c r="F1665" s="2" t="s">
        <v>6034</v>
      </c>
      <c r="G1665" s="2" t="s">
        <v>6034</v>
      </c>
      <c r="H1665" s="2" t="s">
        <v>6034</v>
      </c>
      <c r="I1665" s="2" t="s">
        <v>6035</v>
      </c>
      <c r="J1665" s="2" t="s">
        <v>114</v>
      </c>
      <c r="K1665" s="2" t="s">
        <v>471</v>
      </c>
      <c r="L1665" s="3">
        <v>18.42</v>
      </c>
      <c r="M1665" s="3">
        <v>19.34</v>
      </c>
      <c r="N1665" s="3">
        <v>40.99</v>
      </c>
      <c r="O1665" s="2" t="s">
        <v>97</v>
      </c>
      <c r="P1665" s="2" t="s">
        <v>98</v>
      </c>
      <c r="Q1665" s="2" t="s">
        <v>99</v>
      </c>
      <c r="R1665" s="2" t="s">
        <v>100</v>
      </c>
      <c r="S1665" s="2" t="s">
        <v>6036</v>
      </c>
      <c r="T1665" s="2" t="s">
        <v>4296</v>
      </c>
      <c r="U1665" s="2" t="s">
        <v>100</v>
      </c>
      <c r="V1665" s="2" t="s">
        <v>461</v>
      </c>
      <c r="W1665" s="2" t="s">
        <v>609</v>
      </c>
      <c r="X1665" s="2" t="s">
        <v>100</v>
      </c>
      <c r="Y1665" s="2" t="s">
        <v>144</v>
      </c>
      <c r="Z1665" s="4">
        <v>356</v>
      </c>
      <c r="AA1665" s="4">
        <f>=ROUNDDOWN(13.6923076923077,0)</f>
      </c>
      <c r="AB1665" s="5">
        <v>26</v>
      </c>
      <c r="AC1665" s="2" t="s">
        <v>1201</v>
      </c>
      <c r="AD1665" s="4">
        <v>170</v>
      </c>
      <c r="AE1665" s="4">
        <v>540</v>
      </c>
      <c r="AF1665" s="6">
        <v>64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3</v>
      </c>
      <c r="AQ1665" s="8">
        <v>51</v>
      </c>
      <c r="AR1665" s="4"/>
      <c r="AS1665" s="8"/>
      <c r="AT1665" s="7"/>
      <c r="AU1665" s="7"/>
      <c r="AV1665" s="4" t="s">
        <v>100</v>
      </c>
      <c r="AW1665" s="8" t="s">
        <v>100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>
        <v>0.0604</v>
      </c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 t="s">
        <v>100</v>
      </c>
      <c r="BJ1665" s="4">
        <v>54</v>
      </c>
      <c r="BK1665" s="8">
        <v>965.77</v>
      </c>
      <c r="BL1665" s="2" t="s">
        <v>6039</v>
      </c>
      <c r="BM1665" s="7">
        <v>0.0556</v>
      </c>
      <c r="BN1665" s="7">
        <v>0.0528</v>
      </c>
      <c r="BO1665" s="4">
        <v>3</v>
      </c>
      <c r="BP1665" s="8">
        <v>51</v>
      </c>
      <c r="BQ1665" s="4"/>
      <c r="BR1665" s="8"/>
      <c r="BS1665" s="7"/>
      <c r="BT1665" s="7"/>
      <c r="BU1665" s="2" t="s">
        <v>109</v>
      </c>
      <c r="BV1665" s="2" t="s">
        <v>97</v>
      </c>
      <c r="BW1665" s="2" t="s">
        <v>464</v>
      </c>
      <c r="BX1665" s="2" t="s">
        <v>4163</v>
      </c>
      <c r="BY1665" s="2" t="s">
        <v>112</v>
      </c>
      <c r="BZ1665" s="2" t="s">
        <v>100</v>
      </c>
    </row>
    <row r="1666">
      <c r="A1666" s="2" t="s">
        <v>6040</v>
      </c>
      <c r="B1666" s="2" t="s">
        <v>5155</v>
      </c>
      <c r="C1666" s="2" t="s">
        <v>3449</v>
      </c>
      <c r="D1666" s="2" t="s">
        <v>4216</v>
      </c>
      <c r="E1666" s="2" t="s">
        <v>5235</v>
      </c>
      <c r="F1666" s="2" t="s">
        <v>6034</v>
      </c>
      <c r="G1666" s="2" t="s">
        <v>6034</v>
      </c>
      <c r="H1666" s="2" t="s">
        <v>6034</v>
      </c>
      <c r="I1666" s="2" t="s">
        <v>6035</v>
      </c>
      <c r="J1666" s="2" t="s">
        <v>522</v>
      </c>
      <c r="K1666" s="2" t="s">
        <v>165</v>
      </c>
      <c r="L1666" s="3">
        <v>15.46</v>
      </c>
      <c r="M1666" s="3">
        <v>16.23</v>
      </c>
      <c r="N1666" s="3">
        <v>34.99</v>
      </c>
      <c r="O1666" s="2" t="s">
        <v>97</v>
      </c>
      <c r="P1666" s="2" t="s">
        <v>98</v>
      </c>
      <c r="Q1666" s="2" t="s">
        <v>99</v>
      </c>
      <c r="R1666" s="2" t="s">
        <v>100</v>
      </c>
      <c r="S1666" s="2" t="s">
        <v>6041</v>
      </c>
      <c r="T1666" s="2" t="s">
        <v>4296</v>
      </c>
      <c r="U1666" s="2" t="s">
        <v>100</v>
      </c>
      <c r="V1666" s="2" t="s">
        <v>461</v>
      </c>
      <c r="W1666" s="2" t="s">
        <v>609</v>
      </c>
      <c r="X1666" s="2" t="s">
        <v>100</v>
      </c>
      <c r="Y1666" s="2" t="s">
        <v>144</v>
      </c>
      <c r="Z1666" s="4">
        <v>315</v>
      </c>
      <c r="AA1666" s="4">
        <f>=ROUNDDOWN(4.921875,0)</f>
      </c>
      <c r="AB1666" s="5">
        <v>64</v>
      </c>
      <c r="AC1666" s="2" t="s">
        <v>130</v>
      </c>
      <c r="AD1666" s="4">
        <v>300</v>
      </c>
      <c r="AE1666" s="4">
        <v>1550</v>
      </c>
      <c r="AF1666" s="6">
        <v>64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46</v>
      </c>
      <c r="AQ1666" s="8">
        <v>651.82</v>
      </c>
      <c r="AR1666" s="4"/>
      <c r="AS1666" s="8"/>
      <c r="AT1666" s="7"/>
      <c r="AU1666" s="7"/>
      <c r="AV1666" s="4">
        <v>52</v>
      </c>
      <c r="AW1666" s="8">
        <v>753.88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>
        <v>0.8646</v>
      </c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>
        <v>0.3252</v>
      </c>
      <c r="BJ1666" s="4">
        <v>196</v>
      </c>
      <c r="BK1666" s="8">
        <v>3012</v>
      </c>
      <c r="BL1666" s="2" t="s">
        <v>6042</v>
      </c>
      <c r="BM1666" s="7">
        <v>0.2347</v>
      </c>
      <c r="BN1666" s="7">
        <v>0.2164</v>
      </c>
      <c r="BO1666" s="4">
        <v>46</v>
      </c>
      <c r="BP1666" s="8">
        <v>651.82</v>
      </c>
      <c r="BQ1666" s="4"/>
      <c r="BR1666" s="8"/>
      <c r="BS1666" s="7"/>
      <c r="BT1666" s="7"/>
      <c r="BU1666" s="2" t="s">
        <v>109</v>
      </c>
      <c r="BV1666" s="2" t="s">
        <v>97</v>
      </c>
      <c r="BW1666" s="2" t="s">
        <v>982</v>
      </c>
      <c r="BX1666" s="2" t="s">
        <v>6043</v>
      </c>
      <c r="BY1666" s="2" t="s">
        <v>112</v>
      </c>
      <c r="BZ1666" s="2" t="s">
        <v>100</v>
      </c>
    </row>
    <row r="1667">
      <c r="A1667" s="2" t="s">
        <v>6044</v>
      </c>
      <c r="B1667" s="2" t="s">
        <v>5155</v>
      </c>
      <c r="C1667" s="2" t="s">
        <v>3449</v>
      </c>
      <c r="D1667" s="2" t="s">
        <v>4216</v>
      </c>
      <c r="E1667" s="2" t="s">
        <v>5235</v>
      </c>
      <c r="F1667" s="2" t="s">
        <v>6034</v>
      </c>
      <c r="G1667" s="2" t="s">
        <v>6034</v>
      </c>
      <c r="H1667" s="2" t="s">
        <v>6034</v>
      </c>
      <c r="I1667" s="2" t="s">
        <v>6035</v>
      </c>
      <c r="J1667" s="2" t="s">
        <v>114</v>
      </c>
      <c r="K1667" s="2" t="s">
        <v>165</v>
      </c>
      <c r="L1667" s="3">
        <v>18.42</v>
      </c>
      <c r="M1667" s="3">
        <v>19.34</v>
      </c>
      <c r="N1667" s="3">
        <v>40.99</v>
      </c>
      <c r="O1667" s="2" t="s">
        <v>97</v>
      </c>
      <c r="P1667" s="2" t="s">
        <v>98</v>
      </c>
      <c r="Q1667" s="2" t="s">
        <v>99</v>
      </c>
      <c r="R1667" s="2" t="s">
        <v>100</v>
      </c>
      <c r="S1667" s="2" t="s">
        <v>6041</v>
      </c>
      <c r="T1667" s="2" t="s">
        <v>4296</v>
      </c>
      <c r="U1667" s="2" t="s">
        <v>100</v>
      </c>
      <c r="V1667" s="2" t="s">
        <v>461</v>
      </c>
      <c r="W1667" s="2" t="s">
        <v>609</v>
      </c>
      <c r="X1667" s="2" t="s">
        <v>100</v>
      </c>
      <c r="Y1667" s="2" t="s">
        <v>144</v>
      </c>
      <c r="Z1667" s="4">
        <v>369</v>
      </c>
      <c r="AA1667" s="4">
        <f>=ROUNDDOWN(17.5714285714286,0)</f>
      </c>
      <c r="AB1667" s="5">
        <v>21</v>
      </c>
      <c r="AC1667" s="2" t="s">
        <v>130</v>
      </c>
      <c r="AD1667" s="4">
        <v>80</v>
      </c>
      <c r="AE1667" s="4">
        <v>140</v>
      </c>
      <c r="AF1667" s="6">
        <v>64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6</v>
      </c>
      <c r="AQ1667" s="8">
        <v>102.06</v>
      </c>
      <c r="AR1667" s="4"/>
      <c r="AS1667" s="8"/>
      <c r="AT1667" s="7"/>
      <c r="AU1667" s="7"/>
      <c r="AV1667" s="4" t="s">
        <v>100</v>
      </c>
      <c r="AW1667" s="8" t="s">
        <v>100</v>
      </c>
      <c r="AX1667" s="4" t="s">
        <v>100</v>
      </c>
      <c r="AY1667" s="8" t="s">
        <v>100</v>
      </c>
      <c r="AZ1667" s="7" t="s">
        <v>100</v>
      </c>
      <c r="BA1667" s="7" t="s">
        <v>100</v>
      </c>
      <c r="BB1667" s="7">
        <v>0.1354</v>
      </c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 t="s">
        <v>100</v>
      </c>
      <c r="BJ1667" s="4">
        <v>51</v>
      </c>
      <c r="BK1667" s="8">
        <v>999.48</v>
      </c>
      <c r="BL1667" s="2" t="s">
        <v>6045</v>
      </c>
      <c r="BM1667" s="7">
        <v>0.1176</v>
      </c>
      <c r="BN1667" s="7">
        <v>0.1021</v>
      </c>
      <c r="BO1667" s="4">
        <v>6</v>
      </c>
      <c r="BP1667" s="8">
        <v>102.06</v>
      </c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982</v>
      </c>
      <c r="BX1667" s="2" t="s">
        <v>6043</v>
      </c>
      <c r="BY1667" s="2" t="s">
        <v>112</v>
      </c>
      <c r="BZ1667" s="2" t="s">
        <v>100</v>
      </c>
    </row>
    <row r="1668">
      <c r="A1668" s="2" t="s">
        <v>6046</v>
      </c>
      <c r="B1668" s="2" t="s">
        <v>5155</v>
      </c>
      <c r="C1668" s="2" t="s">
        <v>3449</v>
      </c>
      <c r="D1668" s="2" t="s">
        <v>4216</v>
      </c>
      <c r="E1668" s="2" t="s">
        <v>5235</v>
      </c>
      <c r="F1668" s="2" t="s">
        <v>6034</v>
      </c>
      <c r="G1668" s="2" t="s">
        <v>6034</v>
      </c>
      <c r="H1668" s="2" t="s">
        <v>6034</v>
      </c>
      <c r="I1668" s="2" t="s">
        <v>6035</v>
      </c>
      <c r="J1668" s="2" t="s">
        <v>352</v>
      </c>
      <c r="K1668" s="2" t="s">
        <v>96</v>
      </c>
      <c r="L1668" s="3">
        <v>12.32</v>
      </c>
      <c r="M1668" s="3">
        <v>12.94</v>
      </c>
      <c r="N1668" s="3">
        <v>28.99</v>
      </c>
      <c r="O1668" s="2" t="s">
        <v>97</v>
      </c>
      <c r="P1668" s="2" t="s">
        <v>98</v>
      </c>
      <c r="Q1668" s="2" t="s">
        <v>99</v>
      </c>
      <c r="R1668" s="2" t="s">
        <v>100</v>
      </c>
      <c r="S1668" s="2" t="s">
        <v>6047</v>
      </c>
      <c r="T1668" s="2" t="s">
        <v>4296</v>
      </c>
      <c r="U1668" s="2" t="s">
        <v>100</v>
      </c>
      <c r="V1668" s="2" t="s">
        <v>461</v>
      </c>
      <c r="W1668" s="2" t="s">
        <v>609</v>
      </c>
      <c r="X1668" s="2" t="s">
        <v>100</v>
      </c>
      <c r="Y1668" s="2" t="s">
        <v>1108</v>
      </c>
      <c r="Z1668" s="4">
        <v>157</v>
      </c>
      <c r="AA1668" s="4">
        <f>=ROUNDDOWN(5.81481481481481,0)</f>
      </c>
      <c r="AB1668" s="5">
        <v>27</v>
      </c>
      <c r="AC1668" s="2" t="s">
        <v>130</v>
      </c>
      <c r="AD1668" s="4">
        <v>280</v>
      </c>
      <c r="AE1668" s="4">
        <v>1060</v>
      </c>
      <c r="AF1668" s="6">
        <v>64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21</v>
      </c>
      <c r="AQ1668" s="8">
        <v>238.14</v>
      </c>
      <c r="AR1668" s="4"/>
      <c r="AS1668" s="8"/>
      <c r="AT1668" s="7"/>
      <c r="AU1668" s="7"/>
      <c r="AV1668" s="4">
        <v>29</v>
      </c>
      <c r="AW1668" s="8">
        <v>354.33</v>
      </c>
      <c r="AX1668" s="4" t="s">
        <v>100</v>
      </c>
      <c r="AY1668" s="8" t="s">
        <v>100</v>
      </c>
      <c r="AZ1668" s="7" t="s">
        <v>100</v>
      </c>
      <c r="BA1668" s="7" t="s">
        <v>100</v>
      </c>
      <c r="BB1668" s="7">
        <v>0.6721</v>
      </c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>
        <v>0.1528</v>
      </c>
      <c r="BJ1668" s="4">
        <v>99</v>
      </c>
      <c r="BK1668" s="8">
        <v>1211.98</v>
      </c>
      <c r="BL1668" s="2" t="s">
        <v>6048</v>
      </c>
      <c r="BM1668" s="7">
        <v>0.2121</v>
      </c>
      <c r="BN1668" s="7">
        <v>0.1965</v>
      </c>
      <c r="BO1668" s="4">
        <v>21</v>
      </c>
      <c r="BP1668" s="8">
        <v>238.14</v>
      </c>
      <c r="BQ1668" s="4"/>
      <c r="BR1668" s="8"/>
      <c r="BS1668" s="7"/>
      <c r="BT1668" s="7"/>
      <c r="BU1668" s="2" t="s">
        <v>109</v>
      </c>
      <c r="BV1668" s="2" t="s">
        <v>97</v>
      </c>
      <c r="BW1668" s="2" t="s">
        <v>464</v>
      </c>
      <c r="BX1668" s="2" t="s">
        <v>4081</v>
      </c>
      <c r="BY1668" s="2" t="s">
        <v>112</v>
      </c>
      <c r="BZ1668" s="2" t="s">
        <v>100</v>
      </c>
    </row>
    <row r="1669">
      <c r="A1669" s="2" t="s">
        <v>6049</v>
      </c>
      <c r="B1669" s="2" t="s">
        <v>5155</v>
      </c>
      <c r="C1669" s="2" t="s">
        <v>3449</v>
      </c>
      <c r="D1669" s="2" t="s">
        <v>4216</v>
      </c>
      <c r="E1669" s="2" t="s">
        <v>5235</v>
      </c>
      <c r="F1669" s="2" t="s">
        <v>6034</v>
      </c>
      <c r="G1669" s="2" t="s">
        <v>6034</v>
      </c>
      <c r="H1669" s="2" t="s">
        <v>6034</v>
      </c>
      <c r="I1669" s="2" t="s">
        <v>6035</v>
      </c>
      <c r="J1669" s="2" t="s">
        <v>522</v>
      </c>
      <c r="K1669" s="2" t="s">
        <v>96</v>
      </c>
      <c r="L1669" s="3">
        <v>15.46</v>
      </c>
      <c r="M1669" s="3">
        <v>16.23</v>
      </c>
      <c r="N1669" s="3">
        <v>34.99</v>
      </c>
      <c r="O1669" s="2" t="s">
        <v>97</v>
      </c>
      <c r="P1669" s="2" t="s">
        <v>98</v>
      </c>
      <c r="Q1669" s="2" t="s">
        <v>99</v>
      </c>
      <c r="R1669" s="2" t="s">
        <v>100</v>
      </c>
      <c r="S1669" s="2" t="s">
        <v>6047</v>
      </c>
      <c r="T1669" s="2" t="s">
        <v>4296</v>
      </c>
      <c r="U1669" s="2" t="s">
        <v>100</v>
      </c>
      <c r="V1669" s="2" t="s">
        <v>461</v>
      </c>
      <c r="W1669" s="2" t="s">
        <v>609</v>
      </c>
      <c r="X1669" s="2" t="s">
        <v>100</v>
      </c>
      <c r="Y1669" s="2" t="s">
        <v>144</v>
      </c>
      <c r="Z1669" s="4">
        <v>519</v>
      </c>
      <c r="AA1669" s="4">
        <f>=ROUNDDOWN(13.6939313984169,0)</f>
      </c>
      <c r="AB1669" s="5">
        <v>37.9</v>
      </c>
      <c r="AC1669" s="2" t="s">
        <v>130</v>
      </c>
      <c r="AD1669" s="4">
        <v>230</v>
      </c>
      <c r="AE1669" s="4">
        <v>490</v>
      </c>
      <c r="AF1669" s="6">
        <v>64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7</v>
      </c>
      <c r="AQ1669" s="8">
        <v>99.19</v>
      </c>
      <c r="AR1669" s="4"/>
      <c r="AS1669" s="8"/>
      <c r="AT1669" s="7"/>
      <c r="AU1669" s="7"/>
      <c r="AV1669" s="4" t="s">
        <v>100</v>
      </c>
      <c r="AW1669" s="8" t="s">
        <v>100</v>
      </c>
      <c r="AX1669" s="4" t="s">
        <v>100</v>
      </c>
      <c r="AY1669" s="8" t="s">
        <v>100</v>
      </c>
      <c r="AZ1669" s="7" t="s">
        <v>100</v>
      </c>
      <c r="BA1669" s="7" t="s">
        <v>100</v>
      </c>
      <c r="BB1669" s="7">
        <v>0.2799</v>
      </c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 t="s">
        <v>100</v>
      </c>
      <c r="BJ1669" s="4">
        <v>65</v>
      </c>
      <c r="BK1669" s="8">
        <v>1020.73</v>
      </c>
      <c r="BL1669" s="2" t="s">
        <v>6050</v>
      </c>
      <c r="BM1669" s="7">
        <v>0.1077</v>
      </c>
      <c r="BN1669" s="7">
        <v>0.0972</v>
      </c>
      <c r="BO1669" s="4">
        <v>7</v>
      </c>
      <c r="BP1669" s="8">
        <v>99.19</v>
      </c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464</v>
      </c>
      <c r="BX1669" s="2" t="s">
        <v>5647</v>
      </c>
      <c r="BY1669" s="2" t="s">
        <v>112</v>
      </c>
      <c r="BZ1669" s="2" t="s">
        <v>100</v>
      </c>
    </row>
    <row r="1670">
      <c r="A1670" s="2" t="s">
        <v>6051</v>
      </c>
      <c r="B1670" s="2" t="s">
        <v>5155</v>
      </c>
      <c r="C1670" s="2" t="s">
        <v>3449</v>
      </c>
      <c r="D1670" s="2" t="s">
        <v>4216</v>
      </c>
      <c r="E1670" s="2" t="s">
        <v>5235</v>
      </c>
      <c r="F1670" s="2" t="s">
        <v>6034</v>
      </c>
      <c r="G1670" s="2" t="s">
        <v>6034</v>
      </c>
      <c r="H1670" s="2" t="s">
        <v>6034</v>
      </c>
      <c r="I1670" s="2" t="s">
        <v>6035</v>
      </c>
      <c r="J1670" s="2" t="s">
        <v>114</v>
      </c>
      <c r="K1670" s="2" t="s">
        <v>96</v>
      </c>
      <c r="L1670" s="3">
        <v>18.42</v>
      </c>
      <c r="M1670" s="3">
        <v>19.34</v>
      </c>
      <c r="N1670" s="3">
        <v>40.99</v>
      </c>
      <c r="O1670" s="2" t="s">
        <v>97</v>
      </c>
      <c r="P1670" s="2" t="s">
        <v>98</v>
      </c>
      <c r="Q1670" s="2" t="s">
        <v>99</v>
      </c>
      <c r="R1670" s="2" t="s">
        <v>100</v>
      </c>
      <c r="S1670" s="2" t="s">
        <v>6047</v>
      </c>
      <c r="T1670" s="2" t="s">
        <v>4296</v>
      </c>
      <c r="U1670" s="2" t="s">
        <v>100</v>
      </c>
      <c r="V1670" s="2" t="s">
        <v>461</v>
      </c>
      <c r="W1670" s="2" t="s">
        <v>609</v>
      </c>
      <c r="X1670" s="2" t="s">
        <v>100</v>
      </c>
      <c r="Y1670" s="2" t="s">
        <v>144</v>
      </c>
      <c r="Z1670" s="4">
        <v>438</v>
      </c>
      <c r="AA1670" s="4">
        <f>=ROUNDDOWN(16.8461538461538,0)</f>
      </c>
      <c r="AB1670" s="5">
        <v>26</v>
      </c>
      <c r="AC1670" s="2" t="s">
        <v>130</v>
      </c>
      <c r="AD1670" s="4">
        <v>150</v>
      </c>
      <c r="AE1670" s="4">
        <v>300</v>
      </c>
      <c r="AF1670" s="6">
        <v>64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1</v>
      </c>
      <c r="AQ1670" s="8">
        <v>17</v>
      </c>
      <c r="AR1670" s="4"/>
      <c r="AS1670" s="8"/>
      <c r="AT1670" s="7"/>
      <c r="AU1670" s="7"/>
      <c r="AV1670" s="4" t="s">
        <v>100</v>
      </c>
      <c r="AW1670" s="8" t="s">
        <v>100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>
        <v>0.048</v>
      </c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 t="s">
        <v>100</v>
      </c>
      <c r="BJ1670" s="4">
        <v>63</v>
      </c>
      <c r="BK1670" s="8">
        <v>1154.82</v>
      </c>
      <c r="BL1670" s="2" t="s">
        <v>6052</v>
      </c>
      <c r="BM1670" s="7">
        <v>0.0159</v>
      </c>
      <c r="BN1670" s="7">
        <v>0.0147</v>
      </c>
      <c r="BO1670" s="4">
        <v>1</v>
      </c>
      <c r="BP1670" s="8">
        <v>17</v>
      </c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464</v>
      </c>
      <c r="BX1670" s="2" t="s">
        <v>5813</v>
      </c>
      <c r="BY1670" s="2" t="s">
        <v>112</v>
      </c>
      <c r="BZ1670" s="2" t="s">
        <v>100</v>
      </c>
    </row>
    <row r="1671">
      <c r="A1671" s="2" t="s">
        <v>6053</v>
      </c>
      <c r="B1671" s="2" t="s">
        <v>5155</v>
      </c>
      <c r="C1671" s="2" t="s">
        <v>3449</v>
      </c>
      <c r="D1671" s="2" t="s">
        <v>4216</v>
      </c>
      <c r="E1671" s="2" t="s">
        <v>5235</v>
      </c>
      <c r="F1671" s="2" t="s">
        <v>6034</v>
      </c>
      <c r="G1671" s="2" t="s">
        <v>6034</v>
      </c>
      <c r="H1671" s="2" t="s">
        <v>6034</v>
      </c>
      <c r="I1671" s="2" t="s">
        <v>6035</v>
      </c>
      <c r="J1671" s="2" t="s">
        <v>522</v>
      </c>
      <c r="K1671" s="2" t="s">
        <v>626</v>
      </c>
      <c r="L1671" s="3">
        <v>15.46</v>
      </c>
      <c r="M1671" s="3">
        <v>16.23</v>
      </c>
      <c r="N1671" s="3">
        <v>34.99</v>
      </c>
      <c r="O1671" s="2" t="s">
        <v>97</v>
      </c>
      <c r="P1671" s="2" t="s">
        <v>98</v>
      </c>
      <c r="Q1671" s="2" t="s">
        <v>99</v>
      </c>
      <c r="R1671" s="2" t="s">
        <v>100</v>
      </c>
      <c r="S1671" s="2" t="s">
        <v>6054</v>
      </c>
      <c r="T1671" s="2" t="s">
        <v>4296</v>
      </c>
      <c r="U1671" s="2" t="s">
        <v>100</v>
      </c>
      <c r="V1671" s="2" t="s">
        <v>461</v>
      </c>
      <c r="W1671" s="2" t="s">
        <v>609</v>
      </c>
      <c r="X1671" s="2" t="s">
        <v>100</v>
      </c>
      <c r="Y1671" s="2" t="s">
        <v>144</v>
      </c>
      <c r="Z1671" s="4">
        <v>273</v>
      </c>
      <c r="AA1671" s="4">
        <f>=ROUNDDOWN(6.34883720930233,0)</f>
      </c>
      <c r="AB1671" s="5">
        <v>43</v>
      </c>
      <c r="AC1671" s="2" t="s">
        <v>1201</v>
      </c>
      <c r="AD1671" s="4">
        <v>200</v>
      </c>
      <c r="AE1671" s="4">
        <v>1380</v>
      </c>
      <c r="AF1671" s="6">
        <v>64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15</v>
      </c>
      <c r="AQ1671" s="8">
        <v>212.55</v>
      </c>
      <c r="AR1671" s="4"/>
      <c r="AS1671" s="8"/>
      <c r="AT1671" s="7"/>
      <c r="AU1671" s="7"/>
      <c r="AV1671" s="4">
        <v>20</v>
      </c>
      <c r="AW1671" s="8">
        <v>297.55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>
        <v>0.7143</v>
      </c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>
        <v>0.1283</v>
      </c>
      <c r="BJ1671" s="4">
        <v>190</v>
      </c>
      <c r="BK1671" s="8">
        <v>2883.91</v>
      </c>
      <c r="BL1671" s="2" t="s">
        <v>6055</v>
      </c>
      <c r="BM1671" s="7">
        <v>0.0789</v>
      </c>
      <c r="BN1671" s="7">
        <v>0.0737</v>
      </c>
      <c r="BO1671" s="4">
        <v>15</v>
      </c>
      <c r="BP1671" s="8">
        <v>212.55</v>
      </c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464</v>
      </c>
      <c r="BX1671" s="2" t="s">
        <v>6056</v>
      </c>
      <c r="BY1671" s="2" t="s">
        <v>112</v>
      </c>
      <c r="BZ1671" s="2" t="s">
        <v>100</v>
      </c>
    </row>
    <row r="1672">
      <c r="A1672" s="2" t="s">
        <v>6057</v>
      </c>
      <c r="B1672" s="2" t="s">
        <v>5155</v>
      </c>
      <c r="C1672" s="2" t="s">
        <v>3449</v>
      </c>
      <c r="D1672" s="2" t="s">
        <v>4216</v>
      </c>
      <c r="E1672" s="2" t="s">
        <v>5235</v>
      </c>
      <c r="F1672" s="2" t="s">
        <v>6034</v>
      </c>
      <c r="G1672" s="2" t="s">
        <v>6034</v>
      </c>
      <c r="H1672" s="2" t="s">
        <v>6034</v>
      </c>
      <c r="I1672" s="2" t="s">
        <v>6035</v>
      </c>
      <c r="J1672" s="2" t="s">
        <v>114</v>
      </c>
      <c r="K1672" s="2" t="s">
        <v>626</v>
      </c>
      <c r="L1672" s="3">
        <v>18.42</v>
      </c>
      <c r="M1672" s="3">
        <v>19.34</v>
      </c>
      <c r="N1672" s="3">
        <v>40.99</v>
      </c>
      <c r="O1672" s="2" t="s">
        <v>97</v>
      </c>
      <c r="P1672" s="2" t="s">
        <v>98</v>
      </c>
      <c r="Q1672" s="2" t="s">
        <v>99</v>
      </c>
      <c r="R1672" s="2" t="s">
        <v>100</v>
      </c>
      <c r="S1672" s="2" t="s">
        <v>6054</v>
      </c>
      <c r="T1672" s="2" t="s">
        <v>4296</v>
      </c>
      <c r="U1672" s="2" t="s">
        <v>100</v>
      </c>
      <c r="V1672" s="2" t="s">
        <v>461</v>
      </c>
      <c r="W1672" s="2" t="s">
        <v>609</v>
      </c>
      <c r="X1672" s="2" t="s">
        <v>100</v>
      </c>
      <c r="Y1672" s="2" t="s">
        <v>144</v>
      </c>
      <c r="Z1672" s="4">
        <v>280</v>
      </c>
      <c r="AA1672" s="4">
        <f>=ROUNDDOWN(10.7692307692308,0)</f>
      </c>
      <c r="AB1672" s="5">
        <v>26</v>
      </c>
      <c r="AC1672" s="2" t="s">
        <v>1201</v>
      </c>
      <c r="AD1672" s="4">
        <v>120</v>
      </c>
      <c r="AE1672" s="4">
        <v>660</v>
      </c>
      <c r="AF1672" s="6">
        <v>64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5</v>
      </c>
      <c r="AQ1672" s="8">
        <v>85</v>
      </c>
      <c r="AR1672" s="4"/>
      <c r="AS1672" s="8"/>
      <c r="AT1672" s="7"/>
      <c r="AU1672" s="7"/>
      <c r="AV1672" s="4" t="s">
        <v>100</v>
      </c>
      <c r="AW1672" s="8" t="s">
        <v>100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>
        <v>0.2857</v>
      </c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 t="s">
        <v>100</v>
      </c>
      <c r="BJ1672" s="4">
        <v>84</v>
      </c>
      <c r="BK1672" s="8">
        <v>1543.52</v>
      </c>
      <c r="BL1672" s="2" t="s">
        <v>6058</v>
      </c>
      <c r="BM1672" s="7">
        <v>0.0595</v>
      </c>
      <c r="BN1672" s="7">
        <v>0.0551</v>
      </c>
      <c r="BO1672" s="4">
        <v>5</v>
      </c>
      <c r="BP1672" s="8">
        <v>85</v>
      </c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464</v>
      </c>
      <c r="BX1672" s="2" t="s">
        <v>4163</v>
      </c>
      <c r="BY1672" s="2" t="s">
        <v>112</v>
      </c>
      <c r="BZ1672" s="2" t="s">
        <v>100</v>
      </c>
    </row>
    <row r="1673">
      <c r="A1673" s="2" t="s">
        <v>6059</v>
      </c>
      <c r="B1673" s="2" t="s">
        <v>5155</v>
      </c>
      <c r="C1673" s="2" t="s">
        <v>3449</v>
      </c>
      <c r="D1673" s="2" t="s">
        <v>4216</v>
      </c>
      <c r="E1673" s="2" t="s">
        <v>5235</v>
      </c>
      <c r="F1673" s="2" t="s">
        <v>6034</v>
      </c>
      <c r="G1673" s="2" t="s">
        <v>6034</v>
      </c>
      <c r="H1673" s="2" t="s">
        <v>6034</v>
      </c>
      <c r="I1673" s="2" t="s">
        <v>6035</v>
      </c>
      <c r="J1673" s="2" t="s">
        <v>352</v>
      </c>
      <c r="K1673" s="2" t="s">
        <v>4816</v>
      </c>
      <c r="L1673" s="3">
        <v>12.32</v>
      </c>
      <c r="M1673" s="3">
        <v>12.94</v>
      </c>
      <c r="N1673" s="3">
        <v>28.99</v>
      </c>
      <c r="O1673" s="2" t="s">
        <v>97</v>
      </c>
      <c r="P1673" s="2" t="s">
        <v>98</v>
      </c>
      <c r="Q1673" s="2" t="s">
        <v>99</v>
      </c>
      <c r="R1673" s="2" t="s">
        <v>100</v>
      </c>
      <c r="S1673" s="2" t="s">
        <v>5643</v>
      </c>
      <c r="T1673" s="2" t="s">
        <v>4296</v>
      </c>
      <c r="U1673" s="2" t="s">
        <v>100</v>
      </c>
      <c r="V1673" s="2" t="s">
        <v>461</v>
      </c>
      <c r="W1673" s="2" t="s">
        <v>609</v>
      </c>
      <c r="X1673" s="2" t="s">
        <v>100</v>
      </c>
      <c r="Y1673" s="2" t="s">
        <v>6060</v>
      </c>
      <c r="Z1673" s="4">
        <v>501</v>
      </c>
      <c r="AA1673" s="4">
        <f>=ROUNDDOWN(26.3684210526316,0)</f>
      </c>
      <c r="AB1673" s="5">
        <v>19</v>
      </c>
      <c r="AC1673" s="2" t="s">
        <v>307</v>
      </c>
      <c r="AD1673" s="4">
        <v>200</v>
      </c>
      <c r="AE1673" s="4">
        <v>530</v>
      </c>
      <c r="AF1673" s="6">
        <v>64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6</v>
      </c>
      <c r="AQ1673" s="8">
        <v>68.04</v>
      </c>
      <c r="AR1673" s="4"/>
      <c r="AS1673" s="8"/>
      <c r="AT1673" s="7"/>
      <c r="AU1673" s="7"/>
      <c r="AV1673" s="4">
        <v>6</v>
      </c>
      <c r="AW1673" s="8">
        <v>68.04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>
        <v>1</v>
      </c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>
        <v>0.0293</v>
      </c>
      <c r="BJ1673" s="4">
        <v>30</v>
      </c>
      <c r="BK1673" s="8">
        <v>367.04</v>
      </c>
      <c r="BL1673" s="2" t="s">
        <v>5714</v>
      </c>
      <c r="BM1673" s="7">
        <v>0.2</v>
      </c>
      <c r="BN1673" s="7">
        <v>0.1854</v>
      </c>
      <c r="BO1673" s="4">
        <v>6</v>
      </c>
      <c r="BP1673" s="8">
        <v>68.04</v>
      </c>
      <c r="BQ1673" s="4"/>
      <c r="BR1673" s="8"/>
      <c r="BS1673" s="7"/>
      <c r="BT1673" s="7"/>
      <c r="BU1673" s="2" t="s">
        <v>109</v>
      </c>
      <c r="BV1673" s="2" t="s">
        <v>97</v>
      </c>
      <c r="BW1673" s="2" t="s">
        <v>5840</v>
      </c>
      <c r="BX1673" s="2" t="s">
        <v>6061</v>
      </c>
      <c r="BY1673" s="2" t="s">
        <v>112</v>
      </c>
      <c r="BZ1673" s="2" t="s">
        <v>100</v>
      </c>
    </row>
    <row r="1674">
      <c r="A1674" s="2" t="s">
        <v>6062</v>
      </c>
      <c r="B1674" s="2" t="s">
        <v>5155</v>
      </c>
      <c r="C1674" s="2" t="s">
        <v>3449</v>
      </c>
      <c r="D1674" s="2" t="s">
        <v>4216</v>
      </c>
      <c r="E1674" s="2" t="s">
        <v>5235</v>
      </c>
      <c r="F1674" s="2" t="s">
        <v>6034</v>
      </c>
      <c r="G1674" s="2" t="s">
        <v>6034</v>
      </c>
      <c r="H1674" s="2" t="s">
        <v>6034</v>
      </c>
      <c r="I1674" s="2" t="s">
        <v>6035</v>
      </c>
      <c r="J1674" s="2" t="s">
        <v>114</v>
      </c>
      <c r="K1674" s="2" t="s">
        <v>4816</v>
      </c>
      <c r="L1674" s="3">
        <v>18.42</v>
      </c>
      <c r="M1674" s="3">
        <v>19.34</v>
      </c>
      <c r="N1674" s="3">
        <v>40.99</v>
      </c>
      <c r="O1674" s="2" t="s">
        <v>97</v>
      </c>
      <c r="P1674" s="2" t="s">
        <v>98</v>
      </c>
      <c r="Q1674" s="2" t="s">
        <v>99</v>
      </c>
      <c r="R1674" s="2" t="s">
        <v>100</v>
      </c>
      <c r="S1674" s="2" t="s">
        <v>5643</v>
      </c>
      <c r="T1674" s="2" t="s">
        <v>4296</v>
      </c>
      <c r="U1674" s="2" t="s">
        <v>100</v>
      </c>
      <c r="V1674" s="2" t="s">
        <v>461</v>
      </c>
      <c r="W1674" s="2" t="s">
        <v>609</v>
      </c>
      <c r="X1674" s="2" t="s">
        <v>100</v>
      </c>
      <c r="Y1674" s="2" t="s">
        <v>6060</v>
      </c>
      <c r="Z1674" s="4">
        <v>371</v>
      </c>
      <c r="AA1674" s="4">
        <f>=ROUNDDOWN(23.1875,0)</f>
      </c>
      <c r="AB1674" s="5">
        <v>16</v>
      </c>
      <c r="AC1674" s="2" t="s">
        <v>307</v>
      </c>
      <c r="AD1674" s="4">
        <v>60</v>
      </c>
      <c r="AE1674" s="4">
        <v>230</v>
      </c>
      <c r="AF1674" s="6">
        <v>64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100</v>
      </c>
      <c r="AW1674" s="8" t="s">
        <v>100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/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 t="s">
        <v>100</v>
      </c>
      <c r="BJ1674" s="4">
        <v>31</v>
      </c>
      <c r="BK1674" s="8">
        <v>597.94</v>
      </c>
      <c r="BL1674" s="2" t="s">
        <v>6063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109</v>
      </c>
      <c r="BV1674" s="2" t="s">
        <v>97</v>
      </c>
      <c r="BW1674" s="2" t="s">
        <v>5840</v>
      </c>
      <c r="BX1674" s="2" t="s">
        <v>6064</v>
      </c>
      <c r="BY1674" s="2" t="s">
        <v>112</v>
      </c>
      <c r="BZ1674" s="2" t="s">
        <v>100</v>
      </c>
    </row>
    <row r="1675">
      <c r="A1675" s="2" t="s">
        <v>6065</v>
      </c>
      <c r="B1675" s="2" t="s">
        <v>5155</v>
      </c>
      <c r="C1675" s="2" t="s">
        <v>3449</v>
      </c>
      <c r="D1675" s="2" t="s">
        <v>89</v>
      </c>
      <c r="E1675" s="2" t="s">
        <v>887</v>
      </c>
      <c r="F1675" s="2" t="s">
        <v>6066</v>
      </c>
      <c r="G1675" s="2" t="s">
        <v>3556</v>
      </c>
      <c r="H1675" s="2" t="s">
        <v>3556</v>
      </c>
      <c r="I1675" s="2" t="s">
        <v>6067</v>
      </c>
      <c r="J1675" s="2" t="s">
        <v>352</v>
      </c>
      <c r="K1675" s="2" t="s">
        <v>471</v>
      </c>
      <c r="L1675" s="3">
        <v>28.47</v>
      </c>
      <c r="M1675" s="3">
        <v>29.89</v>
      </c>
      <c r="N1675" s="3">
        <v>59.99</v>
      </c>
      <c r="O1675" s="2" t="s">
        <v>97</v>
      </c>
      <c r="P1675" s="2" t="s">
        <v>156</v>
      </c>
      <c r="Q1675" s="2" t="s">
        <v>99</v>
      </c>
      <c r="R1675" s="2" t="s">
        <v>100</v>
      </c>
      <c r="S1675" s="2" t="s">
        <v>6068</v>
      </c>
      <c r="T1675" s="2" t="s">
        <v>5436</v>
      </c>
      <c r="U1675" s="2" t="s">
        <v>894</v>
      </c>
      <c r="V1675" s="2" t="s">
        <v>4696</v>
      </c>
      <c r="W1675" s="2" t="s">
        <v>142</v>
      </c>
      <c r="X1675" s="2" t="s">
        <v>493</v>
      </c>
      <c r="Y1675" s="2" t="s">
        <v>718</v>
      </c>
      <c r="Z1675" s="4">
        <v>182</v>
      </c>
      <c r="AA1675" s="4">
        <f>=ROUNDDOWN(12.1333333333333,0)</f>
      </c>
      <c r="AB1675" s="5">
        <v>15</v>
      </c>
      <c r="AC1675" s="2" t="s">
        <v>2604</v>
      </c>
      <c r="AD1675" s="4">
        <v>320</v>
      </c>
      <c r="AE1675" s="4">
        <v>550</v>
      </c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/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/>
      <c r="BJ1675" s="4">
        <v>29</v>
      </c>
      <c r="BK1675" s="8">
        <v>846.58</v>
      </c>
      <c r="BL1675" s="2" t="s">
        <v>6069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171</v>
      </c>
      <c r="BV1675" s="2" t="s">
        <v>97</v>
      </c>
      <c r="BW1675" s="2" t="s">
        <v>100</v>
      </c>
      <c r="BX1675" s="2" t="s">
        <v>100</v>
      </c>
      <c r="BY1675" s="2" t="s">
        <v>112</v>
      </c>
      <c r="BZ1675" s="2" t="s">
        <v>100</v>
      </c>
    </row>
    <row r="1676">
      <c r="A1676" s="2" t="s">
        <v>6070</v>
      </c>
      <c r="B1676" s="2" t="s">
        <v>5155</v>
      </c>
      <c r="C1676" s="2" t="s">
        <v>3449</v>
      </c>
      <c r="D1676" s="2" t="s">
        <v>89</v>
      </c>
      <c r="E1676" s="2" t="s">
        <v>887</v>
      </c>
      <c r="F1676" s="2" t="s">
        <v>6066</v>
      </c>
      <c r="G1676" s="2" t="s">
        <v>3556</v>
      </c>
      <c r="H1676" s="2" t="s">
        <v>3556</v>
      </c>
      <c r="I1676" s="2" t="s">
        <v>6067</v>
      </c>
      <c r="J1676" s="2" t="s">
        <v>522</v>
      </c>
      <c r="K1676" s="2" t="s">
        <v>471</v>
      </c>
      <c r="L1676" s="3">
        <v>37.23</v>
      </c>
      <c r="M1676" s="3">
        <v>39.09</v>
      </c>
      <c r="N1676" s="3">
        <v>79.99</v>
      </c>
      <c r="O1676" s="2" t="s">
        <v>97</v>
      </c>
      <c r="P1676" s="2" t="s">
        <v>156</v>
      </c>
      <c r="Q1676" s="2" t="s">
        <v>99</v>
      </c>
      <c r="R1676" s="2" t="s">
        <v>100</v>
      </c>
      <c r="S1676" s="2" t="s">
        <v>6068</v>
      </c>
      <c r="T1676" s="2" t="s">
        <v>5436</v>
      </c>
      <c r="U1676" s="2" t="s">
        <v>901</v>
      </c>
      <c r="V1676" s="2" t="s">
        <v>4696</v>
      </c>
      <c r="W1676" s="2" t="s">
        <v>142</v>
      </c>
      <c r="X1676" s="2" t="s">
        <v>493</v>
      </c>
      <c r="Y1676" s="2" t="s">
        <v>718</v>
      </c>
      <c r="Z1676" s="4">
        <v>326</v>
      </c>
      <c r="AA1676" s="4">
        <f>=ROUNDDOWN(12.5384615384615,0)</f>
      </c>
      <c r="AB1676" s="5">
        <v>26</v>
      </c>
      <c r="AC1676" s="2" t="s">
        <v>2604</v>
      </c>
      <c r="AD1676" s="4">
        <v>270</v>
      </c>
      <c r="AE1676" s="4">
        <v>690</v>
      </c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100</v>
      </c>
      <c r="AW1676" s="8" t="s">
        <v>100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/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/>
      <c r="BJ1676" s="4">
        <v>90</v>
      </c>
      <c r="BK1676" s="8">
        <v>3494.89</v>
      </c>
      <c r="BL1676" s="2" t="s">
        <v>1368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171</v>
      </c>
      <c r="BV1676" s="2" t="s">
        <v>97</v>
      </c>
      <c r="BW1676" s="2" t="s">
        <v>100</v>
      </c>
      <c r="BX1676" s="2" t="s">
        <v>100</v>
      </c>
      <c r="BY1676" s="2" t="s">
        <v>112</v>
      </c>
      <c r="BZ1676" s="2" t="s">
        <v>100</v>
      </c>
    </row>
    <row r="1677">
      <c r="A1677" s="2" t="s">
        <v>6071</v>
      </c>
      <c r="B1677" s="2" t="s">
        <v>5155</v>
      </c>
      <c r="C1677" s="2" t="s">
        <v>3449</v>
      </c>
      <c r="D1677" s="2" t="s">
        <v>89</v>
      </c>
      <c r="E1677" s="2" t="s">
        <v>887</v>
      </c>
      <c r="F1677" s="2" t="s">
        <v>6066</v>
      </c>
      <c r="G1677" s="2" t="s">
        <v>3556</v>
      </c>
      <c r="H1677" s="2" t="s">
        <v>3556</v>
      </c>
      <c r="I1677" s="2" t="s">
        <v>6067</v>
      </c>
      <c r="J1677" s="2" t="s">
        <v>529</v>
      </c>
      <c r="K1677" s="2" t="s">
        <v>471</v>
      </c>
      <c r="L1677" s="3">
        <v>41.61</v>
      </c>
      <c r="M1677" s="3">
        <v>43.69</v>
      </c>
      <c r="N1677" s="3">
        <v>89.99</v>
      </c>
      <c r="O1677" s="2" t="s">
        <v>97</v>
      </c>
      <c r="P1677" s="2" t="s">
        <v>156</v>
      </c>
      <c r="Q1677" s="2" t="s">
        <v>99</v>
      </c>
      <c r="R1677" s="2" t="s">
        <v>100</v>
      </c>
      <c r="S1677" s="2" t="s">
        <v>6068</v>
      </c>
      <c r="T1677" s="2" t="s">
        <v>5436</v>
      </c>
      <c r="U1677" s="2" t="s">
        <v>901</v>
      </c>
      <c r="V1677" s="2" t="s">
        <v>4696</v>
      </c>
      <c r="W1677" s="2" t="s">
        <v>142</v>
      </c>
      <c r="X1677" s="2" t="s">
        <v>493</v>
      </c>
      <c r="Y1677" s="2" t="s">
        <v>718</v>
      </c>
      <c r="Z1677" s="4">
        <v>272</v>
      </c>
      <c r="AA1677" s="4">
        <f>=ROUNDDOWN(24.7272727272727,0)</f>
      </c>
      <c r="AB1677" s="5">
        <v>11</v>
      </c>
      <c r="AC1677" s="2" t="s">
        <v>2604</v>
      </c>
      <c r="AD1677" s="4">
        <v>210</v>
      </c>
      <c r="AE1677" s="4">
        <v>360</v>
      </c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100</v>
      </c>
      <c r="AW1677" s="8" t="s">
        <v>100</v>
      </c>
      <c r="AX1677" s="4" t="s">
        <v>100</v>
      </c>
      <c r="AY1677" s="8" t="s">
        <v>100</v>
      </c>
      <c r="AZ1677" s="7" t="s">
        <v>100</v>
      </c>
      <c r="BA1677" s="7" t="s">
        <v>100</v>
      </c>
      <c r="BB1677" s="7"/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/>
      <c r="BJ1677" s="4">
        <v>28</v>
      </c>
      <c r="BK1677" s="8">
        <v>1210.4</v>
      </c>
      <c r="BL1677" s="2" t="s">
        <v>6072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171</v>
      </c>
      <c r="BV1677" s="2" t="s">
        <v>97</v>
      </c>
      <c r="BW1677" s="2" t="s">
        <v>100</v>
      </c>
      <c r="BX1677" s="2" t="s">
        <v>100</v>
      </c>
      <c r="BY1677" s="2" t="s">
        <v>112</v>
      </c>
      <c r="BZ1677" s="2" t="s">
        <v>100</v>
      </c>
    </row>
    <row r="1678">
      <c r="A1678" s="2" t="s">
        <v>6073</v>
      </c>
      <c r="B1678" s="2" t="s">
        <v>5155</v>
      </c>
      <c r="C1678" s="2" t="s">
        <v>3449</v>
      </c>
      <c r="D1678" s="2" t="s">
        <v>89</v>
      </c>
      <c r="E1678" s="2" t="s">
        <v>887</v>
      </c>
      <c r="F1678" s="2" t="s">
        <v>6066</v>
      </c>
      <c r="G1678" s="2" t="s">
        <v>3556</v>
      </c>
      <c r="H1678" s="2" t="s">
        <v>3556</v>
      </c>
      <c r="I1678" s="2" t="s">
        <v>6067</v>
      </c>
      <c r="J1678" s="2" t="s">
        <v>352</v>
      </c>
      <c r="K1678" s="2" t="s">
        <v>188</v>
      </c>
      <c r="L1678" s="3">
        <v>28.47</v>
      </c>
      <c r="M1678" s="3">
        <v>29.89</v>
      </c>
      <c r="N1678" s="3">
        <v>59.99</v>
      </c>
      <c r="O1678" s="2" t="s">
        <v>97</v>
      </c>
      <c r="P1678" s="2" t="s">
        <v>156</v>
      </c>
      <c r="Q1678" s="2" t="s">
        <v>99</v>
      </c>
      <c r="R1678" s="2" t="s">
        <v>100</v>
      </c>
      <c r="S1678" s="2" t="s">
        <v>6074</v>
      </c>
      <c r="T1678" s="2" t="s">
        <v>5436</v>
      </c>
      <c r="U1678" s="2" t="s">
        <v>894</v>
      </c>
      <c r="V1678" s="2" t="s">
        <v>4696</v>
      </c>
      <c r="W1678" s="2" t="s">
        <v>142</v>
      </c>
      <c r="X1678" s="2" t="s">
        <v>493</v>
      </c>
      <c r="Y1678" s="2" t="s">
        <v>718</v>
      </c>
      <c r="Z1678" s="4">
        <v>288</v>
      </c>
      <c r="AA1678" s="4">
        <f>=ROUNDDOWN(12.6315789473684,0)</f>
      </c>
      <c r="AB1678" s="5">
        <v>22.8</v>
      </c>
      <c r="AC1678" s="2" t="s">
        <v>2604</v>
      </c>
      <c r="AD1678" s="4">
        <v>150</v>
      </c>
      <c r="AE1678" s="4">
        <v>380</v>
      </c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100</v>
      </c>
      <c r="AW1678" s="8" t="s">
        <v>100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/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/>
      <c r="BJ1678" s="4">
        <v>52</v>
      </c>
      <c r="BK1678" s="8">
        <v>1504.41</v>
      </c>
      <c r="BL1678" s="2" t="s">
        <v>6075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171</v>
      </c>
      <c r="BV1678" s="2" t="s">
        <v>97</v>
      </c>
      <c r="BW1678" s="2" t="s">
        <v>100</v>
      </c>
      <c r="BX1678" s="2" t="s">
        <v>100</v>
      </c>
      <c r="BY1678" s="2" t="s">
        <v>112</v>
      </c>
      <c r="BZ1678" s="2" t="s">
        <v>100</v>
      </c>
    </row>
    <row r="1679">
      <c r="A1679" s="2" t="s">
        <v>6076</v>
      </c>
      <c r="B1679" s="2" t="s">
        <v>5155</v>
      </c>
      <c r="C1679" s="2" t="s">
        <v>3449</v>
      </c>
      <c r="D1679" s="2" t="s">
        <v>89</v>
      </c>
      <c r="E1679" s="2" t="s">
        <v>887</v>
      </c>
      <c r="F1679" s="2" t="s">
        <v>6066</v>
      </c>
      <c r="G1679" s="2" t="s">
        <v>3556</v>
      </c>
      <c r="H1679" s="2" t="s">
        <v>3556</v>
      </c>
      <c r="I1679" s="2" t="s">
        <v>6067</v>
      </c>
      <c r="J1679" s="2" t="s">
        <v>522</v>
      </c>
      <c r="K1679" s="2" t="s">
        <v>188</v>
      </c>
      <c r="L1679" s="3">
        <v>37.23</v>
      </c>
      <c r="M1679" s="3">
        <v>39.09</v>
      </c>
      <c r="N1679" s="3">
        <v>79.99</v>
      </c>
      <c r="O1679" s="2" t="s">
        <v>97</v>
      </c>
      <c r="P1679" s="2" t="s">
        <v>156</v>
      </c>
      <c r="Q1679" s="2" t="s">
        <v>99</v>
      </c>
      <c r="R1679" s="2" t="s">
        <v>100</v>
      </c>
      <c r="S1679" s="2" t="s">
        <v>6074</v>
      </c>
      <c r="T1679" s="2" t="s">
        <v>5436</v>
      </c>
      <c r="U1679" s="2" t="s">
        <v>901</v>
      </c>
      <c r="V1679" s="2" t="s">
        <v>4696</v>
      </c>
      <c r="W1679" s="2" t="s">
        <v>142</v>
      </c>
      <c r="X1679" s="2" t="s">
        <v>493</v>
      </c>
      <c r="Y1679" s="2" t="s">
        <v>718</v>
      </c>
      <c r="Z1679" s="4">
        <v>318</v>
      </c>
      <c r="AA1679" s="4">
        <f>=ROUNDDOWN(8.59459459459459,0)</f>
      </c>
      <c r="AB1679" s="5">
        <v>37</v>
      </c>
      <c r="AC1679" s="2" t="s">
        <v>2604</v>
      </c>
      <c r="AD1679" s="4">
        <v>260</v>
      </c>
      <c r="AE1679" s="4">
        <v>600</v>
      </c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100</v>
      </c>
      <c r="AW1679" s="8" t="s">
        <v>100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/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/>
      <c r="BJ1679" s="4">
        <v>115</v>
      </c>
      <c r="BK1679" s="8">
        <v>4358.81</v>
      </c>
      <c r="BL1679" s="2" t="s">
        <v>6077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171</v>
      </c>
      <c r="BV1679" s="2" t="s">
        <v>97</v>
      </c>
      <c r="BW1679" s="2" t="s">
        <v>100</v>
      </c>
      <c r="BX1679" s="2" t="s">
        <v>100</v>
      </c>
      <c r="BY1679" s="2" t="s">
        <v>112</v>
      </c>
      <c r="BZ1679" s="2" t="s">
        <v>100</v>
      </c>
    </row>
    <row r="1680">
      <c r="A1680" s="2" t="s">
        <v>6078</v>
      </c>
      <c r="B1680" s="2" t="s">
        <v>5155</v>
      </c>
      <c r="C1680" s="2" t="s">
        <v>3449</v>
      </c>
      <c r="D1680" s="2" t="s">
        <v>89</v>
      </c>
      <c r="E1680" s="2" t="s">
        <v>887</v>
      </c>
      <c r="F1680" s="2" t="s">
        <v>6066</v>
      </c>
      <c r="G1680" s="2" t="s">
        <v>3556</v>
      </c>
      <c r="H1680" s="2" t="s">
        <v>3556</v>
      </c>
      <c r="I1680" s="2" t="s">
        <v>6067</v>
      </c>
      <c r="J1680" s="2" t="s">
        <v>529</v>
      </c>
      <c r="K1680" s="2" t="s">
        <v>188</v>
      </c>
      <c r="L1680" s="3">
        <v>41.61</v>
      </c>
      <c r="M1680" s="3">
        <v>43.69</v>
      </c>
      <c r="N1680" s="3">
        <v>89.99</v>
      </c>
      <c r="O1680" s="2" t="s">
        <v>97</v>
      </c>
      <c r="P1680" s="2" t="s">
        <v>156</v>
      </c>
      <c r="Q1680" s="2" t="s">
        <v>99</v>
      </c>
      <c r="R1680" s="2" t="s">
        <v>100</v>
      </c>
      <c r="S1680" s="2" t="s">
        <v>6074</v>
      </c>
      <c r="T1680" s="2" t="s">
        <v>5436</v>
      </c>
      <c r="U1680" s="2" t="s">
        <v>901</v>
      </c>
      <c r="V1680" s="2" t="s">
        <v>4696</v>
      </c>
      <c r="W1680" s="2" t="s">
        <v>142</v>
      </c>
      <c r="X1680" s="2" t="s">
        <v>493</v>
      </c>
      <c r="Y1680" s="2" t="s">
        <v>718</v>
      </c>
      <c r="Z1680" s="4">
        <v>198</v>
      </c>
      <c r="AA1680" s="4">
        <f>=ROUNDDOWN(11,0)</f>
      </c>
      <c r="AB1680" s="5">
        <v>18</v>
      </c>
      <c r="AC1680" s="2" t="s">
        <v>2604</v>
      </c>
      <c r="AD1680" s="4">
        <v>120</v>
      </c>
      <c r="AE1680" s="4">
        <v>350</v>
      </c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100</v>
      </c>
      <c r="AW1680" s="8" t="s">
        <v>100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/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/>
      <c r="BJ1680" s="4">
        <v>57</v>
      </c>
      <c r="BK1680" s="8">
        <v>2408.51</v>
      </c>
      <c r="BL1680" s="2" t="s">
        <v>6079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171</v>
      </c>
      <c r="BV1680" s="2" t="s">
        <v>97</v>
      </c>
      <c r="BW1680" s="2" t="s">
        <v>100</v>
      </c>
      <c r="BX1680" s="2" t="s">
        <v>100</v>
      </c>
      <c r="BY1680" s="2" t="s">
        <v>112</v>
      </c>
      <c r="BZ1680" s="2" t="s">
        <v>100</v>
      </c>
    </row>
    <row r="1681">
      <c r="A1681" s="2" t="s">
        <v>6080</v>
      </c>
      <c r="B1681" s="2" t="s">
        <v>5155</v>
      </c>
      <c r="C1681" s="2" t="s">
        <v>3449</v>
      </c>
      <c r="D1681" s="2" t="s">
        <v>89</v>
      </c>
      <c r="E1681" s="2" t="s">
        <v>887</v>
      </c>
      <c r="F1681" s="2" t="s">
        <v>6066</v>
      </c>
      <c r="G1681" s="2" t="s">
        <v>3556</v>
      </c>
      <c r="H1681" s="2" t="s">
        <v>3556</v>
      </c>
      <c r="I1681" s="2" t="s">
        <v>6067</v>
      </c>
      <c r="J1681" s="2" t="s">
        <v>352</v>
      </c>
      <c r="K1681" s="2" t="s">
        <v>96</v>
      </c>
      <c r="L1681" s="3">
        <v>28.47</v>
      </c>
      <c r="M1681" s="3">
        <v>29.89</v>
      </c>
      <c r="N1681" s="3">
        <v>59.99</v>
      </c>
      <c r="O1681" s="2" t="s">
        <v>97</v>
      </c>
      <c r="P1681" s="2" t="s">
        <v>123</v>
      </c>
      <c r="Q1681" s="2" t="s">
        <v>99</v>
      </c>
      <c r="R1681" s="2" t="s">
        <v>100</v>
      </c>
      <c r="S1681" s="2" t="s">
        <v>6081</v>
      </c>
      <c r="T1681" s="2" t="s">
        <v>5436</v>
      </c>
      <c r="U1681" s="2" t="s">
        <v>894</v>
      </c>
      <c r="V1681" s="2" t="s">
        <v>4696</v>
      </c>
      <c r="W1681" s="2" t="s">
        <v>142</v>
      </c>
      <c r="X1681" s="2" t="s">
        <v>493</v>
      </c>
      <c r="Y1681" s="2" t="s">
        <v>718</v>
      </c>
      <c r="Z1681" s="4">
        <v>518</v>
      </c>
      <c r="AA1681" s="4">
        <f>=ROUNDDOWN(30.4705882352941,0)</f>
      </c>
      <c r="AB1681" s="5">
        <v>17</v>
      </c>
      <c r="AC1681" s="2" t="s">
        <v>2604</v>
      </c>
      <c r="AD1681" s="4">
        <v>210</v>
      </c>
      <c r="AE1681" s="4">
        <v>410</v>
      </c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/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/>
      <c r="BJ1681" s="4">
        <v>41</v>
      </c>
      <c r="BK1681" s="8">
        <v>1179.69</v>
      </c>
      <c r="BL1681" s="2" t="s">
        <v>5749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171</v>
      </c>
      <c r="BV1681" s="2" t="s">
        <v>97</v>
      </c>
      <c r="BW1681" s="2" t="s">
        <v>100</v>
      </c>
      <c r="BX1681" s="2" t="s">
        <v>100</v>
      </c>
      <c r="BY1681" s="2" t="s">
        <v>112</v>
      </c>
      <c r="BZ1681" s="2" t="s">
        <v>100</v>
      </c>
    </row>
    <row r="1682">
      <c r="A1682" s="2" t="s">
        <v>6082</v>
      </c>
      <c r="B1682" s="2" t="s">
        <v>5155</v>
      </c>
      <c r="C1682" s="2" t="s">
        <v>3449</v>
      </c>
      <c r="D1682" s="2" t="s">
        <v>89</v>
      </c>
      <c r="E1682" s="2" t="s">
        <v>887</v>
      </c>
      <c r="F1682" s="2" t="s">
        <v>6066</v>
      </c>
      <c r="G1682" s="2" t="s">
        <v>3556</v>
      </c>
      <c r="H1682" s="2" t="s">
        <v>3556</v>
      </c>
      <c r="I1682" s="2" t="s">
        <v>6067</v>
      </c>
      <c r="J1682" s="2" t="s">
        <v>522</v>
      </c>
      <c r="K1682" s="2" t="s">
        <v>96</v>
      </c>
      <c r="L1682" s="3">
        <v>37.23</v>
      </c>
      <c r="M1682" s="3">
        <v>39.09</v>
      </c>
      <c r="N1682" s="3">
        <v>79.99</v>
      </c>
      <c r="O1682" s="2" t="s">
        <v>97</v>
      </c>
      <c r="P1682" s="2" t="s">
        <v>123</v>
      </c>
      <c r="Q1682" s="2" t="s">
        <v>99</v>
      </c>
      <c r="R1682" s="2" t="s">
        <v>100</v>
      </c>
      <c r="S1682" s="2" t="s">
        <v>6081</v>
      </c>
      <c r="T1682" s="2" t="s">
        <v>5436</v>
      </c>
      <c r="U1682" s="2" t="s">
        <v>901</v>
      </c>
      <c r="V1682" s="2" t="s">
        <v>4696</v>
      </c>
      <c r="W1682" s="2" t="s">
        <v>142</v>
      </c>
      <c r="X1682" s="2" t="s">
        <v>493</v>
      </c>
      <c r="Y1682" s="2" t="s">
        <v>718</v>
      </c>
      <c r="Z1682" s="4">
        <v>415</v>
      </c>
      <c r="AA1682" s="4">
        <f>=ROUNDDOWN(12.5757575757576,0)</f>
      </c>
      <c r="AB1682" s="5">
        <v>33</v>
      </c>
      <c r="AC1682" s="2" t="s">
        <v>2604</v>
      </c>
      <c r="AD1682" s="4">
        <v>360</v>
      </c>
      <c r="AE1682" s="4">
        <v>660</v>
      </c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 t="s">
        <v>100</v>
      </c>
      <c r="AW1682" s="8" t="s">
        <v>100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/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/>
      <c r="BJ1682" s="4">
        <v>86</v>
      </c>
      <c r="BK1682" s="8">
        <v>3327.2</v>
      </c>
      <c r="BL1682" s="2" t="s">
        <v>1368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171</v>
      </c>
      <c r="BV1682" s="2" t="s">
        <v>97</v>
      </c>
      <c r="BW1682" s="2" t="s">
        <v>100</v>
      </c>
      <c r="BX1682" s="2" t="s">
        <v>100</v>
      </c>
      <c r="BY1682" s="2" t="s">
        <v>112</v>
      </c>
      <c r="BZ1682" s="2" t="s">
        <v>100</v>
      </c>
    </row>
    <row r="1683">
      <c r="A1683" s="2" t="s">
        <v>6083</v>
      </c>
      <c r="B1683" s="2" t="s">
        <v>5155</v>
      </c>
      <c r="C1683" s="2" t="s">
        <v>3449</v>
      </c>
      <c r="D1683" s="2" t="s">
        <v>89</v>
      </c>
      <c r="E1683" s="2" t="s">
        <v>887</v>
      </c>
      <c r="F1683" s="2" t="s">
        <v>6066</v>
      </c>
      <c r="G1683" s="2" t="s">
        <v>3556</v>
      </c>
      <c r="H1683" s="2" t="s">
        <v>3556</v>
      </c>
      <c r="I1683" s="2" t="s">
        <v>6067</v>
      </c>
      <c r="J1683" s="2" t="s">
        <v>529</v>
      </c>
      <c r="K1683" s="2" t="s">
        <v>96</v>
      </c>
      <c r="L1683" s="3">
        <v>41.61</v>
      </c>
      <c r="M1683" s="3">
        <v>43.69</v>
      </c>
      <c r="N1683" s="3">
        <v>89.99</v>
      </c>
      <c r="O1683" s="2" t="s">
        <v>97</v>
      </c>
      <c r="P1683" s="2" t="s">
        <v>123</v>
      </c>
      <c r="Q1683" s="2" t="s">
        <v>99</v>
      </c>
      <c r="R1683" s="2" t="s">
        <v>100</v>
      </c>
      <c r="S1683" s="2" t="s">
        <v>6081</v>
      </c>
      <c r="T1683" s="2" t="s">
        <v>5436</v>
      </c>
      <c r="U1683" s="2" t="s">
        <v>901</v>
      </c>
      <c r="V1683" s="2" t="s">
        <v>4696</v>
      </c>
      <c r="W1683" s="2" t="s">
        <v>142</v>
      </c>
      <c r="X1683" s="2" t="s">
        <v>493</v>
      </c>
      <c r="Y1683" s="2" t="s">
        <v>718</v>
      </c>
      <c r="Z1683" s="4">
        <v>393</v>
      </c>
      <c r="AA1683" s="4">
        <f>=ROUNDDOWN(17.0869565217391,0)</f>
      </c>
      <c r="AB1683" s="5">
        <v>23</v>
      </c>
      <c r="AC1683" s="2" t="s">
        <v>2604</v>
      </c>
      <c r="AD1683" s="4">
        <v>230</v>
      </c>
      <c r="AE1683" s="4">
        <v>530</v>
      </c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/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/>
      <c r="BJ1683" s="4">
        <v>75</v>
      </c>
      <c r="BK1683" s="8">
        <v>3269.33</v>
      </c>
      <c r="BL1683" s="2" t="s">
        <v>6084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171</v>
      </c>
      <c r="BV1683" s="2" t="s">
        <v>97</v>
      </c>
      <c r="BW1683" s="2" t="s">
        <v>100</v>
      </c>
      <c r="BX1683" s="2" t="s">
        <v>100</v>
      </c>
      <c r="BY1683" s="2" t="s">
        <v>112</v>
      </c>
      <c r="BZ1683" s="2" t="s">
        <v>100</v>
      </c>
    </row>
    <row r="1684">
      <c r="A1684" s="2" t="s">
        <v>6085</v>
      </c>
      <c r="B1684" s="2" t="s">
        <v>5155</v>
      </c>
      <c r="C1684" s="2" t="s">
        <v>3449</v>
      </c>
      <c r="D1684" s="2" t="s">
        <v>89</v>
      </c>
      <c r="E1684" s="2" t="s">
        <v>887</v>
      </c>
      <c r="F1684" s="2" t="s">
        <v>6066</v>
      </c>
      <c r="G1684" s="2" t="s">
        <v>3556</v>
      </c>
      <c r="H1684" s="2" t="s">
        <v>3556</v>
      </c>
      <c r="I1684" s="2" t="s">
        <v>6067</v>
      </c>
      <c r="J1684" s="2" t="s">
        <v>352</v>
      </c>
      <c r="K1684" s="2" t="s">
        <v>446</v>
      </c>
      <c r="L1684" s="3">
        <v>28.47</v>
      </c>
      <c r="M1684" s="3">
        <v>29.89</v>
      </c>
      <c r="N1684" s="3">
        <v>59.99</v>
      </c>
      <c r="O1684" s="2" t="s">
        <v>97</v>
      </c>
      <c r="P1684" s="2" t="s">
        <v>98</v>
      </c>
      <c r="Q1684" s="2" t="s">
        <v>99</v>
      </c>
      <c r="R1684" s="2" t="s">
        <v>100</v>
      </c>
      <c r="S1684" s="2" t="s">
        <v>6086</v>
      </c>
      <c r="T1684" s="2" t="s">
        <v>5436</v>
      </c>
      <c r="U1684" s="2" t="s">
        <v>894</v>
      </c>
      <c r="V1684" s="2" t="s">
        <v>4696</v>
      </c>
      <c r="W1684" s="2" t="s">
        <v>142</v>
      </c>
      <c r="X1684" s="2" t="s">
        <v>493</v>
      </c>
      <c r="Y1684" s="2" t="s">
        <v>1488</v>
      </c>
      <c r="Z1684" s="4">
        <v>380</v>
      </c>
      <c r="AA1684" s="4">
        <f>=ROUNDDOWN(38,0)</f>
      </c>
      <c r="AB1684" s="5">
        <v>10</v>
      </c>
      <c r="AC1684" s="2" t="s">
        <v>2604</v>
      </c>
      <c r="AD1684" s="4">
        <v>50</v>
      </c>
      <c r="AE1684" s="4">
        <v>360</v>
      </c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100</v>
      </c>
      <c r="AW1684" s="8" t="s">
        <v>100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/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/>
      <c r="BJ1684" s="4">
        <v>21</v>
      </c>
      <c r="BK1684" s="8">
        <v>616.65</v>
      </c>
      <c r="BL1684" s="2" t="s">
        <v>1939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171</v>
      </c>
      <c r="BV1684" s="2" t="s">
        <v>97</v>
      </c>
      <c r="BW1684" s="2" t="s">
        <v>100</v>
      </c>
      <c r="BX1684" s="2" t="s">
        <v>100</v>
      </c>
      <c r="BY1684" s="2" t="s">
        <v>112</v>
      </c>
      <c r="BZ1684" s="2" t="s">
        <v>100</v>
      </c>
    </row>
    <row r="1685">
      <c r="A1685" s="2" t="s">
        <v>6087</v>
      </c>
      <c r="B1685" s="2" t="s">
        <v>5155</v>
      </c>
      <c r="C1685" s="2" t="s">
        <v>3449</v>
      </c>
      <c r="D1685" s="2" t="s">
        <v>89</v>
      </c>
      <c r="E1685" s="2" t="s">
        <v>887</v>
      </c>
      <c r="F1685" s="2" t="s">
        <v>6066</v>
      </c>
      <c r="G1685" s="2" t="s">
        <v>3556</v>
      </c>
      <c r="H1685" s="2" t="s">
        <v>3556</v>
      </c>
      <c r="I1685" s="2" t="s">
        <v>6067</v>
      </c>
      <c r="J1685" s="2" t="s">
        <v>522</v>
      </c>
      <c r="K1685" s="2" t="s">
        <v>446</v>
      </c>
      <c r="L1685" s="3">
        <v>37.23</v>
      </c>
      <c r="M1685" s="3">
        <v>39.09</v>
      </c>
      <c r="N1685" s="3">
        <v>79.99</v>
      </c>
      <c r="O1685" s="2" t="s">
        <v>97</v>
      </c>
      <c r="P1685" s="2" t="s">
        <v>98</v>
      </c>
      <c r="Q1685" s="2" t="s">
        <v>99</v>
      </c>
      <c r="R1685" s="2" t="s">
        <v>100</v>
      </c>
      <c r="S1685" s="2" t="s">
        <v>6086</v>
      </c>
      <c r="T1685" s="2" t="s">
        <v>5436</v>
      </c>
      <c r="U1685" s="2" t="s">
        <v>901</v>
      </c>
      <c r="V1685" s="2" t="s">
        <v>4696</v>
      </c>
      <c r="W1685" s="2" t="s">
        <v>142</v>
      </c>
      <c r="X1685" s="2" t="s">
        <v>493</v>
      </c>
      <c r="Y1685" s="2" t="s">
        <v>1488</v>
      </c>
      <c r="Z1685" s="4">
        <v>372</v>
      </c>
      <c r="AA1685" s="4">
        <f>=ROUNDDOWN(20.6666666666667,0)</f>
      </c>
      <c r="AB1685" s="5">
        <v>18</v>
      </c>
      <c r="AC1685" s="2" t="s">
        <v>2604</v>
      </c>
      <c r="AD1685" s="4">
        <v>110</v>
      </c>
      <c r="AE1685" s="4">
        <v>270</v>
      </c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/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/>
      <c r="BJ1685" s="4">
        <v>72</v>
      </c>
      <c r="BK1685" s="8">
        <v>2808.11</v>
      </c>
      <c r="BL1685" s="2" t="s">
        <v>384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171</v>
      </c>
      <c r="BV1685" s="2" t="s">
        <v>97</v>
      </c>
      <c r="BW1685" s="2" t="s">
        <v>100</v>
      </c>
      <c r="BX1685" s="2" t="s">
        <v>100</v>
      </c>
      <c r="BY1685" s="2" t="s">
        <v>112</v>
      </c>
      <c r="BZ1685" s="2" t="s">
        <v>100</v>
      </c>
    </row>
    <row r="1686">
      <c r="A1686" s="2" t="s">
        <v>6088</v>
      </c>
      <c r="B1686" s="2" t="s">
        <v>5155</v>
      </c>
      <c r="C1686" s="2" t="s">
        <v>3449</v>
      </c>
      <c r="D1686" s="2" t="s">
        <v>89</v>
      </c>
      <c r="E1686" s="2" t="s">
        <v>887</v>
      </c>
      <c r="F1686" s="2" t="s">
        <v>6066</v>
      </c>
      <c r="G1686" s="2" t="s">
        <v>3556</v>
      </c>
      <c r="H1686" s="2" t="s">
        <v>3556</v>
      </c>
      <c r="I1686" s="2" t="s">
        <v>6067</v>
      </c>
      <c r="J1686" s="2" t="s">
        <v>529</v>
      </c>
      <c r="K1686" s="2" t="s">
        <v>446</v>
      </c>
      <c r="L1686" s="3">
        <v>41.61</v>
      </c>
      <c r="M1686" s="3">
        <v>43.69</v>
      </c>
      <c r="N1686" s="3">
        <v>89.99</v>
      </c>
      <c r="O1686" s="2" t="s">
        <v>97</v>
      </c>
      <c r="P1686" s="2" t="s">
        <v>98</v>
      </c>
      <c r="Q1686" s="2" t="s">
        <v>99</v>
      </c>
      <c r="R1686" s="2" t="s">
        <v>100</v>
      </c>
      <c r="S1686" s="2" t="s">
        <v>6086</v>
      </c>
      <c r="T1686" s="2" t="s">
        <v>5436</v>
      </c>
      <c r="U1686" s="2" t="s">
        <v>901</v>
      </c>
      <c r="V1686" s="2" t="s">
        <v>4696</v>
      </c>
      <c r="W1686" s="2" t="s">
        <v>142</v>
      </c>
      <c r="X1686" s="2" t="s">
        <v>493</v>
      </c>
      <c r="Y1686" s="2" t="s">
        <v>1488</v>
      </c>
      <c r="Z1686" s="4">
        <v>109</v>
      </c>
      <c r="AA1686" s="4">
        <f>=ROUNDDOWN(9.15966386554622,0)</f>
      </c>
      <c r="AB1686" s="5">
        <v>11.9</v>
      </c>
      <c r="AC1686" s="2" t="s">
        <v>2604</v>
      </c>
      <c r="AD1686" s="4">
        <v>100</v>
      </c>
      <c r="AE1686" s="4">
        <v>430</v>
      </c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100</v>
      </c>
      <c r="AW1686" s="8" t="s">
        <v>100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/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/>
      <c r="BJ1686" s="4">
        <v>58</v>
      </c>
      <c r="BK1686" s="8">
        <v>2586.47</v>
      </c>
      <c r="BL1686" s="2" t="s">
        <v>921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171</v>
      </c>
      <c r="BV1686" s="2" t="s">
        <v>97</v>
      </c>
      <c r="BW1686" s="2" t="s">
        <v>100</v>
      </c>
      <c r="BX1686" s="2" t="s">
        <v>100</v>
      </c>
      <c r="BY1686" s="2" t="s">
        <v>112</v>
      </c>
      <c r="BZ1686" s="2" t="s">
        <v>100</v>
      </c>
    </row>
    <row r="1687">
      <c r="A1687" s="2" t="s">
        <v>6089</v>
      </c>
      <c r="B1687" s="2" t="s">
        <v>5155</v>
      </c>
      <c r="C1687" s="2" t="s">
        <v>3449</v>
      </c>
      <c r="D1687" s="2" t="s">
        <v>89</v>
      </c>
      <c r="E1687" s="2" t="s">
        <v>887</v>
      </c>
      <c r="F1687" s="2" t="s">
        <v>6090</v>
      </c>
      <c r="G1687" s="2" t="s">
        <v>1562</v>
      </c>
      <c r="H1687" s="2" t="s">
        <v>1562</v>
      </c>
      <c r="I1687" s="2" t="s">
        <v>6091</v>
      </c>
      <c r="J1687" s="2" t="s">
        <v>352</v>
      </c>
      <c r="K1687" s="2" t="s">
        <v>471</v>
      </c>
      <c r="L1687" s="3">
        <v>28.47</v>
      </c>
      <c r="M1687" s="3">
        <v>29.89</v>
      </c>
      <c r="N1687" s="3">
        <v>59.99</v>
      </c>
      <c r="O1687" s="2" t="s">
        <v>97</v>
      </c>
      <c r="P1687" s="2" t="s">
        <v>98</v>
      </c>
      <c r="Q1687" s="2" t="s">
        <v>99</v>
      </c>
      <c r="R1687" s="2" t="s">
        <v>100</v>
      </c>
      <c r="S1687" s="2" t="s">
        <v>6092</v>
      </c>
      <c r="T1687" s="2" t="s">
        <v>5436</v>
      </c>
      <c r="U1687" s="2" t="s">
        <v>894</v>
      </c>
      <c r="V1687" s="2" t="s">
        <v>461</v>
      </c>
      <c r="W1687" s="2" t="s">
        <v>1136</v>
      </c>
      <c r="X1687" s="2" t="s">
        <v>493</v>
      </c>
      <c r="Y1687" s="2" t="s">
        <v>6093</v>
      </c>
      <c r="Z1687" s="4">
        <v>231</v>
      </c>
      <c r="AA1687" s="4">
        <f>=ROUNDDOWN(28.875,0)</f>
      </c>
      <c r="AB1687" s="5">
        <v>8</v>
      </c>
      <c r="AC1687" s="2" t="s">
        <v>2604</v>
      </c>
      <c r="AD1687" s="4">
        <v>130</v>
      </c>
      <c r="AE1687" s="4">
        <v>130</v>
      </c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 t="s">
        <v>100</v>
      </c>
      <c r="AW1687" s="8" t="s">
        <v>100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/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/>
      <c r="BJ1687" s="4">
        <v>20</v>
      </c>
      <c r="BK1687" s="8">
        <v>698.9</v>
      </c>
      <c r="BL1687" s="2" t="s">
        <v>6094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171</v>
      </c>
      <c r="BV1687" s="2" t="s">
        <v>97</v>
      </c>
      <c r="BW1687" s="2" t="s">
        <v>100</v>
      </c>
      <c r="BX1687" s="2" t="s">
        <v>100</v>
      </c>
      <c r="BY1687" s="2" t="s">
        <v>112</v>
      </c>
      <c r="BZ1687" s="2" t="s">
        <v>100</v>
      </c>
    </row>
    <row r="1688">
      <c r="A1688" s="2" t="s">
        <v>6095</v>
      </c>
      <c r="B1688" s="2" t="s">
        <v>5155</v>
      </c>
      <c r="C1688" s="2" t="s">
        <v>3449</v>
      </c>
      <c r="D1688" s="2" t="s">
        <v>89</v>
      </c>
      <c r="E1688" s="2" t="s">
        <v>887</v>
      </c>
      <c r="F1688" s="2" t="s">
        <v>6090</v>
      </c>
      <c r="G1688" s="2" t="s">
        <v>1562</v>
      </c>
      <c r="H1688" s="2" t="s">
        <v>1562</v>
      </c>
      <c r="I1688" s="2" t="s">
        <v>6091</v>
      </c>
      <c r="J1688" s="2" t="s">
        <v>522</v>
      </c>
      <c r="K1688" s="2" t="s">
        <v>471</v>
      </c>
      <c r="L1688" s="3">
        <v>37.23</v>
      </c>
      <c r="M1688" s="3">
        <v>39.09</v>
      </c>
      <c r="N1688" s="3">
        <v>79.99</v>
      </c>
      <c r="O1688" s="2" t="s">
        <v>97</v>
      </c>
      <c r="P1688" s="2" t="s">
        <v>98</v>
      </c>
      <c r="Q1688" s="2" t="s">
        <v>99</v>
      </c>
      <c r="R1688" s="2" t="s">
        <v>100</v>
      </c>
      <c r="S1688" s="2" t="s">
        <v>6092</v>
      </c>
      <c r="T1688" s="2" t="s">
        <v>5436</v>
      </c>
      <c r="U1688" s="2" t="s">
        <v>901</v>
      </c>
      <c r="V1688" s="2" t="s">
        <v>461</v>
      </c>
      <c r="W1688" s="2" t="s">
        <v>1136</v>
      </c>
      <c r="X1688" s="2" t="s">
        <v>493</v>
      </c>
      <c r="Y1688" s="2" t="s">
        <v>6093</v>
      </c>
      <c r="Z1688" s="4">
        <v>188</v>
      </c>
      <c r="AA1688" s="4">
        <f>=ROUNDDOWN(13.4285714285714,0)</f>
      </c>
      <c r="AB1688" s="5">
        <v>14</v>
      </c>
      <c r="AC1688" s="2" t="s">
        <v>2604</v>
      </c>
      <c r="AD1688" s="4">
        <v>200</v>
      </c>
      <c r="AE1688" s="4">
        <v>200</v>
      </c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/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/>
      <c r="BJ1688" s="4">
        <v>28</v>
      </c>
      <c r="BK1688" s="8">
        <v>1113</v>
      </c>
      <c r="BL1688" s="2" t="s">
        <v>6096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171</v>
      </c>
      <c r="BV1688" s="2" t="s">
        <v>97</v>
      </c>
      <c r="BW1688" s="2" t="s">
        <v>100</v>
      </c>
      <c r="BX1688" s="2" t="s">
        <v>100</v>
      </c>
      <c r="BY1688" s="2" t="s">
        <v>112</v>
      </c>
      <c r="BZ1688" s="2" t="s">
        <v>100</v>
      </c>
    </row>
    <row r="1689">
      <c r="A1689" s="2" t="s">
        <v>6097</v>
      </c>
      <c r="B1689" s="2" t="s">
        <v>5155</v>
      </c>
      <c r="C1689" s="2" t="s">
        <v>3449</v>
      </c>
      <c r="D1689" s="2" t="s">
        <v>89</v>
      </c>
      <c r="E1689" s="2" t="s">
        <v>887</v>
      </c>
      <c r="F1689" s="2" t="s">
        <v>6090</v>
      </c>
      <c r="G1689" s="2" t="s">
        <v>1562</v>
      </c>
      <c r="H1689" s="2" t="s">
        <v>1562</v>
      </c>
      <c r="I1689" s="2" t="s">
        <v>6091</v>
      </c>
      <c r="J1689" s="2" t="s">
        <v>529</v>
      </c>
      <c r="K1689" s="2" t="s">
        <v>471</v>
      </c>
      <c r="L1689" s="3">
        <v>41.61</v>
      </c>
      <c r="M1689" s="3">
        <v>43.69</v>
      </c>
      <c r="N1689" s="3">
        <v>89.99</v>
      </c>
      <c r="O1689" s="2" t="s">
        <v>97</v>
      </c>
      <c r="P1689" s="2" t="s">
        <v>98</v>
      </c>
      <c r="Q1689" s="2" t="s">
        <v>99</v>
      </c>
      <c r="R1689" s="2" t="s">
        <v>100</v>
      </c>
      <c r="S1689" s="2" t="s">
        <v>6092</v>
      </c>
      <c r="T1689" s="2" t="s">
        <v>5436</v>
      </c>
      <c r="U1689" s="2" t="s">
        <v>901</v>
      </c>
      <c r="V1689" s="2" t="s">
        <v>461</v>
      </c>
      <c r="W1689" s="2" t="s">
        <v>1136</v>
      </c>
      <c r="X1689" s="2" t="s">
        <v>493</v>
      </c>
      <c r="Y1689" s="2" t="s">
        <v>6093</v>
      </c>
      <c r="Z1689" s="4">
        <v>118</v>
      </c>
      <c r="AA1689" s="4">
        <f>=ROUNDDOWN(13.1111111111111,0)</f>
      </c>
      <c r="AB1689" s="5">
        <v>9</v>
      </c>
      <c r="AC1689" s="2" t="s">
        <v>2604</v>
      </c>
      <c r="AD1689" s="4">
        <v>160</v>
      </c>
      <c r="AE1689" s="4">
        <v>160</v>
      </c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100</v>
      </c>
      <c r="AW1689" s="8" t="s">
        <v>100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/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/>
      <c r="BJ1689" s="4">
        <v>13</v>
      </c>
      <c r="BK1689" s="8">
        <v>605.47</v>
      </c>
      <c r="BL1689" s="2" t="s">
        <v>6098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171</v>
      </c>
      <c r="BV1689" s="2" t="s">
        <v>97</v>
      </c>
      <c r="BW1689" s="2" t="s">
        <v>100</v>
      </c>
      <c r="BX1689" s="2" t="s">
        <v>100</v>
      </c>
      <c r="BY1689" s="2" t="s">
        <v>112</v>
      </c>
      <c r="BZ1689" s="2" t="s">
        <v>100</v>
      </c>
    </row>
    <row r="1690">
      <c r="A1690" s="2" t="s">
        <v>6099</v>
      </c>
      <c r="B1690" s="2" t="s">
        <v>5155</v>
      </c>
      <c r="C1690" s="2" t="s">
        <v>3449</v>
      </c>
      <c r="D1690" s="2" t="s">
        <v>89</v>
      </c>
      <c r="E1690" s="2" t="s">
        <v>887</v>
      </c>
      <c r="F1690" s="2" t="s">
        <v>6090</v>
      </c>
      <c r="G1690" s="2" t="s">
        <v>1562</v>
      </c>
      <c r="H1690" s="2" t="s">
        <v>1562</v>
      </c>
      <c r="I1690" s="2" t="s">
        <v>6091</v>
      </c>
      <c r="J1690" s="2" t="s">
        <v>352</v>
      </c>
      <c r="K1690" s="2" t="s">
        <v>165</v>
      </c>
      <c r="L1690" s="3">
        <v>28.47</v>
      </c>
      <c r="M1690" s="3">
        <v>29.89</v>
      </c>
      <c r="N1690" s="3">
        <v>59.99</v>
      </c>
      <c r="O1690" s="2" t="s">
        <v>97</v>
      </c>
      <c r="P1690" s="2" t="s">
        <v>139</v>
      </c>
      <c r="Q1690" s="2" t="s">
        <v>99</v>
      </c>
      <c r="R1690" s="2" t="s">
        <v>100</v>
      </c>
      <c r="S1690" s="2" t="s">
        <v>6100</v>
      </c>
      <c r="T1690" s="2" t="s">
        <v>5436</v>
      </c>
      <c r="U1690" s="2" t="s">
        <v>100</v>
      </c>
      <c r="V1690" s="2" t="s">
        <v>461</v>
      </c>
      <c r="W1690" s="2" t="s">
        <v>1136</v>
      </c>
      <c r="X1690" s="2" t="s">
        <v>493</v>
      </c>
      <c r="Y1690" s="2" t="s">
        <v>6101</v>
      </c>
      <c r="Z1690" s="4">
        <v>260</v>
      </c>
      <c r="AA1690" s="4">
        <f>=ROUNDDOWN(21.6666666666667,0)</f>
      </c>
      <c r="AB1690" s="5">
        <v>12</v>
      </c>
      <c r="AC1690" s="2" t="s">
        <v>875</v>
      </c>
      <c r="AD1690" s="4">
        <v>100</v>
      </c>
      <c r="AE1690" s="4">
        <v>170</v>
      </c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/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/>
      <c r="BJ1690" s="4">
        <v>22</v>
      </c>
      <c r="BK1690" s="8">
        <v>679</v>
      </c>
      <c r="BL1690" s="2" t="s">
        <v>6102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171</v>
      </c>
      <c r="BV1690" s="2" t="s">
        <v>97</v>
      </c>
      <c r="BW1690" s="2" t="s">
        <v>100</v>
      </c>
      <c r="BX1690" s="2" t="s">
        <v>100</v>
      </c>
      <c r="BY1690" s="2" t="s">
        <v>112</v>
      </c>
      <c r="BZ1690" s="2" t="s">
        <v>100</v>
      </c>
    </row>
    <row r="1691">
      <c r="A1691" s="2" t="s">
        <v>6103</v>
      </c>
      <c r="B1691" s="2" t="s">
        <v>5155</v>
      </c>
      <c r="C1691" s="2" t="s">
        <v>3449</v>
      </c>
      <c r="D1691" s="2" t="s">
        <v>89</v>
      </c>
      <c r="E1691" s="2" t="s">
        <v>887</v>
      </c>
      <c r="F1691" s="2" t="s">
        <v>6090</v>
      </c>
      <c r="G1691" s="2" t="s">
        <v>1562</v>
      </c>
      <c r="H1691" s="2" t="s">
        <v>1562</v>
      </c>
      <c r="I1691" s="2" t="s">
        <v>6091</v>
      </c>
      <c r="J1691" s="2" t="s">
        <v>522</v>
      </c>
      <c r="K1691" s="2" t="s">
        <v>165</v>
      </c>
      <c r="L1691" s="3">
        <v>37.23</v>
      </c>
      <c r="M1691" s="3">
        <v>39.09</v>
      </c>
      <c r="N1691" s="3">
        <v>79.99</v>
      </c>
      <c r="O1691" s="2" t="s">
        <v>97</v>
      </c>
      <c r="P1691" s="2" t="s">
        <v>139</v>
      </c>
      <c r="Q1691" s="2" t="s">
        <v>99</v>
      </c>
      <c r="R1691" s="2" t="s">
        <v>100</v>
      </c>
      <c r="S1691" s="2" t="s">
        <v>6100</v>
      </c>
      <c r="T1691" s="2" t="s">
        <v>5436</v>
      </c>
      <c r="U1691" s="2" t="s">
        <v>100</v>
      </c>
      <c r="V1691" s="2" t="s">
        <v>461</v>
      </c>
      <c r="W1691" s="2" t="s">
        <v>1136</v>
      </c>
      <c r="X1691" s="2" t="s">
        <v>493</v>
      </c>
      <c r="Y1691" s="2" t="s">
        <v>5314</v>
      </c>
      <c r="Z1691" s="4">
        <v>495</v>
      </c>
      <c r="AA1691" s="4">
        <f>=ROUNDDOWN(13.0263157894737,0)</f>
      </c>
      <c r="AB1691" s="5">
        <v>38</v>
      </c>
      <c r="AC1691" s="2" t="s">
        <v>875</v>
      </c>
      <c r="AD1691" s="4">
        <v>200</v>
      </c>
      <c r="AE1691" s="4">
        <v>560</v>
      </c>
      <c r="AF1691" s="6">
        <v>65</v>
      </c>
      <c r="AG1691" s="6">
        <v>48</v>
      </c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100</v>
      </c>
      <c r="AW1691" s="8" t="s">
        <v>100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/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/>
      <c r="BJ1691" s="4">
        <v>121</v>
      </c>
      <c r="BK1691" s="8">
        <v>5077.16</v>
      </c>
      <c r="BL1691" s="2" t="s">
        <v>6104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171</v>
      </c>
      <c r="BV1691" s="2" t="s">
        <v>97</v>
      </c>
      <c r="BW1691" s="2" t="s">
        <v>100</v>
      </c>
      <c r="BX1691" s="2" t="s">
        <v>100</v>
      </c>
      <c r="BY1691" s="2" t="s">
        <v>112</v>
      </c>
      <c r="BZ1691" s="2" t="s">
        <v>100</v>
      </c>
    </row>
    <row r="1692">
      <c r="A1692" s="2" t="s">
        <v>6105</v>
      </c>
      <c r="B1692" s="2" t="s">
        <v>5155</v>
      </c>
      <c r="C1692" s="2" t="s">
        <v>3449</v>
      </c>
      <c r="D1692" s="2" t="s">
        <v>89</v>
      </c>
      <c r="E1692" s="2" t="s">
        <v>887</v>
      </c>
      <c r="F1692" s="2" t="s">
        <v>6090</v>
      </c>
      <c r="G1692" s="2" t="s">
        <v>1562</v>
      </c>
      <c r="H1692" s="2" t="s">
        <v>1562</v>
      </c>
      <c r="I1692" s="2" t="s">
        <v>6091</v>
      </c>
      <c r="J1692" s="2" t="s">
        <v>529</v>
      </c>
      <c r="K1692" s="2" t="s">
        <v>165</v>
      </c>
      <c r="L1692" s="3">
        <v>41.61</v>
      </c>
      <c r="M1692" s="3">
        <v>43.69</v>
      </c>
      <c r="N1692" s="3">
        <v>89.99</v>
      </c>
      <c r="O1692" s="2" t="s">
        <v>97</v>
      </c>
      <c r="P1692" s="2" t="s">
        <v>139</v>
      </c>
      <c r="Q1692" s="2" t="s">
        <v>99</v>
      </c>
      <c r="R1692" s="2" t="s">
        <v>100</v>
      </c>
      <c r="S1692" s="2" t="s">
        <v>6100</v>
      </c>
      <c r="T1692" s="2" t="s">
        <v>5436</v>
      </c>
      <c r="U1692" s="2" t="s">
        <v>100</v>
      </c>
      <c r="V1692" s="2" t="s">
        <v>461</v>
      </c>
      <c r="W1692" s="2" t="s">
        <v>1136</v>
      </c>
      <c r="X1692" s="2" t="s">
        <v>493</v>
      </c>
      <c r="Y1692" s="2" t="s">
        <v>6101</v>
      </c>
      <c r="Z1692" s="4">
        <v>291</v>
      </c>
      <c r="AA1692" s="4">
        <f>=ROUNDDOWN(8.31428571428571,0)</f>
      </c>
      <c r="AB1692" s="5">
        <v>35</v>
      </c>
      <c r="AC1692" s="2" t="s">
        <v>875</v>
      </c>
      <c r="AD1692" s="4">
        <v>270</v>
      </c>
      <c r="AE1692" s="4">
        <v>680</v>
      </c>
      <c r="AF1692" s="6">
        <v>65</v>
      </c>
      <c r="AG1692" s="6">
        <v>48</v>
      </c>
      <c r="AH1692" s="7">
        <v>0.9677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/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/>
      <c r="BJ1692" s="4">
        <v>105</v>
      </c>
      <c r="BK1692" s="8">
        <v>5484.81</v>
      </c>
      <c r="BL1692" s="2" t="s">
        <v>6106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171</v>
      </c>
      <c r="BV1692" s="2" t="s">
        <v>97</v>
      </c>
      <c r="BW1692" s="2" t="s">
        <v>100</v>
      </c>
      <c r="BX1692" s="2" t="s">
        <v>100</v>
      </c>
      <c r="BY1692" s="2" t="s">
        <v>112</v>
      </c>
      <c r="BZ1692" s="2" t="s">
        <v>100</v>
      </c>
    </row>
    <row r="1693">
      <c r="A1693" s="2" t="s">
        <v>6107</v>
      </c>
      <c r="B1693" s="2" t="s">
        <v>5155</v>
      </c>
      <c r="C1693" s="2" t="s">
        <v>3449</v>
      </c>
      <c r="D1693" s="2" t="s">
        <v>89</v>
      </c>
      <c r="E1693" s="2" t="s">
        <v>887</v>
      </c>
      <c r="F1693" s="2" t="s">
        <v>6090</v>
      </c>
      <c r="G1693" s="2" t="s">
        <v>1562</v>
      </c>
      <c r="H1693" s="2" t="s">
        <v>1562</v>
      </c>
      <c r="I1693" s="2" t="s">
        <v>6091</v>
      </c>
      <c r="J1693" s="2" t="s">
        <v>352</v>
      </c>
      <c r="K1693" s="2" t="s">
        <v>2990</v>
      </c>
      <c r="L1693" s="3">
        <v>28.47</v>
      </c>
      <c r="M1693" s="3">
        <v>29.89</v>
      </c>
      <c r="N1693" s="3">
        <v>59.99</v>
      </c>
      <c r="O1693" s="2" t="s">
        <v>97</v>
      </c>
      <c r="P1693" s="2" t="s">
        <v>98</v>
      </c>
      <c r="Q1693" s="2" t="s">
        <v>99</v>
      </c>
      <c r="R1693" s="2" t="s">
        <v>100</v>
      </c>
      <c r="S1693" s="2" t="s">
        <v>6108</v>
      </c>
      <c r="T1693" s="2" t="s">
        <v>5436</v>
      </c>
      <c r="U1693" s="2" t="s">
        <v>894</v>
      </c>
      <c r="V1693" s="2" t="s">
        <v>461</v>
      </c>
      <c r="W1693" s="2" t="s">
        <v>1136</v>
      </c>
      <c r="X1693" s="2" t="s">
        <v>493</v>
      </c>
      <c r="Y1693" s="2" t="s">
        <v>6109</v>
      </c>
      <c r="Z1693" s="4">
        <v>154</v>
      </c>
      <c r="AA1693" s="4">
        <f>=ROUNDDOWN(38.5,0)</f>
      </c>
      <c r="AB1693" s="5">
        <v>4</v>
      </c>
      <c r="AC1693" s="2" t="s">
        <v>1468</v>
      </c>
      <c r="AD1693" s="4">
        <v>350</v>
      </c>
      <c r="AE1693" s="4">
        <v>550</v>
      </c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 t="s">
        <v>100</v>
      </c>
      <c r="AW1693" s="8" t="s">
        <v>100</v>
      </c>
      <c r="AX1693" s="4" t="s">
        <v>100</v>
      </c>
      <c r="AY1693" s="8" t="s">
        <v>100</v>
      </c>
      <c r="AZ1693" s="7" t="s">
        <v>100</v>
      </c>
      <c r="BA1693" s="7" t="s">
        <v>100</v>
      </c>
      <c r="BB1693" s="7"/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/>
      <c r="BJ1693" s="4">
        <v>13</v>
      </c>
      <c r="BK1693" s="8">
        <v>392.71</v>
      </c>
      <c r="BL1693" s="2" t="s">
        <v>527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171</v>
      </c>
      <c r="BV1693" s="2" t="s">
        <v>97</v>
      </c>
      <c r="BW1693" s="2" t="s">
        <v>100</v>
      </c>
      <c r="BX1693" s="2" t="s">
        <v>100</v>
      </c>
      <c r="BY1693" s="2" t="s">
        <v>112</v>
      </c>
      <c r="BZ1693" s="2" t="s">
        <v>100</v>
      </c>
    </row>
    <row r="1694">
      <c r="A1694" s="2" t="s">
        <v>6110</v>
      </c>
      <c r="B1694" s="2" t="s">
        <v>5155</v>
      </c>
      <c r="C1694" s="2" t="s">
        <v>3449</v>
      </c>
      <c r="D1694" s="2" t="s">
        <v>89</v>
      </c>
      <c r="E1694" s="2" t="s">
        <v>887</v>
      </c>
      <c r="F1694" s="2" t="s">
        <v>6090</v>
      </c>
      <c r="G1694" s="2" t="s">
        <v>1562</v>
      </c>
      <c r="H1694" s="2" t="s">
        <v>1562</v>
      </c>
      <c r="I1694" s="2" t="s">
        <v>6091</v>
      </c>
      <c r="J1694" s="2" t="s">
        <v>522</v>
      </c>
      <c r="K1694" s="2" t="s">
        <v>2990</v>
      </c>
      <c r="L1694" s="3">
        <v>37.23</v>
      </c>
      <c r="M1694" s="3">
        <v>39.09</v>
      </c>
      <c r="N1694" s="3">
        <v>79.99</v>
      </c>
      <c r="O1694" s="2" t="s">
        <v>97</v>
      </c>
      <c r="P1694" s="2" t="s">
        <v>98</v>
      </c>
      <c r="Q1694" s="2" t="s">
        <v>99</v>
      </c>
      <c r="R1694" s="2" t="s">
        <v>100</v>
      </c>
      <c r="S1694" s="2" t="s">
        <v>6108</v>
      </c>
      <c r="T1694" s="2" t="s">
        <v>5436</v>
      </c>
      <c r="U1694" s="2" t="s">
        <v>901</v>
      </c>
      <c r="V1694" s="2" t="s">
        <v>461</v>
      </c>
      <c r="W1694" s="2" t="s">
        <v>1136</v>
      </c>
      <c r="X1694" s="2" t="s">
        <v>493</v>
      </c>
      <c r="Y1694" s="2" t="s">
        <v>6109</v>
      </c>
      <c r="Z1694" s="4">
        <v>259</v>
      </c>
      <c r="AA1694" s="4">
        <f>=ROUNDDOWN(28.7777777777778,0)</f>
      </c>
      <c r="AB1694" s="5">
        <v>9</v>
      </c>
      <c r="AC1694" s="2" t="s">
        <v>3033</v>
      </c>
      <c r="AD1694" s="4">
        <v>170</v>
      </c>
      <c r="AE1694" s="4">
        <v>170</v>
      </c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100</v>
      </c>
      <c r="AW1694" s="8" t="s">
        <v>100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/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/>
      <c r="BJ1694" s="4">
        <v>32</v>
      </c>
      <c r="BK1694" s="8">
        <v>1260.37</v>
      </c>
      <c r="BL1694" s="2" t="s">
        <v>6111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171</v>
      </c>
      <c r="BV1694" s="2" t="s">
        <v>97</v>
      </c>
      <c r="BW1694" s="2" t="s">
        <v>100</v>
      </c>
      <c r="BX1694" s="2" t="s">
        <v>100</v>
      </c>
      <c r="BY1694" s="2" t="s">
        <v>112</v>
      </c>
      <c r="BZ1694" s="2" t="s">
        <v>100</v>
      </c>
    </row>
    <row r="1695">
      <c r="A1695" s="2" t="s">
        <v>6112</v>
      </c>
      <c r="B1695" s="2" t="s">
        <v>5155</v>
      </c>
      <c r="C1695" s="2" t="s">
        <v>3449</v>
      </c>
      <c r="D1695" s="2" t="s">
        <v>89</v>
      </c>
      <c r="E1695" s="2" t="s">
        <v>887</v>
      </c>
      <c r="F1695" s="2" t="s">
        <v>6090</v>
      </c>
      <c r="G1695" s="2" t="s">
        <v>1562</v>
      </c>
      <c r="H1695" s="2" t="s">
        <v>1562</v>
      </c>
      <c r="I1695" s="2" t="s">
        <v>6091</v>
      </c>
      <c r="J1695" s="2" t="s">
        <v>529</v>
      </c>
      <c r="K1695" s="2" t="s">
        <v>2990</v>
      </c>
      <c r="L1695" s="3">
        <v>41.61</v>
      </c>
      <c r="M1695" s="3">
        <v>43.69</v>
      </c>
      <c r="N1695" s="3">
        <v>89.99</v>
      </c>
      <c r="O1695" s="2" t="s">
        <v>97</v>
      </c>
      <c r="P1695" s="2" t="s">
        <v>98</v>
      </c>
      <c r="Q1695" s="2" t="s">
        <v>99</v>
      </c>
      <c r="R1695" s="2" t="s">
        <v>100</v>
      </c>
      <c r="S1695" s="2" t="s">
        <v>6108</v>
      </c>
      <c r="T1695" s="2" t="s">
        <v>5436</v>
      </c>
      <c r="U1695" s="2" t="s">
        <v>901</v>
      </c>
      <c r="V1695" s="2" t="s">
        <v>461</v>
      </c>
      <c r="W1695" s="2" t="s">
        <v>1136</v>
      </c>
      <c r="X1695" s="2" t="s">
        <v>493</v>
      </c>
      <c r="Y1695" s="2" t="s">
        <v>6109</v>
      </c>
      <c r="Z1695" s="4">
        <v>276</v>
      </c>
      <c r="AA1695" s="4">
        <f>=ROUNDDOWN(34.0740740740741,0)</f>
      </c>
      <c r="AB1695" s="5">
        <v>8.1</v>
      </c>
      <c r="AC1695" s="2" t="s">
        <v>3033</v>
      </c>
      <c r="AD1695" s="4">
        <v>80</v>
      </c>
      <c r="AE1695" s="4">
        <v>80</v>
      </c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/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/>
      <c r="BJ1695" s="4">
        <v>20</v>
      </c>
      <c r="BK1695" s="8">
        <v>942.81</v>
      </c>
      <c r="BL1695" s="2" t="s">
        <v>6113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171</v>
      </c>
      <c r="BV1695" s="2" t="s">
        <v>97</v>
      </c>
      <c r="BW1695" s="2" t="s">
        <v>100</v>
      </c>
      <c r="BX1695" s="2" t="s">
        <v>100</v>
      </c>
      <c r="BY1695" s="2" t="s">
        <v>112</v>
      </c>
      <c r="BZ1695" s="2" t="s">
        <v>100</v>
      </c>
    </row>
    <row r="1696">
      <c r="A1696" s="2" t="s">
        <v>6114</v>
      </c>
      <c r="B1696" s="2" t="s">
        <v>5155</v>
      </c>
      <c r="C1696" s="2" t="s">
        <v>3449</v>
      </c>
      <c r="D1696" s="2" t="s">
        <v>89</v>
      </c>
      <c r="E1696" s="2" t="s">
        <v>887</v>
      </c>
      <c r="F1696" s="2" t="s">
        <v>6090</v>
      </c>
      <c r="G1696" s="2" t="s">
        <v>1562</v>
      </c>
      <c r="H1696" s="2" t="s">
        <v>1562</v>
      </c>
      <c r="I1696" s="2" t="s">
        <v>6091</v>
      </c>
      <c r="J1696" s="2" t="s">
        <v>352</v>
      </c>
      <c r="K1696" s="2" t="s">
        <v>188</v>
      </c>
      <c r="L1696" s="3">
        <v>28.47</v>
      </c>
      <c r="M1696" s="3">
        <v>29.89</v>
      </c>
      <c r="N1696" s="3">
        <v>59.99</v>
      </c>
      <c r="O1696" s="2" t="s">
        <v>97</v>
      </c>
      <c r="P1696" s="2" t="s">
        <v>123</v>
      </c>
      <c r="Q1696" s="2" t="s">
        <v>99</v>
      </c>
      <c r="R1696" s="2" t="s">
        <v>100</v>
      </c>
      <c r="S1696" s="2" t="s">
        <v>6115</v>
      </c>
      <c r="T1696" s="2" t="s">
        <v>5436</v>
      </c>
      <c r="U1696" s="2" t="s">
        <v>894</v>
      </c>
      <c r="V1696" s="2" t="s">
        <v>461</v>
      </c>
      <c r="W1696" s="2" t="s">
        <v>1136</v>
      </c>
      <c r="X1696" s="2" t="s">
        <v>493</v>
      </c>
      <c r="Y1696" s="2" t="s">
        <v>6116</v>
      </c>
      <c r="Z1696" s="4">
        <v>487</v>
      </c>
      <c r="AA1696" s="4">
        <f>=ROUNDDOWN(25.6315789473684,0)</f>
      </c>
      <c r="AB1696" s="5">
        <v>19</v>
      </c>
      <c r="AC1696" s="2" t="s">
        <v>307</v>
      </c>
      <c r="AD1696" s="4">
        <v>140</v>
      </c>
      <c r="AE1696" s="4">
        <v>180</v>
      </c>
      <c r="AF1696" s="6">
        <v>65</v>
      </c>
      <c r="AG1696" s="6">
        <v>48</v>
      </c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100</v>
      </c>
      <c r="AW1696" s="8" t="s">
        <v>100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/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/>
      <c r="BJ1696" s="4">
        <v>44</v>
      </c>
      <c r="BK1696" s="8">
        <v>1513.26</v>
      </c>
      <c r="BL1696" s="2" t="s">
        <v>6117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171</v>
      </c>
      <c r="BV1696" s="2" t="s">
        <v>97</v>
      </c>
      <c r="BW1696" s="2" t="s">
        <v>100</v>
      </c>
      <c r="BX1696" s="2" t="s">
        <v>100</v>
      </c>
      <c r="BY1696" s="2" t="s">
        <v>112</v>
      </c>
      <c r="BZ1696" s="2" t="s">
        <v>100</v>
      </c>
    </row>
    <row r="1697">
      <c r="A1697" s="2" t="s">
        <v>6118</v>
      </c>
      <c r="B1697" s="2" t="s">
        <v>5155</v>
      </c>
      <c r="C1697" s="2" t="s">
        <v>3449</v>
      </c>
      <c r="D1697" s="2" t="s">
        <v>89</v>
      </c>
      <c r="E1697" s="2" t="s">
        <v>887</v>
      </c>
      <c r="F1697" s="2" t="s">
        <v>6090</v>
      </c>
      <c r="G1697" s="2" t="s">
        <v>1562</v>
      </c>
      <c r="H1697" s="2" t="s">
        <v>1562</v>
      </c>
      <c r="I1697" s="2" t="s">
        <v>6091</v>
      </c>
      <c r="J1697" s="2" t="s">
        <v>522</v>
      </c>
      <c r="K1697" s="2" t="s">
        <v>188</v>
      </c>
      <c r="L1697" s="3">
        <v>37.23</v>
      </c>
      <c r="M1697" s="3">
        <v>39.09</v>
      </c>
      <c r="N1697" s="3">
        <v>79.99</v>
      </c>
      <c r="O1697" s="2" t="s">
        <v>97</v>
      </c>
      <c r="P1697" s="2" t="s">
        <v>123</v>
      </c>
      <c r="Q1697" s="2" t="s">
        <v>99</v>
      </c>
      <c r="R1697" s="2" t="s">
        <v>100</v>
      </c>
      <c r="S1697" s="2" t="s">
        <v>6115</v>
      </c>
      <c r="T1697" s="2" t="s">
        <v>5436</v>
      </c>
      <c r="U1697" s="2" t="s">
        <v>901</v>
      </c>
      <c r="V1697" s="2" t="s">
        <v>461</v>
      </c>
      <c r="W1697" s="2" t="s">
        <v>1136</v>
      </c>
      <c r="X1697" s="2" t="s">
        <v>493</v>
      </c>
      <c r="Y1697" s="2" t="s">
        <v>6116</v>
      </c>
      <c r="Z1697" s="4">
        <v>663</v>
      </c>
      <c r="AA1697" s="4">
        <f>=ROUNDDOWN(18.4166666666667,0)</f>
      </c>
      <c r="AB1697" s="5">
        <v>36</v>
      </c>
      <c r="AC1697" s="2" t="s">
        <v>307</v>
      </c>
      <c r="AD1697" s="4">
        <v>50</v>
      </c>
      <c r="AE1697" s="4">
        <v>220</v>
      </c>
      <c r="AF1697" s="6">
        <v>65</v>
      </c>
      <c r="AG1697" s="6">
        <v>48</v>
      </c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100</v>
      </c>
      <c r="AW1697" s="8" t="s">
        <v>100</v>
      </c>
      <c r="AX1697" s="4" t="s">
        <v>100</v>
      </c>
      <c r="AY1697" s="8" t="s">
        <v>100</v>
      </c>
      <c r="AZ1697" s="7" t="s">
        <v>100</v>
      </c>
      <c r="BA1697" s="7" t="s">
        <v>100</v>
      </c>
      <c r="BB1697" s="7"/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/>
      <c r="BJ1697" s="4">
        <v>103</v>
      </c>
      <c r="BK1697" s="8">
        <v>4327.75</v>
      </c>
      <c r="BL1697" s="2" t="s">
        <v>6119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171</v>
      </c>
      <c r="BV1697" s="2" t="s">
        <v>97</v>
      </c>
      <c r="BW1697" s="2" t="s">
        <v>100</v>
      </c>
      <c r="BX1697" s="2" t="s">
        <v>100</v>
      </c>
      <c r="BY1697" s="2" t="s">
        <v>112</v>
      </c>
      <c r="BZ1697" s="2" t="s">
        <v>100</v>
      </c>
    </row>
    <row r="1698">
      <c r="A1698" s="2" t="s">
        <v>6120</v>
      </c>
      <c r="B1698" s="2" t="s">
        <v>5155</v>
      </c>
      <c r="C1698" s="2" t="s">
        <v>3449</v>
      </c>
      <c r="D1698" s="2" t="s">
        <v>1496</v>
      </c>
      <c r="E1698" s="2" t="s">
        <v>1497</v>
      </c>
      <c r="F1698" s="2" t="s">
        <v>6090</v>
      </c>
      <c r="G1698" s="2" t="s">
        <v>1562</v>
      </c>
      <c r="H1698" s="2" t="s">
        <v>1562</v>
      </c>
      <c r="I1698" s="2" t="s">
        <v>6121</v>
      </c>
      <c r="J1698" s="2" t="s">
        <v>1443</v>
      </c>
      <c r="K1698" s="2" t="s">
        <v>165</v>
      </c>
      <c r="L1698" s="3">
        <v>25.8</v>
      </c>
      <c r="M1698" s="3">
        <v>27.09</v>
      </c>
      <c r="N1698" s="3">
        <v>59.99</v>
      </c>
      <c r="O1698" s="2" t="s">
        <v>97</v>
      </c>
      <c r="P1698" s="2" t="s">
        <v>98</v>
      </c>
      <c r="Q1698" s="2" t="s">
        <v>99</v>
      </c>
      <c r="R1698" s="2" t="s">
        <v>100</v>
      </c>
      <c r="S1698" s="2" t="s">
        <v>6100</v>
      </c>
      <c r="T1698" s="2" t="s">
        <v>5436</v>
      </c>
      <c r="U1698" s="2" t="s">
        <v>894</v>
      </c>
      <c r="V1698" s="2" t="s">
        <v>461</v>
      </c>
      <c r="W1698" s="2" t="s">
        <v>1136</v>
      </c>
      <c r="X1698" s="2" t="s">
        <v>493</v>
      </c>
      <c r="Y1698" s="2" t="s">
        <v>4384</v>
      </c>
      <c r="Z1698" s="4">
        <v>207</v>
      </c>
      <c r="AA1698" s="4">
        <f>=ROUNDDOWN(41.4,0)</f>
      </c>
      <c r="AB1698" s="5">
        <v>5</v>
      </c>
      <c r="AC1698" s="2" t="s">
        <v>100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100</v>
      </c>
      <c r="AW1698" s="8" t="s">
        <v>100</v>
      </c>
      <c r="AX1698" s="4" t="s">
        <v>100</v>
      </c>
      <c r="AY1698" s="8" t="s">
        <v>100</v>
      </c>
      <c r="AZ1698" s="7" t="s">
        <v>100</v>
      </c>
      <c r="BA1698" s="7" t="s">
        <v>100</v>
      </c>
      <c r="BB1698" s="7"/>
      <c r="BC1698" s="4" t="s">
        <v>100</v>
      </c>
      <c r="BD1698" s="8" t="s">
        <v>100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/>
      <c r="BJ1698" s="4">
        <v>1</v>
      </c>
      <c r="BK1698" s="8">
        <v>43.99</v>
      </c>
      <c r="BL1698" s="2" t="s">
        <v>6122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171</v>
      </c>
      <c r="BV1698" s="2" t="s">
        <v>97</v>
      </c>
      <c r="BW1698" s="2" t="s">
        <v>100</v>
      </c>
      <c r="BX1698" s="2" t="s">
        <v>100</v>
      </c>
      <c r="BY1698" s="2" t="s">
        <v>112</v>
      </c>
      <c r="BZ1698" s="2" t="s">
        <v>100</v>
      </c>
    </row>
    <row r="1699">
      <c r="A1699" s="2" t="s">
        <v>6123</v>
      </c>
      <c r="B1699" s="2" t="s">
        <v>5155</v>
      </c>
      <c r="C1699" s="2" t="s">
        <v>3449</v>
      </c>
      <c r="D1699" s="2" t="s">
        <v>1496</v>
      </c>
      <c r="E1699" s="2" t="s">
        <v>1497</v>
      </c>
      <c r="F1699" s="2" t="s">
        <v>6090</v>
      </c>
      <c r="G1699" s="2" t="s">
        <v>1562</v>
      </c>
      <c r="H1699" s="2" t="s">
        <v>1562</v>
      </c>
      <c r="I1699" s="2" t="s">
        <v>6121</v>
      </c>
      <c r="J1699" s="2" t="s">
        <v>522</v>
      </c>
      <c r="K1699" s="2" t="s">
        <v>165</v>
      </c>
      <c r="L1699" s="3">
        <v>31.5</v>
      </c>
      <c r="M1699" s="3">
        <v>33.08</v>
      </c>
      <c r="N1699" s="3">
        <v>69.99</v>
      </c>
      <c r="O1699" s="2" t="s">
        <v>97</v>
      </c>
      <c r="P1699" s="2" t="s">
        <v>98</v>
      </c>
      <c r="Q1699" s="2" t="s">
        <v>99</v>
      </c>
      <c r="R1699" s="2" t="s">
        <v>100</v>
      </c>
      <c r="S1699" s="2" t="s">
        <v>6100</v>
      </c>
      <c r="T1699" s="2" t="s">
        <v>5436</v>
      </c>
      <c r="U1699" s="2" t="s">
        <v>901</v>
      </c>
      <c r="V1699" s="2" t="s">
        <v>461</v>
      </c>
      <c r="W1699" s="2" t="s">
        <v>1136</v>
      </c>
      <c r="X1699" s="2" t="s">
        <v>493</v>
      </c>
      <c r="Y1699" s="2" t="s">
        <v>4384</v>
      </c>
      <c r="Z1699" s="4">
        <v>198</v>
      </c>
      <c r="AA1699" s="4">
        <f>=ROUNDDOWN(16.5,0)</f>
      </c>
      <c r="AB1699" s="5">
        <v>12</v>
      </c>
      <c r="AC1699" s="2" t="s">
        <v>100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100</v>
      </c>
      <c r="AW1699" s="8" t="s">
        <v>100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/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/>
      <c r="BJ1699" s="4">
        <v>26</v>
      </c>
      <c r="BK1699" s="8">
        <v>1033.22</v>
      </c>
      <c r="BL1699" s="2" t="s">
        <v>6124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171</v>
      </c>
      <c r="BV1699" s="2" t="s">
        <v>97</v>
      </c>
      <c r="BW1699" s="2" t="s">
        <v>100</v>
      </c>
      <c r="BX1699" s="2" t="s">
        <v>100</v>
      </c>
      <c r="BY1699" s="2" t="s">
        <v>112</v>
      </c>
      <c r="BZ1699" s="2" t="s">
        <v>100</v>
      </c>
    </row>
    <row r="1700">
      <c r="A1700" s="2" t="s">
        <v>6125</v>
      </c>
      <c r="B1700" s="2" t="s">
        <v>5155</v>
      </c>
      <c r="C1700" s="2" t="s">
        <v>3449</v>
      </c>
      <c r="D1700" s="2" t="s">
        <v>1496</v>
      </c>
      <c r="E1700" s="2" t="s">
        <v>1497</v>
      </c>
      <c r="F1700" s="2" t="s">
        <v>6090</v>
      </c>
      <c r="G1700" s="2" t="s">
        <v>1562</v>
      </c>
      <c r="H1700" s="2" t="s">
        <v>1562</v>
      </c>
      <c r="I1700" s="2" t="s">
        <v>6121</v>
      </c>
      <c r="J1700" s="2" t="s">
        <v>114</v>
      </c>
      <c r="K1700" s="2" t="s">
        <v>165</v>
      </c>
      <c r="L1700" s="3">
        <v>36.8</v>
      </c>
      <c r="M1700" s="3">
        <v>38.64</v>
      </c>
      <c r="N1700" s="3">
        <v>79.99</v>
      </c>
      <c r="O1700" s="2" t="s">
        <v>97</v>
      </c>
      <c r="P1700" s="2" t="s">
        <v>98</v>
      </c>
      <c r="Q1700" s="2" t="s">
        <v>99</v>
      </c>
      <c r="R1700" s="2" t="s">
        <v>100</v>
      </c>
      <c r="S1700" s="2" t="s">
        <v>6100</v>
      </c>
      <c r="T1700" s="2" t="s">
        <v>5436</v>
      </c>
      <c r="U1700" s="2" t="s">
        <v>901</v>
      </c>
      <c r="V1700" s="2" t="s">
        <v>461</v>
      </c>
      <c r="W1700" s="2" t="s">
        <v>1136</v>
      </c>
      <c r="X1700" s="2" t="s">
        <v>493</v>
      </c>
      <c r="Y1700" s="2" t="s">
        <v>6024</v>
      </c>
      <c r="Z1700" s="4">
        <v>81</v>
      </c>
      <c r="AA1700" s="4">
        <f>=ROUNDDOWN(13.5,0)</f>
      </c>
      <c r="AB1700" s="5">
        <v>6</v>
      </c>
      <c r="AC1700" s="2" t="s">
        <v>1468</v>
      </c>
      <c r="AD1700" s="4">
        <v>100</v>
      </c>
      <c r="AE1700" s="4">
        <v>100</v>
      </c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100</v>
      </c>
      <c r="AW1700" s="8" t="s">
        <v>100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/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/>
      <c r="BJ1700" s="4">
        <v>11</v>
      </c>
      <c r="BK1700" s="8">
        <v>539.01</v>
      </c>
      <c r="BL1700" s="2" t="s">
        <v>6126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171</v>
      </c>
      <c r="BV1700" s="2" t="s">
        <v>97</v>
      </c>
      <c r="BW1700" s="2" t="s">
        <v>100</v>
      </c>
      <c r="BX1700" s="2" t="s">
        <v>100</v>
      </c>
      <c r="BY1700" s="2" t="s">
        <v>112</v>
      </c>
      <c r="BZ1700" s="2" t="s">
        <v>100</v>
      </c>
    </row>
    <row r="1701">
      <c r="A1701" s="2" t="s">
        <v>6127</v>
      </c>
      <c r="B1701" s="2" t="s">
        <v>5155</v>
      </c>
      <c r="C1701" s="2" t="s">
        <v>3449</v>
      </c>
      <c r="D1701" s="2" t="s">
        <v>1496</v>
      </c>
      <c r="E1701" s="2" t="s">
        <v>1497</v>
      </c>
      <c r="F1701" s="2" t="s">
        <v>6090</v>
      </c>
      <c r="G1701" s="2" t="s">
        <v>1562</v>
      </c>
      <c r="H1701" s="2" t="s">
        <v>1562</v>
      </c>
      <c r="I1701" s="2" t="s">
        <v>6121</v>
      </c>
      <c r="J1701" s="2" t="s">
        <v>1443</v>
      </c>
      <c r="K1701" s="2" t="s">
        <v>188</v>
      </c>
      <c r="L1701" s="3">
        <v>25.8</v>
      </c>
      <c r="M1701" s="3">
        <v>27.09</v>
      </c>
      <c r="N1701" s="3">
        <v>59.99</v>
      </c>
      <c r="O1701" s="2" t="s">
        <v>97</v>
      </c>
      <c r="P1701" s="2" t="s">
        <v>123</v>
      </c>
      <c r="Q1701" s="2" t="s">
        <v>99</v>
      </c>
      <c r="R1701" s="2" t="s">
        <v>100</v>
      </c>
      <c r="S1701" s="2" t="s">
        <v>6115</v>
      </c>
      <c r="T1701" s="2" t="s">
        <v>5436</v>
      </c>
      <c r="U1701" s="2" t="s">
        <v>894</v>
      </c>
      <c r="V1701" s="2" t="s">
        <v>461</v>
      </c>
      <c r="W1701" s="2" t="s">
        <v>1136</v>
      </c>
      <c r="X1701" s="2" t="s">
        <v>493</v>
      </c>
      <c r="Y1701" s="2" t="s">
        <v>5314</v>
      </c>
      <c r="Z1701" s="4">
        <v>392</v>
      </c>
      <c r="AA1701" s="4">
        <f>=ROUNDDOWN(23.0588235294118,0)</f>
      </c>
      <c r="AB1701" s="5">
        <v>17</v>
      </c>
      <c r="AC1701" s="2" t="s">
        <v>100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/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/>
      <c r="BJ1701" s="4">
        <v>39</v>
      </c>
      <c r="BK1701" s="8">
        <v>1058.43</v>
      </c>
      <c r="BL1701" s="2" t="s">
        <v>3163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171</v>
      </c>
      <c r="BV1701" s="2" t="s">
        <v>97</v>
      </c>
      <c r="BW1701" s="2" t="s">
        <v>100</v>
      </c>
      <c r="BX1701" s="2" t="s">
        <v>100</v>
      </c>
      <c r="BY1701" s="2" t="s">
        <v>112</v>
      </c>
      <c r="BZ1701" s="2" t="s">
        <v>100</v>
      </c>
    </row>
    <row r="1702">
      <c r="A1702" s="2" t="s">
        <v>6128</v>
      </c>
      <c r="B1702" s="2" t="s">
        <v>5155</v>
      </c>
      <c r="C1702" s="2" t="s">
        <v>3449</v>
      </c>
      <c r="D1702" s="2" t="s">
        <v>1496</v>
      </c>
      <c r="E1702" s="2" t="s">
        <v>1497</v>
      </c>
      <c r="F1702" s="2" t="s">
        <v>6090</v>
      </c>
      <c r="G1702" s="2" t="s">
        <v>1562</v>
      </c>
      <c r="H1702" s="2" t="s">
        <v>1562</v>
      </c>
      <c r="I1702" s="2" t="s">
        <v>6121</v>
      </c>
      <c r="J1702" s="2" t="s">
        <v>522</v>
      </c>
      <c r="K1702" s="2" t="s">
        <v>188</v>
      </c>
      <c r="L1702" s="3">
        <v>31.5</v>
      </c>
      <c r="M1702" s="3">
        <v>33.08</v>
      </c>
      <c r="N1702" s="3">
        <v>69.99</v>
      </c>
      <c r="O1702" s="2" t="s">
        <v>97</v>
      </c>
      <c r="P1702" s="2" t="s">
        <v>123</v>
      </c>
      <c r="Q1702" s="2" t="s">
        <v>99</v>
      </c>
      <c r="R1702" s="2" t="s">
        <v>100</v>
      </c>
      <c r="S1702" s="2" t="s">
        <v>6115</v>
      </c>
      <c r="T1702" s="2" t="s">
        <v>5436</v>
      </c>
      <c r="U1702" s="2" t="s">
        <v>901</v>
      </c>
      <c r="V1702" s="2" t="s">
        <v>461</v>
      </c>
      <c r="W1702" s="2" t="s">
        <v>1136</v>
      </c>
      <c r="X1702" s="2" t="s">
        <v>493</v>
      </c>
      <c r="Y1702" s="2" t="s">
        <v>5314</v>
      </c>
      <c r="Z1702" s="4">
        <v>320</v>
      </c>
      <c r="AA1702" s="4">
        <f>=ROUNDDOWN(7.61904761904762,0)</f>
      </c>
      <c r="AB1702" s="5">
        <v>42</v>
      </c>
      <c r="AC1702" s="2" t="s">
        <v>832</v>
      </c>
      <c r="AD1702" s="4">
        <v>100</v>
      </c>
      <c r="AE1702" s="4">
        <v>330</v>
      </c>
      <c r="AF1702" s="6">
        <v>65</v>
      </c>
      <c r="AG1702" s="6">
        <v>48</v>
      </c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/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/>
      <c r="BJ1702" s="4">
        <v>121</v>
      </c>
      <c r="BK1702" s="8">
        <v>4014.18</v>
      </c>
      <c r="BL1702" s="2" t="s">
        <v>6129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171</v>
      </c>
      <c r="BV1702" s="2" t="s">
        <v>97</v>
      </c>
      <c r="BW1702" s="2" t="s">
        <v>100</v>
      </c>
      <c r="BX1702" s="2" t="s">
        <v>100</v>
      </c>
      <c r="BY1702" s="2" t="s">
        <v>112</v>
      </c>
      <c r="BZ1702" s="2" t="s">
        <v>100</v>
      </c>
    </row>
    <row r="1703">
      <c r="A1703" s="2" t="s">
        <v>6130</v>
      </c>
      <c r="B1703" s="2" t="s">
        <v>5155</v>
      </c>
      <c r="C1703" s="2" t="s">
        <v>3449</v>
      </c>
      <c r="D1703" s="2" t="s">
        <v>1496</v>
      </c>
      <c r="E1703" s="2" t="s">
        <v>1497</v>
      </c>
      <c r="F1703" s="2" t="s">
        <v>6090</v>
      </c>
      <c r="G1703" s="2" t="s">
        <v>1562</v>
      </c>
      <c r="H1703" s="2" t="s">
        <v>1562</v>
      </c>
      <c r="I1703" s="2" t="s">
        <v>6121</v>
      </c>
      <c r="J1703" s="2" t="s">
        <v>114</v>
      </c>
      <c r="K1703" s="2" t="s">
        <v>188</v>
      </c>
      <c r="L1703" s="3">
        <v>36.8</v>
      </c>
      <c r="M1703" s="3">
        <v>38.64</v>
      </c>
      <c r="N1703" s="3">
        <v>79.99</v>
      </c>
      <c r="O1703" s="2" t="s">
        <v>97</v>
      </c>
      <c r="P1703" s="2" t="s">
        <v>123</v>
      </c>
      <c r="Q1703" s="2" t="s">
        <v>99</v>
      </c>
      <c r="R1703" s="2" t="s">
        <v>100</v>
      </c>
      <c r="S1703" s="2" t="s">
        <v>6115</v>
      </c>
      <c r="T1703" s="2" t="s">
        <v>5436</v>
      </c>
      <c r="U1703" s="2" t="s">
        <v>901</v>
      </c>
      <c r="V1703" s="2" t="s">
        <v>461</v>
      </c>
      <c r="W1703" s="2" t="s">
        <v>1136</v>
      </c>
      <c r="X1703" s="2" t="s">
        <v>493</v>
      </c>
      <c r="Y1703" s="2" t="s">
        <v>5314</v>
      </c>
      <c r="Z1703" s="4">
        <v>147</v>
      </c>
      <c r="AA1703" s="4">
        <f>=ROUNDDOWN(7.73684210526316,0)</f>
      </c>
      <c r="AB1703" s="5">
        <v>19</v>
      </c>
      <c r="AC1703" s="2" t="s">
        <v>1468</v>
      </c>
      <c r="AD1703" s="4">
        <v>30</v>
      </c>
      <c r="AE1703" s="4">
        <v>100</v>
      </c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/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/>
      <c r="BJ1703" s="4">
        <v>39</v>
      </c>
      <c r="BK1703" s="8">
        <v>1547.58</v>
      </c>
      <c r="BL1703" s="2" t="s">
        <v>5787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171</v>
      </c>
      <c r="BV1703" s="2" t="s">
        <v>97</v>
      </c>
      <c r="BW1703" s="2" t="s">
        <v>100</v>
      </c>
      <c r="BX1703" s="2" t="s">
        <v>100</v>
      </c>
      <c r="BY1703" s="2" t="s">
        <v>112</v>
      </c>
      <c r="BZ1703" s="2" t="s">
        <v>100</v>
      </c>
    </row>
    <row r="1704">
      <c r="A1704" s="2" t="s">
        <v>6131</v>
      </c>
      <c r="B1704" s="2" t="s">
        <v>5155</v>
      </c>
      <c r="C1704" s="2" t="s">
        <v>3449</v>
      </c>
      <c r="D1704" s="2" t="s">
        <v>1496</v>
      </c>
      <c r="E1704" s="2" t="s">
        <v>1497</v>
      </c>
      <c r="F1704" s="2" t="s">
        <v>6090</v>
      </c>
      <c r="G1704" s="2" t="s">
        <v>1562</v>
      </c>
      <c r="H1704" s="2" t="s">
        <v>1562</v>
      </c>
      <c r="I1704" s="2" t="s">
        <v>6121</v>
      </c>
      <c r="J1704" s="2" t="s">
        <v>1443</v>
      </c>
      <c r="K1704" s="2" t="s">
        <v>96</v>
      </c>
      <c r="L1704" s="3">
        <v>25.8</v>
      </c>
      <c r="M1704" s="3">
        <v>27.09</v>
      </c>
      <c r="N1704" s="3">
        <v>59.99</v>
      </c>
      <c r="O1704" s="2" t="s">
        <v>97</v>
      </c>
      <c r="P1704" s="2" t="s">
        <v>156</v>
      </c>
      <c r="Q1704" s="2" t="s">
        <v>99</v>
      </c>
      <c r="R1704" s="2" t="s">
        <v>100</v>
      </c>
      <c r="S1704" s="2" t="s">
        <v>6132</v>
      </c>
      <c r="T1704" s="2" t="s">
        <v>5436</v>
      </c>
      <c r="U1704" s="2" t="s">
        <v>894</v>
      </c>
      <c r="V1704" s="2" t="s">
        <v>461</v>
      </c>
      <c r="W1704" s="2" t="s">
        <v>1136</v>
      </c>
      <c r="X1704" s="2" t="s">
        <v>493</v>
      </c>
      <c r="Y1704" s="2" t="s">
        <v>5314</v>
      </c>
      <c r="Z1704" s="4">
        <v>226</v>
      </c>
      <c r="AA1704" s="4">
        <f>=ROUNDDOWN(28.25,0)</f>
      </c>
      <c r="AB1704" s="5">
        <v>8</v>
      </c>
      <c r="AC1704" s="2" t="s">
        <v>100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/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/>
      <c r="BJ1704" s="4">
        <v>15</v>
      </c>
      <c r="BK1704" s="8">
        <v>445.49</v>
      </c>
      <c r="BL1704" s="2" t="s">
        <v>6133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171</v>
      </c>
      <c r="BV1704" s="2" t="s">
        <v>97</v>
      </c>
      <c r="BW1704" s="2" t="s">
        <v>100</v>
      </c>
      <c r="BX1704" s="2" t="s">
        <v>100</v>
      </c>
      <c r="BY1704" s="2" t="s">
        <v>112</v>
      </c>
      <c r="BZ1704" s="2" t="s">
        <v>100</v>
      </c>
    </row>
    <row r="1705">
      <c r="A1705" s="2" t="s">
        <v>6134</v>
      </c>
      <c r="B1705" s="2" t="s">
        <v>5155</v>
      </c>
      <c r="C1705" s="2" t="s">
        <v>3449</v>
      </c>
      <c r="D1705" s="2" t="s">
        <v>1496</v>
      </c>
      <c r="E1705" s="2" t="s">
        <v>1497</v>
      </c>
      <c r="F1705" s="2" t="s">
        <v>6090</v>
      </c>
      <c r="G1705" s="2" t="s">
        <v>1562</v>
      </c>
      <c r="H1705" s="2" t="s">
        <v>1562</v>
      </c>
      <c r="I1705" s="2" t="s">
        <v>6121</v>
      </c>
      <c r="J1705" s="2" t="s">
        <v>522</v>
      </c>
      <c r="K1705" s="2" t="s">
        <v>96</v>
      </c>
      <c r="L1705" s="3">
        <v>31.5</v>
      </c>
      <c r="M1705" s="3">
        <v>33.08</v>
      </c>
      <c r="N1705" s="3">
        <v>69.99</v>
      </c>
      <c r="O1705" s="2" t="s">
        <v>97</v>
      </c>
      <c r="P1705" s="2" t="s">
        <v>156</v>
      </c>
      <c r="Q1705" s="2" t="s">
        <v>99</v>
      </c>
      <c r="R1705" s="2" t="s">
        <v>100</v>
      </c>
      <c r="S1705" s="2" t="s">
        <v>6132</v>
      </c>
      <c r="T1705" s="2" t="s">
        <v>5436</v>
      </c>
      <c r="U1705" s="2" t="s">
        <v>901</v>
      </c>
      <c r="V1705" s="2" t="s">
        <v>461</v>
      </c>
      <c r="W1705" s="2" t="s">
        <v>1136</v>
      </c>
      <c r="X1705" s="2" t="s">
        <v>493</v>
      </c>
      <c r="Y1705" s="2" t="s">
        <v>5314</v>
      </c>
      <c r="Z1705" s="4">
        <v>487</v>
      </c>
      <c r="AA1705" s="4">
        <f>=ROUNDDOWN(19.48,0)</f>
      </c>
      <c r="AB1705" s="5">
        <v>25</v>
      </c>
      <c r="AC1705" s="2" t="s">
        <v>646</v>
      </c>
      <c r="AD1705" s="4">
        <v>80</v>
      </c>
      <c r="AE1705" s="4">
        <v>80</v>
      </c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/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/>
      <c r="BJ1705" s="4">
        <v>54</v>
      </c>
      <c r="BK1705" s="8">
        <v>1878.73</v>
      </c>
      <c r="BL1705" s="2" t="s">
        <v>5764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171</v>
      </c>
      <c r="BV1705" s="2" t="s">
        <v>97</v>
      </c>
      <c r="BW1705" s="2" t="s">
        <v>100</v>
      </c>
      <c r="BX1705" s="2" t="s">
        <v>100</v>
      </c>
      <c r="BY1705" s="2" t="s">
        <v>112</v>
      </c>
      <c r="BZ1705" s="2" t="s">
        <v>100</v>
      </c>
    </row>
    <row r="1706">
      <c r="A1706" s="2" t="s">
        <v>6135</v>
      </c>
      <c r="B1706" s="2" t="s">
        <v>5155</v>
      </c>
      <c r="C1706" s="2" t="s">
        <v>3449</v>
      </c>
      <c r="D1706" s="2" t="s">
        <v>1496</v>
      </c>
      <c r="E1706" s="2" t="s">
        <v>1497</v>
      </c>
      <c r="F1706" s="2" t="s">
        <v>6090</v>
      </c>
      <c r="G1706" s="2" t="s">
        <v>1562</v>
      </c>
      <c r="H1706" s="2" t="s">
        <v>1562</v>
      </c>
      <c r="I1706" s="2" t="s">
        <v>6121</v>
      </c>
      <c r="J1706" s="2" t="s">
        <v>114</v>
      </c>
      <c r="K1706" s="2" t="s">
        <v>96</v>
      </c>
      <c r="L1706" s="3">
        <v>36.8</v>
      </c>
      <c r="M1706" s="3">
        <v>38.64</v>
      </c>
      <c r="N1706" s="3">
        <v>79.99</v>
      </c>
      <c r="O1706" s="2" t="s">
        <v>97</v>
      </c>
      <c r="P1706" s="2" t="s">
        <v>156</v>
      </c>
      <c r="Q1706" s="2" t="s">
        <v>99</v>
      </c>
      <c r="R1706" s="2" t="s">
        <v>100</v>
      </c>
      <c r="S1706" s="2" t="s">
        <v>6132</v>
      </c>
      <c r="T1706" s="2" t="s">
        <v>5436</v>
      </c>
      <c r="U1706" s="2" t="s">
        <v>901</v>
      </c>
      <c r="V1706" s="2" t="s">
        <v>461</v>
      </c>
      <c r="W1706" s="2" t="s">
        <v>1136</v>
      </c>
      <c r="X1706" s="2" t="s">
        <v>493</v>
      </c>
      <c r="Y1706" s="2" t="s">
        <v>5314</v>
      </c>
      <c r="Z1706" s="4">
        <v>157</v>
      </c>
      <c r="AA1706" s="4">
        <f>=ROUNDDOWN(6.54166666666667,0)</f>
      </c>
      <c r="AB1706" s="5">
        <v>24</v>
      </c>
      <c r="AC1706" s="2" t="s">
        <v>646</v>
      </c>
      <c r="AD1706" s="4">
        <v>230</v>
      </c>
      <c r="AE1706" s="4">
        <v>230</v>
      </c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/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/>
      <c r="BJ1706" s="4">
        <v>49</v>
      </c>
      <c r="BK1706" s="8">
        <v>1937.19</v>
      </c>
      <c r="BL1706" s="2" t="s">
        <v>6136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171</v>
      </c>
      <c r="BV1706" s="2" t="s">
        <v>97</v>
      </c>
      <c r="BW1706" s="2" t="s">
        <v>100</v>
      </c>
      <c r="BX1706" s="2" t="s">
        <v>100</v>
      </c>
      <c r="BY1706" s="2" t="s">
        <v>112</v>
      </c>
      <c r="BZ1706" s="2" t="s">
        <v>100</v>
      </c>
    </row>
    <row r="1707">
      <c r="A1707" s="2" t="s">
        <v>6137</v>
      </c>
      <c r="B1707" s="2" t="s">
        <v>5155</v>
      </c>
      <c r="C1707" s="2" t="s">
        <v>3449</v>
      </c>
      <c r="D1707" s="2" t="s">
        <v>1496</v>
      </c>
      <c r="E1707" s="2" t="s">
        <v>1497</v>
      </c>
      <c r="F1707" s="2" t="s">
        <v>6090</v>
      </c>
      <c r="G1707" s="2" t="s">
        <v>1562</v>
      </c>
      <c r="H1707" s="2" t="s">
        <v>1562</v>
      </c>
      <c r="I1707" s="2" t="s">
        <v>6121</v>
      </c>
      <c r="J1707" s="2" t="s">
        <v>1443</v>
      </c>
      <c r="K1707" s="2" t="s">
        <v>1373</v>
      </c>
      <c r="L1707" s="3">
        <v>25.8</v>
      </c>
      <c r="M1707" s="3">
        <v>27.09</v>
      </c>
      <c r="N1707" s="3">
        <v>59.99</v>
      </c>
      <c r="O1707" s="2" t="s">
        <v>97</v>
      </c>
      <c r="P1707" s="2" t="s">
        <v>123</v>
      </c>
      <c r="Q1707" s="2" t="s">
        <v>99</v>
      </c>
      <c r="R1707" s="2" t="s">
        <v>100</v>
      </c>
      <c r="S1707" s="2" t="s">
        <v>6138</v>
      </c>
      <c r="T1707" s="2" t="s">
        <v>5436</v>
      </c>
      <c r="U1707" s="2" t="s">
        <v>894</v>
      </c>
      <c r="V1707" s="2" t="s">
        <v>461</v>
      </c>
      <c r="W1707" s="2" t="s">
        <v>1136</v>
      </c>
      <c r="X1707" s="2" t="s">
        <v>493</v>
      </c>
      <c r="Y1707" s="2" t="s">
        <v>5314</v>
      </c>
      <c r="Z1707" s="4">
        <v>299</v>
      </c>
      <c r="AA1707" s="4">
        <f>=ROUNDDOWN(19.9333333333333,0)</f>
      </c>
      <c r="AB1707" s="5">
        <v>15</v>
      </c>
      <c r="AC1707" s="2" t="s">
        <v>725</v>
      </c>
      <c r="AD1707" s="4">
        <v>130</v>
      </c>
      <c r="AE1707" s="4">
        <v>130</v>
      </c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/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/>
      <c r="BJ1707" s="4">
        <v>24</v>
      </c>
      <c r="BK1707" s="8">
        <v>703.16</v>
      </c>
      <c r="BL1707" s="2" t="s">
        <v>1678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171</v>
      </c>
      <c r="BV1707" s="2" t="s">
        <v>97</v>
      </c>
      <c r="BW1707" s="2" t="s">
        <v>100</v>
      </c>
      <c r="BX1707" s="2" t="s">
        <v>100</v>
      </c>
      <c r="BY1707" s="2" t="s">
        <v>112</v>
      </c>
      <c r="BZ1707" s="2" t="s">
        <v>100</v>
      </c>
    </row>
    <row r="1708">
      <c r="A1708" s="2" t="s">
        <v>6139</v>
      </c>
      <c r="B1708" s="2" t="s">
        <v>5155</v>
      </c>
      <c r="C1708" s="2" t="s">
        <v>3449</v>
      </c>
      <c r="D1708" s="2" t="s">
        <v>1496</v>
      </c>
      <c r="E1708" s="2" t="s">
        <v>1497</v>
      </c>
      <c r="F1708" s="2" t="s">
        <v>6090</v>
      </c>
      <c r="G1708" s="2" t="s">
        <v>1562</v>
      </c>
      <c r="H1708" s="2" t="s">
        <v>1562</v>
      </c>
      <c r="I1708" s="2" t="s">
        <v>6121</v>
      </c>
      <c r="J1708" s="2" t="s">
        <v>522</v>
      </c>
      <c r="K1708" s="2" t="s">
        <v>1373</v>
      </c>
      <c r="L1708" s="3">
        <v>31.5</v>
      </c>
      <c r="M1708" s="3">
        <v>33.08</v>
      </c>
      <c r="N1708" s="3">
        <v>69.99</v>
      </c>
      <c r="O1708" s="2" t="s">
        <v>97</v>
      </c>
      <c r="P1708" s="2" t="s">
        <v>123</v>
      </c>
      <c r="Q1708" s="2" t="s">
        <v>99</v>
      </c>
      <c r="R1708" s="2" t="s">
        <v>100</v>
      </c>
      <c r="S1708" s="2" t="s">
        <v>6138</v>
      </c>
      <c r="T1708" s="2" t="s">
        <v>5436</v>
      </c>
      <c r="U1708" s="2" t="s">
        <v>901</v>
      </c>
      <c r="V1708" s="2" t="s">
        <v>461</v>
      </c>
      <c r="W1708" s="2" t="s">
        <v>1136</v>
      </c>
      <c r="X1708" s="2" t="s">
        <v>493</v>
      </c>
      <c r="Y1708" s="2" t="s">
        <v>5314</v>
      </c>
      <c r="Z1708" s="4">
        <v>518</v>
      </c>
      <c r="AA1708" s="4">
        <f>=ROUNDDOWN(11.7727272727273,0)</f>
      </c>
      <c r="AB1708" s="5">
        <v>44</v>
      </c>
      <c r="AC1708" s="2" t="s">
        <v>130</v>
      </c>
      <c r="AD1708" s="4">
        <v>100</v>
      </c>
      <c r="AE1708" s="4">
        <v>360</v>
      </c>
      <c r="AF1708" s="6">
        <v>65</v>
      </c>
      <c r="AG1708" s="6">
        <v>48</v>
      </c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/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/>
      <c r="BJ1708" s="4">
        <v>97</v>
      </c>
      <c r="BK1708" s="8">
        <v>3262.16</v>
      </c>
      <c r="BL1708" s="2" t="s">
        <v>6140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171</v>
      </c>
      <c r="BV1708" s="2" t="s">
        <v>97</v>
      </c>
      <c r="BW1708" s="2" t="s">
        <v>100</v>
      </c>
      <c r="BX1708" s="2" t="s">
        <v>100</v>
      </c>
      <c r="BY1708" s="2" t="s">
        <v>112</v>
      </c>
      <c r="BZ1708" s="2" t="s">
        <v>100</v>
      </c>
    </row>
    <row r="1709">
      <c r="A1709" s="2" t="s">
        <v>6141</v>
      </c>
      <c r="B1709" s="2" t="s">
        <v>5155</v>
      </c>
      <c r="C1709" s="2" t="s">
        <v>3449</v>
      </c>
      <c r="D1709" s="2" t="s">
        <v>1496</v>
      </c>
      <c r="E1709" s="2" t="s">
        <v>1497</v>
      </c>
      <c r="F1709" s="2" t="s">
        <v>6090</v>
      </c>
      <c r="G1709" s="2" t="s">
        <v>1562</v>
      </c>
      <c r="H1709" s="2" t="s">
        <v>1562</v>
      </c>
      <c r="I1709" s="2" t="s">
        <v>6121</v>
      </c>
      <c r="J1709" s="2" t="s">
        <v>114</v>
      </c>
      <c r="K1709" s="2" t="s">
        <v>1373</v>
      </c>
      <c r="L1709" s="3">
        <v>36.8</v>
      </c>
      <c r="M1709" s="3">
        <v>38.64</v>
      </c>
      <c r="N1709" s="3">
        <v>79.99</v>
      </c>
      <c r="O1709" s="2" t="s">
        <v>97</v>
      </c>
      <c r="P1709" s="2" t="s">
        <v>123</v>
      </c>
      <c r="Q1709" s="2" t="s">
        <v>99</v>
      </c>
      <c r="R1709" s="2" t="s">
        <v>100</v>
      </c>
      <c r="S1709" s="2" t="s">
        <v>6138</v>
      </c>
      <c r="T1709" s="2" t="s">
        <v>5436</v>
      </c>
      <c r="U1709" s="2" t="s">
        <v>901</v>
      </c>
      <c r="V1709" s="2" t="s">
        <v>461</v>
      </c>
      <c r="W1709" s="2" t="s">
        <v>1136</v>
      </c>
      <c r="X1709" s="2" t="s">
        <v>493</v>
      </c>
      <c r="Y1709" s="2" t="s">
        <v>5314</v>
      </c>
      <c r="Z1709" s="4">
        <v>222</v>
      </c>
      <c r="AA1709" s="4">
        <f>=ROUNDDOWN(6.16666666666667,0)</f>
      </c>
      <c r="AB1709" s="5">
        <v>36</v>
      </c>
      <c r="AC1709" s="2" t="s">
        <v>725</v>
      </c>
      <c r="AD1709" s="4">
        <v>40</v>
      </c>
      <c r="AE1709" s="4">
        <v>390</v>
      </c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/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/>
      <c r="BJ1709" s="4">
        <v>77</v>
      </c>
      <c r="BK1709" s="8">
        <v>3079.57</v>
      </c>
      <c r="BL1709" s="2" t="s">
        <v>6142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171</v>
      </c>
      <c r="BV1709" s="2" t="s">
        <v>97</v>
      </c>
      <c r="BW1709" s="2" t="s">
        <v>100</v>
      </c>
      <c r="BX1709" s="2" t="s">
        <v>100</v>
      </c>
      <c r="BY1709" s="2" t="s">
        <v>112</v>
      </c>
      <c r="BZ1709" s="2" t="s">
        <v>100</v>
      </c>
    </row>
    <row r="1710">
      <c r="A1710" s="2" t="s">
        <v>6143</v>
      </c>
      <c r="B1710" s="2" t="s">
        <v>5155</v>
      </c>
      <c r="C1710" s="2" t="s">
        <v>6144</v>
      </c>
      <c r="D1710" s="2" t="s">
        <v>5491</v>
      </c>
      <c r="E1710" s="2" t="s">
        <v>5492</v>
      </c>
      <c r="F1710" s="2" t="s">
        <v>4296</v>
      </c>
      <c r="G1710" s="2" t="s">
        <v>4296</v>
      </c>
      <c r="H1710" s="2" t="s">
        <v>4296</v>
      </c>
      <c r="I1710" s="2" t="s">
        <v>5505</v>
      </c>
      <c r="J1710" s="2" t="s">
        <v>1443</v>
      </c>
      <c r="K1710" s="2" t="s">
        <v>458</v>
      </c>
      <c r="L1710" s="3">
        <v>38.09</v>
      </c>
      <c r="M1710" s="3">
        <v>39.99</v>
      </c>
      <c r="N1710" s="3">
        <v>79.99</v>
      </c>
      <c r="O1710" s="2" t="s">
        <v>97</v>
      </c>
      <c r="P1710" s="2" t="s">
        <v>98</v>
      </c>
      <c r="Q1710" s="2" t="s">
        <v>99</v>
      </c>
      <c r="R1710" s="2" t="s">
        <v>100</v>
      </c>
      <c r="S1710" s="2" t="s">
        <v>6145</v>
      </c>
      <c r="T1710" s="2" t="s">
        <v>4296</v>
      </c>
      <c r="U1710" s="2" t="s">
        <v>1776</v>
      </c>
      <c r="V1710" s="2" t="s">
        <v>461</v>
      </c>
      <c r="W1710" s="2" t="s">
        <v>609</v>
      </c>
      <c r="X1710" s="2" t="s">
        <v>100</v>
      </c>
      <c r="Y1710" s="2" t="s">
        <v>6146</v>
      </c>
      <c r="Z1710" s="4">
        <v>490</v>
      </c>
      <c r="AA1710" s="4">
        <f>=ROUNDDOWN(30.625,0)</f>
      </c>
      <c r="AB1710" s="5">
        <v>16</v>
      </c>
      <c r="AC1710" s="2" t="s">
        <v>100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>
        <v>9</v>
      </c>
      <c r="AW1710" s="8">
        <v>530.44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/>
      <c r="BC1710" s="4">
        <v>9</v>
      </c>
      <c r="BD1710" s="8">
        <v>530.44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>
        <v>1</v>
      </c>
      <c r="BJ1710" s="4">
        <v>15</v>
      </c>
      <c r="BK1710" s="8">
        <v>625.85</v>
      </c>
      <c r="BL1710" s="2" t="s">
        <v>6147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2526</v>
      </c>
      <c r="BV1710" s="2" t="s">
        <v>97</v>
      </c>
      <c r="BW1710" s="2" t="s">
        <v>100</v>
      </c>
      <c r="BX1710" s="2" t="s">
        <v>100</v>
      </c>
      <c r="BY1710" s="2" t="s">
        <v>112</v>
      </c>
      <c r="BZ1710" s="2" t="s">
        <v>100</v>
      </c>
    </row>
    <row r="1711">
      <c r="A1711" s="2" t="s">
        <v>6148</v>
      </c>
      <c r="B1711" s="2" t="s">
        <v>5155</v>
      </c>
      <c r="C1711" s="2" t="s">
        <v>6144</v>
      </c>
      <c r="D1711" s="2" t="s">
        <v>5491</v>
      </c>
      <c r="E1711" s="2" t="s">
        <v>5492</v>
      </c>
      <c r="F1711" s="2" t="s">
        <v>4296</v>
      </c>
      <c r="G1711" s="2" t="s">
        <v>4296</v>
      </c>
      <c r="H1711" s="2" t="s">
        <v>4296</v>
      </c>
      <c r="I1711" s="2" t="s">
        <v>5505</v>
      </c>
      <c r="J1711" s="2" t="s">
        <v>1806</v>
      </c>
      <c r="K1711" s="2" t="s">
        <v>458</v>
      </c>
      <c r="L1711" s="3">
        <v>38.09</v>
      </c>
      <c r="M1711" s="3">
        <v>39.99</v>
      </c>
      <c r="N1711" s="3">
        <v>79.99</v>
      </c>
      <c r="O1711" s="2" t="s">
        <v>97</v>
      </c>
      <c r="P1711" s="2" t="s">
        <v>98</v>
      </c>
      <c r="Q1711" s="2" t="s">
        <v>99</v>
      </c>
      <c r="R1711" s="2" t="s">
        <v>100</v>
      </c>
      <c r="S1711" s="2" t="s">
        <v>6145</v>
      </c>
      <c r="T1711" s="2" t="s">
        <v>4296</v>
      </c>
      <c r="U1711" s="2" t="s">
        <v>1776</v>
      </c>
      <c r="V1711" s="2" t="s">
        <v>461</v>
      </c>
      <c r="W1711" s="2" t="s">
        <v>609</v>
      </c>
      <c r="X1711" s="2" t="s">
        <v>100</v>
      </c>
      <c r="Y1711" s="2" t="s">
        <v>6149</v>
      </c>
      <c r="Z1711" s="4">
        <v>2018</v>
      </c>
      <c r="AA1711" s="4">
        <f>=ROUNDDOWN(63.0625,0)</f>
      </c>
      <c r="AB1711" s="5">
        <v>32</v>
      </c>
      <c r="AC1711" s="2" t="s">
        <v>100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/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 t="s">
        <v>100</v>
      </c>
      <c r="BJ1711" s="4">
        <v>31</v>
      </c>
      <c r="BK1711" s="8">
        <v>1278.89</v>
      </c>
      <c r="BL1711" s="2" t="s">
        <v>1612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2526</v>
      </c>
      <c r="BV1711" s="2" t="s">
        <v>97</v>
      </c>
      <c r="BW1711" s="2" t="s">
        <v>100</v>
      </c>
      <c r="BX1711" s="2" t="s">
        <v>100</v>
      </c>
      <c r="BY1711" s="2" t="s">
        <v>112</v>
      </c>
      <c r="BZ1711" s="2" t="s">
        <v>100</v>
      </c>
    </row>
    <row r="1712">
      <c r="A1712" s="2" t="s">
        <v>6150</v>
      </c>
      <c r="B1712" s="2" t="s">
        <v>5155</v>
      </c>
      <c r="C1712" s="2" t="s">
        <v>6144</v>
      </c>
      <c r="D1712" s="2" t="s">
        <v>5491</v>
      </c>
      <c r="E1712" s="2" t="s">
        <v>5492</v>
      </c>
      <c r="F1712" s="2" t="s">
        <v>4296</v>
      </c>
      <c r="G1712" s="2" t="s">
        <v>4296</v>
      </c>
      <c r="H1712" s="2" t="s">
        <v>4296</v>
      </c>
      <c r="I1712" s="2" t="s">
        <v>5505</v>
      </c>
      <c r="J1712" s="2" t="s">
        <v>490</v>
      </c>
      <c r="K1712" s="2" t="s">
        <v>458</v>
      </c>
      <c r="L1712" s="3">
        <v>44.51</v>
      </c>
      <c r="M1712" s="3">
        <v>46.74</v>
      </c>
      <c r="N1712" s="3">
        <v>89.99</v>
      </c>
      <c r="O1712" s="2" t="s">
        <v>97</v>
      </c>
      <c r="P1712" s="2" t="s">
        <v>98</v>
      </c>
      <c r="Q1712" s="2" t="s">
        <v>99</v>
      </c>
      <c r="R1712" s="2" t="s">
        <v>100</v>
      </c>
      <c r="S1712" s="2" t="s">
        <v>100</v>
      </c>
      <c r="T1712" s="2" t="s">
        <v>4296</v>
      </c>
      <c r="U1712" s="2" t="s">
        <v>1776</v>
      </c>
      <c r="V1712" s="2" t="s">
        <v>461</v>
      </c>
      <c r="W1712" s="2" t="s">
        <v>609</v>
      </c>
      <c r="X1712" s="2" t="s">
        <v>100</v>
      </c>
      <c r="Y1712" s="2" t="s">
        <v>1526</v>
      </c>
      <c r="Z1712" s="4">
        <v>415</v>
      </c>
      <c r="AA1712" s="4">
        <f>=ROUNDDOWN(16.6,0)</f>
      </c>
      <c r="AB1712" s="5">
        <v>25</v>
      </c>
      <c r="AC1712" s="2" t="s">
        <v>3033</v>
      </c>
      <c r="AD1712" s="4">
        <v>180</v>
      </c>
      <c r="AE1712" s="4">
        <v>180</v>
      </c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3</v>
      </c>
      <c r="AQ1712" s="8">
        <v>139.89</v>
      </c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>
        <v>0.2637</v>
      </c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 t="s">
        <v>100</v>
      </c>
      <c r="BJ1712" s="4">
        <v>57</v>
      </c>
      <c r="BK1712" s="8">
        <v>2689.99</v>
      </c>
      <c r="BL1712" s="2" t="s">
        <v>1416</v>
      </c>
      <c r="BM1712" s="7">
        <v>0.0526</v>
      </c>
      <c r="BN1712" s="7">
        <v>0.052</v>
      </c>
      <c r="BO1712" s="4">
        <v>3</v>
      </c>
      <c r="BP1712" s="8">
        <v>139.89</v>
      </c>
      <c r="BQ1712" s="4"/>
      <c r="BR1712" s="8"/>
      <c r="BS1712" s="7"/>
      <c r="BT1712" s="7"/>
      <c r="BU1712" s="2" t="s">
        <v>109</v>
      </c>
      <c r="BV1712" s="2" t="s">
        <v>97</v>
      </c>
      <c r="BW1712" s="2" t="s">
        <v>6151</v>
      </c>
      <c r="BX1712" s="2" t="s">
        <v>6152</v>
      </c>
      <c r="BY1712" s="2" t="s">
        <v>112</v>
      </c>
      <c r="BZ1712" s="2" t="s">
        <v>100</v>
      </c>
    </row>
    <row r="1713">
      <c r="A1713" s="2" t="s">
        <v>6153</v>
      </c>
      <c r="B1713" s="2" t="s">
        <v>5155</v>
      </c>
      <c r="C1713" s="2" t="s">
        <v>6144</v>
      </c>
      <c r="D1713" s="2" t="s">
        <v>5491</v>
      </c>
      <c r="E1713" s="2" t="s">
        <v>5492</v>
      </c>
      <c r="F1713" s="2" t="s">
        <v>4296</v>
      </c>
      <c r="G1713" s="2" t="s">
        <v>4296</v>
      </c>
      <c r="H1713" s="2" t="s">
        <v>4296</v>
      </c>
      <c r="I1713" s="2" t="s">
        <v>5505</v>
      </c>
      <c r="J1713" s="2" t="s">
        <v>95</v>
      </c>
      <c r="K1713" s="2" t="s">
        <v>458</v>
      </c>
      <c r="L1713" s="3">
        <v>61.2</v>
      </c>
      <c r="M1713" s="3">
        <v>64.26</v>
      </c>
      <c r="N1713" s="3">
        <v>134.99</v>
      </c>
      <c r="O1713" s="2" t="s">
        <v>97</v>
      </c>
      <c r="P1713" s="2" t="s">
        <v>156</v>
      </c>
      <c r="Q1713" s="2" t="s">
        <v>99</v>
      </c>
      <c r="R1713" s="2" t="s">
        <v>100</v>
      </c>
      <c r="S1713" s="2" t="s">
        <v>100</v>
      </c>
      <c r="T1713" s="2" t="s">
        <v>4296</v>
      </c>
      <c r="U1713" s="2" t="s">
        <v>1776</v>
      </c>
      <c r="V1713" s="2" t="s">
        <v>461</v>
      </c>
      <c r="W1713" s="2" t="s">
        <v>609</v>
      </c>
      <c r="X1713" s="2" t="s">
        <v>100</v>
      </c>
      <c r="Y1713" s="2" t="s">
        <v>1526</v>
      </c>
      <c r="Z1713" s="4">
        <v>143</v>
      </c>
      <c r="AA1713" s="4">
        <f>=ROUNDDOWN(0.851190476190476,0)</f>
      </c>
      <c r="AB1713" s="5">
        <v>168</v>
      </c>
      <c r="AC1713" s="2" t="s">
        <v>1142</v>
      </c>
      <c r="AD1713" s="4">
        <v>1120</v>
      </c>
      <c r="AE1713" s="4">
        <v>3050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5</v>
      </c>
      <c r="AQ1713" s="8">
        <v>320.6</v>
      </c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>
        <v>0.6044</v>
      </c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 t="s">
        <v>100</v>
      </c>
      <c r="BJ1713" s="4">
        <v>183</v>
      </c>
      <c r="BK1713" s="8">
        <v>12143.63</v>
      </c>
      <c r="BL1713" s="2" t="s">
        <v>4075</v>
      </c>
      <c r="BM1713" s="7">
        <v>0.0273</v>
      </c>
      <c r="BN1713" s="7">
        <v>0.0264</v>
      </c>
      <c r="BO1713" s="4">
        <v>5</v>
      </c>
      <c r="BP1713" s="8">
        <v>320.6</v>
      </c>
      <c r="BQ1713" s="4"/>
      <c r="BR1713" s="8"/>
      <c r="BS1713" s="7"/>
      <c r="BT1713" s="7"/>
      <c r="BU1713" s="2" t="s">
        <v>109</v>
      </c>
      <c r="BV1713" s="2" t="s">
        <v>97</v>
      </c>
      <c r="BW1713" s="2" t="s">
        <v>5494</v>
      </c>
      <c r="BX1713" s="2" t="s">
        <v>5983</v>
      </c>
      <c r="BY1713" s="2" t="s">
        <v>112</v>
      </c>
      <c r="BZ1713" s="2" t="s">
        <v>100</v>
      </c>
    </row>
    <row r="1714">
      <c r="A1714" s="2" t="s">
        <v>6154</v>
      </c>
      <c r="B1714" s="2" t="s">
        <v>5155</v>
      </c>
      <c r="C1714" s="2" t="s">
        <v>6144</v>
      </c>
      <c r="D1714" s="2" t="s">
        <v>5491</v>
      </c>
      <c r="E1714" s="2" t="s">
        <v>5492</v>
      </c>
      <c r="F1714" s="2" t="s">
        <v>4296</v>
      </c>
      <c r="G1714" s="2" t="s">
        <v>4296</v>
      </c>
      <c r="H1714" s="2" t="s">
        <v>4296</v>
      </c>
      <c r="I1714" s="2" t="s">
        <v>5505</v>
      </c>
      <c r="J1714" s="2" t="s">
        <v>114</v>
      </c>
      <c r="K1714" s="2" t="s">
        <v>458</v>
      </c>
      <c r="L1714" s="3">
        <v>66.77</v>
      </c>
      <c r="M1714" s="3">
        <v>70.11</v>
      </c>
      <c r="N1714" s="3">
        <v>144.99</v>
      </c>
      <c r="O1714" s="2" t="s">
        <v>97</v>
      </c>
      <c r="P1714" s="2" t="s">
        <v>156</v>
      </c>
      <c r="Q1714" s="2" t="s">
        <v>99</v>
      </c>
      <c r="R1714" s="2" t="s">
        <v>100</v>
      </c>
      <c r="S1714" s="2" t="s">
        <v>100</v>
      </c>
      <c r="T1714" s="2" t="s">
        <v>4296</v>
      </c>
      <c r="U1714" s="2" t="s">
        <v>1776</v>
      </c>
      <c r="V1714" s="2" t="s">
        <v>461</v>
      </c>
      <c r="W1714" s="2" t="s">
        <v>609</v>
      </c>
      <c r="X1714" s="2" t="s">
        <v>100</v>
      </c>
      <c r="Y1714" s="2" t="s">
        <v>1526</v>
      </c>
      <c r="Z1714" s="4">
        <v>758</v>
      </c>
      <c r="AA1714" s="4">
        <f>=ROUNDDOWN(7.58,0)</f>
      </c>
      <c r="AB1714" s="5">
        <v>100</v>
      </c>
      <c r="AC1714" s="2" t="s">
        <v>1142</v>
      </c>
      <c r="AD1714" s="4">
        <v>250</v>
      </c>
      <c r="AE1714" s="4">
        <v>1490</v>
      </c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1</v>
      </c>
      <c r="AQ1714" s="8">
        <v>69.95</v>
      </c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>
        <v>0.1319</v>
      </c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 t="s">
        <v>100</v>
      </c>
      <c r="BJ1714" s="4">
        <v>138</v>
      </c>
      <c r="BK1714" s="8">
        <v>9777.3</v>
      </c>
      <c r="BL1714" s="2" t="s">
        <v>4075</v>
      </c>
      <c r="BM1714" s="7">
        <v>0.0072</v>
      </c>
      <c r="BN1714" s="7">
        <v>0.0072</v>
      </c>
      <c r="BO1714" s="4">
        <v>1</v>
      </c>
      <c r="BP1714" s="8">
        <v>69.95</v>
      </c>
      <c r="BQ1714" s="4"/>
      <c r="BR1714" s="8"/>
      <c r="BS1714" s="7"/>
      <c r="BT1714" s="7"/>
      <c r="BU1714" s="2" t="s">
        <v>109</v>
      </c>
      <c r="BV1714" s="2" t="s">
        <v>97</v>
      </c>
      <c r="BW1714" s="2" t="s">
        <v>6155</v>
      </c>
      <c r="BX1714" s="2" t="s">
        <v>6156</v>
      </c>
      <c r="BY1714" s="2" t="s">
        <v>112</v>
      </c>
      <c r="BZ1714" s="2" t="s">
        <v>100</v>
      </c>
    </row>
    <row r="1715">
      <c r="A1715" s="2" t="s">
        <v>6157</v>
      </c>
      <c r="B1715" s="2" t="s">
        <v>5155</v>
      </c>
      <c r="C1715" s="2" t="s">
        <v>6144</v>
      </c>
      <c r="D1715" s="2" t="s">
        <v>5491</v>
      </c>
      <c r="E1715" s="2" t="s">
        <v>5492</v>
      </c>
      <c r="F1715" s="2" t="s">
        <v>4296</v>
      </c>
      <c r="G1715" s="2" t="s">
        <v>4296</v>
      </c>
      <c r="H1715" s="2" t="s">
        <v>4296</v>
      </c>
      <c r="I1715" s="2" t="s">
        <v>5505</v>
      </c>
      <c r="J1715" s="2" t="s">
        <v>118</v>
      </c>
      <c r="K1715" s="2" t="s">
        <v>458</v>
      </c>
      <c r="L1715" s="3">
        <v>66.77</v>
      </c>
      <c r="M1715" s="3">
        <v>70.11</v>
      </c>
      <c r="N1715" s="3">
        <v>144.99</v>
      </c>
      <c r="O1715" s="2" t="s">
        <v>97</v>
      </c>
      <c r="P1715" s="2" t="s">
        <v>98</v>
      </c>
      <c r="Q1715" s="2" t="s">
        <v>99</v>
      </c>
      <c r="R1715" s="2" t="s">
        <v>100</v>
      </c>
      <c r="S1715" s="2" t="s">
        <v>100</v>
      </c>
      <c r="T1715" s="2" t="s">
        <v>4296</v>
      </c>
      <c r="U1715" s="2" t="s">
        <v>1776</v>
      </c>
      <c r="V1715" s="2" t="s">
        <v>461</v>
      </c>
      <c r="W1715" s="2" t="s">
        <v>609</v>
      </c>
      <c r="X1715" s="2" t="s">
        <v>100</v>
      </c>
      <c r="Y1715" s="2" t="s">
        <v>1526</v>
      </c>
      <c r="Z1715" s="4">
        <v>325</v>
      </c>
      <c r="AA1715" s="4">
        <f>=ROUNDDOWN(10.8333333333333,0)</f>
      </c>
      <c r="AB1715" s="5">
        <v>30</v>
      </c>
      <c r="AC1715" s="2" t="s">
        <v>3033</v>
      </c>
      <c r="AD1715" s="4">
        <v>260</v>
      </c>
      <c r="AE1715" s="4">
        <v>260</v>
      </c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/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 t="s">
        <v>100</v>
      </c>
      <c r="BJ1715" s="4">
        <v>41</v>
      </c>
      <c r="BK1715" s="8">
        <v>2929.33</v>
      </c>
      <c r="BL1715" s="2" t="s">
        <v>2098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109</v>
      </c>
      <c r="BV1715" s="2" t="s">
        <v>97</v>
      </c>
      <c r="BW1715" s="2" t="s">
        <v>6151</v>
      </c>
      <c r="BX1715" s="2" t="s">
        <v>6158</v>
      </c>
      <c r="BY1715" s="2" t="s">
        <v>112</v>
      </c>
      <c r="BZ1715" s="2" t="s">
        <v>100</v>
      </c>
    </row>
    <row r="1716">
      <c r="A1716" s="2" t="s">
        <v>6159</v>
      </c>
      <c r="B1716" s="2" t="s">
        <v>5155</v>
      </c>
      <c r="C1716" s="2" t="s">
        <v>6144</v>
      </c>
      <c r="D1716" s="2" t="s">
        <v>5491</v>
      </c>
      <c r="E1716" s="2" t="s">
        <v>5492</v>
      </c>
      <c r="F1716" s="2" t="s">
        <v>6160</v>
      </c>
      <c r="G1716" s="2" t="s">
        <v>6160</v>
      </c>
      <c r="H1716" s="2" t="s">
        <v>6160</v>
      </c>
      <c r="I1716" s="2" t="s">
        <v>5505</v>
      </c>
      <c r="J1716" s="2" t="s">
        <v>1443</v>
      </c>
      <c r="K1716" s="2" t="s">
        <v>458</v>
      </c>
      <c r="L1716" s="3">
        <v>44.52</v>
      </c>
      <c r="M1716" s="3">
        <v>46.75</v>
      </c>
      <c r="N1716" s="3">
        <v>94.99</v>
      </c>
      <c r="O1716" s="2" t="s">
        <v>97</v>
      </c>
      <c r="P1716" s="2" t="s">
        <v>98</v>
      </c>
      <c r="Q1716" s="2" t="s">
        <v>99</v>
      </c>
      <c r="R1716" s="2" t="s">
        <v>100</v>
      </c>
      <c r="S1716" s="2" t="s">
        <v>100</v>
      </c>
      <c r="T1716" s="2" t="s">
        <v>4529</v>
      </c>
      <c r="U1716" s="2" t="s">
        <v>1776</v>
      </c>
      <c r="V1716" s="2" t="s">
        <v>461</v>
      </c>
      <c r="W1716" s="2" t="s">
        <v>609</v>
      </c>
      <c r="X1716" s="2" t="s">
        <v>100</v>
      </c>
      <c r="Y1716" s="2" t="s">
        <v>6161</v>
      </c>
      <c r="Z1716" s="4">
        <v>175</v>
      </c>
      <c r="AA1716" s="4">
        <f>=ROUNDDOWN(19.4444444444444,0)</f>
      </c>
      <c r="AB1716" s="5">
        <v>9</v>
      </c>
      <c r="AC1716" s="2" t="s">
        <v>1142</v>
      </c>
      <c r="AD1716" s="4">
        <v>300</v>
      </c>
      <c r="AE1716" s="4">
        <v>300</v>
      </c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>
        <v>6</v>
      </c>
      <c r="AW1716" s="8">
        <v>448.86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/>
      <c r="BC1716" s="4">
        <v>6</v>
      </c>
      <c r="BD1716" s="8">
        <v>448.86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>
        <v>1</v>
      </c>
      <c r="BJ1716" s="4">
        <v>11</v>
      </c>
      <c r="BK1716" s="8">
        <v>527.4</v>
      </c>
      <c r="BL1716" s="2" t="s">
        <v>6162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109</v>
      </c>
      <c r="BV1716" s="2" t="s">
        <v>97</v>
      </c>
      <c r="BW1716" s="2" t="s">
        <v>6151</v>
      </c>
      <c r="BX1716" s="2" t="s">
        <v>2365</v>
      </c>
      <c r="BY1716" s="2" t="s">
        <v>112</v>
      </c>
      <c r="BZ1716" s="2" t="s">
        <v>100</v>
      </c>
    </row>
    <row r="1717">
      <c r="A1717" s="2" t="s">
        <v>6163</v>
      </c>
      <c r="B1717" s="2" t="s">
        <v>5155</v>
      </c>
      <c r="C1717" s="2" t="s">
        <v>6144</v>
      </c>
      <c r="D1717" s="2" t="s">
        <v>5491</v>
      </c>
      <c r="E1717" s="2" t="s">
        <v>5492</v>
      </c>
      <c r="F1717" s="2" t="s">
        <v>6160</v>
      </c>
      <c r="G1717" s="2" t="s">
        <v>6160</v>
      </c>
      <c r="H1717" s="2" t="s">
        <v>6160</v>
      </c>
      <c r="I1717" s="2" t="s">
        <v>5505</v>
      </c>
      <c r="J1717" s="2" t="s">
        <v>1806</v>
      </c>
      <c r="K1717" s="2" t="s">
        <v>458</v>
      </c>
      <c r="L1717" s="3">
        <v>44.52</v>
      </c>
      <c r="M1717" s="3">
        <v>46.75</v>
      </c>
      <c r="N1717" s="3">
        <v>94.99</v>
      </c>
      <c r="O1717" s="2" t="s">
        <v>97</v>
      </c>
      <c r="P1717" s="2" t="s">
        <v>98</v>
      </c>
      <c r="Q1717" s="2" t="s">
        <v>99</v>
      </c>
      <c r="R1717" s="2" t="s">
        <v>100</v>
      </c>
      <c r="S1717" s="2" t="s">
        <v>100</v>
      </c>
      <c r="T1717" s="2" t="s">
        <v>4529</v>
      </c>
      <c r="U1717" s="2" t="s">
        <v>1776</v>
      </c>
      <c r="V1717" s="2" t="s">
        <v>461</v>
      </c>
      <c r="W1717" s="2" t="s">
        <v>609</v>
      </c>
      <c r="X1717" s="2" t="s">
        <v>100</v>
      </c>
      <c r="Y1717" s="2" t="s">
        <v>6161</v>
      </c>
      <c r="Z1717" s="4">
        <v>449</v>
      </c>
      <c r="AA1717" s="4">
        <f>=ROUNDDOWN(24.9444444444444,0)</f>
      </c>
      <c r="AB1717" s="5">
        <v>18</v>
      </c>
      <c r="AC1717" s="2" t="s">
        <v>100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1</v>
      </c>
      <c r="AQ1717" s="8">
        <v>46.64</v>
      </c>
      <c r="AR1717" s="4"/>
      <c r="AS1717" s="8"/>
      <c r="AT1717" s="7"/>
      <c r="AU1717" s="7"/>
      <c r="AV1717" s="4" t="s">
        <v>100</v>
      </c>
      <c r="AW1717" s="8" t="s">
        <v>100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>
        <v>0.1039</v>
      </c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 t="s">
        <v>100</v>
      </c>
      <c r="BJ1717" s="4">
        <v>15</v>
      </c>
      <c r="BK1717" s="8">
        <v>736.39</v>
      </c>
      <c r="BL1717" s="2" t="s">
        <v>6164</v>
      </c>
      <c r="BM1717" s="7">
        <v>0.0667</v>
      </c>
      <c r="BN1717" s="7">
        <v>0.0633</v>
      </c>
      <c r="BO1717" s="4">
        <v>1</v>
      </c>
      <c r="BP1717" s="8">
        <v>46.64</v>
      </c>
      <c r="BQ1717" s="4"/>
      <c r="BR1717" s="8"/>
      <c r="BS1717" s="7"/>
      <c r="BT1717" s="7"/>
      <c r="BU1717" s="2" t="s">
        <v>109</v>
      </c>
      <c r="BV1717" s="2" t="s">
        <v>97</v>
      </c>
      <c r="BW1717" s="2" t="s">
        <v>6151</v>
      </c>
      <c r="BX1717" s="2" t="s">
        <v>6165</v>
      </c>
      <c r="BY1717" s="2" t="s">
        <v>112</v>
      </c>
      <c r="BZ1717" s="2" t="s">
        <v>100</v>
      </c>
    </row>
    <row r="1718">
      <c r="A1718" s="2" t="s">
        <v>6166</v>
      </c>
      <c r="B1718" s="2" t="s">
        <v>5155</v>
      </c>
      <c r="C1718" s="2" t="s">
        <v>6144</v>
      </c>
      <c r="D1718" s="2" t="s">
        <v>5491</v>
      </c>
      <c r="E1718" s="2" t="s">
        <v>5492</v>
      </c>
      <c r="F1718" s="2" t="s">
        <v>6160</v>
      </c>
      <c r="G1718" s="2" t="s">
        <v>6160</v>
      </c>
      <c r="H1718" s="2" t="s">
        <v>6160</v>
      </c>
      <c r="I1718" s="2" t="s">
        <v>5505</v>
      </c>
      <c r="J1718" s="2" t="s">
        <v>490</v>
      </c>
      <c r="K1718" s="2" t="s">
        <v>458</v>
      </c>
      <c r="L1718" s="3">
        <v>50.08</v>
      </c>
      <c r="M1718" s="3">
        <v>52.58</v>
      </c>
      <c r="N1718" s="3">
        <v>107.99</v>
      </c>
      <c r="O1718" s="2" t="s">
        <v>97</v>
      </c>
      <c r="P1718" s="2" t="s">
        <v>98</v>
      </c>
      <c r="Q1718" s="2" t="s">
        <v>99</v>
      </c>
      <c r="R1718" s="2" t="s">
        <v>100</v>
      </c>
      <c r="S1718" s="2" t="s">
        <v>100</v>
      </c>
      <c r="T1718" s="2" t="s">
        <v>4529</v>
      </c>
      <c r="U1718" s="2" t="s">
        <v>1776</v>
      </c>
      <c r="V1718" s="2" t="s">
        <v>461</v>
      </c>
      <c r="W1718" s="2" t="s">
        <v>609</v>
      </c>
      <c r="X1718" s="2" t="s">
        <v>100</v>
      </c>
      <c r="Y1718" s="2" t="s">
        <v>6161</v>
      </c>
      <c r="Z1718" s="4">
        <v>511</v>
      </c>
      <c r="AA1718" s="4">
        <f>=ROUNDDOWN(39.3076923076923,0)</f>
      </c>
      <c r="AB1718" s="5">
        <v>13</v>
      </c>
      <c r="AC1718" s="2" t="s">
        <v>2363</v>
      </c>
      <c r="AD1718" s="4">
        <v>300</v>
      </c>
      <c r="AE1718" s="4">
        <v>300</v>
      </c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/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 t="s">
        <v>100</v>
      </c>
      <c r="BJ1718" s="4">
        <v>12</v>
      </c>
      <c r="BK1718" s="8">
        <v>663.5</v>
      </c>
      <c r="BL1718" s="2" t="s">
        <v>788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109</v>
      </c>
      <c r="BV1718" s="2" t="s">
        <v>97</v>
      </c>
      <c r="BW1718" s="2" t="s">
        <v>6151</v>
      </c>
      <c r="BX1718" s="2" t="s">
        <v>6167</v>
      </c>
      <c r="BY1718" s="2" t="s">
        <v>112</v>
      </c>
      <c r="BZ1718" s="2" t="s">
        <v>100</v>
      </c>
    </row>
    <row r="1719">
      <c r="A1719" s="2" t="s">
        <v>6168</v>
      </c>
      <c r="B1719" s="2" t="s">
        <v>5155</v>
      </c>
      <c r="C1719" s="2" t="s">
        <v>6144</v>
      </c>
      <c r="D1719" s="2" t="s">
        <v>5491</v>
      </c>
      <c r="E1719" s="2" t="s">
        <v>5492</v>
      </c>
      <c r="F1719" s="2" t="s">
        <v>6160</v>
      </c>
      <c r="G1719" s="2" t="s">
        <v>6160</v>
      </c>
      <c r="H1719" s="2" t="s">
        <v>6160</v>
      </c>
      <c r="I1719" s="2" t="s">
        <v>5505</v>
      </c>
      <c r="J1719" s="2" t="s">
        <v>95</v>
      </c>
      <c r="K1719" s="2" t="s">
        <v>458</v>
      </c>
      <c r="L1719" s="3">
        <v>72.34</v>
      </c>
      <c r="M1719" s="3">
        <v>75.96</v>
      </c>
      <c r="N1719" s="3">
        <v>154.99</v>
      </c>
      <c r="O1719" s="2" t="s">
        <v>97</v>
      </c>
      <c r="P1719" s="2" t="s">
        <v>98</v>
      </c>
      <c r="Q1719" s="2" t="s">
        <v>99</v>
      </c>
      <c r="R1719" s="2" t="s">
        <v>100</v>
      </c>
      <c r="S1719" s="2" t="s">
        <v>100</v>
      </c>
      <c r="T1719" s="2" t="s">
        <v>4529</v>
      </c>
      <c r="U1719" s="2" t="s">
        <v>1776</v>
      </c>
      <c r="V1719" s="2" t="s">
        <v>461</v>
      </c>
      <c r="W1719" s="2" t="s">
        <v>609</v>
      </c>
      <c r="X1719" s="2" t="s">
        <v>100</v>
      </c>
      <c r="Y1719" s="2" t="s">
        <v>6161</v>
      </c>
      <c r="Z1719" s="4">
        <v>579</v>
      </c>
      <c r="AA1719" s="4">
        <f>=ROUNDDOWN(10.3392857142857,0)</f>
      </c>
      <c r="AB1719" s="5">
        <v>56</v>
      </c>
      <c r="AC1719" s="2" t="s">
        <v>1142</v>
      </c>
      <c r="AD1719" s="4">
        <v>370</v>
      </c>
      <c r="AE1719" s="4">
        <v>1020</v>
      </c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1</v>
      </c>
      <c r="AQ1719" s="8">
        <v>75.78</v>
      </c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>
        <v>0.1688</v>
      </c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 t="s">
        <v>100</v>
      </c>
      <c r="BJ1719" s="4">
        <v>36</v>
      </c>
      <c r="BK1719" s="8">
        <v>2919.12</v>
      </c>
      <c r="BL1719" s="2" t="s">
        <v>6169</v>
      </c>
      <c r="BM1719" s="7">
        <v>0.0278</v>
      </c>
      <c r="BN1719" s="7">
        <v>0.026</v>
      </c>
      <c r="BO1719" s="4">
        <v>1</v>
      </c>
      <c r="BP1719" s="8">
        <v>75.78</v>
      </c>
      <c r="BQ1719" s="4"/>
      <c r="BR1719" s="8"/>
      <c r="BS1719" s="7"/>
      <c r="BT1719" s="7"/>
      <c r="BU1719" s="2" t="s">
        <v>109</v>
      </c>
      <c r="BV1719" s="2" t="s">
        <v>97</v>
      </c>
      <c r="BW1719" s="2" t="s">
        <v>6151</v>
      </c>
      <c r="BX1719" s="2" t="s">
        <v>6167</v>
      </c>
      <c r="BY1719" s="2" t="s">
        <v>112</v>
      </c>
      <c r="BZ1719" s="2" t="s">
        <v>100</v>
      </c>
    </row>
    <row r="1720">
      <c r="A1720" s="2" t="s">
        <v>6170</v>
      </c>
      <c r="B1720" s="2" t="s">
        <v>5155</v>
      </c>
      <c r="C1720" s="2" t="s">
        <v>6144</v>
      </c>
      <c r="D1720" s="2" t="s">
        <v>5491</v>
      </c>
      <c r="E1720" s="2" t="s">
        <v>5492</v>
      </c>
      <c r="F1720" s="2" t="s">
        <v>6160</v>
      </c>
      <c r="G1720" s="2" t="s">
        <v>6160</v>
      </c>
      <c r="H1720" s="2" t="s">
        <v>6160</v>
      </c>
      <c r="I1720" s="2" t="s">
        <v>5505</v>
      </c>
      <c r="J1720" s="2" t="s">
        <v>114</v>
      </c>
      <c r="K1720" s="2" t="s">
        <v>458</v>
      </c>
      <c r="L1720" s="3">
        <v>77.9</v>
      </c>
      <c r="M1720" s="3">
        <v>81.8</v>
      </c>
      <c r="N1720" s="3">
        <v>166.99</v>
      </c>
      <c r="O1720" s="2" t="s">
        <v>97</v>
      </c>
      <c r="P1720" s="2" t="s">
        <v>98</v>
      </c>
      <c r="Q1720" s="2" t="s">
        <v>99</v>
      </c>
      <c r="R1720" s="2" t="s">
        <v>100</v>
      </c>
      <c r="S1720" s="2" t="s">
        <v>100</v>
      </c>
      <c r="T1720" s="2" t="s">
        <v>4529</v>
      </c>
      <c r="U1720" s="2" t="s">
        <v>1776</v>
      </c>
      <c r="V1720" s="2" t="s">
        <v>461</v>
      </c>
      <c r="W1720" s="2" t="s">
        <v>609</v>
      </c>
      <c r="X1720" s="2" t="s">
        <v>100</v>
      </c>
      <c r="Y1720" s="2" t="s">
        <v>6161</v>
      </c>
      <c r="Z1720" s="4">
        <v>675</v>
      </c>
      <c r="AA1720" s="4">
        <f>=ROUNDDOWN(19.8529411764706,0)</f>
      </c>
      <c r="AB1720" s="5">
        <v>34</v>
      </c>
      <c r="AC1720" s="2" t="s">
        <v>3033</v>
      </c>
      <c r="AD1720" s="4">
        <v>190</v>
      </c>
      <c r="AE1720" s="4">
        <v>190</v>
      </c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2</v>
      </c>
      <c r="AQ1720" s="8">
        <v>163.22</v>
      </c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>
        <v>0.3636</v>
      </c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 t="s">
        <v>100</v>
      </c>
      <c r="BJ1720" s="4">
        <v>30</v>
      </c>
      <c r="BK1720" s="8">
        <v>2572.88</v>
      </c>
      <c r="BL1720" s="2" t="s">
        <v>6171</v>
      </c>
      <c r="BM1720" s="7">
        <v>0.0667</v>
      </c>
      <c r="BN1720" s="7">
        <v>0.0634</v>
      </c>
      <c r="BO1720" s="4">
        <v>2</v>
      </c>
      <c r="BP1720" s="8">
        <v>163.22</v>
      </c>
      <c r="BQ1720" s="4"/>
      <c r="BR1720" s="8"/>
      <c r="BS1720" s="7"/>
      <c r="BT1720" s="7"/>
      <c r="BU1720" s="2" t="s">
        <v>109</v>
      </c>
      <c r="BV1720" s="2" t="s">
        <v>97</v>
      </c>
      <c r="BW1720" s="2" t="s">
        <v>6151</v>
      </c>
      <c r="BX1720" s="2" t="s">
        <v>6167</v>
      </c>
      <c r="BY1720" s="2" t="s">
        <v>112</v>
      </c>
      <c r="BZ1720" s="2" t="s">
        <v>100</v>
      </c>
    </row>
    <row r="1721">
      <c r="A1721" s="2" t="s">
        <v>6172</v>
      </c>
      <c r="B1721" s="2" t="s">
        <v>5155</v>
      </c>
      <c r="C1721" s="2" t="s">
        <v>6144</v>
      </c>
      <c r="D1721" s="2" t="s">
        <v>5491</v>
      </c>
      <c r="E1721" s="2" t="s">
        <v>5492</v>
      </c>
      <c r="F1721" s="2" t="s">
        <v>6160</v>
      </c>
      <c r="G1721" s="2" t="s">
        <v>6160</v>
      </c>
      <c r="H1721" s="2" t="s">
        <v>6160</v>
      </c>
      <c r="I1721" s="2" t="s">
        <v>5505</v>
      </c>
      <c r="J1721" s="2" t="s">
        <v>118</v>
      </c>
      <c r="K1721" s="2" t="s">
        <v>458</v>
      </c>
      <c r="L1721" s="3">
        <v>77.9</v>
      </c>
      <c r="M1721" s="3">
        <v>81.8</v>
      </c>
      <c r="N1721" s="3">
        <v>166.99</v>
      </c>
      <c r="O1721" s="2" t="s">
        <v>97</v>
      </c>
      <c r="P1721" s="2" t="s">
        <v>98</v>
      </c>
      <c r="Q1721" s="2" t="s">
        <v>99</v>
      </c>
      <c r="R1721" s="2" t="s">
        <v>100</v>
      </c>
      <c r="S1721" s="2" t="s">
        <v>100</v>
      </c>
      <c r="T1721" s="2" t="s">
        <v>4529</v>
      </c>
      <c r="U1721" s="2" t="s">
        <v>1776</v>
      </c>
      <c r="V1721" s="2" t="s">
        <v>461</v>
      </c>
      <c r="W1721" s="2" t="s">
        <v>609</v>
      </c>
      <c r="X1721" s="2" t="s">
        <v>100</v>
      </c>
      <c r="Y1721" s="2" t="s">
        <v>6161</v>
      </c>
      <c r="Z1721" s="4">
        <v>284</v>
      </c>
      <c r="AA1721" s="4">
        <f>=ROUNDDOWN(35.5,0)</f>
      </c>
      <c r="AB1721" s="5">
        <v>8</v>
      </c>
      <c r="AC1721" s="2" t="s">
        <v>100</v>
      </c>
      <c r="AD1721" s="4"/>
      <c r="AE1721" s="4"/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2</v>
      </c>
      <c r="AQ1721" s="8">
        <v>163.22</v>
      </c>
      <c r="AR1721" s="4"/>
      <c r="AS1721" s="8"/>
      <c r="AT1721" s="7"/>
      <c r="AU1721" s="7"/>
      <c r="AV1721" s="4" t="s">
        <v>100</v>
      </c>
      <c r="AW1721" s="8" t="s">
        <v>100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>
        <v>0.3636</v>
      </c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 t="s">
        <v>100</v>
      </c>
      <c r="BJ1721" s="4">
        <v>10</v>
      </c>
      <c r="BK1721" s="8">
        <v>850.73</v>
      </c>
      <c r="BL1721" s="2" t="s">
        <v>5286</v>
      </c>
      <c r="BM1721" s="7">
        <v>0.2</v>
      </c>
      <c r="BN1721" s="7">
        <v>0.1919</v>
      </c>
      <c r="BO1721" s="4">
        <v>2</v>
      </c>
      <c r="BP1721" s="8">
        <v>163.22</v>
      </c>
      <c r="BQ1721" s="4"/>
      <c r="BR1721" s="8"/>
      <c r="BS1721" s="7"/>
      <c r="BT1721" s="7"/>
      <c r="BU1721" s="2" t="s">
        <v>109</v>
      </c>
      <c r="BV1721" s="2" t="s">
        <v>97</v>
      </c>
      <c r="BW1721" s="2" t="s">
        <v>6151</v>
      </c>
      <c r="BX1721" s="2" t="s">
        <v>6173</v>
      </c>
      <c r="BY1721" s="2" t="s">
        <v>112</v>
      </c>
      <c r="BZ1721" s="2" t="s">
        <v>100</v>
      </c>
    </row>
    <row r="1722">
      <c r="A1722" s="2" t="s">
        <v>6174</v>
      </c>
      <c r="B1722" s="2" t="s">
        <v>5155</v>
      </c>
      <c r="C1722" s="2" t="s">
        <v>6144</v>
      </c>
      <c r="D1722" s="2" t="s">
        <v>5491</v>
      </c>
      <c r="E1722" s="2" t="s">
        <v>5492</v>
      </c>
      <c r="F1722" s="2" t="s">
        <v>6175</v>
      </c>
      <c r="G1722" s="2" t="s">
        <v>6175</v>
      </c>
      <c r="H1722" s="2" t="s">
        <v>6175</v>
      </c>
      <c r="I1722" s="2" t="s">
        <v>4044</v>
      </c>
      <c r="J1722" s="2" t="s">
        <v>1443</v>
      </c>
      <c r="K1722" s="2" t="s">
        <v>458</v>
      </c>
      <c r="L1722" s="3">
        <v>35.71</v>
      </c>
      <c r="M1722" s="3">
        <v>37.5</v>
      </c>
      <c r="N1722" s="3">
        <v>74.99</v>
      </c>
      <c r="O1722" s="2" t="s">
        <v>97</v>
      </c>
      <c r="P1722" s="2" t="s">
        <v>98</v>
      </c>
      <c r="Q1722" s="2" t="s">
        <v>99</v>
      </c>
      <c r="R1722" s="2" t="s">
        <v>100</v>
      </c>
      <c r="S1722" s="2" t="s">
        <v>6176</v>
      </c>
      <c r="T1722" s="2" t="s">
        <v>438</v>
      </c>
      <c r="U1722" s="2" t="s">
        <v>1776</v>
      </c>
      <c r="V1722" s="2" t="s">
        <v>461</v>
      </c>
      <c r="W1722" s="2" t="s">
        <v>609</v>
      </c>
      <c r="X1722" s="2" t="s">
        <v>100</v>
      </c>
      <c r="Y1722" s="2" t="s">
        <v>675</v>
      </c>
      <c r="Z1722" s="4">
        <v>35</v>
      </c>
      <c r="AA1722" s="4">
        <f>=ROUNDDOWN(3.5,0)</f>
      </c>
      <c r="AB1722" s="5">
        <v>10</v>
      </c>
      <c r="AC1722" s="2" t="s">
        <v>1142</v>
      </c>
      <c r="AD1722" s="4">
        <v>300</v>
      </c>
      <c r="AE1722" s="4">
        <v>300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100</v>
      </c>
      <c r="AW1722" s="8" t="s">
        <v>100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/>
      <c r="BC1722" s="4" t="s">
        <v>100</v>
      </c>
      <c r="BD1722" s="8" t="s">
        <v>100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/>
      <c r="BJ1722" s="4">
        <v>10</v>
      </c>
      <c r="BK1722" s="8">
        <v>398.22</v>
      </c>
      <c r="BL1722" s="2" t="s">
        <v>6177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2526</v>
      </c>
      <c r="BV1722" s="2" t="s">
        <v>97</v>
      </c>
      <c r="BW1722" s="2" t="s">
        <v>100</v>
      </c>
      <c r="BX1722" s="2" t="s">
        <v>100</v>
      </c>
      <c r="BY1722" s="2" t="s">
        <v>112</v>
      </c>
      <c r="BZ1722" s="2" t="s">
        <v>100</v>
      </c>
    </row>
    <row r="1723">
      <c r="A1723" s="2" t="s">
        <v>6178</v>
      </c>
      <c r="B1723" s="2" t="s">
        <v>5155</v>
      </c>
      <c r="C1723" s="2" t="s">
        <v>6144</v>
      </c>
      <c r="D1723" s="2" t="s">
        <v>5491</v>
      </c>
      <c r="E1723" s="2" t="s">
        <v>5492</v>
      </c>
      <c r="F1723" s="2" t="s">
        <v>6175</v>
      </c>
      <c r="G1723" s="2" t="s">
        <v>6175</v>
      </c>
      <c r="H1723" s="2" t="s">
        <v>6175</v>
      </c>
      <c r="I1723" s="2" t="s">
        <v>4044</v>
      </c>
      <c r="J1723" s="2" t="s">
        <v>1806</v>
      </c>
      <c r="K1723" s="2" t="s">
        <v>458</v>
      </c>
      <c r="L1723" s="3">
        <v>35.71</v>
      </c>
      <c r="M1723" s="3">
        <v>37.5</v>
      </c>
      <c r="N1723" s="3">
        <v>74.99</v>
      </c>
      <c r="O1723" s="2" t="s">
        <v>97</v>
      </c>
      <c r="P1723" s="2" t="s">
        <v>98</v>
      </c>
      <c r="Q1723" s="2" t="s">
        <v>99</v>
      </c>
      <c r="R1723" s="2" t="s">
        <v>100</v>
      </c>
      <c r="S1723" s="2" t="s">
        <v>6176</v>
      </c>
      <c r="T1723" s="2" t="s">
        <v>438</v>
      </c>
      <c r="U1723" s="2" t="s">
        <v>1776</v>
      </c>
      <c r="V1723" s="2" t="s">
        <v>461</v>
      </c>
      <c r="W1723" s="2" t="s">
        <v>609</v>
      </c>
      <c r="X1723" s="2" t="s">
        <v>100</v>
      </c>
      <c r="Y1723" s="2" t="s">
        <v>675</v>
      </c>
      <c r="Z1723" s="4">
        <v>646</v>
      </c>
      <c r="AA1723" s="4">
        <f>=ROUNDDOWN(43.0666666666667,0)</f>
      </c>
      <c r="AB1723" s="5">
        <v>15</v>
      </c>
      <c r="AC1723" s="2" t="s">
        <v>100</v>
      </c>
      <c r="AD1723" s="4"/>
      <c r="AE1723" s="4"/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 t="s">
        <v>100</v>
      </c>
      <c r="AW1723" s="8" t="s">
        <v>100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/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/>
      <c r="BJ1723" s="4">
        <v>14</v>
      </c>
      <c r="BK1723" s="8">
        <v>540.35</v>
      </c>
      <c r="BL1723" s="2" t="s">
        <v>647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2526</v>
      </c>
      <c r="BV1723" s="2" t="s">
        <v>97</v>
      </c>
      <c r="BW1723" s="2" t="s">
        <v>100</v>
      </c>
      <c r="BX1723" s="2" t="s">
        <v>100</v>
      </c>
      <c r="BY1723" s="2" t="s">
        <v>112</v>
      </c>
      <c r="BZ1723" s="2" t="s">
        <v>100</v>
      </c>
    </row>
    <row r="1724">
      <c r="A1724" s="2" t="s">
        <v>6179</v>
      </c>
      <c r="B1724" s="2" t="s">
        <v>5155</v>
      </c>
      <c r="C1724" s="2" t="s">
        <v>6144</v>
      </c>
      <c r="D1724" s="2" t="s">
        <v>5491</v>
      </c>
      <c r="E1724" s="2" t="s">
        <v>5492</v>
      </c>
      <c r="F1724" s="2" t="s">
        <v>6175</v>
      </c>
      <c r="G1724" s="2" t="s">
        <v>6175</v>
      </c>
      <c r="H1724" s="2" t="s">
        <v>6175</v>
      </c>
      <c r="I1724" s="2" t="s">
        <v>4044</v>
      </c>
      <c r="J1724" s="2" t="s">
        <v>490</v>
      </c>
      <c r="K1724" s="2" t="s">
        <v>458</v>
      </c>
      <c r="L1724" s="3">
        <v>40.47</v>
      </c>
      <c r="M1724" s="3">
        <v>42.49</v>
      </c>
      <c r="N1724" s="3">
        <v>84.99</v>
      </c>
      <c r="O1724" s="2" t="s">
        <v>97</v>
      </c>
      <c r="P1724" s="2" t="s">
        <v>98</v>
      </c>
      <c r="Q1724" s="2" t="s">
        <v>99</v>
      </c>
      <c r="R1724" s="2" t="s">
        <v>100</v>
      </c>
      <c r="S1724" s="2" t="s">
        <v>6176</v>
      </c>
      <c r="T1724" s="2" t="s">
        <v>438</v>
      </c>
      <c r="U1724" s="2" t="s">
        <v>1776</v>
      </c>
      <c r="V1724" s="2" t="s">
        <v>461</v>
      </c>
      <c r="W1724" s="2" t="s">
        <v>609</v>
      </c>
      <c r="X1724" s="2" t="s">
        <v>100</v>
      </c>
      <c r="Y1724" s="2" t="s">
        <v>675</v>
      </c>
      <c r="Z1724" s="4">
        <v>106</v>
      </c>
      <c r="AA1724" s="4">
        <f>=ROUNDDOWN(6.625,0)</f>
      </c>
      <c r="AB1724" s="5">
        <v>16</v>
      </c>
      <c r="AC1724" s="2" t="s">
        <v>1142</v>
      </c>
      <c r="AD1724" s="4">
        <v>150</v>
      </c>
      <c r="AE1724" s="4">
        <v>350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/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/>
      <c r="BJ1724" s="4">
        <v>17</v>
      </c>
      <c r="BK1724" s="8">
        <v>797.17</v>
      </c>
      <c r="BL1724" s="2" t="s">
        <v>6180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2526</v>
      </c>
      <c r="BV1724" s="2" t="s">
        <v>97</v>
      </c>
      <c r="BW1724" s="2" t="s">
        <v>100</v>
      </c>
      <c r="BX1724" s="2" t="s">
        <v>100</v>
      </c>
      <c r="BY1724" s="2" t="s">
        <v>112</v>
      </c>
      <c r="BZ1724" s="2" t="s">
        <v>100</v>
      </c>
    </row>
    <row r="1725">
      <c r="A1725" s="2" t="s">
        <v>6181</v>
      </c>
      <c r="B1725" s="2" t="s">
        <v>5155</v>
      </c>
      <c r="C1725" s="2" t="s">
        <v>6144</v>
      </c>
      <c r="D1725" s="2" t="s">
        <v>5491</v>
      </c>
      <c r="E1725" s="2" t="s">
        <v>5492</v>
      </c>
      <c r="F1725" s="2" t="s">
        <v>6175</v>
      </c>
      <c r="G1725" s="2" t="s">
        <v>6175</v>
      </c>
      <c r="H1725" s="2" t="s">
        <v>6175</v>
      </c>
      <c r="I1725" s="2" t="s">
        <v>4044</v>
      </c>
      <c r="J1725" s="2" t="s">
        <v>95</v>
      </c>
      <c r="K1725" s="2" t="s">
        <v>458</v>
      </c>
      <c r="L1725" s="3">
        <v>54.76</v>
      </c>
      <c r="M1725" s="3">
        <v>57.5</v>
      </c>
      <c r="N1725" s="3">
        <v>114.99</v>
      </c>
      <c r="O1725" s="2" t="s">
        <v>97</v>
      </c>
      <c r="P1725" s="2" t="s">
        <v>98</v>
      </c>
      <c r="Q1725" s="2" t="s">
        <v>99</v>
      </c>
      <c r="R1725" s="2" t="s">
        <v>100</v>
      </c>
      <c r="S1725" s="2" t="s">
        <v>6176</v>
      </c>
      <c r="T1725" s="2" t="s">
        <v>438</v>
      </c>
      <c r="U1725" s="2" t="s">
        <v>1776</v>
      </c>
      <c r="V1725" s="2" t="s">
        <v>461</v>
      </c>
      <c r="W1725" s="2" t="s">
        <v>609</v>
      </c>
      <c r="X1725" s="2" t="s">
        <v>100</v>
      </c>
      <c r="Y1725" s="2" t="s">
        <v>6149</v>
      </c>
      <c r="Z1725" s="4"/>
      <c r="AA1725" s="4">
        <f>=ROUNDDOWN({0},0)</f>
      </c>
      <c r="AB1725" s="5">
        <v>113</v>
      </c>
      <c r="AC1725" s="2" t="s">
        <v>1142</v>
      </c>
      <c r="AD1725" s="4">
        <v>760</v>
      </c>
      <c r="AE1725" s="4">
        <v>2060</v>
      </c>
      <c r="AF1725" s="6">
        <v>65</v>
      </c>
      <c r="AG1725" s="6"/>
      <c r="AH1725" s="7">
        <v>0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/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/>
      <c r="BJ1725" s="4">
        <v>2</v>
      </c>
      <c r="BK1725" s="8">
        <v>229.98</v>
      </c>
      <c r="BL1725" s="2" t="s">
        <v>3783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2526</v>
      </c>
      <c r="BV1725" s="2" t="s">
        <v>97</v>
      </c>
      <c r="BW1725" s="2" t="s">
        <v>100</v>
      </c>
      <c r="BX1725" s="2" t="s">
        <v>100</v>
      </c>
      <c r="BY1725" s="2" t="s">
        <v>112</v>
      </c>
      <c r="BZ1725" s="2" t="s">
        <v>100</v>
      </c>
    </row>
    <row r="1726">
      <c r="A1726" s="2" t="s">
        <v>6182</v>
      </c>
      <c r="B1726" s="2" t="s">
        <v>5155</v>
      </c>
      <c r="C1726" s="2" t="s">
        <v>6144</v>
      </c>
      <c r="D1726" s="2" t="s">
        <v>5491</v>
      </c>
      <c r="E1726" s="2" t="s">
        <v>5492</v>
      </c>
      <c r="F1726" s="2" t="s">
        <v>6175</v>
      </c>
      <c r="G1726" s="2" t="s">
        <v>6175</v>
      </c>
      <c r="H1726" s="2" t="s">
        <v>6175</v>
      </c>
      <c r="I1726" s="2" t="s">
        <v>4044</v>
      </c>
      <c r="J1726" s="2" t="s">
        <v>114</v>
      </c>
      <c r="K1726" s="2" t="s">
        <v>458</v>
      </c>
      <c r="L1726" s="3">
        <v>59.52</v>
      </c>
      <c r="M1726" s="3">
        <v>62.5</v>
      </c>
      <c r="N1726" s="3">
        <v>124.99</v>
      </c>
      <c r="O1726" s="2" t="s">
        <v>97</v>
      </c>
      <c r="P1726" s="2" t="s">
        <v>98</v>
      </c>
      <c r="Q1726" s="2" t="s">
        <v>99</v>
      </c>
      <c r="R1726" s="2" t="s">
        <v>100</v>
      </c>
      <c r="S1726" s="2" t="s">
        <v>6176</v>
      </c>
      <c r="T1726" s="2" t="s">
        <v>438</v>
      </c>
      <c r="U1726" s="2" t="s">
        <v>1776</v>
      </c>
      <c r="V1726" s="2" t="s">
        <v>461</v>
      </c>
      <c r="W1726" s="2" t="s">
        <v>609</v>
      </c>
      <c r="X1726" s="2" t="s">
        <v>100</v>
      </c>
      <c r="Y1726" s="2" t="s">
        <v>6149</v>
      </c>
      <c r="Z1726" s="4"/>
      <c r="AA1726" s="4">
        <f>=ROUNDDOWN({0},0)</f>
      </c>
      <c r="AB1726" s="5">
        <v>52</v>
      </c>
      <c r="AC1726" s="2" t="s">
        <v>1142</v>
      </c>
      <c r="AD1726" s="4">
        <v>390</v>
      </c>
      <c r="AE1726" s="4">
        <v>1040</v>
      </c>
      <c r="AF1726" s="6">
        <v>65</v>
      </c>
      <c r="AG1726" s="6"/>
      <c r="AH1726" s="7">
        <v>0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100</v>
      </c>
      <c r="AW1726" s="8" t="s">
        <v>100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/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/>
      <c r="BJ1726" s="4"/>
      <c r="BK1726" s="8"/>
      <c r="BL1726" s="2" t="s">
        <v>100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2526</v>
      </c>
      <c r="BV1726" s="2" t="s">
        <v>97</v>
      </c>
      <c r="BW1726" s="2" t="s">
        <v>100</v>
      </c>
      <c r="BX1726" s="2" t="s">
        <v>100</v>
      </c>
      <c r="BY1726" s="2" t="s">
        <v>112</v>
      </c>
      <c r="BZ1726" s="2" t="s">
        <v>100</v>
      </c>
    </row>
    <row r="1727">
      <c r="A1727" s="2" t="s">
        <v>6183</v>
      </c>
      <c r="B1727" s="2" t="s">
        <v>5155</v>
      </c>
      <c r="C1727" s="2" t="s">
        <v>6144</v>
      </c>
      <c r="D1727" s="2" t="s">
        <v>5491</v>
      </c>
      <c r="E1727" s="2" t="s">
        <v>5492</v>
      </c>
      <c r="F1727" s="2" t="s">
        <v>6175</v>
      </c>
      <c r="G1727" s="2" t="s">
        <v>6175</v>
      </c>
      <c r="H1727" s="2" t="s">
        <v>6175</v>
      </c>
      <c r="I1727" s="2" t="s">
        <v>4044</v>
      </c>
      <c r="J1727" s="2" t="s">
        <v>118</v>
      </c>
      <c r="K1727" s="2" t="s">
        <v>458</v>
      </c>
      <c r="L1727" s="3">
        <v>59.52</v>
      </c>
      <c r="M1727" s="3">
        <v>62.5</v>
      </c>
      <c r="N1727" s="3">
        <v>124.99</v>
      </c>
      <c r="O1727" s="2" t="s">
        <v>97</v>
      </c>
      <c r="P1727" s="2" t="s">
        <v>98</v>
      </c>
      <c r="Q1727" s="2" t="s">
        <v>99</v>
      </c>
      <c r="R1727" s="2" t="s">
        <v>100</v>
      </c>
      <c r="S1727" s="2" t="s">
        <v>6176</v>
      </c>
      <c r="T1727" s="2" t="s">
        <v>438</v>
      </c>
      <c r="U1727" s="2" t="s">
        <v>1776</v>
      </c>
      <c r="V1727" s="2" t="s">
        <v>461</v>
      </c>
      <c r="W1727" s="2" t="s">
        <v>609</v>
      </c>
      <c r="X1727" s="2" t="s">
        <v>100</v>
      </c>
      <c r="Y1727" s="2" t="s">
        <v>6149</v>
      </c>
      <c r="Z1727" s="4">
        <v>1</v>
      </c>
      <c r="AA1727" s="4">
        <f>=ROUNDDOWN(0.0555555555555556,0)</f>
      </c>
      <c r="AB1727" s="5">
        <v>18</v>
      </c>
      <c r="AC1727" s="2" t="s">
        <v>1142</v>
      </c>
      <c r="AD1727" s="4">
        <v>110</v>
      </c>
      <c r="AE1727" s="4">
        <v>270</v>
      </c>
      <c r="AF1727" s="6">
        <v>65</v>
      </c>
      <c r="AG1727" s="6"/>
      <c r="AH1727" s="7">
        <v>0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/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/>
      <c r="BJ1727" s="4">
        <v>1</v>
      </c>
      <c r="BK1727" s="8">
        <v>124.99</v>
      </c>
      <c r="BL1727" s="2" t="s">
        <v>3783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2526</v>
      </c>
      <c r="BV1727" s="2" t="s">
        <v>97</v>
      </c>
      <c r="BW1727" s="2" t="s">
        <v>100</v>
      </c>
      <c r="BX1727" s="2" t="s">
        <v>100</v>
      </c>
      <c r="BY1727" s="2" t="s">
        <v>112</v>
      </c>
      <c r="BZ1727" s="2" t="s">
        <v>100</v>
      </c>
    </row>
    <row r="1728">
      <c r="A1728" s="2" t="s">
        <v>6184</v>
      </c>
      <c r="B1728" s="2" t="s">
        <v>5155</v>
      </c>
      <c r="C1728" s="2" t="s">
        <v>6144</v>
      </c>
      <c r="D1728" s="2" t="s">
        <v>5156</v>
      </c>
      <c r="E1728" s="2" t="s">
        <v>5157</v>
      </c>
      <c r="F1728" s="2" t="s">
        <v>6185</v>
      </c>
      <c r="G1728" s="2" t="s">
        <v>6185</v>
      </c>
      <c r="H1728" s="2" t="s">
        <v>6185</v>
      </c>
      <c r="I1728" s="2" t="s">
        <v>5159</v>
      </c>
      <c r="J1728" s="2" t="s">
        <v>1443</v>
      </c>
      <c r="K1728" s="2" t="s">
        <v>1212</v>
      </c>
      <c r="L1728" s="3">
        <v>41.73</v>
      </c>
      <c r="M1728" s="3">
        <v>43.82</v>
      </c>
      <c r="N1728" s="3">
        <v>89.99</v>
      </c>
      <c r="O1728" s="2" t="s">
        <v>97</v>
      </c>
      <c r="P1728" s="2" t="s">
        <v>123</v>
      </c>
      <c r="Q1728" s="2" t="s">
        <v>99</v>
      </c>
      <c r="R1728" s="2" t="s">
        <v>100</v>
      </c>
      <c r="S1728" s="2" t="s">
        <v>100</v>
      </c>
      <c r="T1728" s="2" t="s">
        <v>5161</v>
      </c>
      <c r="U1728" s="2" t="s">
        <v>1776</v>
      </c>
      <c r="V1728" s="2" t="s">
        <v>461</v>
      </c>
      <c r="W1728" s="2" t="s">
        <v>609</v>
      </c>
      <c r="X1728" s="2" t="s">
        <v>100</v>
      </c>
      <c r="Y1728" s="2" t="s">
        <v>6161</v>
      </c>
      <c r="Z1728" s="4">
        <v>495</v>
      </c>
      <c r="AA1728" s="4">
        <f>=ROUNDDOWN(35.3571428571429,0)</f>
      </c>
      <c r="AB1728" s="5">
        <v>14</v>
      </c>
      <c r="AC1728" s="2" t="s">
        <v>3033</v>
      </c>
      <c r="AD1728" s="4">
        <v>150</v>
      </c>
      <c r="AE1728" s="4">
        <v>150</v>
      </c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2</v>
      </c>
      <c r="AQ1728" s="8">
        <v>87.42</v>
      </c>
      <c r="AR1728" s="4"/>
      <c r="AS1728" s="8"/>
      <c r="AT1728" s="7"/>
      <c r="AU1728" s="7"/>
      <c r="AV1728" s="4">
        <v>3</v>
      </c>
      <c r="AW1728" s="8">
        <v>160.28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>
        <v>0.5454</v>
      </c>
      <c r="BC1728" s="4">
        <v>7</v>
      </c>
      <c r="BD1728" s="8">
        <v>445.97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>
        <v>0.3594</v>
      </c>
      <c r="BJ1728" s="4">
        <v>21</v>
      </c>
      <c r="BK1728" s="8">
        <v>950.73</v>
      </c>
      <c r="BL1728" s="2" t="s">
        <v>4476</v>
      </c>
      <c r="BM1728" s="7">
        <v>0.0952</v>
      </c>
      <c r="BN1728" s="7">
        <v>0.092</v>
      </c>
      <c r="BO1728" s="4">
        <v>2</v>
      </c>
      <c r="BP1728" s="8">
        <v>87.42</v>
      </c>
      <c r="BQ1728" s="4"/>
      <c r="BR1728" s="8"/>
      <c r="BS1728" s="7"/>
      <c r="BT1728" s="7"/>
      <c r="BU1728" s="2" t="s">
        <v>109</v>
      </c>
      <c r="BV1728" s="2" t="s">
        <v>97</v>
      </c>
      <c r="BW1728" s="2" t="s">
        <v>6186</v>
      </c>
      <c r="BX1728" s="2" t="s">
        <v>6187</v>
      </c>
      <c r="BY1728" s="2" t="s">
        <v>112</v>
      </c>
      <c r="BZ1728" s="2" t="s">
        <v>100</v>
      </c>
    </row>
    <row r="1729">
      <c r="A1729" s="2" t="s">
        <v>6188</v>
      </c>
      <c r="B1729" s="2" t="s">
        <v>5155</v>
      </c>
      <c r="C1729" s="2" t="s">
        <v>6144</v>
      </c>
      <c r="D1729" s="2" t="s">
        <v>5156</v>
      </c>
      <c r="E1729" s="2" t="s">
        <v>5157</v>
      </c>
      <c r="F1729" s="2" t="s">
        <v>6185</v>
      </c>
      <c r="G1729" s="2" t="s">
        <v>6185</v>
      </c>
      <c r="H1729" s="2" t="s">
        <v>6185</v>
      </c>
      <c r="I1729" s="2" t="s">
        <v>5159</v>
      </c>
      <c r="J1729" s="2" t="s">
        <v>490</v>
      </c>
      <c r="K1729" s="2" t="s">
        <v>1212</v>
      </c>
      <c r="L1729" s="3">
        <v>47.3</v>
      </c>
      <c r="M1729" s="3">
        <v>49.66</v>
      </c>
      <c r="N1729" s="3">
        <v>101.99</v>
      </c>
      <c r="O1729" s="2" t="s">
        <v>97</v>
      </c>
      <c r="P1729" s="2" t="s">
        <v>123</v>
      </c>
      <c r="Q1729" s="2" t="s">
        <v>99</v>
      </c>
      <c r="R1729" s="2" t="s">
        <v>100</v>
      </c>
      <c r="S1729" s="2" t="s">
        <v>100</v>
      </c>
      <c r="T1729" s="2" t="s">
        <v>5161</v>
      </c>
      <c r="U1729" s="2" t="s">
        <v>1776</v>
      </c>
      <c r="V1729" s="2" t="s">
        <v>461</v>
      </c>
      <c r="W1729" s="2" t="s">
        <v>609</v>
      </c>
      <c r="X1729" s="2" t="s">
        <v>100</v>
      </c>
      <c r="Y1729" s="2" t="s">
        <v>6161</v>
      </c>
      <c r="Z1729" s="4">
        <v>550</v>
      </c>
      <c r="AA1729" s="4">
        <f>=ROUNDDOWN(27.5,0)</f>
      </c>
      <c r="AB1729" s="5">
        <v>20</v>
      </c>
      <c r="AC1729" s="2" t="s">
        <v>3033</v>
      </c>
      <c r="AD1729" s="4">
        <v>300</v>
      </c>
      <c r="AE1729" s="4">
        <v>300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/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 t="s">
        <v>100</v>
      </c>
      <c r="BJ1729" s="4">
        <v>19</v>
      </c>
      <c r="BK1729" s="8">
        <v>988.69</v>
      </c>
      <c r="BL1729" s="2" t="s">
        <v>1625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109</v>
      </c>
      <c r="BV1729" s="2" t="s">
        <v>97</v>
      </c>
      <c r="BW1729" s="2" t="s">
        <v>6189</v>
      </c>
      <c r="BX1729" s="2" t="s">
        <v>6190</v>
      </c>
      <c r="BY1729" s="2" t="s">
        <v>112</v>
      </c>
      <c r="BZ1729" s="2" t="s">
        <v>100</v>
      </c>
    </row>
    <row r="1730">
      <c r="A1730" s="2" t="s">
        <v>6191</v>
      </c>
      <c r="B1730" s="2" t="s">
        <v>5155</v>
      </c>
      <c r="C1730" s="2" t="s">
        <v>6144</v>
      </c>
      <c r="D1730" s="2" t="s">
        <v>5156</v>
      </c>
      <c r="E1730" s="2" t="s">
        <v>5157</v>
      </c>
      <c r="F1730" s="2" t="s">
        <v>6185</v>
      </c>
      <c r="G1730" s="2" t="s">
        <v>6185</v>
      </c>
      <c r="H1730" s="2" t="s">
        <v>6185</v>
      </c>
      <c r="I1730" s="2" t="s">
        <v>5159</v>
      </c>
      <c r="J1730" s="2" t="s">
        <v>95</v>
      </c>
      <c r="K1730" s="2" t="s">
        <v>1212</v>
      </c>
      <c r="L1730" s="3">
        <v>69.56</v>
      </c>
      <c r="M1730" s="3">
        <v>73.04</v>
      </c>
      <c r="N1730" s="3">
        <v>149.99</v>
      </c>
      <c r="O1730" s="2" t="s">
        <v>97</v>
      </c>
      <c r="P1730" s="2" t="s">
        <v>123</v>
      </c>
      <c r="Q1730" s="2" t="s">
        <v>99</v>
      </c>
      <c r="R1730" s="2" t="s">
        <v>100</v>
      </c>
      <c r="S1730" s="2" t="s">
        <v>100</v>
      </c>
      <c r="T1730" s="2" t="s">
        <v>5161</v>
      </c>
      <c r="U1730" s="2" t="s">
        <v>1776</v>
      </c>
      <c r="V1730" s="2" t="s">
        <v>461</v>
      </c>
      <c r="W1730" s="2" t="s">
        <v>609</v>
      </c>
      <c r="X1730" s="2" t="s">
        <v>100</v>
      </c>
      <c r="Y1730" s="2" t="s">
        <v>6161</v>
      </c>
      <c r="Z1730" s="4">
        <v>528</v>
      </c>
      <c r="AA1730" s="4">
        <f>=ROUNDDOWN(17.6,0)</f>
      </c>
      <c r="AB1730" s="5">
        <v>30</v>
      </c>
      <c r="AC1730" s="2" t="s">
        <v>3033</v>
      </c>
      <c r="AD1730" s="4">
        <v>150</v>
      </c>
      <c r="AE1730" s="4">
        <v>150</v>
      </c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1</v>
      </c>
      <c r="AQ1730" s="8">
        <v>72.86</v>
      </c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>
        <v>0.4546</v>
      </c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 t="s">
        <v>100</v>
      </c>
      <c r="BJ1730" s="4">
        <v>27</v>
      </c>
      <c r="BK1730" s="8">
        <v>2036.28</v>
      </c>
      <c r="BL1730" s="2" t="s">
        <v>1416</v>
      </c>
      <c r="BM1730" s="7">
        <v>0.037</v>
      </c>
      <c r="BN1730" s="7">
        <v>0.0358</v>
      </c>
      <c r="BO1730" s="4">
        <v>1</v>
      </c>
      <c r="BP1730" s="8">
        <v>72.86</v>
      </c>
      <c r="BQ1730" s="4"/>
      <c r="BR1730" s="8"/>
      <c r="BS1730" s="7"/>
      <c r="BT1730" s="7"/>
      <c r="BU1730" s="2" t="s">
        <v>109</v>
      </c>
      <c r="BV1730" s="2" t="s">
        <v>97</v>
      </c>
      <c r="BW1730" s="2" t="s">
        <v>6151</v>
      </c>
      <c r="BX1730" s="2" t="s">
        <v>6192</v>
      </c>
      <c r="BY1730" s="2" t="s">
        <v>112</v>
      </c>
      <c r="BZ1730" s="2" t="s">
        <v>100</v>
      </c>
    </row>
    <row r="1731">
      <c r="A1731" s="2" t="s">
        <v>6193</v>
      </c>
      <c r="B1731" s="2" t="s">
        <v>5155</v>
      </c>
      <c r="C1731" s="2" t="s">
        <v>6144</v>
      </c>
      <c r="D1731" s="2" t="s">
        <v>5156</v>
      </c>
      <c r="E1731" s="2" t="s">
        <v>5157</v>
      </c>
      <c r="F1731" s="2" t="s">
        <v>6185</v>
      </c>
      <c r="G1731" s="2" t="s">
        <v>6185</v>
      </c>
      <c r="H1731" s="2" t="s">
        <v>6185</v>
      </c>
      <c r="I1731" s="2" t="s">
        <v>5159</v>
      </c>
      <c r="J1731" s="2" t="s">
        <v>114</v>
      </c>
      <c r="K1731" s="2" t="s">
        <v>1212</v>
      </c>
      <c r="L1731" s="3">
        <v>75.13</v>
      </c>
      <c r="M1731" s="3">
        <v>78.89</v>
      </c>
      <c r="N1731" s="3">
        <v>159.99</v>
      </c>
      <c r="O1731" s="2" t="s">
        <v>97</v>
      </c>
      <c r="P1731" s="2" t="s">
        <v>123</v>
      </c>
      <c r="Q1731" s="2" t="s">
        <v>99</v>
      </c>
      <c r="R1731" s="2" t="s">
        <v>100</v>
      </c>
      <c r="S1731" s="2" t="s">
        <v>100</v>
      </c>
      <c r="T1731" s="2" t="s">
        <v>5161</v>
      </c>
      <c r="U1731" s="2" t="s">
        <v>1776</v>
      </c>
      <c r="V1731" s="2" t="s">
        <v>461</v>
      </c>
      <c r="W1731" s="2" t="s">
        <v>609</v>
      </c>
      <c r="X1731" s="2" t="s">
        <v>100</v>
      </c>
      <c r="Y1731" s="2" t="s">
        <v>6161</v>
      </c>
      <c r="Z1731" s="4">
        <v>613</v>
      </c>
      <c r="AA1731" s="4">
        <f>=ROUNDDOWN(21.8928571428571,0)</f>
      </c>
      <c r="AB1731" s="5">
        <v>28</v>
      </c>
      <c r="AC1731" s="2" t="s">
        <v>100</v>
      </c>
      <c r="AD1731" s="4"/>
      <c r="AE1731" s="4"/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/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 t="s">
        <v>100</v>
      </c>
      <c r="BJ1731" s="4">
        <v>29</v>
      </c>
      <c r="BK1731" s="8">
        <v>2554.79</v>
      </c>
      <c r="BL1731" s="2" t="s">
        <v>6194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109</v>
      </c>
      <c r="BV1731" s="2" t="s">
        <v>97</v>
      </c>
      <c r="BW1731" s="2" t="s">
        <v>6151</v>
      </c>
      <c r="BX1731" s="2" t="s">
        <v>6192</v>
      </c>
      <c r="BY1731" s="2" t="s">
        <v>112</v>
      </c>
      <c r="BZ1731" s="2" t="s">
        <v>100</v>
      </c>
    </row>
    <row r="1732">
      <c r="A1732" s="2" t="s">
        <v>6195</v>
      </c>
      <c r="B1732" s="2" t="s">
        <v>5155</v>
      </c>
      <c r="C1732" s="2" t="s">
        <v>6144</v>
      </c>
      <c r="D1732" s="2" t="s">
        <v>5156</v>
      </c>
      <c r="E1732" s="2" t="s">
        <v>5157</v>
      </c>
      <c r="F1732" s="2" t="s">
        <v>6185</v>
      </c>
      <c r="G1732" s="2" t="s">
        <v>6185</v>
      </c>
      <c r="H1732" s="2" t="s">
        <v>6185</v>
      </c>
      <c r="I1732" s="2" t="s">
        <v>5159</v>
      </c>
      <c r="J1732" s="2" t="s">
        <v>1443</v>
      </c>
      <c r="K1732" s="2" t="s">
        <v>1373</v>
      </c>
      <c r="L1732" s="3">
        <v>41.73</v>
      </c>
      <c r="M1732" s="3">
        <v>43.82</v>
      </c>
      <c r="N1732" s="3">
        <v>89.99</v>
      </c>
      <c r="O1732" s="2" t="s">
        <v>97</v>
      </c>
      <c r="P1732" s="2" t="s">
        <v>98</v>
      </c>
      <c r="Q1732" s="2" t="s">
        <v>99</v>
      </c>
      <c r="R1732" s="2" t="s">
        <v>100</v>
      </c>
      <c r="S1732" s="2" t="s">
        <v>100</v>
      </c>
      <c r="T1732" s="2" t="s">
        <v>5161</v>
      </c>
      <c r="U1732" s="2" t="s">
        <v>1776</v>
      </c>
      <c r="V1732" s="2" t="s">
        <v>461</v>
      </c>
      <c r="W1732" s="2" t="s">
        <v>609</v>
      </c>
      <c r="X1732" s="2" t="s">
        <v>100</v>
      </c>
      <c r="Y1732" s="2" t="s">
        <v>6161</v>
      </c>
      <c r="Z1732" s="4">
        <v>85</v>
      </c>
      <c r="AA1732" s="4">
        <f>=ROUNDDOWN(8.5,0)</f>
      </c>
      <c r="AB1732" s="5">
        <v>10</v>
      </c>
      <c r="AC1732" s="2" t="s">
        <v>1142</v>
      </c>
      <c r="AD1732" s="4">
        <v>150</v>
      </c>
      <c r="AE1732" s="4">
        <v>150</v>
      </c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>
        <v>2</v>
      </c>
      <c r="AW1732" s="8">
        <v>157.42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/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>
        <v>0.353</v>
      </c>
      <c r="BJ1732" s="4">
        <v>5</v>
      </c>
      <c r="BK1732" s="8">
        <v>227.33</v>
      </c>
      <c r="BL1732" s="2" t="s">
        <v>4449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109</v>
      </c>
      <c r="BV1732" s="2" t="s">
        <v>97</v>
      </c>
      <c r="BW1732" s="2" t="s">
        <v>6151</v>
      </c>
      <c r="BX1732" s="2" t="s">
        <v>6196</v>
      </c>
      <c r="BY1732" s="2" t="s">
        <v>112</v>
      </c>
      <c r="BZ1732" s="2" t="s">
        <v>100</v>
      </c>
    </row>
    <row r="1733">
      <c r="A1733" s="2" t="s">
        <v>6197</v>
      </c>
      <c r="B1733" s="2" t="s">
        <v>5155</v>
      </c>
      <c r="C1733" s="2" t="s">
        <v>6144</v>
      </c>
      <c r="D1733" s="2" t="s">
        <v>5156</v>
      </c>
      <c r="E1733" s="2" t="s">
        <v>5157</v>
      </c>
      <c r="F1733" s="2" t="s">
        <v>6185</v>
      </c>
      <c r="G1733" s="2" t="s">
        <v>6185</v>
      </c>
      <c r="H1733" s="2" t="s">
        <v>6185</v>
      </c>
      <c r="I1733" s="2" t="s">
        <v>5159</v>
      </c>
      <c r="J1733" s="2" t="s">
        <v>490</v>
      </c>
      <c r="K1733" s="2" t="s">
        <v>1373</v>
      </c>
      <c r="L1733" s="3">
        <v>47.3</v>
      </c>
      <c r="M1733" s="3">
        <v>49.66</v>
      </c>
      <c r="N1733" s="3">
        <v>101.99</v>
      </c>
      <c r="O1733" s="2" t="s">
        <v>97</v>
      </c>
      <c r="P1733" s="2" t="s">
        <v>98</v>
      </c>
      <c r="Q1733" s="2" t="s">
        <v>99</v>
      </c>
      <c r="R1733" s="2" t="s">
        <v>100</v>
      </c>
      <c r="S1733" s="2" t="s">
        <v>100</v>
      </c>
      <c r="T1733" s="2" t="s">
        <v>5161</v>
      </c>
      <c r="U1733" s="2" t="s">
        <v>1776</v>
      </c>
      <c r="V1733" s="2" t="s">
        <v>461</v>
      </c>
      <c r="W1733" s="2" t="s">
        <v>609</v>
      </c>
      <c r="X1733" s="2" t="s">
        <v>100</v>
      </c>
      <c r="Y1733" s="2" t="s">
        <v>6161</v>
      </c>
      <c r="Z1733" s="4">
        <v>426</v>
      </c>
      <c r="AA1733" s="4">
        <f>=ROUNDDOWN(35.5,0)</f>
      </c>
      <c r="AB1733" s="5">
        <v>12</v>
      </c>
      <c r="AC1733" s="2" t="s">
        <v>100</v>
      </c>
      <c r="AD1733" s="4"/>
      <c r="AE1733" s="4"/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/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 t="s">
        <v>100</v>
      </c>
      <c r="BJ1733" s="4">
        <v>14</v>
      </c>
      <c r="BK1733" s="8">
        <v>689.75</v>
      </c>
      <c r="BL1733" s="2" t="s">
        <v>1382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109</v>
      </c>
      <c r="BV1733" s="2" t="s">
        <v>97</v>
      </c>
      <c r="BW1733" s="2" t="s">
        <v>6151</v>
      </c>
      <c r="BX1733" s="2" t="s">
        <v>6198</v>
      </c>
      <c r="BY1733" s="2" t="s">
        <v>112</v>
      </c>
      <c r="BZ1733" s="2" t="s">
        <v>100</v>
      </c>
    </row>
    <row r="1734">
      <c r="A1734" s="2" t="s">
        <v>6199</v>
      </c>
      <c r="B1734" s="2" t="s">
        <v>5155</v>
      </c>
      <c r="C1734" s="2" t="s">
        <v>6144</v>
      </c>
      <c r="D1734" s="2" t="s">
        <v>5156</v>
      </c>
      <c r="E1734" s="2" t="s">
        <v>5157</v>
      </c>
      <c r="F1734" s="2" t="s">
        <v>6185</v>
      </c>
      <c r="G1734" s="2" t="s">
        <v>6185</v>
      </c>
      <c r="H1734" s="2" t="s">
        <v>6185</v>
      </c>
      <c r="I1734" s="2" t="s">
        <v>5159</v>
      </c>
      <c r="J1734" s="2" t="s">
        <v>95</v>
      </c>
      <c r="K1734" s="2" t="s">
        <v>1373</v>
      </c>
      <c r="L1734" s="3">
        <v>69.56</v>
      </c>
      <c r="M1734" s="3">
        <v>73.04</v>
      </c>
      <c r="N1734" s="3">
        <v>149.99</v>
      </c>
      <c r="O1734" s="2" t="s">
        <v>97</v>
      </c>
      <c r="P1734" s="2" t="s">
        <v>98</v>
      </c>
      <c r="Q1734" s="2" t="s">
        <v>99</v>
      </c>
      <c r="R1734" s="2" t="s">
        <v>100</v>
      </c>
      <c r="S1734" s="2" t="s">
        <v>100</v>
      </c>
      <c r="T1734" s="2" t="s">
        <v>5161</v>
      </c>
      <c r="U1734" s="2" t="s">
        <v>1776</v>
      </c>
      <c r="V1734" s="2" t="s">
        <v>461</v>
      </c>
      <c r="W1734" s="2" t="s">
        <v>609</v>
      </c>
      <c r="X1734" s="2" t="s">
        <v>100</v>
      </c>
      <c r="Y1734" s="2" t="s">
        <v>6161</v>
      </c>
      <c r="Z1734" s="4">
        <v>286</v>
      </c>
      <c r="AA1734" s="4">
        <f>=ROUNDDOWN(13.6190476190476,0)</f>
      </c>
      <c r="AB1734" s="5">
        <v>21</v>
      </c>
      <c r="AC1734" s="2" t="s">
        <v>3033</v>
      </c>
      <c r="AD1734" s="4">
        <v>150</v>
      </c>
      <c r="AE1734" s="4">
        <v>150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/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 t="s">
        <v>100</v>
      </c>
      <c r="BJ1734" s="4">
        <v>17</v>
      </c>
      <c r="BK1734" s="8">
        <v>1304.47</v>
      </c>
      <c r="BL1734" s="2" t="s">
        <v>1380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109</v>
      </c>
      <c r="BV1734" s="2" t="s">
        <v>97</v>
      </c>
      <c r="BW1734" s="2" t="s">
        <v>6151</v>
      </c>
      <c r="BX1734" s="2" t="s">
        <v>6167</v>
      </c>
      <c r="BY1734" s="2" t="s">
        <v>112</v>
      </c>
      <c r="BZ1734" s="2" t="s">
        <v>100</v>
      </c>
    </row>
    <row r="1735">
      <c r="A1735" s="2" t="s">
        <v>6200</v>
      </c>
      <c r="B1735" s="2" t="s">
        <v>5155</v>
      </c>
      <c r="C1735" s="2" t="s">
        <v>6144</v>
      </c>
      <c r="D1735" s="2" t="s">
        <v>5156</v>
      </c>
      <c r="E1735" s="2" t="s">
        <v>5157</v>
      </c>
      <c r="F1735" s="2" t="s">
        <v>6185</v>
      </c>
      <c r="G1735" s="2" t="s">
        <v>6185</v>
      </c>
      <c r="H1735" s="2" t="s">
        <v>6185</v>
      </c>
      <c r="I1735" s="2" t="s">
        <v>5159</v>
      </c>
      <c r="J1735" s="2" t="s">
        <v>114</v>
      </c>
      <c r="K1735" s="2" t="s">
        <v>1373</v>
      </c>
      <c r="L1735" s="3">
        <v>75.13</v>
      </c>
      <c r="M1735" s="3">
        <v>78.89</v>
      </c>
      <c r="N1735" s="3">
        <v>159.99</v>
      </c>
      <c r="O1735" s="2" t="s">
        <v>97</v>
      </c>
      <c r="P1735" s="2" t="s">
        <v>98</v>
      </c>
      <c r="Q1735" s="2" t="s">
        <v>99</v>
      </c>
      <c r="R1735" s="2" t="s">
        <v>100</v>
      </c>
      <c r="S1735" s="2" t="s">
        <v>100</v>
      </c>
      <c r="T1735" s="2" t="s">
        <v>5161</v>
      </c>
      <c r="U1735" s="2" t="s">
        <v>1776</v>
      </c>
      <c r="V1735" s="2" t="s">
        <v>461</v>
      </c>
      <c r="W1735" s="2" t="s">
        <v>609</v>
      </c>
      <c r="X1735" s="2" t="s">
        <v>100</v>
      </c>
      <c r="Y1735" s="2" t="s">
        <v>6161</v>
      </c>
      <c r="Z1735" s="4">
        <v>103</v>
      </c>
      <c r="AA1735" s="4">
        <f>=ROUNDDOWN(5.42105263157895,0)</f>
      </c>
      <c r="AB1735" s="5">
        <v>19</v>
      </c>
      <c r="AC1735" s="2" t="s">
        <v>1142</v>
      </c>
      <c r="AD1735" s="4">
        <v>150</v>
      </c>
      <c r="AE1735" s="4">
        <v>300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2</v>
      </c>
      <c r="AQ1735" s="8">
        <v>157.42</v>
      </c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>
        <v>1</v>
      </c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 t="s">
        <v>100</v>
      </c>
      <c r="BJ1735" s="4">
        <v>22</v>
      </c>
      <c r="BK1735" s="8">
        <v>1798.96</v>
      </c>
      <c r="BL1735" s="2" t="s">
        <v>6201</v>
      </c>
      <c r="BM1735" s="7">
        <v>0.0909</v>
      </c>
      <c r="BN1735" s="7">
        <v>0.0875</v>
      </c>
      <c r="BO1735" s="4">
        <v>2</v>
      </c>
      <c r="BP1735" s="8">
        <v>157.42</v>
      </c>
      <c r="BQ1735" s="4"/>
      <c r="BR1735" s="8"/>
      <c r="BS1735" s="7"/>
      <c r="BT1735" s="7"/>
      <c r="BU1735" s="2" t="s">
        <v>109</v>
      </c>
      <c r="BV1735" s="2" t="s">
        <v>97</v>
      </c>
      <c r="BW1735" s="2" t="s">
        <v>6151</v>
      </c>
      <c r="BX1735" s="2" t="s">
        <v>6202</v>
      </c>
      <c r="BY1735" s="2" t="s">
        <v>112</v>
      </c>
      <c r="BZ1735" s="2" t="s">
        <v>100</v>
      </c>
    </row>
    <row r="1736">
      <c r="A1736" s="2" t="s">
        <v>6203</v>
      </c>
      <c r="B1736" s="2" t="s">
        <v>5155</v>
      </c>
      <c r="C1736" s="2" t="s">
        <v>6144</v>
      </c>
      <c r="D1736" s="2" t="s">
        <v>5156</v>
      </c>
      <c r="E1736" s="2" t="s">
        <v>5157</v>
      </c>
      <c r="F1736" s="2" t="s">
        <v>6185</v>
      </c>
      <c r="G1736" s="2" t="s">
        <v>6185</v>
      </c>
      <c r="H1736" s="2" t="s">
        <v>6185</v>
      </c>
      <c r="I1736" s="2" t="s">
        <v>5159</v>
      </c>
      <c r="J1736" s="2" t="s">
        <v>1443</v>
      </c>
      <c r="K1736" s="2" t="s">
        <v>179</v>
      </c>
      <c r="L1736" s="3">
        <v>41.73</v>
      </c>
      <c r="M1736" s="3">
        <v>43.82</v>
      </c>
      <c r="N1736" s="3">
        <v>89.99</v>
      </c>
      <c r="O1736" s="2" t="s">
        <v>97</v>
      </c>
      <c r="P1736" s="2" t="s">
        <v>156</v>
      </c>
      <c r="Q1736" s="2" t="s">
        <v>99</v>
      </c>
      <c r="R1736" s="2" t="s">
        <v>100</v>
      </c>
      <c r="S1736" s="2" t="s">
        <v>100</v>
      </c>
      <c r="T1736" s="2" t="s">
        <v>5161</v>
      </c>
      <c r="U1736" s="2" t="s">
        <v>1776</v>
      </c>
      <c r="V1736" s="2" t="s">
        <v>461</v>
      </c>
      <c r="W1736" s="2" t="s">
        <v>609</v>
      </c>
      <c r="X1736" s="2" t="s">
        <v>100</v>
      </c>
      <c r="Y1736" s="2" t="s">
        <v>6161</v>
      </c>
      <c r="Z1736" s="4">
        <v>355</v>
      </c>
      <c r="AA1736" s="4">
        <f>=ROUNDDOWN(22.1875,0)</f>
      </c>
      <c r="AB1736" s="5">
        <v>16</v>
      </c>
      <c r="AC1736" s="2" t="s">
        <v>3033</v>
      </c>
      <c r="AD1736" s="4">
        <v>150</v>
      </c>
      <c r="AE1736" s="4">
        <v>150</v>
      </c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>
        <v>1</v>
      </c>
      <c r="AW1736" s="8">
        <v>78.71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/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>
        <v>0.1765</v>
      </c>
      <c r="BJ1736" s="4">
        <v>18</v>
      </c>
      <c r="BK1736" s="8">
        <v>821.62</v>
      </c>
      <c r="BL1736" s="2" t="s">
        <v>1612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109</v>
      </c>
      <c r="BV1736" s="2" t="s">
        <v>97</v>
      </c>
      <c r="BW1736" s="2" t="s">
        <v>755</v>
      </c>
      <c r="BX1736" s="2" t="s">
        <v>6204</v>
      </c>
      <c r="BY1736" s="2" t="s">
        <v>112</v>
      </c>
      <c r="BZ1736" s="2" t="s">
        <v>100</v>
      </c>
    </row>
    <row r="1737">
      <c r="A1737" s="2" t="s">
        <v>6205</v>
      </c>
      <c r="B1737" s="2" t="s">
        <v>5155</v>
      </c>
      <c r="C1737" s="2" t="s">
        <v>6144</v>
      </c>
      <c r="D1737" s="2" t="s">
        <v>5156</v>
      </c>
      <c r="E1737" s="2" t="s">
        <v>5157</v>
      </c>
      <c r="F1737" s="2" t="s">
        <v>6185</v>
      </c>
      <c r="G1737" s="2" t="s">
        <v>6185</v>
      </c>
      <c r="H1737" s="2" t="s">
        <v>6185</v>
      </c>
      <c r="I1737" s="2" t="s">
        <v>5159</v>
      </c>
      <c r="J1737" s="2" t="s">
        <v>490</v>
      </c>
      <c r="K1737" s="2" t="s">
        <v>179</v>
      </c>
      <c r="L1737" s="3">
        <v>47.3</v>
      </c>
      <c r="M1737" s="3">
        <v>49.66</v>
      </c>
      <c r="N1737" s="3">
        <v>101.99</v>
      </c>
      <c r="O1737" s="2" t="s">
        <v>97</v>
      </c>
      <c r="P1737" s="2" t="s">
        <v>156</v>
      </c>
      <c r="Q1737" s="2" t="s">
        <v>99</v>
      </c>
      <c r="R1737" s="2" t="s">
        <v>100</v>
      </c>
      <c r="S1737" s="2" t="s">
        <v>100</v>
      </c>
      <c r="T1737" s="2" t="s">
        <v>5161</v>
      </c>
      <c r="U1737" s="2" t="s">
        <v>1776</v>
      </c>
      <c r="V1737" s="2" t="s">
        <v>461</v>
      </c>
      <c r="W1737" s="2" t="s">
        <v>609</v>
      </c>
      <c r="X1737" s="2" t="s">
        <v>100</v>
      </c>
      <c r="Y1737" s="2" t="s">
        <v>6161</v>
      </c>
      <c r="Z1737" s="4">
        <v>233</v>
      </c>
      <c r="AA1737" s="4">
        <f>=ROUNDDOWN(10.5909090909091,0)</f>
      </c>
      <c r="AB1737" s="5">
        <v>22</v>
      </c>
      <c r="AC1737" s="2" t="s">
        <v>3033</v>
      </c>
      <c r="AD1737" s="4">
        <v>250</v>
      </c>
      <c r="AE1737" s="4">
        <v>250</v>
      </c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/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 t="s">
        <v>100</v>
      </c>
      <c r="BJ1737" s="4">
        <v>7</v>
      </c>
      <c r="BK1737" s="8">
        <v>362.16</v>
      </c>
      <c r="BL1737" s="2" t="s">
        <v>6206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109</v>
      </c>
      <c r="BV1737" s="2" t="s">
        <v>97</v>
      </c>
      <c r="BW1737" s="2" t="s">
        <v>6207</v>
      </c>
      <c r="BX1737" s="2" t="s">
        <v>6208</v>
      </c>
      <c r="BY1737" s="2" t="s">
        <v>112</v>
      </c>
      <c r="BZ1737" s="2" t="s">
        <v>100</v>
      </c>
    </row>
    <row r="1738">
      <c r="A1738" s="2" t="s">
        <v>6209</v>
      </c>
      <c r="B1738" s="2" t="s">
        <v>5155</v>
      </c>
      <c r="C1738" s="2" t="s">
        <v>6144</v>
      </c>
      <c r="D1738" s="2" t="s">
        <v>5156</v>
      </c>
      <c r="E1738" s="2" t="s">
        <v>5157</v>
      </c>
      <c r="F1738" s="2" t="s">
        <v>6185</v>
      </c>
      <c r="G1738" s="2" t="s">
        <v>6185</v>
      </c>
      <c r="H1738" s="2" t="s">
        <v>6185</v>
      </c>
      <c r="I1738" s="2" t="s">
        <v>5159</v>
      </c>
      <c r="J1738" s="2" t="s">
        <v>95</v>
      </c>
      <c r="K1738" s="2" t="s">
        <v>179</v>
      </c>
      <c r="L1738" s="3">
        <v>69.56</v>
      </c>
      <c r="M1738" s="3">
        <v>73.04</v>
      </c>
      <c r="N1738" s="3">
        <v>149.99</v>
      </c>
      <c r="O1738" s="2" t="s">
        <v>97</v>
      </c>
      <c r="P1738" s="2" t="s">
        <v>156</v>
      </c>
      <c r="Q1738" s="2" t="s">
        <v>99</v>
      </c>
      <c r="R1738" s="2" t="s">
        <v>100</v>
      </c>
      <c r="S1738" s="2" t="s">
        <v>100</v>
      </c>
      <c r="T1738" s="2" t="s">
        <v>5161</v>
      </c>
      <c r="U1738" s="2" t="s">
        <v>1776</v>
      </c>
      <c r="V1738" s="2" t="s">
        <v>461</v>
      </c>
      <c r="W1738" s="2" t="s">
        <v>609</v>
      </c>
      <c r="X1738" s="2" t="s">
        <v>100</v>
      </c>
      <c r="Y1738" s="2" t="s">
        <v>6161</v>
      </c>
      <c r="Z1738" s="4">
        <v>701</v>
      </c>
      <c r="AA1738" s="4">
        <f>=ROUNDDOWN(26.9615384615385,0)</f>
      </c>
      <c r="AB1738" s="5">
        <v>26</v>
      </c>
      <c r="AC1738" s="2" t="s">
        <v>3033</v>
      </c>
      <c r="AD1738" s="4">
        <v>300</v>
      </c>
      <c r="AE1738" s="4">
        <v>300</v>
      </c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/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 t="s">
        <v>100</v>
      </c>
      <c r="BJ1738" s="4">
        <v>13</v>
      </c>
      <c r="BK1738" s="8">
        <v>968.63</v>
      </c>
      <c r="BL1738" s="2" t="s">
        <v>788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109</v>
      </c>
      <c r="BV1738" s="2" t="s">
        <v>97</v>
      </c>
      <c r="BW1738" s="2" t="s">
        <v>6151</v>
      </c>
      <c r="BX1738" s="2" t="s">
        <v>6210</v>
      </c>
      <c r="BY1738" s="2" t="s">
        <v>112</v>
      </c>
      <c r="BZ1738" s="2" t="s">
        <v>100</v>
      </c>
    </row>
    <row r="1739">
      <c r="A1739" s="2" t="s">
        <v>6211</v>
      </c>
      <c r="B1739" s="2" t="s">
        <v>5155</v>
      </c>
      <c r="C1739" s="2" t="s">
        <v>6144</v>
      </c>
      <c r="D1739" s="2" t="s">
        <v>5156</v>
      </c>
      <c r="E1739" s="2" t="s">
        <v>5157</v>
      </c>
      <c r="F1739" s="2" t="s">
        <v>6185</v>
      </c>
      <c r="G1739" s="2" t="s">
        <v>6185</v>
      </c>
      <c r="H1739" s="2" t="s">
        <v>6185</v>
      </c>
      <c r="I1739" s="2" t="s">
        <v>5159</v>
      </c>
      <c r="J1739" s="2" t="s">
        <v>114</v>
      </c>
      <c r="K1739" s="2" t="s">
        <v>179</v>
      </c>
      <c r="L1739" s="3">
        <v>75.13</v>
      </c>
      <c r="M1739" s="3">
        <v>78.89</v>
      </c>
      <c r="N1739" s="3">
        <v>159.99</v>
      </c>
      <c r="O1739" s="2" t="s">
        <v>97</v>
      </c>
      <c r="P1739" s="2" t="s">
        <v>156</v>
      </c>
      <c r="Q1739" s="2" t="s">
        <v>99</v>
      </c>
      <c r="R1739" s="2" t="s">
        <v>100</v>
      </c>
      <c r="S1739" s="2" t="s">
        <v>100</v>
      </c>
      <c r="T1739" s="2" t="s">
        <v>5161</v>
      </c>
      <c r="U1739" s="2" t="s">
        <v>1776</v>
      </c>
      <c r="V1739" s="2" t="s">
        <v>461</v>
      </c>
      <c r="W1739" s="2" t="s">
        <v>609</v>
      </c>
      <c r="X1739" s="2" t="s">
        <v>100</v>
      </c>
      <c r="Y1739" s="2" t="s">
        <v>6161</v>
      </c>
      <c r="Z1739" s="4">
        <v>220</v>
      </c>
      <c r="AA1739" s="4">
        <f>=ROUNDDOWN(10,0)</f>
      </c>
      <c r="AB1739" s="5">
        <v>22</v>
      </c>
      <c r="AC1739" s="2" t="s">
        <v>3033</v>
      </c>
      <c r="AD1739" s="4">
        <v>210</v>
      </c>
      <c r="AE1739" s="4">
        <v>210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1</v>
      </c>
      <c r="AQ1739" s="8">
        <v>78.71</v>
      </c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>
        <v>1</v>
      </c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 t="s">
        <v>100</v>
      </c>
      <c r="BJ1739" s="4">
        <v>21</v>
      </c>
      <c r="BK1739" s="8">
        <v>1720.68</v>
      </c>
      <c r="BL1739" s="2" t="s">
        <v>6212</v>
      </c>
      <c r="BM1739" s="7">
        <v>0.0476</v>
      </c>
      <c r="BN1739" s="7">
        <v>0.0457</v>
      </c>
      <c r="BO1739" s="4">
        <v>1</v>
      </c>
      <c r="BP1739" s="8">
        <v>78.71</v>
      </c>
      <c r="BQ1739" s="4"/>
      <c r="BR1739" s="8"/>
      <c r="BS1739" s="7"/>
      <c r="BT1739" s="7"/>
      <c r="BU1739" s="2" t="s">
        <v>109</v>
      </c>
      <c r="BV1739" s="2" t="s">
        <v>97</v>
      </c>
      <c r="BW1739" s="2" t="s">
        <v>6151</v>
      </c>
      <c r="BX1739" s="2" t="s">
        <v>6192</v>
      </c>
      <c r="BY1739" s="2" t="s">
        <v>112</v>
      </c>
      <c r="BZ1739" s="2" t="s">
        <v>100</v>
      </c>
    </row>
    <row r="1740">
      <c r="A1740" s="2" t="s">
        <v>6213</v>
      </c>
      <c r="B1740" s="2" t="s">
        <v>5155</v>
      </c>
      <c r="C1740" s="2" t="s">
        <v>6144</v>
      </c>
      <c r="D1740" s="2" t="s">
        <v>5156</v>
      </c>
      <c r="E1740" s="2" t="s">
        <v>5157</v>
      </c>
      <c r="F1740" s="2" t="s">
        <v>6185</v>
      </c>
      <c r="G1740" s="2" t="s">
        <v>6185</v>
      </c>
      <c r="H1740" s="2" t="s">
        <v>6185</v>
      </c>
      <c r="I1740" s="2" t="s">
        <v>5159</v>
      </c>
      <c r="J1740" s="2" t="s">
        <v>1443</v>
      </c>
      <c r="K1740" s="2" t="s">
        <v>138</v>
      </c>
      <c r="L1740" s="3">
        <v>41.73</v>
      </c>
      <c r="M1740" s="3">
        <v>43.82</v>
      </c>
      <c r="N1740" s="3">
        <v>89.99</v>
      </c>
      <c r="O1740" s="2" t="s">
        <v>97</v>
      </c>
      <c r="P1740" s="2" t="s">
        <v>98</v>
      </c>
      <c r="Q1740" s="2" t="s">
        <v>99</v>
      </c>
      <c r="R1740" s="2" t="s">
        <v>100</v>
      </c>
      <c r="S1740" s="2" t="s">
        <v>100</v>
      </c>
      <c r="T1740" s="2" t="s">
        <v>5161</v>
      </c>
      <c r="U1740" s="2" t="s">
        <v>1776</v>
      </c>
      <c r="V1740" s="2" t="s">
        <v>461</v>
      </c>
      <c r="W1740" s="2" t="s">
        <v>609</v>
      </c>
      <c r="X1740" s="2" t="s">
        <v>100</v>
      </c>
      <c r="Y1740" s="2" t="s">
        <v>6214</v>
      </c>
      <c r="Z1740" s="4">
        <v>107</v>
      </c>
      <c r="AA1740" s="4">
        <f>=ROUNDDOWN(15.2857142857143,0)</f>
      </c>
      <c r="AB1740" s="5">
        <v>7</v>
      </c>
      <c r="AC1740" s="2" t="s">
        <v>1142</v>
      </c>
      <c r="AD1740" s="4">
        <v>150</v>
      </c>
      <c r="AE1740" s="4">
        <v>150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>
        <v>1</v>
      </c>
      <c r="AW1740" s="8">
        <v>49.56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/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>
        <v>0.1111</v>
      </c>
      <c r="BJ1740" s="4">
        <v>7</v>
      </c>
      <c r="BK1740" s="8">
        <v>319.54</v>
      </c>
      <c r="BL1740" s="2" t="s">
        <v>1382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109</v>
      </c>
      <c r="BV1740" s="2" t="s">
        <v>97</v>
      </c>
      <c r="BW1740" s="2" t="s">
        <v>6151</v>
      </c>
      <c r="BX1740" s="2" t="s">
        <v>2365</v>
      </c>
      <c r="BY1740" s="2" t="s">
        <v>112</v>
      </c>
      <c r="BZ1740" s="2" t="s">
        <v>100</v>
      </c>
    </row>
    <row r="1741">
      <c r="A1741" s="2" t="s">
        <v>6215</v>
      </c>
      <c r="B1741" s="2" t="s">
        <v>5155</v>
      </c>
      <c r="C1741" s="2" t="s">
        <v>6144</v>
      </c>
      <c r="D1741" s="2" t="s">
        <v>5156</v>
      </c>
      <c r="E1741" s="2" t="s">
        <v>5157</v>
      </c>
      <c r="F1741" s="2" t="s">
        <v>6185</v>
      </c>
      <c r="G1741" s="2" t="s">
        <v>6185</v>
      </c>
      <c r="H1741" s="2" t="s">
        <v>6185</v>
      </c>
      <c r="I1741" s="2" t="s">
        <v>5159</v>
      </c>
      <c r="J1741" s="2" t="s">
        <v>490</v>
      </c>
      <c r="K1741" s="2" t="s">
        <v>138</v>
      </c>
      <c r="L1741" s="3">
        <v>47.3</v>
      </c>
      <c r="M1741" s="3">
        <v>49.66</v>
      </c>
      <c r="N1741" s="3">
        <v>101.99</v>
      </c>
      <c r="O1741" s="2" t="s">
        <v>97</v>
      </c>
      <c r="P1741" s="2" t="s">
        <v>98</v>
      </c>
      <c r="Q1741" s="2" t="s">
        <v>99</v>
      </c>
      <c r="R1741" s="2" t="s">
        <v>100</v>
      </c>
      <c r="S1741" s="2" t="s">
        <v>100</v>
      </c>
      <c r="T1741" s="2" t="s">
        <v>5161</v>
      </c>
      <c r="U1741" s="2" t="s">
        <v>1776</v>
      </c>
      <c r="V1741" s="2" t="s">
        <v>461</v>
      </c>
      <c r="W1741" s="2" t="s">
        <v>609</v>
      </c>
      <c r="X1741" s="2" t="s">
        <v>100</v>
      </c>
      <c r="Y1741" s="2" t="s">
        <v>6214</v>
      </c>
      <c r="Z1741" s="4">
        <v>899</v>
      </c>
      <c r="AA1741" s="4">
        <f>=ROUNDDOWN(149.833333333333,0)</f>
      </c>
      <c r="AB1741" s="5">
        <v>6</v>
      </c>
      <c r="AC1741" s="2" t="s">
        <v>100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1</v>
      </c>
      <c r="AQ1741" s="8">
        <v>49.56</v>
      </c>
      <c r="AR1741" s="4"/>
      <c r="AS1741" s="8"/>
      <c r="AT1741" s="7"/>
      <c r="AU1741" s="7"/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>
        <v>1</v>
      </c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 t="s">
        <v>100</v>
      </c>
      <c r="BJ1741" s="4">
        <v>9</v>
      </c>
      <c r="BK1741" s="8">
        <v>462.36</v>
      </c>
      <c r="BL1741" s="2" t="s">
        <v>5286</v>
      </c>
      <c r="BM1741" s="7">
        <v>0.1111</v>
      </c>
      <c r="BN1741" s="7">
        <v>0.1072</v>
      </c>
      <c r="BO1741" s="4">
        <v>1</v>
      </c>
      <c r="BP1741" s="8">
        <v>49.56</v>
      </c>
      <c r="BQ1741" s="4"/>
      <c r="BR1741" s="8"/>
      <c r="BS1741" s="7"/>
      <c r="BT1741" s="7"/>
      <c r="BU1741" s="2" t="s">
        <v>109</v>
      </c>
      <c r="BV1741" s="2" t="s">
        <v>97</v>
      </c>
      <c r="BW1741" s="2" t="s">
        <v>6151</v>
      </c>
      <c r="BX1741" s="2" t="s">
        <v>6167</v>
      </c>
      <c r="BY1741" s="2" t="s">
        <v>112</v>
      </c>
      <c r="BZ1741" s="2" t="s">
        <v>100</v>
      </c>
    </row>
    <row r="1742">
      <c r="A1742" s="2" t="s">
        <v>6216</v>
      </c>
      <c r="B1742" s="2" t="s">
        <v>5155</v>
      </c>
      <c r="C1742" s="2" t="s">
        <v>6144</v>
      </c>
      <c r="D1742" s="2" t="s">
        <v>5156</v>
      </c>
      <c r="E1742" s="2" t="s">
        <v>5157</v>
      </c>
      <c r="F1742" s="2" t="s">
        <v>6185</v>
      </c>
      <c r="G1742" s="2" t="s">
        <v>6185</v>
      </c>
      <c r="H1742" s="2" t="s">
        <v>6185</v>
      </c>
      <c r="I1742" s="2" t="s">
        <v>5159</v>
      </c>
      <c r="J1742" s="2" t="s">
        <v>95</v>
      </c>
      <c r="K1742" s="2" t="s">
        <v>138</v>
      </c>
      <c r="L1742" s="3">
        <v>69.56</v>
      </c>
      <c r="M1742" s="3">
        <v>73.04</v>
      </c>
      <c r="N1742" s="3">
        <v>149.99</v>
      </c>
      <c r="O1742" s="2" t="s">
        <v>97</v>
      </c>
      <c r="P1742" s="2" t="s">
        <v>98</v>
      </c>
      <c r="Q1742" s="2" t="s">
        <v>99</v>
      </c>
      <c r="R1742" s="2" t="s">
        <v>100</v>
      </c>
      <c r="S1742" s="2" t="s">
        <v>100</v>
      </c>
      <c r="T1742" s="2" t="s">
        <v>5161</v>
      </c>
      <c r="U1742" s="2" t="s">
        <v>1776</v>
      </c>
      <c r="V1742" s="2" t="s">
        <v>461</v>
      </c>
      <c r="W1742" s="2" t="s">
        <v>609</v>
      </c>
      <c r="X1742" s="2" t="s">
        <v>100</v>
      </c>
      <c r="Y1742" s="2" t="s">
        <v>6214</v>
      </c>
      <c r="Z1742" s="4">
        <v>266</v>
      </c>
      <c r="AA1742" s="4">
        <f>=ROUNDDOWN(24.1818181818182,0)</f>
      </c>
      <c r="AB1742" s="5">
        <v>11</v>
      </c>
      <c r="AC1742" s="2" t="s">
        <v>3033</v>
      </c>
      <c r="AD1742" s="4">
        <v>160</v>
      </c>
      <c r="AE1742" s="4">
        <v>160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/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 t="s">
        <v>100</v>
      </c>
      <c r="BJ1742" s="4">
        <v>5</v>
      </c>
      <c r="BK1742" s="8">
        <v>379.07</v>
      </c>
      <c r="BL1742" s="2" t="s">
        <v>5249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109</v>
      </c>
      <c r="BV1742" s="2" t="s">
        <v>97</v>
      </c>
      <c r="BW1742" s="2" t="s">
        <v>6151</v>
      </c>
      <c r="BX1742" s="2" t="s">
        <v>6217</v>
      </c>
      <c r="BY1742" s="2" t="s">
        <v>112</v>
      </c>
      <c r="BZ1742" s="2" t="s">
        <v>100</v>
      </c>
    </row>
    <row r="1743">
      <c r="A1743" s="2" t="s">
        <v>6218</v>
      </c>
      <c r="B1743" s="2" t="s">
        <v>5155</v>
      </c>
      <c r="C1743" s="2" t="s">
        <v>6144</v>
      </c>
      <c r="D1743" s="2" t="s">
        <v>5156</v>
      </c>
      <c r="E1743" s="2" t="s">
        <v>5157</v>
      </c>
      <c r="F1743" s="2" t="s">
        <v>6185</v>
      </c>
      <c r="G1743" s="2" t="s">
        <v>6185</v>
      </c>
      <c r="H1743" s="2" t="s">
        <v>6185</v>
      </c>
      <c r="I1743" s="2" t="s">
        <v>5159</v>
      </c>
      <c r="J1743" s="2" t="s">
        <v>114</v>
      </c>
      <c r="K1743" s="2" t="s">
        <v>138</v>
      </c>
      <c r="L1743" s="3">
        <v>75.13</v>
      </c>
      <c r="M1743" s="3">
        <v>78.89</v>
      </c>
      <c r="N1743" s="3">
        <v>159.99</v>
      </c>
      <c r="O1743" s="2" t="s">
        <v>97</v>
      </c>
      <c r="P1743" s="2" t="s">
        <v>98</v>
      </c>
      <c r="Q1743" s="2" t="s">
        <v>99</v>
      </c>
      <c r="R1743" s="2" t="s">
        <v>100</v>
      </c>
      <c r="S1743" s="2" t="s">
        <v>100</v>
      </c>
      <c r="T1743" s="2" t="s">
        <v>5161</v>
      </c>
      <c r="U1743" s="2" t="s">
        <v>1776</v>
      </c>
      <c r="V1743" s="2" t="s">
        <v>461</v>
      </c>
      <c r="W1743" s="2" t="s">
        <v>609</v>
      </c>
      <c r="X1743" s="2" t="s">
        <v>100</v>
      </c>
      <c r="Y1743" s="2" t="s">
        <v>6214</v>
      </c>
      <c r="Z1743" s="4">
        <v>483</v>
      </c>
      <c r="AA1743" s="4">
        <f>=ROUNDDOWN(48.3,0)</f>
      </c>
      <c r="AB1743" s="5">
        <v>10</v>
      </c>
      <c r="AC1743" s="2" t="s">
        <v>100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/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 t="s">
        <v>100</v>
      </c>
      <c r="BJ1743" s="4">
        <v>7</v>
      </c>
      <c r="BK1743" s="8">
        <v>561.34</v>
      </c>
      <c r="BL1743" s="2" t="s">
        <v>692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109</v>
      </c>
      <c r="BV1743" s="2" t="s">
        <v>97</v>
      </c>
      <c r="BW1743" s="2" t="s">
        <v>6151</v>
      </c>
      <c r="BX1743" s="2" t="s">
        <v>6165</v>
      </c>
      <c r="BY1743" s="2" t="s">
        <v>112</v>
      </c>
      <c r="BZ1743" s="2" t="s">
        <v>100</v>
      </c>
    </row>
    <row r="1744">
      <c r="A1744" s="2" t="s">
        <v>6219</v>
      </c>
      <c r="B1744" s="2" t="s">
        <v>5155</v>
      </c>
      <c r="C1744" s="2" t="s">
        <v>6144</v>
      </c>
      <c r="D1744" s="2" t="s">
        <v>5156</v>
      </c>
      <c r="E1744" s="2" t="s">
        <v>5157</v>
      </c>
      <c r="F1744" s="2" t="s">
        <v>6185</v>
      </c>
      <c r="G1744" s="2" t="s">
        <v>6185</v>
      </c>
      <c r="H1744" s="2" t="s">
        <v>6185</v>
      </c>
      <c r="I1744" s="2" t="s">
        <v>5159</v>
      </c>
      <c r="J1744" s="2" t="s">
        <v>1443</v>
      </c>
      <c r="K1744" s="2" t="s">
        <v>1460</v>
      </c>
      <c r="L1744" s="3">
        <v>41.73</v>
      </c>
      <c r="M1744" s="3">
        <v>43.82</v>
      </c>
      <c r="N1744" s="3">
        <v>89.99</v>
      </c>
      <c r="O1744" s="2" t="s">
        <v>97</v>
      </c>
      <c r="P1744" s="2" t="s">
        <v>98</v>
      </c>
      <c r="Q1744" s="2" t="s">
        <v>99</v>
      </c>
      <c r="R1744" s="2" t="s">
        <v>100</v>
      </c>
      <c r="S1744" s="2" t="s">
        <v>100</v>
      </c>
      <c r="T1744" s="2" t="s">
        <v>5161</v>
      </c>
      <c r="U1744" s="2" t="s">
        <v>1776</v>
      </c>
      <c r="V1744" s="2" t="s">
        <v>461</v>
      </c>
      <c r="W1744" s="2" t="s">
        <v>609</v>
      </c>
      <c r="X1744" s="2" t="s">
        <v>100</v>
      </c>
      <c r="Y1744" s="2" t="s">
        <v>6214</v>
      </c>
      <c r="Z1744" s="4">
        <v>60</v>
      </c>
      <c r="AA1744" s="4">
        <f>=ROUNDDOWN(8.57142857142857,0)</f>
      </c>
      <c r="AB1744" s="5">
        <v>7</v>
      </c>
      <c r="AC1744" s="2" t="s">
        <v>1142</v>
      </c>
      <c r="AD1744" s="4">
        <v>300</v>
      </c>
      <c r="AE1744" s="4">
        <v>300</v>
      </c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100</v>
      </c>
      <c r="AW1744" s="8" t="s">
        <v>100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/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 t="s">
        <v>100</v>
      </c>
      <c r="BJ1744" s="4">
        <v>8</v>
      </c>
      <c r="BK1744" s="8">
        <v>367.24</v>
      </c>
      <c r="BL1744" s="2" t="s">
        <v>2562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109</v>
      </c>
      <c r="BV1744" s="2" t="s">
        <v>97</v>
      </c>
      <c r="BW1744" s="2" t="s">
        <v>6151</v>
      </c>
      <c r="BX1744" s="2" t="s">
        <v>6196</v>
      </c>
      <c r="BY1744" s="2" t="s">
        <v>112</v>
      </c>
      <c r="BZ1744" s="2" t="s">
        <v>100</v>
      </c>
    </row>
    <row r="1745">
      <c r="A1745" s="2" t="s">
        <v>6220</v>
      </c>
      <c r="B1745" s="2" t="s">
        <v>5155</v>
      </c>
      <c r="C1745" s="2" t="s">
        <v>6144</v>
      </c>
      <c r="D1745" s="2" t="s">
        <v>5156</v>
      </c>
      <c r="E1745" s="2" t="s">
        <v>5157</v>
      </c>
      <c r="F1745" s="2" t="s">
        <v>6185</v>
      </c>
      <c r="G1745" s="2" t="s">
        <v>6185</v>
      </c>
      <c r="H1745" s="2" t="s">
        <v>6185</v>
      </c>
      <c r="I1745" s="2" t="s">
        <v>5159</v>
      </c>
      <c r="J1745" s="2" t="s">
        <v>490</v>
      </c>
      <c r="K1745" s="2" t="s">
        <v>1460</v>
      </c>
      <c r="L1745" s="3">
        <v>47.3</v>
      </c>
      <c r="M1745" s="3">
        <v>49.66</v>
      </c>
      <c r="N1745" s="3">
        <v>101.99</v>
      </c>
      <c r="O1745" s="2" t="s">
        <v>97</v>
      </c>
      <c r="P1745" s="2" t="s">
        <v>98</v>
      </c>
      <c r="Q1745" s="2" t="s">
        <v>99</v>
      </c>
      <c r="R1745" s="2" t="s">
        <v>100</v>
      </c>
      <c r="S1745" s="2" t="s">
        <v>100</v>
      </c>
      <c r="T1745" s="2" t="s">
        <v>5161</v>
      </c>
      <c r="U1745" s="2" t="s">
        <v>1776</v>
      </c>
      <c r="V1745" s="2" t="s">
        <v>461</v>
      </c>
      <c r="W1745" s="2" t="s">
        <v>609</v>
      </c>
      <c r="X1745" s="2" t="s">
        <v>100</v>
      </c>
      <c r="Y1745" s="2" t="s">
        <v>6214</v>
      </c>
      <c r="Z1745" s="4">
        <v>205</v>
      </c>
      <c r="AA1745" s="4">
        <f>=ROUNDDOWN(22.7777777777778,0)</f>
      </c>
      <c r="AB1745" s="5">
        <v>9</v>
      </c>
      <c r="AC1745" s="2" t="s">
        <v>3033</v>
      </c>
      <c r="AD1745" s="4">
        <v>170</v>
      </c>
      <c r="AE1745" s="4">
        <v>170</v>
      </c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 t="s">
        <v>100</v>
      </c>
      <c r="AW1745" s="8" t="s">
        <v>100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/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 t="s">
        <v>100</v>
      </c>
      <c r="BJ1745" s="4">
        <v>8</v>
      </c>
      <c r="BK1745" s="8">
        <v>419.76</v>
      </c>
      <c r="BL1745" s="2" t="s">
        <v>6221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109</v>
      </c>
      <c r="BV1745" s="2" t="s">
        <v>97</v>
      </c>
      <c r="BW1745" s="2" t="s">
        <v>6151</v>
      </c>
      <c r="BX1745" s="2" t="s">
        <v>6222</v>
      </c>
      <c r="BY1745" s="2" t="s">
        <v>112</v>
      </c>
      <c r="BZ1745" s="2" t="s">
        <v>100</v>
      </c>
    </row>
    <row r="1746">
      <c r="A1746" s="2" t="s">
        <v>6223</v>
      </c>
      <c r="B1746" s="2" t="s">
        <v>5155</v>
      </c>
      <c r="C1746" s="2" t="s">
        <v>6144</v>
      </c>
      <c r="D1746" s="2" t="s">
        <v>5156</v>
      </c>
      <c r="E1746" s="2" t="s">
        <v>5157</v>
      </c>
      <c r="F1746" s="2" t="s">
        <v>6185</v>
      </c>
      <c r="G1746" s="2" t="s">
        <v>6185</v>
      </c>
      <c r="H1746" s="2" t="s">
        <v>6185</v>
      </c>
      <c r="I1746" s="2" t="s">
        <v>5159</v>
      </c>
      <c r="J1746" s="2" t="s">
        <v>95</v>
      </c>
      <c r="K1746" s="2" t="s">
        <v>1460</v>
      </c>
      <c r="L1746" s="3">
        <v>69.56</v>
      </c>
      <c r="M1746" s="3">
        <v>73.04</v>
      </c>
      <c r="N1746" s="3">
        <v>149.99</v>
      </c>
      <c r="O1746" s="2" t="s">
        <v>97</v>
      </c>
      <c r="P1746" s="2" t="s">
        <v>98</v>
      </c>
      <c r="Q1746" s="2" t="s">
        <v>99</v>
      </c>
      <c r="R1746" s="2" t="s">
        <v>100</v>
      </c>
      <c r="S1746" s="2" t="s">
        <v>100</v>
      </c>
      <c r="T1746" s="2" t="s">
        <v>5161</v>
      </c>
      <c r="U1746" s="2" t="s">
        <v>1776</v>
      </c>
      <c r="V1746" s="2" t="s">
        <v>461</v>
      </c>
      <c r="W1746" s="2" t="s">
        <v>609</v>
      </c>
      <c r="X1746" s="2" t="s">
        <v>100</v>
      </c>
      <c r="Y1746" s="2" t="s">
        <v>6214</v>
      </c>
      <c r="Z1746" s="4">
        <v>624</v>
      </c>
      <c r="AA1746" s="4">
        <f>=ROUNDDOWN(62.4,0)</f>
      </c>
      <c r="AB1746" s="5">
        <v>10</v>
      </c>
      <c r="AC1746" s="2" t="s">
        <v>100</v>
      </c>
      <c r="AD1746" s="4"/>
      <c r="AE1746" s="4"/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/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 t="s">
        <v>100</v>
      </c>
      <c r="BJ1746" s="4">
        <v>13</v>
      </c>
      <c r="BK1746" s="8">
        <v>1060.65</v>
      </c>
      <c r="BL1746" s="2" t="s">
        <v>6224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109</v>
      </c>
      <c r="BV1746" s="2" t="s">
        <v>97</v>
      </c>
      <c r="BW1746" s="2" t="s">
        <v>6151</v>
      </c>
      <c r="BX1746" s="2" t="s">
        <v>6173</v>
      </c>
      <c r="BY1746" s="2" t="s">
        <v>112</v>
      </c>
      <c r="BZ1746" s="2" t="s">
        <v>100</v>
      </c>
    </row>
    <row r="1747">
      <c r="A1747" s="2" t="s">
        <v>6225</v>
      </c>
      <c r="B1747" s="2" t="s">
        <v>5155</v>
      </c>
      <c r="C1747" s="2" t="s">
        <v>6144</v>
      </c>
      <c r="D1747" s="2" t="s">
        <v>5156</v>
      </c>
      <c r="E1747" s="2" t="s">
        <v>5157</v>
      </c>
      <c r="F1747" s="2" t="s">
        <v>6185</v>
      </c>
      <c r="G1747" s="2" t="s">
        <v>6185</v>
      </c>
      <c r="H1747" s="2" t="s">
        <v>6185</v>
      </c>
      <c r="I1747" s="2" t="s">
        <v>5159</v>
      </c>
      <c r="J1747" s="2" t="s">
        <v>114</v>
      </c>
      <c r="K1747" s="2" t="s">
        <v>1460</v>
      </c>
      <c r="L1747" s="3">
        <v>75.13</v>
      </c>
      <c r="M1747" s="3">
        <v>78.89</v>
      </c>
      <c r="N1747" s="3">
        <v>159.99</v>
      </c>
      <c r="O1747" s="2" t="s">
        <v>97</v>
      </c>
      <c r="P1747" s="2" t="s">
        <v>98</v>
      </c>
      <c r="Q1747" s="2" t="s">
        <v>99</v>
      </c>
      <c r="R1747" s="2" t="s">
        <v>100</v>
      </c>
      <c r="S1747" s="2" t="s">
        <v>100</v>
      </c>
      <c r="T1747" s="2" t="s">
        <v>5161</v>
      </c>
      <c r="U1747" s="2" t="s">
        <v>1776</v>
      </c>
      <c r="V1747" s="2" t="s">
        <v>461</v>
      </c>
      <c r="W1747" s="2" t="s">
        <v>609</v>
      </c>
      <c r="X1747" s="2" t="s">
        <v>100</v>
      </c>
      <c r="Y1747" s="2" t="s">
        <v>6214</v>
      </c>
      <c r="Z1747" s="4">
        <v>785</v>
      </c>
      <c r="AA1747" s="4">
        <f>=ROUNDDOWN(71.3636363636364,0)</f>
      </c>
      <c r="AB1747" s="5">
        <v>11</v>
      </c>
      <c r="AC1747" s="2" t="s">
        <v>100</v>
      </c>
      <c r="AD1747" s="4"/>
      <c r="AE1747" s="4"/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/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 t="s">
        <v>100</v>
      </c>
      <c r="BJ1747" s="4">
        <v>4</v>
      </c>
      <c r="BK1747" s="8">
        <v>329.24</v>
      </c>
      <c r="BL1747" s="2" t="s">
        <v>1756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109</v>
      </c>
      <c r="BV1747" s="2" t="s">
        <v>97</v>
      </c>
      <c r="BW1747" s="2" t="s">
        <v>6151</v>
      </c>
      <c r="BX1747" s="2" t="s">
        <v>6226</v>
      </c>
      <c r="BY1747" s="2" t="s">
        <v>112</v>
      </c>
      <c r="BZ1747" s="2" t="s">
        <v>100</v>
      </c>
    </row>
    <row r="1748">
      <c r="A1748" s="2" t="s">
        <v>6227</v>
      </c>
      <c r="B1748" s="2" t="s">
        <v>5155</v>
      </c>
      <c r="C1748" s="2" t="s">
        <v>6144</v>
      </c>
      <c r="D1748" s="2" t="s">
        <v>5156</v>
      </c>
      <c r="E1748" s="2" t="s">
        <v>5157</v>
      </c>
      <c r="F1748" s="2" t="s">
        <v>6185</v>
      </c>
      <c r="G1748" s="2" t="s">
        <v>6185</v>
      </c>
      <c r="H1748" s="2" t="s">
        <v>6185</v>
      </c>
      <c r="I1748" s="2" t="s">
        <v>5159</v>
      </c>
      <c r="J1748" s="2" t="s">
        <v>1443</v>
      </c>
      <c r="K1748" s="2" t="s">
        <v>4488</v>
      </c>
      <c r="L1748" s="3">
        <v>41.73</v>
      </c>
      <c r="M1748" s="3">
        <v>43.82</v>
      </c>
      <c r="N1748" s="3">
        <v>89.99</v>
      </c>
      <c r="O1748" s="2" t="s">
        <v>97</v>
      </c>
      <c r="P1748" s="2" t="s">
        <v>98</v>
      </c>
      <c r="Q1748" s="2" t="s">
        <v>99</v>
      </c>
      <c r="R1748" s="2" t="s">
        <v>100</v>
      </c>
      <c r="S1748" s="2" t="s">
        <v>100</v>
      </c>
      <c r="T1748" s="2" t="s">
        <v>5161</v>
      </c>
      <c r="U1748" s="2" t="s">
        <v>1776</v>
      </c>
      <c r="V1748" s="2" t="s">
        <v>461</v>
      </c>
      <c r="W1748" s="2" t="s">
        <v>609</v>
      </c>
      <c r="X1748" s="2" t="s">
        <v>100</v>
      </c>
      <c r="Y1748" s="2" t="s">
        <v>6214</v>
      </c>
      <c r="Z1748" s="4">
        <v>86</v>
      </c>
      <c r="AA1748" s="4">
        <f>=ROUNDDOWN(10.75,0)</f>
      </c>
      <c r="AB1748" s="5">
        <v>8</v>
      </c>
      <c r="AC1748" s="2" t="s">
        <v>1142</v>
      </c>
      <c r="AD1748" s="4">
        <v>150</v>
      </c>
      <c r="AE1748" s="4">
        <v>150</v>
      </c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/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 t="s">
        <v>100</v>
      </c>
      <c r="BJ1748" s="4">
        <v>10</v>
      </c>
      <c r="BK1748" s="8">
        <v>460.53</v>
      </c>
      <c r="BL1748" s="2" t="s">
        <v>1380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109</v>
      </c>
      <c r="BV1748" s="2" t="s">
        <v>97</v>
      </c>
      <c r="BW1748" s="2" t="s">
        <v>6151</v>
      </c>
      <c r="BX1748" s="2" t="s">
        <v>6228</v>
      </c>
      <c r="BY1748" s="2" t="s">
        <v>112</v>
      </c>
      <c r="BZ1748" s="2" t="s">
        <v>100</v>
      </c>
    </row>
    <row r="1749">
      <c r="A1749" s="2" t="s">
        <v>6229</v>
      </c>
      <c r="B1749" s="2" t="s">
        <v>5155</v>
      </c>
      <c r="C1749" s="2" t="s">
        <v>6144</v>
      </c>
      <c r="D1749" s="2" t="s">
        <v>5156</v>
      </c>
      <c r="E1749" s="2" t="s">
        <v>5157</v>
      </c>
      <c r="F1749" s="2" t="s">
        <v>6185</v>
      </c>
      <c r="G1749" s="2" t="s">
        <v>6185</v>
      </c>
      <c r="H1749" s="2" t="s">
        <v>6185</v>
      </c>
      <c r="I1749" s="2" t="s">
        <v>5159</v>
      </c>
      <c r="J1749" s="2" t="s">
        <v>490</v>
      </c>
      <c r="K1749" s="2" t="s">
        <v>4488</v>
      </c>
      <c r="L1749" s="3">
        <v>47.3</v>
      </c>
      <c r="M1749" s="3">
        <v>49.66</v>
      </c>
      <c r="N1749" s="3">
        <v>101.99</v>
      </c>
      <c r="O1749" s="2" t="s">
        <v>97</v>
      </c>
      <c r="P1749" s="2" t="s">
        <v>98</v>
      </c>
      <c r="Q1749" s="2" t="s">
        <v>99</v>
      </c>
      <c r="R1749" s="2" t="s">
        <v>100</v>
      </c>
      <c r="S1749" s="2" t="s">
        <v>100</v>
      </c>
      <c r="T1749" s="2" t="s">
        <v>5161</v>
      </c>
      <c r="U1749" s="2" t="s">
        <v>1776</v>
      </c>
      <c r="V1749" s="2" t="s">
        <v>461</v>
      </c>
      <c r="W1749" s="2" t="s">
        <v>609</v>
      </c>
      <c r="X1749" s="2" t="s">
        <v>100</v>
      </c>
      <c r="Y1749" s="2" t="s">
        <v>6214</v>
      </c>
      <c r="Z1749" s="4">
        <v>430</v>
      </c>
      <c r="AA1749" s="4">
        <f>=ROUNDDOWN(35.8333333333333,0)</f>
      </c>
      <c r="AB1749" s="5">
        <v>12</v>
      </c>
      <c r="AC1749" s="2" t="s">
        <v>100</v>
      </c>
      <c r="AD1749" s="4"/>
      <c r="AE1749" s="4"/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/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 t="s">
        <v>100</v>
      </c>
      <c r="BJ1749" s="4">
        <v>10</v>
      </c>
      <c r="BK1749" s="8">
        <v>507.05</v>
      </c>
      <c r="BL1749" s="2" t="s">
        <v>1382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109</v>
      </c>
      <c r="BV1749" s="2" t="s">
        <v>97</v>
      </c>
      <c r="BW1749" s="2" t="s">
        <v>6151</v>
      </c>
      <c r="BX1749" s="2" t="s">
        <v>6228</v>
      </c>
      <c r="BY1749" s="2" t="s">
        <v>112</v>
      </c>
      <c r="BZ1749" s="2" t="s">
        <v>100</v>
      </c>
    </row>
    <row r="1750">
      <c r="A1750" s="2" t="s">
        <v>6230</v>
      </c>
      <c r="B1750" s="2" t="s">
        <v>5155</v>
      </c>
      <c r="C1750" s="2" t="s">
        <v>6144</v>
      </c>
      <c r="D1750" s="2" t="s">
        <v>5156</v>
      </c>
      <c r="E1750" s="2" t="s">
        <v>5157</v>
      </c>
      <c r="F1750" s="2" t="s">
        <v>6185</v>
      </c>
      <c r="G1750" s="2" t="s">
        <v>6185</v>
      </c>
      <c r="H1750" s="2" t="s">
        <v>6185</v>
      </c>
      <c r="I1750" s="2" t="s">
        <v>5159</v>
      </c>
      <c r="J1750" s="2" t="s">
        <v>95</v>
      </c>
      <c r="K1750" s="2" t="s">
        <v>4488</v>
      </c>
      <c r="L1750" s="3">
        <v>69.56</v>
      </c>
      <c r="M1750" s="3">
        <v>73.04</v>
      </c>
      <c r="N1750" s="3">
        <v>149.99</v>
      </c>
      <c r="O1750" s="2" t="s">
        <v>97</v>
      </c>
      <c r="P1750" s="2" t="s">
        <v>98</v>
      </c>
      <c r="Q1750" s="2" t="s">
        <v>99</v>
      </c>
      <c r="R1750" s="2" t="s">
        <v>100</v>
      </c>
      <c r="S1750" s="2" t="s">
        <v>100</v>
      </c>
      <c r="T1750" s="2" t="s">
        <v>5161</v>
      </c>
      <c r="U1750" s="2" t="s">
        <v>1776</v>
      </c>
      <c r="V1750" s="2" t="s">
        <v>461</v>
      </c>
      <c r="W1750" s="2" t="s">
        <v>609</v>
      </c>
      <c r="X1750" s="2" t="s">
        <v>100</v>
      </c>
      <c r="Y1750" s="2" t="s">
        <v>6214</v>
      </c>
      <c r="Z1750" s="4">
        <v>564</v>
      </c>
      <c r="AA1750" s="4">
        <f>=ROUNDDOWN(35.25,0)</f>
      </c>
      <c r="AB1750" s="5">
        <v>16</v>
      </c>
      <c r="AC1750" s="2" t="s">
        <v>100</v>
      </c>
      <c r="AD1750" s="4"/>
      <c r="AE1750" s="4"/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/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 t="s">
        <v>100</v>
      </c>
      <c r="BJ1750" s="4">
        <v>12</v>
      </c>
      <c r="BK1750" s="8">
        <v>990.3</v>
      </c>
      <c r="BL1750" s="2" t="s">
        <v>6231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109</v>
      </c>
      <c r="BV1750" s="2" t="s">
        <v>97</v>
      </c>
      <c r="BW1750" s="2" t="s">
        <v>6151</v>
      </c>
      <c r="BX1750" s="2" t="s">
        <v>212</v>
      </c>
      <c r="BY1750" s="2" t="s">
        <v>112</v>
      </c>
      <c r="BZ1750" s="2" t="s">
        <v>100</v>
      </c>
    </row>
    <row r="1751">
      <c r="A1751" s="2" t="s">
        <v>6232</v>
      </c>
      <c r="B1751" s="2" t="s">
        <v>5155</v>
      </c>
      <c r="C1751" s="2" t="s">
        <v>6144</v>
      </c>
      <c r="D1751" s="2" t="s">
        <v>5156</v>
      </c>
      <c r="E1751" s="2" t="s">
        <v>5157</v>
      </c>
      <c r="F1751" s="2" t="s">
        <v>6185</v>
      </c>
      <c r="G1751" s="2" t="s">
        <v>6185</v>
      </c>
      <c r="H1751" s="2" t="s">
        <v>6185</v>
      </c>
      <c r="I1751" s="2" t="s">
        <v>5159</v>
      </c>
      <c r="J1751" s="2" t="s">
        <v>114</v>
      </c>
      <c r="K1751" s="2" t="s">
        <v>4488</v>
      </c>
      <c r="L1751" s="3">
        <v>75.13</v>
      </c>
      <c r="M1751" s="3">
        <v>78.89</v>
      </c>
      <c r="N1751" s="3">
        <v>159.99</v>
      </c>
      <c r="O1751" s="2" t="s">
        <v>97</v>
      </c>
      <c r="P1751" s="2" t="s">
        <v>98</v>
      </c>
      <c r="Q1751" s="2" t="s">
        <v>99</v>
      </c>
      <c r="R1751" s="2" t="s">
        <v>100</v>
      </c>
      <c r="S1751" s="2" t="s">
        <v>100</v>
      </c>
      <c r="T1751" s="2" t="s">
        <v>5161</v>
      </c>
      <c r="U1751" s="2" t="s">
        <v>1776</v>
      </c>
      <c r="V1751" s="2" t="s">
        <v>461</v>
      </c>
      <c r="W1751" s="2" t="s">
        <v>609</v>
      </c>
      <c r="X1751" s="2" t="s">
        <v>100</v>
      </c>
      <c r="Y1751" s="2" t="s">
        <v>6214</v>
      </c>
      <c r="Z1751" s="4">
        <v>153</v>
      </c>
      <c r="AA1751" s="4">
        <f>=ROUNDDOWN(10.9285714285714,0)</f>
      </c>
      <c r="AB1751" s="5">
        <v>14</v>
      </c>
      <c r="AC1751" s="2" t="s">
        <v>3033</v>
      </c>
      <c r="AD1751" s="4">
        <v>150</v>
      </c>
      <c r="AE1751" s="4">
        <v>150</v>
      </c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/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 t="s">
        <v>100</v>
      </c>
      <c r="BJ1751" s="4">
        <v>8</v>
      </c>
      <c r="BK1751" s="8">
        <v>660.14</v>
      </c>
      <c r="BL1751" s="2" t="s">
        <v>1380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109</v>
      </c>
      <c r="BV1751" s="2" t="s">
        <v>97</v>
      </c>
      <c r="BW1751" s="2" t="s">
        <v>6151</v>
      </c>
      <c r="BX1751" s="2" t="s">
        <v>100</v>
      </c>
      <c r="BY1751" s="2" t="s">
        <v>112</v>
      </c>
      <c r="BZ1751" s="2" t="s">
        <v>100</v>
      </c>
    </row>
    <row r="1752">
      <c r="A1752" s="2" t="s">
        <v>6233</v>
      </c>
      <c r="B1752" s="2" t="s">
        <v>5155</v>
      </c>
      <c r="C1752" s="2" t="s">
        <v>6144</v>
      </c>
      <c r="D1752" s="2" t="s">
        <v>5156</v>
      </c>
      <c r="E1752" s="2" t="s">
        <v>5157</v>
      </c>
      <c r="F1752" s="2" t="s">
        <v>6185</v>
      </c>
      <c r="G1752" s="2" t="s">
        <v>6185</v>
      </c>
      <c r="H1752" s="2" t="s">
        <v>6185</v>
      </c>
      <c r="I1752" s="2" t="s">
        <v>5159</v>
      </c>
      <c r="J1752" s="2" t="s">
        <v>1443</v>
      </c>
      <c r="K1752" s="2" t="s">
        <v>523</v>
      </c>
      <c r="L1752" s="3">
        <v>41.73</v>
      </c>
      <c r="M1752" s="3">
        <v>43.82</v>
      </c>
      <c r="N1752" s="3">
        <v>89.99</v>
      </c>
      <c r="O1752" s="2" t="s">
        <v>97</v>
      </c>
      <c r="P1752" s="2" t="s">
        <v>98</v>
      </c>
      <c r="Q1752" s="2" t="s">
        <v>99</v>
      </c>
      <c r="R1752" s="2" t="s">
        <v>100</v>
      </c>
      <c r="S1752" s="2" t="s">
        <v>100</v>
      </c>
      <c r="T1752" s="2" t="s">
        <v>5161</v>
      </c>
      <c r="U1752" s="2" t="s">
        <v>1776</v>
      </c>
      <c r="V1752" s="2" t="s">
        <v>461</v>
      </c>
      <c r="W1752" s="2" t="s">
        <v>609</v>
      </c>
      <c r="X1752" s="2" t="s">
        <v>100</v>
      </c>
      <c r="Y1752" s="2" t="s">
        <v>6161</v>
      </c>
      <c r="Z1752" s="4">
        <v>163</v>
      </c>
      <c r="AA1752" s="4">
        <f>=ROUNDDOWN(23.2857142857143,0)</f>
      </c>
      <c r="AB1752" s="5">
        <v>7</v>
      </c>
      <c r="AC1752" s="2" t="s">
        <v>3033</v>
      </c>
      <c r="AD1752" s="4">
        <v>150</v>
      </c>
      <c r="AE1752" s="4">
        <v>150</v>
      </c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/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 t="s">
        <v>100</v>
      </c>
      <c r="BJ1752" s="4">
        <v>13</v>
      </c>
      <c r="BK1752" s="8">
        <v>579.37</v>
      </c>
      <c r="BL1752" s="2" t="s">
        <v>1823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109</v>
      </c>
      <c r="BV1752" s="2" t="s">
        <v>97</v>
      </c>
      <c r="BW1752" s="2" t="s">
        <v>6151</v>
      </c>
      <c r="BX1752" s="2" t="s">
        <v>6234</v>
      </c>
      <c r="BY1752" s="2" t="s">
        <v>112</v>
      </c>
      <c r="BZ1752" s="2" t="s">
        <v>100</v>
      </c>
    </row>
    <row r="1753">
      <c r="A1753" s="2" t="s">
        <v>6235</v>
      </c>
      <c r="B1753" s="2" t="s">
        <v>5155</v>
      </c>
      <c r="C1753" s="2" t="s">
        <v>6144</v>
      </c>
      <c r="D1753" s="2" t="s">
        <v>5156</v>
      </c>
      <c r="E1753" s="2" t="s">
        <v>5157</v>
      </c>
      <c r="F1753" s="2" t="s">
        <v>6185</v>
      </c>
      <c r="G1753" s="2" t="s">
        <v>6185</v>
      </c>
      <c r="H1753" s="2" t="s">
        <v>6185</v>
      </c>
      <c r="I1753" s="2" t="s">
        <v>5159</v>
      </c>
      <c r="J1753" s="2" t="s">
        <v>490</v>
      </c>
      <c r="K1753" s="2" t="s">
        <v>523</v>
      </c>
      <c r="L1753" s="3">
        <v>47.3</v>
      </c>
      <c r="M1753" s="3">
        <v>49.66</v>
      </c>
      <c r="N1753" s="3">
        <v>101.99</v>
      </c>
      <c r="O1753" s="2" t="s">
        <v>97</v>
      </c>
      <c r="P1753" s="2" t="s">
        <v>98</v>
      </c>
      <c r="Q1753" s="2" t="s">
        <v>99</v>
      </c>
      <c r="R1753" s="2" t="s">
        <v>100</v>
      </c>
      <c r="S1753" s="2" t="s">
        <v>100</v>
      </c>
      <c r="T1753" s="2" t="s">
        <v>5161</v>
      </c>
      <c r="U1753" s="2" t="s">
        <v>1776</v>
      </c>
      <c r="V1753" s="2" t="s">
        <v>461</v>
      </c>
      <c r="W1753" s="2" t="s">
        <v>609</v>
      </c>
      <c r="X1753" s="2" t="s">
        <v>100</v>
      </c>
      <c r="Y1753" s="2" t="s">
        <v>6161</v>
      </c>
      <c r="Z1753" s="4">
        <v>232</v>
      </c>
      <c r="AA1753" s="4">
        <f>=ROUNDDOWN(29,0)</f>
      </c>
      <c r="AB1753" s="5">
        <v>8</v>
      </c>
      <c r="AC1753" s="2" t="s">
        <v>100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/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 t="s">
        <v>100</v>
      </c>
      <c r="BJ1753" s="4">
        <v>10</v>
      </c>
      <c r="BK1753" s="8">
        <v>520.88</v>
      </c>
      <c r="BL1753" s="2" t="s">
        <v>666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109</v>
      </c>
      <c r="BV1753" s="2" t="s">
        <v>97</v>
      </c>
      <c r="BW1753" s="2" t="s">
        <v>6151</v>
      </c>
      <c r="BX1753" s="2" t="s">
        <v>6236</v>
      </c>
      <c r="BY1753" s="2" t="s">
        <v>112</v>
      </c>
      <c r="BZ1753" s="2" t="s">
        <v>100</v>
      </c>
    </row>
    <row r="1754">
      <c r="A1754" s="2" t="s">
        <v>6237</v>
      </c>
      <c r="B1754" s="2" t="s">
        <v>5155</v>
      </c>
      <c r="C1754" s="2" t="s">
        <v>6144</v>
      </c>
      <c r="D1754" s="2" t="s">
        <v>5156</v>
      </c>
      <c r="E1754" s="2" t="s">
        <v>5157</v>
      </c>
      <c r="F1754" s="2" t="s">
        <v>6185</v>
      </c>
      <c r="G1754" s="2" t="s">
        <v>6185</v>
      </c>
      <c r="H1754" s="2" t="s">
        <v>6185</v>
      </c>
      <c r="I1754" s="2" t="s">
        <v>5159</v>
      </c>
      <c r="J1754" s="2" t="s">
        <v>95</v>
      </c>
      <c r="K1754" s="2" t="s">
        <v>523</v>
      </c>
      <c r="L1754" s="3">
        <v>69.56</v>
      </c>
      <c r="M1754" s="3">
        <v>73.04</v>
      </c>
      <c r="N1754" s="3">
        <v>149.99</v>
      </c>
      <c r="O1754" s="2" t="s">
        <v>97</v>
      </c>
      <c r="P1754" s="2" t="s">
        <v>98</v>
      </c>
      <c r="Q1754" s="2" t="s">
        <v>99</v>
      </c>
      <c r="R1754" s="2" t="s">
        <v>100</v>
      </c>
      <c r="S1754" s="2" t="s">
        <v>100</v>
      </c>
      <c r="T1754" s="2" t="s">
        <v>5161</v>
      </c>
      <c r="U1754" s="2" t="s">
        <v>1776</v>
      </c>
      <c r="V1754" s="2" t="s">
        <v>461</v>
      </c>
      <c r="W1754" s="2" t="s">
        <v>609</v>
      </c>
      <c r="X1754" s="2" t="s">
        <v>100</v>
      </c>
      <c r="Y1754" s="2" t="s">
        <v>6161</v>
      </c>
      <c r="Z1754" s="4">
        <v>203</v>
      </c>
      <c r="AA1754" s="4">
        <f>=ROUNDDOWN(16.9166666666667,0)</f>
      </c>
      <c r="AB1754" s="5">
        <v>12</v>
      </c>
      <c r="AC1754" s="2" t="s">
        <v>3033</v>
      </c>
      <c r="AD1754" s="4">
        <v>150</v>
      </c>
      <c r="AE1754" s="4">
        <v>150</v>
      </c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100</v>
      </c>
      <c r="AW1754" s="8" t="s">
        <v>100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/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 t="s">
        <v>100</v>
      </c>
      <c r="BJ1754" s="4">
        <v>8</v>
      </c>
      <c r="BK1754" s="8">
        <v>604.01</v>
      </c>
      <c r="BL1754" s="2" t="s">
        <v>6238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109</v>
      </c>
      <c r="BV1754" s="2" t="s">
        <v>97</v>
      </c>
      <c r="BW1754" s="2" t="s">
        <v>6151</v>
      </c>
      <c r="BX1754" s="2" t="s">
        <v>6165</v>
      </c>
      <c r="BY1754" s="2" t="s">
        <v>112</v>
      </c>
      <c r="BZ1754" s="2" t="s">
        <v>100</v>
      </c>
    </row>
    <row r="1755">
      <c r="A1755" s="2" t="s">
        <v>6239</v>
      </c>
      <c r="B1755" s="2" t="s">
        <v>5155</v>
      </c>
      <c r="C1755" s="2" t="s">
        <v>6144</v>
      </c>
      <c r="D1755" s="2" t="s">
        <v>5156</v>
      </c>
      <c r="E1755" s="2" t="s">
        <v>5157</v>
      </c>
      <c r="F1755" s="2" t="s">
        <v>6185</v>
      </c>
      <c r="G1755" s="2" t="s">
        <v>6185</v>
      </c>
      <c r="H1755" s="2" t="s">
        <v>6185</v>
      </c>
      <c r="I1755" s="2" t="s">
        <v>5159</v>
      </c>
      <c r="J1755" s="2" t="s">
        <v>114</v>
      </c>
      <c r="K1755" s="2" t="s">
        <v>523</v>
      </c>
      <c r="L1755" s="3">
        <v>75.13</v>
      </c>
      <c r="M1755" s="3">
        <v>78.89</v>
      </c>
      <c r="N1755" s="3">
        <v>159.99</v>
      </c>
      <c r="O1755" s="2" t="s">
        <v>97</v>
      </c>
      <c r="P1755" s="2" t="s">
        <v>98</v>
      </c>
      <c r="Q1755" s="2" t="s">
        <v>99</v>
      </c>
      <c r="R1755" s="2" t="s">
        <v>100</v>
      </c>
      <c r="S1755" s="2" t="s">
        <v>100</v>
      </c>
      <c r="T1755" s="2" t="s">
        <v>5161</v>
      </c>
      <c r="U1755" s="2" t="s">
        <v>1776</v>
      </c>
      <c r="V1755" s="2" t="s">
        <v>461</v>
      </c>
      <c r="W1755" s="2" t="s">
        <v>609</v>
      </c>
      <c r="X1755" s="2" t="s">
        <v>100</v>
      </c>
      <c r="Y1755" s="2" t="s">
        <v>6161</v>
      </c>
      <c r="Z1755" s="4">
        <v>349</v>
      </c>
      <c r="AA1755" s="4">
        <f>=ROUNDDOWN(31.7272727272727,0)</f>
      </c>
      <c r="AB1755" s="5">
        <v>11</v>
      </c>
      <c r="AC1755" s="2" t="s">
        <v>100</v>
      </c>
      <c r="AD1755" s="4"/>
      <c r="AE1755" s="4"/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/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 t="s">
        <v>100</v>
      </c>
      <c r="BJ1755" s="4">
        <v>9</v>
      </c>
      <c r="BK1755" s="8">
        <v>733.11</v>
      </c>
      <c r="BL1755" s="2" t="s">
        <v>2757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109</v>
      </c>
      <c r="BV1755" s="2" t="s">
        <v>97</v>
      </c>
      <c r="BW1755" s="2" t="s">
        <v>6151</v>
      </c>
      <c r="BX1755" s="2" t="s">
        <v>6165</v>
      </c>
      <c r="BY1755" s="2" t="s">
        <v>112</v>
      </c>
      <c r="BZ1755" s="2" t="s">
        <v>100</v>
      </c>
    </row>
    <row r="1756">
      <c r="A1756" s="2" t="s">
        <v>6240</v>
      </c>
      <c r="B1756" s="2" t="s">
        <v>5155</v>
      </c>
      <c r="C1756" s="2" t="s">
        <v>6144</v>
      </c>
      <c r="D1756" s="2" t="s">
        <v>5156</v>
      </c>
      <c r="E1756" s="2" t="s">
        <v>5157</v>
      </c>
      <c r="F1756" s="2" t="s">
        <v>6241</v>
      </c>
      <c r="G1756" s="2" t="s">
        <v>6241</v>
      </c>
      <c r="H1756" s="2" t="s">
        <v>6241</v>
      </c>
      <c r="I1756" s="2" t="s">
        <v>5159</v>
      </c>
      <c r="J1756" s="2" t="s">
        <v>1443</v>
      </c>
      <c r="K1756" s="2" t="s">
        <v>96</v>
      </c>
      <c r="L1756" s="3">
        <v>45.23</v>
      </c>
      <c r="M1756" s="3">
        <v>47.49</v>
      </c>
      <c r="N1756" s="3">
        <v>94.99</v>
      </c>
      <c r="O1756" s="2" t="s">
        <v>97</v>
      </c>
      <c r="P1756" s="2" t="s">
        <v>98</v>
      </c>
      <c r="Q1756" s="2" t="s">
        <v>99</v>
      </c>
      <c r="R1756" s="2" t="s">
        <v>100</v>
      </c>
      <c r="S1756" s="2" t="s">
        <v>6242</v>
      </c>
      <c r="T1756" s="2" t="s">
        <v>4296</v>
      </c>
      <c r="U1756" s="2" t="s">
        <v>1776</v>
      </c>
      <c r="V1756" s="2" t="s">
        <v>461</v>
      </c>
      <c r="W1756" s="2" t="s">
        <v>609</v>
      </c>
      <c r="X1756" s="2" t="s">
        <v>100</v>
      </c>
      <c r="Y1756" s="2" t="s">
        <v>6243</v>
      </c>
      <c r="Z1756" s="4">
        <v>244</v>
      </c>
      <c r="AA1756" s="4">
        <f>=ROUNDDOWN(81.3333333333333,0)</f>
      </c>
      <c r="AB1756" s="5">
        <v>3</v>
      </c>
      <c r="AC1756" s="2" t="s">
        <v>100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/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/>
      <c r="BJ1756" s="4">
        <v>4</v>
      </c>
      <c r="BK1756" s="8">
        <v>190.44</v>
      </c>
      <c r="BL1756" s="2" t="s">
        <v>6244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2526</v>
      </c>
      <c r="BV1756" s="2" t="s">
        <v>97</v>
      </c>
      <c r="BW1756" s="2" t="s">
        <v>100</v>
      </c>
      <c r="BX1756" s="2" t="s">
        <v>100</v>
      </c>
      <c r="BY1756" s="2" t="s">
        <v>112</v>
      </c>
      <c r="BZ1756" s="2" t="s">
        <v>100</v>
      </c>
    </row>
    <row r="1757">
      <c r="A1757" s="2" t="s">
        <v>6245</v>
      </c>
      <c r="B1757" s="2" t="s">
        <v>5155</v>
      </c>
      <c r="C1757" s="2" t="s">
        <v>6144</v>
      </c>
      <c r="D1757" s="2" t="s">
        <v>5156</v>
      </c>
      <c r="E1757" s="2" t="s">
        <v>5157</v>
      </c>
      <c r="F1757" s="2" t="s">
        <v>6241</v>
      </c>
      <c r="G1757" s="2" t="s">
        <v>6241</v>
      </c>
      <c r="H1757" s="2" t="s">
        <v>6241</v>
      </c>
      <c r="I1757" s="2" t="s">
        <v>5159</v>
      </c>
      <c r="J1757" s="2" t="s">
        <v>490</v>
      </c>
      <c r="K1757" s="2" t="s">
        <v>96</v>
      </c>
      <c r="L1757" s="3">
        <v>50</v>
      </c>
      <c r="M1757" s="3">
        <v>52.5</v>
      </c>
      <c r="N1757" s="3">
        <v>104.99</v>
      </c>
      <c r="O1757" s="2" t="s">
        <v>97</v>
      </c>
      <c r="P1757" s="2" t="s">
        <v>98</v>
      </c>
      <c r="Q1757" s="2" t="s">
        <v>99</v>
      </c>
      <c r="R1757" s="2" t="s">
        <v>100</v>
      </c>
      <c r="S1757" s="2" t="s">
        <v>6242</v>
      </c>
      <c r="T1757" s="2" t="s">
        <v>4296</v>
      </c>
      <c r="U1757" s="2" t="s">
        <v>1776</v>
      </c>
      <c r="V1757" s="2" t="s">
        <v>461</v>
      </c>
      <c r="W1757" s="2" t="s">
        <v>609</v>
      </c>
      <c r="X1757" s="2" t="s">
        <v>100</v>
      </c>
      <c r="Y1757" s="2" t="s">
        <v>6243</v>
      </c>
      <c r="Z1757" s="4">
        <v>215</v>
      </c>
      <c r="AA1757" s="4">
        <f>=ROUNDDOWN(43,0)</f>
      </c>
      <c r="AB1757" s="5">
        <v>5</v>
      </c>
      <c r="AC1757" s="2" t="s">
        <v>100</v>
      </c>
      <c r="AD1757" s="4"/>
      <c r="AE1757" s="4"/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100</v>
      </c>
      <c r="AW1757" s="8" t="s">
        <v>100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/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/>
      <c r="BJ1757" s="4">
        <v>5</v>
      </c>
      <c r="BK1757" s="8">
        <v>279.3</v>
      </c>
      <c r="BL1757" s="2" t="s">
        <v>6246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2526</v>
      </c>
      <c r="BV1757" s="2" t="s">
        <v>97</v>
      </c>
      <c r="BW1757" s="2" t="s">
        <v>100</v>
      </c>
      <c r="BX1757" s="2" t="s">
        <v>100</v>
      </c>
      <c r="BY1757" s="2" t="s">
        <v>112</v>
      </c>
      <c r="BZ1757" s="2" t="s">
        <v>100</v>
      </c>
    </row>
    <row r="1758">
      <c r="A1758" s="2" t="s">
        <v>6247</v>
      </c>
      <c r="B1758" s="2" t="s">
        <v>5155</v>
      </c>
      <c r="C1758" s="2" t="s">
        <v>6144</v>
      </c>
      <c r="D1758" s="2" t="s">
        <v>5156</v>
      </c>
      <c r="E1758" s="2" t="s">
        <v>5157</v>
      </c>
      <c r="F1758" s="2" t="s">
        <v>6241</v>
      </c>
      <c r="G1758" s="2" t="s">
        <v>6241</v>
      </c>
      <c r="H1758" s="2" t="s">
        <v>6241</v>
      </c>
      <c r="I1758" s="2" t="s">
        <v>5159</v>
      </c>
      <c r="J1758" s="2" t="s">
        <v>95</v>
      </c>
      <c r="K1758" s="2" t="s">
        <v>96</v>
      </c>
      <c r="L1758" s="3">
        <v>71.42</v>
      </c>
      <c r="M1758" s="3">
        <v>74.99</v>
      </c>
      <c r="N1758" s="3">
        <v>149.99</v>
      </c>
      <c r="O1758" s="2" t="s">
        <v>97</v>
      </c>
      <c r="P1758" s="2" t="s">
        <v>98</v>
      </c>
      <c r="Q1758" s="2" t="s">
        <v>99</v>
      </c>
      <c r="R1758" s="2" t="s">
        <v>100</v>
      </c>
      <c r="S1758" s="2" t="s">
        <v>6242</v>
      </c>
      <c r="T1758" s="2" t="s">
        <v>4296</v>
      </c>
      <c r="U1758" s="2" t="s">
        <v>1776</v>
      </c>
      <c r="V1758" s="2" t="s">
        <v>461</v>
      </c>
      <c r="W1758" s="2" t="s">
        <v>609</v>
      </c>
      <c r="X1758" s="2" t="s">
        <v>100</v>
      </c>
      <c r="Y1758" s="2" t="s">
        <v>4089</v>
      </c>
      <c r="Z1758" s="4">
        <v>304</v>
      </c>
      <c r="AA1758" s="4">
        <f>=ROUNDDOWN(43.4285714285714,0)</f>
      </c>
      <c r="AB1758" s="5">
        <v>7</v>
      </c>
      <c r="AC1758" s="2" t="s">
        <v>100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/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/>
      <c r="BJ1758" s="4">
        <v>4</v>
      </c>
      <c r="BK1758" s="8">
        <v>315.71</v>
      </c>
      <c r="BL1758" s="2" t="s">
        <v>6248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2526</v>
      </c>
      <c r="BV1758" s="2" t="s">
        <v>97</v>
      </c>
      <c r="BW1758" s="2" t="s">
        <v>100</v>
      </c>
      <c r="BX1758" s="2" t="s">
        <v>100</v>
      </c>
      <c r="BY1758" s="2" t="s">
        <v>112</v>
      </c>
      <c r="BZ1758" s="2" t="s">
        <v>100</v>
      </c>
    </row>
    <row r="1759">
      <c r="A1759" s="2" t="s">
        <v>6249</v>
      </c>
      <c r="B1759" s="2" t="s">
        <v>5155</v>
      </c>
      <c r="C1759" s="2" t="s">
        <v>6144</v>
      </c>
      <c r="D1759" s="2" t="s">
        <v>5156</v>
      </c>
      <c r="E1759" s="2" t="s">
        <v>5157</v>
      </c>
      <c r="F1759" s="2" t="s">
        <v>6241</v>
      </c>
      <c r="G1759" s="2" t="s">
        <v>6241</v>
      </c>
      <c r="H1759" s="2" t="s">
        <v>6241</v>
      </c>
      <c r="I1759" s="2" t="s">
        <v>5159</v>
      </c>
      <c r="J1759" s="2" t="s">
        <v>114</v>
      </c>
      <c r="K1759" s="2" t="s">
        <v>96</v>
      </c>
      <c r="L1759" s="3">
        <v>78.57</v>
      </c>
      <c r="M1759" s="3">
        <v>82.5</v>
      </c>
      <c r="N1759" s="3">
        <v>164.99</v>
      </c>
      <c r="O1759" s="2" t="s">
        <v>97</v>
      </c>
      <c r="P1759" s="2" t="s">
        <v>98</v>
      </c>
      <c r="Q1759" s="2" t="s">
        <v>99</v>
      </c>
      <c r="R1759" s="2" t="s">
        <v>100</v>
      </c>
      <c r="S1759" s="2" t="s">
        <v>6242</v>
      </c>
      <c r="T1759" s="2" t="s">
        <v>4296</v>
      </c>
      <c r="U1759" s="2" t="s">
        <v>1776</v>
      </c>
      <c r="V1759" s="2" t="s">
        <v>461</v>
      </c>
      <c r="W1759" s="2" t="s">
        <v>609</v>
      </c>
      <c r="X1759" s="2" t="s">
        <v>100</v>
      </c>
      <c r="Y1759" s="2" t="s">
        <v>6243</v>
      </c>
      <c r="Z1759" s="4">
        <v>187</v>
      </c>
      <c r="AA1759" s="4">
        <f>=ROUNDDOWN(18.7,0)</f>
      </c>
      <c r="AB1759" s="5">
        <v>10</v>
      </c>
      <c r="AC1759" s="2" t="s">
        <v>100</v>
      </c>
      <c r="AD1759" s="4"/>
      <c r="AE1759" s="4"/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/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/>
      <c r="BJ1759" s="4">
        <v>8</v>
      </c>
      <c r="BK1759" s="8">
        <v>684.74</v>
      </c>
      <c r="BL1759" s="2" t="s">
        <v>1382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2526</v>
      </c>
      <c r="BV1759" s="2" t="s">
        <v>97</v>
      </c>
      <c r="BW1759" s="2" t="s">
        <v>100</v>
      </c>
      <c r="BX1759" s="2" t="s">
        <v>100</v>
      </c>
      <c r="BY1759" s="2" t="s">
        <v>112</v>
      </c>
      <c r="BZ1759" s="2" t="s">
        <v>100</v>
      </c>
    </row>
    <row r="1760">
      <c r="A1760" s="2" t="s">
        <v>6250</v>
      </c>
      <c r="B1760" s="2" t="s">
        <v>5155</v>
      </c>
      <c r="C1760" s="2" t="s">
        <v>6144</v>
      </c>
      <c r="D1760" s="2" t="s">
        <v>5156</v>
      </c>
      <c r="E1760" s="2" t="s">
        <v>5157</v>
      </c>
      <c r="F1760" s="2" t="s">
        <v>6241</v>
      </c>
      <c r="G1760" s="2" t="s">
        <v>6241</v>
      </c>
      <c r="H1760" s="2" t="s">
        <v>6241</v>
      </c>
      <c r="I1760" s="2" t="s">
        <v>5159</v>
      </c>
      <c r="J1760" s="2" t="s">
        <v>1443</v>
      </c>
      <c r="K1760" s="2" t="s">
        <v>1373</v>
      </c>
      <c r="L1760" s="3">
        <v>45.23</v>
      </c>
      <c r="M1760" s="3">
        <v>47.49</v>
      </c>
      <c r="N1760" s="3">
        <v>94.99</v>
      </c>
      <c r="O1760" s="2" t="s">
        <v>97</v>
      </c>
      <c r="P1760" s="2" t="s">
        <v>98</v>
      </c>
      <c r="Q1760" s="2" t="s">
        <v>99</v>
      </c>
      <c r="R1760" s="2" t="s">
        <v>100</v>
      </c>
      <c r="S1760" s="2" t="s">
        <v>6251</v>
      </c>
      <c r="T1760" s="2" t="s">
        <v>4296</v>
      </c>
      <c r="U1760" s="2" t="s">
        <v>1776</v>
      </c>
      <c r="V1760" s="2" t="s">
        <v>461</v>
      </c>
      <c r="W1760" s="2" t="s">
        <v>609</v>
      </c>
      <c r="X1760" s="2" t="s">
        <v>100</v>
      </c>
      <c r="Y1760" s="2" t="s">
        <v>6243</v>
      </c>
      <c r="Z1760" s="4">
        <v>250</v>
      </c>
      <c r="AA1760" s="4">
        <f>=ROUNDDOWN(125,0)</f>
      </c>
      <c r="AB1760" s="5">
        <v>2</v>
      </c>
      <c r="AC1760" s="2" t="s">
        <v>100</v>
      </c>
      <c r="AD1760" s="4"/>
      <c r="AE1760" s="4"/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/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/>
      <c r="BJ1760" s="4">
        <v>4</v>
      </c>
      <c r="BK1760" s="8">
        <v>190.44</v>
      </c>
      <c r="BL1760" s="2" t="s">
        <v>1638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2526</v>
      </c>
      <c r="BV1760" s="2" t="s">
        <v>97</v>
      </c>
      <c r="BW1760" s="2" t="s">
        <v>100</v>
      </c>
      <c r="BX1760" s="2" t="s">
        <v>100</v>
      </c>
      <c r="BY1760" s="2" t="s">
        <v>112</v>
      </c>
      <c r="BZ1760" s="2" t="s">
        <v>100</v>
      </c>
    </row>
    <row r="1761">
      <c r="A1761" s="2" t="s">
        <v>6252</v>
      </c>
      <c r="B1761" s="2" t="s">
        <v>5155</v>
      </c>
      <c r="C1761" s="2" t="s">
        <v>6144</v>
      </c>
      <c r="D1761" s="2" t="s">
        <v>5156</v>
      </c>
      <c r="E1761" s="2" t="s">
        <v>5157</v>
      </c>
      <c r="F1761" s="2" t="s">
        <v>6241</v>
      </c>
      <c r="G1761" s="2" t="s">
        <v>6241</v>
      </c>
      <c r="H1761" s="2" t="s">
        <v>6241</v>
      </c>
      <c r="I1761" s="2" t="s">
        <v>5159</v>
      </c>
      <c r="J1761" s="2" t="s">
        <v>490</v>
      </c>
      <c r="K1761" s="2" t="s">
        <v>1373</v>
      </c>
      <c r="L1761" s="3">
        <v>50</v>
      </c>
      <c r="M1761" s="3">
        <v>52.5</v>
      </c>
      <c r="N1761" s="3">
        <v>104.99</v>
      </c>
      <c r="O1761" s="2" t="s">
        <v>97</v>
      </c>
      <c r="P1761" s="2" t="s">
        <v>98</v>
      </c>
      <c r="Q1761" s="2" t="s">
        <v>99</v>
      </c>
      <c r="R1761" s="2" t="s">
        <v>100</v>
      </c>
      <c r="S1761" s="2" t="s">
        <v>6251</v>
      </c>
      <c r="T1761" s="2" t="s">
        <v>4296</v>
      </c>
      <c r="U1761" s="2" t="s">
        <v>1776</v>
      </c>
      <c r="V1761" s="2" t="s">
        <v>461</v>
      </c>
      <c r="W1761" s="2" t="s">
        <v>609</v>
      </c>
      <c r="X1761" s="2" t="s">
        <v>100</v>
      </c>
      <c r="Y1761" s="2" t="s">
        <v>4089</v>
      </c>
      <c r="Z1761" s="4">
        <v>218</v>
      </c>
      <c r="AA1761" s="4">
        <f>=ROUNDDOWN(43.6,0)</f>
      </c>
      <c r="AB1761" s="5">
        <v>5</v>
      </c>
      <c r="AC1761" s="2" t="s">
        <v>100</v>
      </c>
      <c r="AD1761" s="4"/>
      <c r="AE1761" s="4"/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/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/>
      <c r="BJ1761" s="4">
        <v>11</v>
      </c>
      <c r="BK1761" s="8">
        <v>601.1</v>
      </c>
      <c r="BL1761" s="2" t="s">
        <v>1612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2526</v>
      </c>
      <c r="BV1761" s="2" t="s">
        <v>97</v>
      </c>
      <c r="BW1761" s="2" t="s">
        <v>100</v>
      </c>
      <c r="BX1761" s="2" t="s">
        <v>100</v>
      </c>
      <c r="BY1761" s="2" t="s">
        <v>112</v>
      </c>
      <c r="BZ1761" s="2" t="s">
        <v>100</v>
      </c>
    </row>
    <row r="1762">
      <c r="A1762" s="2" t="s">
        <v>6253</v>
      </c>
      <c r="B1762" s="2" t="s">
        <v>5155</v>
      </c>
      <c r="C1762" s="2" t="s">
        <v>6144</v>
      </c>
      <c r="D1762" s="2" t="s">
        <v>5156</v>
      </c>
      <c r="E1762" s="2" t="s">
        <v>5157</v>
      </c>
      <c r="F1762" s="2" t="s">
        <v>6241</v>
      </c>
      <c r="G1762" s="2" t="s">
        <v>6241</v>
      </c>
      <c r="H1762" s="2" t="s">
        <v>6241</v>
      </c>
      <c r="I1762" s="2" t="s">
        <v>5159</v>
      </c>
      <c r="J1762" s="2" t="s">
        <v>95</v>
      </c>
      <c r="K1762" s="2" t="s">
        <v>1373</v>
      </c>
      <c r="L1762" s="3">
        <v>71.42</v>
      </c>
      <c r="M1762" s="3">
        <v>74.99</v>
      </c>
      <c r="N1762" s="3">
        <v>149.99</v>
      </c>
      <c r="O1762" s="2" t="s">
        <v>97</v>
      </c>
      <c r="P1762" s="2" t="s">
        <v>98</v>
      </c>
      <c r="Q1762" s="2" t="s">
        <v>99</v>
      </c>
      <c r="R1762" s="2" t="s">
        <v>100</v>
      </c>
      <c r="S1762" s="2" t="s">
        <v>6251</v>
      </c>
      <c r="T1762" s="2" t="s">
        <v>4296</v>
      </c>
      <c r="U1762" s="2" t="s">
        <v>1776</v>
      </c>
      <c r="V1762" s="2" t="s">
        <v>461</v>
      </c>
      <c r="W1762" s="2" t="s">
        <v>609</v>
      </c>
      <c r="X1762" s="2" t="s">
        <v>100</v>
      </c>
      <c r="Y1762" s="2" t="s">
        <v>6243</v>
      </c>
      <c r="Z1762" s="4">
        <v>406</v>
      </c>
      <c r="AA1762" s="4">
        <f>=ROUNDDOWN(67.6666666666667,0)</f>
      </c>
      <c r="AB1762" s="5">
        <v>6</v>
      </c>
      <c r="AC1762" s="2" t="s">
        <v>100</v>
      </c>
      <c r="AD1762" s="4"/>
      <c r="AE1762" s="4"/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/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/>
      <c r="BJ1762" s="4">
        <v>7</v>
      </c>
      <c r="BK1762" s="8">
        <v>562.43</v>
      </c>
      <c r="BL1762" s="2" t="s">
        <v>1380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2526</v>
      </c>
      <c r="BV1762" s="2" t="s">
        <v>97</v>
      </c>
      <c r="BW1762" s="2" t="s">
        <v>100</v>
      </c>
      <c r="BX1762" s="2" t="s">
        <v>100</v>
      </c>
      <c r="BY1762" s="2" t="s">
        <v>112</v>
      </c>
      <c r="BZ1762" s="2" t="s">
        <v>100</v>
      </c>
    </row>
    <row r="1763">
      <c r="A1763" s="2" t="s">
        <v>6254</v>
      </c>
      <c r="B1763" s="2" t="s">
        <v>5155</v>
      </c>
      <c r="C1763" s="2" t="s">
        <v>6144</v>
      </c>
      <c r="D1763" s="2" t="s">
        <v>5156</v>
      </c>
      <c r="E1763" s="2" t="s">
        <v>5157</v>
      </c>
      <c r="F1763" s="2" t="s">
        <v>6241</v>
      </c>
      <c r="G1763" s="2" t="s">
        <v>6241</v>
      </c>
      <c r="H1763" s="2" t="s">
        <v>6241</v>
      </c>
      <c r="I1763" s="2" t="s">
        <v>5159</v>
      </c>
      <c r="J1763" s="2" t="s">
        <v>114</v>
      </c>
      <c r="K1763" s="2" t="s">
        <v>1373</v>
      </c>
      <c r="L1763" s="3">
        <v>78.57</v>
      </c>
      <c r="M1763" s="3">
        <v>82.5</v>
      </c>
      <c r="N1763" s="3">
        <v>164.99</v>
      </c>
      <c r="O1763" s="2" t="s">
        <v>97</v>
      </c>
      <c r="P1763" s="2" t="s">
        <v>98</v>
      </c>
      <c r="Q1763" s="2" t="s">
        <v>99</v>
      </c>
      <c r="R1763" s="2" t="s">
        <v>100</v>
      </c>
      <c r="S1763" s="2" t="s">
        <v>6251</v>
      </c>
      <c r="T1763" s="2" t="s">
        <v>4296</v>
      </c>
      <c r="U1763" s="2" t="s">
        <v>1776</v>
      </c>
      <c r="V1763" s="2" t="s">
        <v>461</v>
      </c>
      <c r="W1763" s="2" t="s">
        <v>609</v>
      </c>
      <c r="X1763" s="2" t="s">
        <v>100</v>
      </c>
      <c r="Y1763" s="2" t="s">
        <v>6243</v>
      </c>
      <c r="Z1763" s="4">
        <v>391</v>
      </c>
      <c r="AA1763" s="4">
        <f>=ROUNDDOWN(65.1666666666667,0)</f>
      </c>
      <c r="AB1763" s="5">
        <v>6</v>
      </c>
      <c r="AC1763" s="2" t="s">
        <v>100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/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/>
      <c r="BJ1763" s="4">
        <v>13</v>
      </c>
      <c r="BK1763" s="8">
        <v>1065.04</v>
      </c>
      <c r="BL1763" s="2" t="s">
        <v>1687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2526</v>
      </c>
      <c r="BV1763" s="2" t="s">
        <v>97</v>
      </c>
      <c r="BW1763" s="2" t="s">
        <v>100</v>
      </c>
      <c r="BX1763" s="2" t="s">
        <v>100</v>
      </c>
      <c r="BY1763" s="2" t="s">
        <v>112</v>
      </c>
      <c r="BZ1763" s="2" t="s">
        <v>100</v>
      </c>
    </row>
    <row r="1764">
      <c r="A1764" s="2" t="s">
        <v>6255</v>
      </c>
      <c r="B1764" s="2" t="s">
        <v>5155</v>
      </c>
      <c r="C1764" s="2" t="s">
        <v>6144</v>
      </c>
      <c r="D1764" s="2" t="s">
        <v>5156</v>
      </c>
      <c r="E1764" s="2" t="s">
        <v>5157</v>
      </c>
      <c r="F1764" s="2" t="s">
        <v>6256</v>
      </c>
      <c r="G1764" s="2" t="s">
        <v>6256</v>
      </c>
      <c r="H1764" s="2" t="s">
        <v>6256</v>
      </c>
      <c r="I1764" s="2" t="s">
        <v>5235</v>
      </c>
      <c r="J1764" s="2" t="s">
        <v>490</v>
      </c>
      <c r="K1764" s="2" t="s">
        <v>1212</v>
      </c>
      <c r="L1764" s="3">
        <v>50.08</v>
      </c>
      <c r="M1764" s="3">
        <v>52.58</v>
      </c>
      <c r="N1764" s="3">
        <v>106.99</v>
      </c>
      <c r="O1764" s="2" t="s">
        <v>97</v>
      </c>
      <c r="P1764" s="2" t="s">
        <v>156</v>
      </c>
      <c r="Q1764" s="2" t="s">
        <v>99</v>
      </c>
      <c r="R1764" s="2" t="s">
        <v>100</v>
      </c>
      <c r="S1764" s="2" t="s">
        <v>100</v>
      </c>
      <c r="T1764" s="2" t="s">
        <v>4296</v>
      </c>
      <c r="U1764" s="2" t="s">
        <v>1776</v>
      </c>
      <c r="V1764" s="2" t="s">
        <v>461</v>
      </c>
      <c r="W1764" s="2" t="s">
        <v>609</v>
      </c>
      <c r="X1764" s="2" t="s">
        <v>100</v>
      </c>
      <c r="Y1764" s="2" t="s">
        <v>6161</v>
      </c>
      <c r="Z1764" s="4">
        <v>3</v>
      </c>
      <c r="AA1764" s="4">
        <f>=ROUNDDOWN(0.15,0)</f>
      </c>
      <c r="AB1764" s="5">
        <v>20</v>
      </c>
      <c r="AC1764" s="2" t="s">
        <v>1142</v>
      </c>
      <c r="AD1764" s="4">
        <v>150</v>
      </c>
      <c r="AE1764" s="4">
        <v>380</v>
      </c>
      <c r="AF1764" s="6">
        <v>65</v>
      </c>
      <c r="AG1764" s="6"/>
      <c r="AH1764" s="7">
        <v>0.4194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/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/>
      <c r="BJ1764" s="4">
        <v>7</v>
      </c>
      <c r="BK1764" s="8">
        <v>385.65</v>
      </c>
      <c r="BL1764" s="2" t="s">
        <v>4485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109</v>
      </c>
      <c r="BV1764" s="2" t="s">
        <v>97</v>
      </c>
      <c r="BW1764" s="2" t="s">
        <v>6151</v>
      </c>
      <c r="BX1764" s="2" t="s">
        <v>100</v>
      </c>
      <c r="BY1764" s="2" t="s">
        <v>112</v>
      </c>
      <c r="BZ1764" s="2" t="s">
        <v>100</v>
      </c>
    </row>
    <row r="1765">
      <c r="A1765" s="2" t="s">
        <v>6257</v>
      </c>
      <c r="B1765" s="2" t="s">
        <v>5155</v>
      </c>
      <c r="C1765" s="2" t="s">
        <v>6144</v>
      </c>
      <c r="D1765" s="2" t="s">
        <v>5156</v>
      </c>
      <c r="E1765" s="2" t="s">
        <v>5157</v>
      </c>
      <c r="F1765" s="2" t="s">
        <v>6256</v>
      </c>
      <c r="G1765" s="2" t="s">
        <v>6256</v>
      </c>
      <c r="H1765" s="2" t="s">
        <v>6256</v>
      </c>
      <c r="I1765" s="2" t="s">
        <v>5235</v>
      </c>
      <c r="J1765" s="2" t="s">
        <v>95</v>
      </c>
      <c r="K1765" s="2" t="s">
        <v>1212</v>
      </c>
      <c r="L1765" s="3">
        <v>72.34</v>
      </c>
      <c r="M1765" s="3">
        <v>75.96</v>
      </c>
      <c r="N1765" s="3">
        <v>149.99</v>
      </c>
      <c r="O1765" s="2" t="s">
        <v>97</v>
      </c>
      <c r="P1765" s="2" t="s">
        <v>156</v>
      </c>
      <c r="Q1765" s="2" t="s">
        <v>99</v>
      </c>
      <c r="R1765" s="2" t="s">
        <v>100</v>
      </c>
      <c r="S1765" s="2" t="s">
        <v>100</v>
      </c>
      <c r="T1765" s="2" t="s">
        <v>4296</v>
      </c>
      <c r="U1765" s="2" t="s">
        <v>1776</v>
      </c>
      <c r="V1765" s="2" t="s">
        <v>461</v>
      </c>
      <c r="W1765" s="2" t="s">
        <v>609</v>
      </c>
      <c r="X1765" s="2" t="s">
        <v>100</v>
      </c>
      <c r="Y1765" s="2" t="s">
        <v>6161</v>
      </c>
      <c r="Z1765" s="4">
        <v>113</v>
      </c>
      <c r="AA1765" s="4">
        <f>=ROUNDDOWN(4.70833333333333,0)</f>
      </c>
      <c r="AB1765" s="5">
        <v>24</v>
      </c>
      <c r="AC1765" s="2" t="s">
        <v>1142</v>
      </c>
      <c r="AD1765" s="4">
        <v>170</v>
      </c>
      <c r="AE1765" s="4">
        <v>420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/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/>
      <c r="BJ1765" s="4">
        <v>9</v>
      </c>
      <c r="BK1765" s="8">
        <v>717.31</v>
      </c>
      <c r="BL1765" s="2" t="s">
        <v>6258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109</v>
      </c>
      <c r="BV1765" s="2" t="s">
        <v>97</v>
      </c>
      <c r="BW1765" s="2" t="s">
        <v>6151</v>
      </c>
      <c r="BX1765" s="2" t="s">
        <v>6259</v>
      </c>
      <c r="BY1765" s="2" t="s">
        <v>112</v>
      </c>
      <c r="BZ1765" s="2" t="s">
        <v>100</v>
      </c>
    </row>
    <row r="1766">
      <c r="A1766" s="2" t="s">
        <v>6260</v>
      </c>
      <c r="B1766" s="2" t="s">
        <v>5155</v>
      </c>
      <c r="C1766" s="2" t="s">
        <v>6144</v>
      </c>
      <c r="D1766" s="2" t="s">
        <v>5156</v>
      </c>
      <c r="E1766" s="2" t="s">
        <v>5157</v>
      </c>
      <c r="F1766" s="2" t="s">
        <v>6256</v>
      </c>
      <c r="G1766" s="2" t="s">
        <v>6256</v>
      </c>
      <c r="H1766" s="2" t="s">
        <v>6256</v>
      </c>
      <c r="I1766" s="2" t="s">
        <v>5235</v>
      </c>
      <c r="J1766" s="2" t="s">
        <v>114</v>
      </c>
      <c r="K1766" s="2" t="s">
        <v>1212</v>
      </c>
      <c r="L1766" s="3">
        <v>77.9</v>
      </c>
      <c r="M1766" s="3">
        <v>81.8</v>
      </c>
      <c r="N1766" s="3">
        <v>166.99</v>
      </c>
      <c r="O1766" s="2" t="s">
        <v>97</v>
      </c>
      <c r="P1766" s="2" t="s">
        <v>156</v>
      </c>
      <c r="Q1766" s="2" t="s">
        <v>99</v>
      </c>
      <c r="R1766" s="2" t="s">
        <v>100</v>
      </c>
      <c r="S1766" s="2" t="s">
        <v>100</v>
      </c>
      <c r="T1766" s="2" t="s">
        <v>4296</v>
      </c>
      <c r="U1766" s="2" t="s">
        <v>1776</v>
      </c>
      <c r="V1766" s="2" t="s">
        <v>461</v>
      </c>
      <c r="W1766" s="2" t="s">
        <v>609</v>
      </c>
      <c r="X1766" s="2" t="s">
        <v>100</v>
      </c>
      <c r="Y1766" s="2" t="s">
        <v>6161</v>
      </c>
      <c r="Z1766" s="4">
        <v>40</v>
      </c>
      <c r="AA1766" s="4">
        <f>=ROUNDDOWN(1.37931034482759,0)</f>
      </c>
      <c r="AB1766" s="5">
        <v>29</v>
      </c>
      <c r="AC1766" s="2" t="s">
        <v>1142</v>
      </c>
      <c r="AD1766" s="4">
        <v>220</v>
      </c>
      <c r="AE1766" s="4">
        <v>510</v>
      </c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/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/>
      <c r="BJ1766" s="4">
        <v>14</v>
      </c>
      <c r="BK1766" s="8">
        <v>1276.93</v>
      </c>
      <c r="BL1766" s="2" t="s">
        <v>2682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109</v>
      </c>
      <c r="BV1766" s="2" t="s">
        <v>97</v>
      </c>
      <c r="BW1766" s="2" t="s">
        <v>6151</v>
      </c>
      <c r="BX1766" s="2" t="s">
        <v>6261</v>
      </c>
      <c r="BY1766" s="2" t="s">
        <v>112</v>
      </c>
      <c r="BZ1766" s="2" t="s">
        <v>100</v>
      </c>
    </row>
    <row r="1767">
      <c r="A1767" s="2" t="s">
        <v>6262</v>
      </c>
      <c r="B1767" s="2" t="s">
        <v>5155</v>
      </c>
      <c r="C1767" s="2" t="s">
        <v>6144</v>
      </c>
      <c r="D1767" s="2" t="s">
        <v>5156</v>
      </c>
      <c r="E1767" s="2" t="s">
        <v>5157</v>
      </c>
      <c r="F1767" s="2" t="s">
        <v>6256</v>
      </c>
      <c r="G1767" s="2" t="s">
        <v>6256</v>
      </c>
      <c r="H1767" s="2" t="s">
        <v>6256</v>
      </c>
      <c r="I1767" s="2" t="s">
        <v>5235</v>
      </c>
      <c r="J1767" s="2" t="s">
        <v>490</v>
      </c>
      <c r="K1767" s="2" t="s">
        <v>1373</v>
      </c>
      <c r="L1767" s="3">
        <v>50.08</v>
      </c>
      <c r="M1767" s="3">
        <v>52.58</v>
      </c>
      <c r="N1767" s="3">
        <v>106.99</v>
      </c>
      <c r="O1767" s="2" t="s">
        <v>97</v>
      </c>
      <c r="P1767" s="2" t="s">
        <v>98</v>
      </c>
      <c r="Q1767" s="2" t="s">
        <v>99</v>
      </c>
      <c r="R1767" s="2" t="s">
        <v>100</v>
      </c>
      <c r="S1767" s="2" t="s">
        <v>100</v>
      </c>
      <c r="T1767" s="2" t="s">
        <v>4296</v>
      </c>
      <c r="U1767" s="2" t="s">
        <v>1776</v>
      </c>
      <c r="V1767" s="2" t="s">
        <v>461</v>
      </c>
      <c r="W1767" s="2" t="s">
        <v>609</v>
      </c>
      <c r="X1767" s="2" t="s">
        <v>100</v>
      </c>
      <c r="Y1767" s="2" t="s">
        <v>6161</v>
      </c>
      <c r="Z1767" s="4">
        <v>2</v>
      </c>
      <c r="AA1767" s="4">
        <f>=ROUNDDOWN(0.142857142857143,0)</f>
      </c>
      <c r="AB1767" s="5">
        <v>14</v>
      </c>
      <c r="AC1767" s="2" t="s">
        <v>1142</v>
      </c>
      <c r="AD1767" s="4">
        <v>150</v>
      </c>
      <c r="AE1767" s="4">
        <v>300</v>
      </c>
      <c r="AF1767" s="6">
        <v>65</v>
      </c>
      <c r="AG1767" s="6"/>
      <c r="AH1767" s="7">
        <v>0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/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/>
      <c r="BJ1767" s="4"/>
      <c r="BK1767" s="8"/>
      <c r="BL1767" s="2" t="s">
        <v>100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109</v>
      </c>
      <c r="BV1767" s="2" t="s">
        <v>97</v>
      </c>
      <c r="BW1767" s="2" t="s">
        <v>6151</v>
      </c>
      <c r="BX1767" s="2" t="s">
        <v>6165</v>
      </c>
      <c r="BY1767" s="2" t="s">
        <v>112</v>
      </c>
      <c r="BZ1767" s="2" t="s">
        <v>100</v>
      </c>
    </row>
    <row r="1768">
      <c r="A1768" s="2" t="s">
        <v>6263</v>
      </c>
      <c r="B1768" s="2" t="s">
        <v>5155</v>
      </c>
      <c r="C1768" s="2" t="s">
        <v>6144</v>
      </c>
      <c r="D1768" s="2" t="s">
        <v>5156</v>
      </c>
      <c r="E1768" s="2" t="s">
        <v>5157</v>
      </c>
      <c r="F1768" s="2" t="s">
        <v>6256</v>
      </c>
      <c r="G1768" s="2" t="s">
        <v>6256</v>
      </c>
      <c r="H1768" s="2" t="s">
        <v>6256</v>
      </c>
      <c r="I1768" s="2" t="s">
        <v>5235</v>
      </c>
      <c r="J1768" s="2" t="s">
        <v>95</v>
      </c>
      <c r="K1768" s="2" t="s">
        <v>1373</v>
      </c>
      <c r="L1768" s="3">
        <v>72.34</v>
      </c>
      <c r="M1768" s="3">
        <v>75.96</v>
      </c>
      <c r="N1768" s="3">
        <v>149.99</v>
      </c>
      <c r="O1768" s="2" t="s">
        <v>97</v>
      </c>
      <c r="P1768" s="2" t="s">
        <v>98</v>
      </c>
      <c r="Q1768" s="2" t="s">
        <v>99</v>
      </c>
      <c r="R1768" s="2" t="s">
        <v>100</v>
      </c>
      <c r="S1768" s="2" t="s">
        <v>100</v>
      </c>
      <c r="T1768" s="2" t="s">
        <v>4296</v>
      </c>
      <c r="U1768" s="2" t="s">
        <v>1776</v>
      </c>
      <c r="V1768" s="2" t="s">
        <v>461</v>
      </c>
      <c r="W1768" s="2" t="s">
        <v>609</v>
      </c>
      <c r="X1768" s="2" t="s">
        <v>100</v>
      </c>
      <c r="Y1768" s="2" t="s">
        <v>6161</v>
      </c>
      <c r="Z1768" s="4">
        <v>89</v>
      </c>
      <c r="AA1768" s="4">
        <f>=ROUNDDOWN(4.45,0)</f>
      </c>
      <c r="AB1768" s="5">
        <v>20</v>
      </c>
      <c r="AC1768" s="2" t="s">
        <v>1142</v>
      </c>
      <c r="AD1768" s="4">
        <v>150</v>
      </c>
      <c r="AE1768" s="4">
        <v>340</v>
      </c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/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/>
      <c r="BJ1768" s="4">
        <v>9</v>
      </c>
      <c r="BK1768" s="8">
        <v>719.69</v>
      </c>
      <c r="BL1768" s="2" t="s">
        <v>6221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109</v>
      </c>
      <c r="BV1768" s="2" t="s">
        <v>97</v>
      </c>
      <c r="BW1768" s="2" t="s">
        <v>6151</v>
      </c>
      <c r="BX1768" s="2" t="s">
        <v>1462</v>
      </c>
      <c r="BY1768" s="2" t="s">
        <v>112</v>
      </c>
      <c r="BZ1768" s="2" t="s">
        <v>100</v>
      </c>
    </row>
    <row r="1769">
      <c r="A1769" s="2" t="s">
        <v>6264</v>
      </c>
      <c r="B1769" s="2" t="s">
        <v>5155</v>
      </c>
      <c r="C1769" s="2" t="s">
        <v>6144</v>
      </c>
      <c r="D1769" s="2" t="s">
        <v>5156</v>
      </c>
      <c r="E1769" s="2" t="s">
        <v>5157</v>
      </c>
      <c r="F1769" s="2" t="s">
        <v>6256</v>
      </c>
      <c r="G1769" s="2" t="s">
        <v>6256</v>
      </c>
      <c r="H1769" s="2" t="s">
        <v>6256</v>
      </c>
      <c r="I1769" s="2" t="s">
        <v>5235</v>
      </c>
      <c r="J1769" s="2" t="s">
        <v>114</v>
      </c>
      <c r="K1769" s="2" t="s">
        <v>1373</v>
      </c>
      <c r="L1769" s="3">
        <v>77.9</v>
      </c>
      <c r="M1769" s="3">
        <v>81.8</v>
      </c>
      <c r="N1769" s="3">
        <v>166.99</v>
      </c>
      <c r="O1769" s="2" t="s">
        <v>97</v>
      </c>
      <c r="P1769" s="2" t="s">
        <v>98</v>
      </c>
      <c r="Q1769" s="2" t="s">
        <v>99</v>
      </c>
      <c r="R1769" s="2" t="s">
        <v>100</v>
      </c>
      <c r="S1769" s="2" t="s">
        <v>100</v>
      </c>
      <c r="T1769" s="2" t="s">
        <v>4296</v>
      </c>
      <c r="U1769" s="2" t="s">
        <v>1776</v>
      </c>
      <c r="V1769" s="2" t="s">
        <v>461</v>
      </c>
      <c r="W1769" s="2" t="s">
        <v>609</v>
      </c>
      <c r="X1769" s="2" t="s">
        <v>100</v>
      </c>
      <c r="Y1769" s="2" t="s">
        <v>6161</v>
      </c>
      <c r="Z1769" s="4">
        <v>65</v>
      </c>
      <c r="AA1769" s="4">
        <f>=ROUNDDOWN(3.82352941176471,0)</f>
      </c>
      <c r="AB1769" s="5">
        <v>17</v>
      </c>
      <c r="AC1769" s="2" t="s">
        <v>1142</v>
      </c>
      <c r="AD1769" s="4">
        <v>150</v>
      </c>
      <c r="AE1769" s="4">
        <v>300</v>
      </c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/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/>
      <c r="BJ1769" s="4">
        <v>18</v>
      </c>
      <c r="BK1769" s="8">
        <v>1541.42</v>
      </c>
      <c r="BL1769" s="2" t="s">
        <v>6265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109</v>
      </c>
      <c r="BV1769" s="2" t="s">
        <v>97</v>
      </c>
      <c r="BW1769" s="2" t="s">
        <v>6151</v>
      </c>
      <c r="BX1769" s="2" t="s">
        <v>6266</v>
      </c>
      <c r="BY1769" s="2" t="s">
        <v>112</v>
      </c>
      <c r="BZ1769" s="2" t="s">
        <v>100</v>
      </c>
    </row>
    <row r="1770">
      <c r="A1770" s="2" t="s">
        <v>6267</v>
      </c>
      <c r="B1770" s="2" t="s">
        <v>5155</v>
      </c>
      <c r="C1770" s="2" t="s">
        <v>6144</v>
      </c>
      <c r="D1770" s="2" t="s">
        <v>5156</v>
      </c>
      <c r="E1770" s="2" t="s">
        <v>5157</v>
      </c>
      <c r="F1770" s="2" t="s">
        <v>6256</v>
      </c>
      <c r="G1770" s="2" t="s">
        <v>6256</v>
      </c>
      <c r="H1770" s="2" t="s">
        <v>6256</v>
      </c>
      <c r="I1770" s="2" t="s">
        <v>5235</v>
      </c>
      <c r="J1770" s="2" t="s">
        <v>490</v>
      </c>
      <c r="K1770" s="2" t="s">
        <v>5681</v>
      </c>
      <c r="L1770" s="3">
        <v>50.08</v>
      </c>
      <c r="M1770" s="3">
        <v>52.58</v>
      </c>
      <c r="N1770" s="3">
        <v>106.99</v>
      </c>
      <c r="O1770" s="2" t="s">
        <v>97</v>
      </c>
      <c r="P1770" s="2" t="s">
        <v>98</v>
      </c>
      <c r="Q1770" s="2" t="s">
        <v>99</v>
      </c>
      <c r="R1770" s="2" t="s">
        <v>100</v>
      </c>
      <c r="S1770" s="2" t="s">
        <v>100</v>
      </c>
      <c r="T1770" s="2" t="s">
        <v>4296</v>
      </c>
      <c r="U1770" s="2" t="s">
        <v>1776</v>
      </c>
      <c r="V1770" s="2" t="s">
        <v>461</v>
      </c>
      <c r="W1770" s="2" t="s">
        <v>609</v>
      </c>
      <c r="X1770" s="2" t="s">
        <v>100</v>
      </c>
      <c r="Y1770" s="2" t="s">
        <v>6268</v>
      </c>
      <c r="Z1770" s="4">
        <v>2</v>
      </c>
      <c r="AA1770" s="4">
        <f>=ROUNDDOWN(0.25,0)</f>
      </c>
      <c r="AB1770" s="5">
        <v>8</v>
      </c>
      <c r="AC1770" s="2" t="s">
        <v>1142</v>
      </c>
      <c r="AD1770" s="4">
        <v>150</v>
      </c>
      <c r="AE1770" s="4">
        <v>150</v>
      </c>
      <c r="AF1770" s="6">
        <v>65</v>
      </c>
      <c r="AG1770" s="6"/>
      <c r="AH1770" s="7">
        <v>0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/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/>
      <c r="BJ1770" s="4"/>
      <c r="BK1770" s="8"/>
      <c r="BL1770" s="2" t="s">
        <v>100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109</v>
      </c>
      <c r="BV1770" s="2" t="s">
        <v>97</v>
      </c>
      <c r="BW1770" s="2" t="s">
        <v>6151</v>
      </c>
      <c r="BX1770" s="2" t="s">
        <v>6165</v>
      </c>
      <c r="BY1770" s="2" t="s">
        <v>112</v>
      </c>
      <c r="BZ1770" s="2" t="s">
        <v>100</v>
      </c>
    </row>
    <row r="1771">
      <c r="A1771" s="2" t="s">
        <v>6269</v>
      </c>
      <c r="B1771" s="2" t="s">
        <v>5155</v>
      </c>
      <c r="C1771" s="2" t="s">
        <v>6144</v>
      </c>
      <c r="D1771" s="2" t="s">
        <v>5156</v>
      </c>
      <c r="E1771" s="2" t="s">
        <v>5157</v>
      </c>
      <c r="F1771" s="2" t="s">
        <v>6256</v>
      </c>
      <c r="G1771" s="2" t="s">
        <v>6256</v>
      </c>
      <c r="H1771" s="2" t="s">
        <v>6256</v>
      </c>
      <c r="I1771" s="2" t="s">
        <v>5235</v>
      </c>
      <c r="J1771" s="2" t="s">
        <v>95</v>
      </c>
      <c r="K1771" s="2" t="s">
        <v>5681</v>
      </c>
      <c r="L1771" s="3">
        <v>72.34</v>
      </c>
      <c r="M1771" s="3">
        <v>75.96</v>
      </c>
      <c r="N1771" s="3">
        <v>149.99</v>
      </c>
      <c r="O1771" s="2" t="s">
        <v>97</v>
      </c>
      <c r="P1771" s="2" t="s">
        <v>98</v>
      </c>
      <c r="Q1771" s="2" t="s">
        <v>99</v>
      </c>
      <c r="R1771" s="2" t="s">
        <v>100</v>
      </c>
      <c r="S1771" s="2" t="s">
        <v>100</v>
      </c>
      <c r="T1771" s="2" t="s">
        <v>4296</v>
      </c>
      <c r="U1771" s="2" t="s">
        <v>1776</v>
      </c>
      <c r="V1771" s="2" t="s">
        <v>461</v>
      </c>
      <c r="W1771" s="2" t="s">
        <v>609</v>
      </c>
      <c r="X1771" s="2" t="s">
        <v>100</v>
      </c>
      <c r="Y1771" s="2" t="s">
        <v>6268</v>
      </c>
      <c r="Z1771" s="4">
        <v>3</v>
      </c>
      <c r="AA1771" s="4">
        <f>=ROUNDDOWN(0.333333333333333,0)</f>
      </c>
      <c r="AB1771" s="5">
        <v>9</v>
      </c>
      <c r="AC1771" s="2" t="s">
        <v>1142</v>
      </c>
      <c r="AD1771" s="4">
        <v>180</v>
      </c>
      <c r="AE1771" s="4">
        <v>180</v>
      </c>
      <c r="AF1771" s="6">
        <v>65</v>
      </c>
      <c r="AG1771" s="6"/>
      <c r="AH1771" s="7">
        <v>0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/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/>
      <c r="BJ1771" s="4"/>
      <c r="BK1771" s="8"/>
      <c r="BL1771" s="2" t="s">
        <v>100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109</v>
      </c>
      <c r="BV1771" s="2" t="s">
        <v>97</v>
      </c>
      <c r="BW1771" s="2" t="s">
        <v>6151</v>
      </c>
      <c r="BX1771" s="2" t="s">
        <v>6270</v>
      </c>
      <c r="BY1771" s="2" t="s">
        <v>112</v>
      </c>
      <c r="BZ1771" s="2" t="s">
        <v>100</v>
      </c>
    </row>
    <row r="1772">
      <c r="A1772" s="2" t="s">
        <v>6271</v>
      </c>
      <c r="B1772" s="2" t="s">
        <v>5155</v>
      </c>
      <c r="C1772" s="2" t="s">
        <v>6144</v>
      </c>
      <c r="D1772" s="2" t="s">
        <v>5156</v>
      </c>
      <c r="E1772" s="2" t="s">
        <v>5157</v>
      </c>
      <c r="F1772" s="2" t="s">
        <v>6256</v>
      </c>
      <c r="G1772" s="2" t="s">
        <v>6256</v>
      </c>
      <c r="H1772" s="2" t="s">
        <v>6256</v>
      </c>
      <c r="I1772" s="2" t="s">
        <v>5235</v>
      </c>
      <c r="J1772" s="2" t="s">
        <v>114</v>
      </c>
      <c r="K1772" s="2" t="s">
        <v>5681</v>
      </c>
      <c r="L1772" s="3">
        <v>77.9</v>
      </c>
      <c r="M1772" s="3">
        <v>81.8</v>
      </c>
      <c r="N1772" s="3">
        <v>166.99</v>
      </c>
      <c r="O1772" s="2" t="s">
        <v>97</v>
      </c>
      <c r="P1772" s="2" t="s">
        <v>98</v>
      </c>
      <c r="Q1772" s="2" t="s">
        <v>99</v>
      </c>
      <c r="R1772" s="2" t="s">
        <v>100</v>
      </c>
      <c r="S1772" s="2" t="s">
        <v>100</v>
      </c>
      <c r="T1772" s="2" t="s">
        <v>4296</v>
      </c>
      <c r="U1772" s="2" t="s">
        <v>1776</v>
      </c>
      <c r="V1772" s="2" t="s">
        <v>461</v>
      </c>
      <c r="W1772" s="2" t="s">
        <v>609</v>
      </c>
      <c r="X1772" s="2" t="s">
        <v>100</v>
      </c>
      <c r="Y1772" s="2" t="s">
        <v>1526</v>
      </c>
      <c r="Z1772" s="4">
        <v>172</v>
      </c>
      <c r="AA1772" s="4">
        <f>=ROUNDDOWN(21.5,0)</f>
      </c>
      <c r="AB1772" s="5">
        <v>8</v>
      </c>
      <c r="AC1772" s="2" t="s">
        <v>3033</v>
      </c>
      <c r="AD1772" s="4">
        <v>180</v>
      </c>
      <c r="AE1772" s="4">
        <v>180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100</v>
      </c>
      <c r="AW1772" s="8" t="s">
        <v>100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/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/>
      <c r="BJ1772" s="4">
        <v>11</v>
      </c>
      <c r="BK1772" s="8">
        <v>941.1</v>
      </c>
      <c r="BL1772" s="2" t="s">
        <v>1380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109</v>
      </c>
      <c r="BV1772" s="2" t="s">
        <v>97</v>
      </c>
      <c r="BW1772" s="2" t="s">
        <v>6151</v>
      </c>
      <c r="BX1772" s="2" t="s">
        <v>3960</v>
      </c>
      <c r="BY1772" s="2" t="s">
        <v>112</v>
      </c>
      <c r="BZ1772" s="2" t="s">
        <v>100</v>
      </c>
    </row>
    <row r="1773">
      <c r="A1773" s="2" t="s">
        <v>6272</v>
      </c>
      <c r="B1773" s="2" t="s">
        <v>5155</v>
      </c>
      <c r="C1773" s="2" t="s">
        <v>6144</v>
      </c>
      <c r="D1773" s="2" t="s">
        <v>5156</v>
      </c>
      <c r="E1773" s="2" t="s">
        <v>5157</v>
      </c>
      <c r="F1773" s="2" t="s">
        <v>6256</v>
      </c>
      <c r="G1773" s="2" t="s">
        <v>6256</v>
      </c>
      <c r="H1773" s="2" t="s">
        <v>6256</v>
      </c>
      <c r="I1773" s="2" t="s">
        <v>5235</v>
      </c>
      <c r="J1773" s="2" t="s">
        <v>490</v>
      </c>
      <c r="K1773" s="2" t="s">
        <v>4488</v>
      </c>
      <c r="L1773" s="3">
        <v>50.08</v>
      </c>
      <c r="M1773" s="3">
        <v>52.58</v>
      </c>
      <c r="N1773" s="3">
        <v>106.99</v>
      </c>
      <c r="O1773" s="2" t="s">
        <v>97</v>
      </c>
      <c r="P1773" s="2" t="s">
        <v>98</v>
      </c>
      <c r="Q1773" s="2" t="s">
        <v>99</v>
      </c>
      <c r="R1773" s="2" t="s">
        <v>100</v>
      </c>
      <c r="S1773" s="2" t="s">
        <v>100</v>
      </c>
      <c r="T1773" s="2" t="s">
        <v>4296</v>
      </c>
      <c r="U1773" s="2" t="s">
        <v>1776</v>
      </c>
      <c r="V1773" s="2" t="s">
        <v>461</v>
      </c>
      <c r="W1773" s="2" t="s">
        <v>609</v>
      </c>
      <c r="X1773" s="2" t="s">
        <v>100</v>
      </c>
      <c r="Y1773" s="2" t="s">
        <v>6268</v>
      </c>
      <c r="Z1773" s="4">
        <v>44</v>
      </c>
      <c r="AA1773" s="4">
        <f>=ROUNDDOWN(4.4,0)</f>
      </c>
      <c r="AB1773" s="5">
        <v>10</v>
      </c>
      <c r="AC1773" s="2" t="s">
        <v>1142</v>
      </c>
      <c r="AD1773" s="4">
        <v>160</v>
      </c>
      <c r="AE1773" s="4">
        <v>160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/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/>
      <c r="BJ1773" s="4">
        <v>14</v>
      </c>
      <c r="BK1773" s="8">
        <v>762.16</v>
      </c>
      <c r="BL1773" s="2" t="s">
        <v>2465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109</v>
      </c>
      <c r="BV1773" s="2" t="s">
        <v>97</v>
      </c>
      <c r="BW1773" s="2" t="s">
        <v>6151</v>
      </c>
      <c r="BX1773" s="2" t="s">
        <v>6173</v>
      </c>
      <c r="BY1773" s="2" t="s">
        <v>112</v>
      </c>
      <c r="BZ1773" s="2" t="s">
        <v>100</v>
      </c>
    </row>
    <row r="1774">
      <c r="A1774" s="2" t="s">
        <v>6273</v>
      </c>
      <c r="B1774" s="2" t="s">
        <v>5155</v>
      </c>
      <c r="C1774" s="2" t="s">
        <v>6144</v>
      </c>
      <c r="D1774" s="2" t="s">
        <v>5156</v>
      </c>
      <c r="E1774" s="2" t="s">
        <v>5157</v>
      </c>
      <c r="F1774" s="2" t="s">
        <v>6256</v>
      </c>
      <c r="G1774" s="2" t="s">
        <v>6256</v>
      </c>
      <c r="H1774" s="2" t="s">
        <v>6256</v>
      </c>
      <c r="I1774" s="2" t="s">
        <v>5235</v>
      </c>
      <c r="J1774" s="2" t="s">
        <v>95</v>
      </c>
      <c r="K1774" s="2" t="s">
        <v>4488</v>
      </c>
      <c r="L1774" s="3">
        <v>72.34</v>
      </c>
      <c r="M1774" s="3">
        <v>75.96</v>
      </c>
      <c r="N1774" s="3">
        <v>149.99</v>
      </c>
      <c r="O1774" s="2" t="s">
        <v>97</v>
      </c>
      <c r="P1774" s="2" t="s">
        <v>98</v>
      </c>
      <c r="Q1774" s="2" t="s">
        <v>99</v>
      </c>
      <c r="R1774" s="2" t="s">
        <v>100</v>
      </c>
      <c r="S1774" s="2" t="s">
        <v>100</v>
      </c>
      <c r="T1774" s="2" t="s">
        <v>4296</v>
      </c>
      <c r="U1774" s="2" t="s">
        <v>1776</v>
      </c>
      <c r="V1774" s="2" t="s">
        <v>461</v>
      </c>
      <c r="W1774" s="2" t="s">
        <v>609</v>
      </c>
      <c r="X1774" s="2" t="s">
        <v>100</v>
      </c>
      <c r="Y1774" s="2" t="s">
        <v>6268</v>
      </c>
      <c r="Z1774" s="4">
        <v>183</v>
      </c>
      <c r="AA1774" s="4">
        <f>=ROUNDDOWN(15.25,0)</f>
      </c>
      <c r="AB1774" s="5">
        <v>12</v>
      </c>
      <c r="AC1774" s="2" t="s">
        <v>3033</v>
      </c>
      <c r="AD1774" s="4">
        <v>190</v>
      </c>
      <c r="AE1774" s="4">
        <v>190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/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/>
      <c r="BJ1774" s="4">
        <v>7</v>
      </c>
      <c r="BK1774" s="8">
        <v>549.76</v>
      </c>
      <c r="BL1774" s="2" t="s">
        <v>6248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109</v>
      </c>
      <c r="BV1774" s="2" t="s">
        <v>97</v>
      </c>
      <c r="BW1774" s="2" t="s">
        <v>6151</v>
      </c>
      <c r="BX1774" s="2" t="s">
        <v>6270</v>
      </c>
      <c r="BY1774" s="2" t="s">
        <v>112</v>
      </c>
      <c r="BZ1774" s="2" t="s">
        <v>100</v>
      </c>
    </row>
    <row r="1775">
      <c r="A1775" s="2" t="s">
        <v>6274</v>
      </c>
      <c r="B1775" s="2" t="s">
        <v>5155</v>
      </c>
      <c r="C1775" s="2" t="s">
        <v>6144</v>
      </c>
      <c r="D1775" s="2" t="s">
        <v>5156</v>
      </c>
      <c r="E1775" s="2" t="s">
        <v>5157</v>
      </c>
      <c r="F1775" s="2" t="s">
        <v>6256</v>
      </c>
      <c r="G1775" s="2" t="s">
        <v>6256</v>
      </c>
      <c r="H1775" s="2" t="s">
        <v>6256</v>
      </c>
      <c r="I1775" s="2" t="s">
        <v>5235</v>
      </c>
      <c r="J1775" s="2" t="s">
        <v>114</v>
      </c>
      <c r="K1775" s="2" t="s">
        <v>4488</v>
      </c>
      <c r="L1775" s="3">
        <v>77.9</v>
      </c>
      <c r="M1775" s="3">
        <v>81.8</v>
      </c>
      <c r="N1775" s="3">
        <v>166.99</v>
      </c>
      <c r="O1775" s="2" t="s">
        <v>97</v>
      </c>
      <c r="P1775" s="2" t="s">
        <v>98</v>
      </c>
      <c r="Q1775" s="2" t="s">
        <v>99</v>
      </c>
      <c r="R1775" s="2" t="s">
        <v>100</v>
      </c>
      <c r="S1775" s="2" t="s">
        <v>100</v>
      </c>
      <c r="T1775" s="2" t="s">
        <v>4296</v>
      </c>
      <c r="U1775" s="2" t="s">
        <v>1776</v>
      </c>
      <c r="V1775" s="2" t="s">
        <v>461</v>
      </c>
      <c r="W1775" s="2" t="s">
        <v>609</v>
      </c>
      <c r="X1775" s="2" t="s">
        <v>100</v>
      </c>
      <c r="Y1775" s="2" t="s">
        <v>6268</v>
      </c>
      <c r="Z1775" s="4">
        <v>86</v>
      </c>
      <c r="AA1775" s="4">
        <f>=ROUNDDOWN(6.61538461538461,0)</f>
      </c>
      <c r="AB1775" s="5">
        <v>13</v>
      </c>
      <c r="AC1775" s="2" t="s">
        <v>1142</v>
      </c>
      <c r="AD1775" s="4">
        <v>150</v>
      </c>
      <c r="AE1775" s="4">
        <v>300</v>
      </c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100</v>
      </c>
      <c r="AW1775" s="8" t="s">
        <v>100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/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/>
      <c r="BJ1775" s="4">
        <v>14</v>
      </c>
      <c r="BK1775" s="8">
        <v>1186.78</v>
      </c>
      <c r="BL1775" s="2" t="s">
        <v>6275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109</v>
      </c>
      <c r="BV1775" s="2" t="s">
        <v>97</v>
      </c>
      <c r="BW1775" s="2" t="s">
        <v>6151</v>
      </c>
      <c r="BX1775" s="2" t="s">
        <v>6276</v>
      </c>
      <c r="BY1775" s="2" t="s">
        <v>112</v>
      </c>
      <c r="BZ1775" s="2" t="s">
        <v>100</v>
      </c>
    </row>
    <row r="1776">
      <c r="A1776" s="2" t="s">
        <v>6277</v>
      </c>
      <c r="B1776" s="2" t="s">
        <v>5155</v>
      </c>
      <c r="C1776" s="2" t="s">
        <v>6144</v>
      </c>
      <c r="D1776" s="2" t="s">
        <v>5156</v>
      </c>
      <c r="E1776" s="2" t="s">
        <v>5157</v>
      </c>
      <c r="F1776" s="2" t="s">
        <v>6256</v>
      </c>
      <c r="G1776" s="2" t="s">
        <v>6256</v>
      </c>
      <c r="H1776" s="2" t="s">
        <v>6256</v>
      </c>
      <c r="I1776" s="2" t="s">
        <v>5235</v>
      </c>
      <c r="J1776" s="2" t="s">
        <v>490</v>
      </c>
      <c r="K1776" s="2" t="s">
        <v>386</v>
      </c>
      <c r="L1776" s="3">
        <v>50.08</v>
      </c>
      <c r="M1776" s="3">
        <v>52.58</v>
      </c>
      <c r="N1776" s="3">
        <v>106.99</v>
      </c>
      <c r="O1776" s="2" t="s">
        <v>97</v>
      </c>
      <c r="P1776" s="2" t="s">
        <v>98</v>
      </c>
      <c r="Q1776" s="2" t="s">
        <v>99</v>
      </c>
      <c r="R1776" s="2" t="s">
        <v>100</v>
      </c>
      <c r="S1776" s="2" t="s">
        <v>100</v>
      </c>
      <c r="T1776" s="2" t="s">
        <v>4296</v>
      </c>
      <c r="U1776" s="2" t="s">
        <v>1776</v>
      </c>
      <c r="V1776" s="2" t="s">
        <v>461</v>
      </c>
      <c r="W1776" s="2" t="s">
        <v>609</v>
      </c>
      <c r="X1776" s="2" t="s">
        <v>100</v>
      </c>
      <c r="Y1776" s="2" t="s">
        <v>6161</v>
      </c>
      <c r="Z1776" s="4">
        <v>75</v>
      </c>
      <c r="AA1776" s="4">
        <f>=ROUNDDOWN(7.5,0)</f>
      </c>
      <c r="AB1776" s="5">
        <v>10</v>
      </c>
      <c r="AC1776" s="2" t="s">
        <v>1142</v>
      </c>
      <c r="AD1776" s="4">
        <v>150</v>
      </c>
      <c r="AE1776" s="4">
        <v>150</v>
      </c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/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/>
      <c r="BJ1776" s="4">
        <v>11</v>
      </c>
      <c r="BK1776" s="8">
        <v>600.18</v>
      </c>
      <c r="BL1776" s="2" t="s">
        <v>6278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109</v>
      </c>
      <c r="BV1776" s="2" t="s">
        <v>97</v>
      </c>
      <c r="BW1776" s="2" t="s">
        <v>6151</v>
      </c>
      <c r="BX1776" s="2" t="s">
        <v>3960</v>
      </c>
      <c r="BY1776" s="2" t="s">
        <v>112</v>
      </c>
      <c r="BZ1776" s="2" t="s">
        <v>100</v>
      </c>
    </row>
    <row r="1777">
      <c r="A1777" s="2" t="s">
        <v>6279</v>
      </c>
      <c r="B1777" s="2" t="s">
        <v>5155</v>
      </c>
      <c r="C1777" s="2" t="s">
        <v>6144</v>
      </c>
      <c r="D1777" s="2" t="s">
        <v>5156</v>
      </c>
      <c r="E1777" s="2" t="s">
        <v>5157</v>
      </c>
      <c r="F1777" s="2" t="s">
        <v>6256</v>
      </c>
      <c r="G1777" s="2" t="s">
        <v>6256</v>
      </c>
      <c r="H1777" s="2" t="s">
        <v>6256</v>
      </c>
      <c r="I1777" s="2" t="s">
        <v>5235</v>
      </c>
      <c r="J1777" s="2" t="s">
        <v>95</v>
      </c>
      <c r="K1777" s="2" t="s">
        <v>386</v>
      </c>
      <c r="L1777" s="3">
        <v>72.34</v>
      </c>
      <c r="M1777" s="3">
        <v>75.96</v>
      </c>
      <c r="N1777" s="3">
        <v>149.99</v>
      </c>
      <c r="O1777" s="2" t="s">
        <v>97</v>
      </c>
      <c r="P1777" s="2" t="s">
        <v>98</v>
      </c>
      <c r="Q1777" s="2" t="s">
        <v>99</v>
      </c>
      <c r="R1777" s="2" t="s">
        <v>100</v>
      </c>
      <c r="S1777" s="2" t="s">
        <v>100</v>
      </c>
      <c r="T1777" s="2" t="s">
        <v>4296</v>
      </c>
      <c r="U1777" s="2" t="s">
        <v>1776</v>
      </c>
      <c r="V1777" s="2" t="s">
        <v>461</v>
      </c>
      <c r="W1777" s="2" t="s">
        <v>609</v>
      </c>
      <c r="X1777" s="2" t="s">
        <v>100</v>
      </c>
      <c r="Y1777" s="2" t="s">
        <v>6161</v>
      </c>
      <c r="Z1777" s="4">
        <v>22</v>
      </c>
      <c r="AA1777" s="4">
        <f>=ROUNDDOWN(2.44444444444444,0)</f>
      </c>
      <c r="AB1777" s="5">
        <v>9</v>
      </c>
      <c r="AC1777" s="2" t="s">
        <v>1142</v>
      </c>
      <c r="AD1777" s="4">
        <v>170</v>
      </c>
      <c r="AE1777" s="4">
        <v>170</v>
      </c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/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/>
      <c r="BJ1777" s="4">
        <v>9</v>
      </c>
      <c r="BK1777" s="8">
        <v>706.9</v>
      </c>
      <c r="BL1777" s="2" t="s">
        <v>4449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109</v>
      </c>
      <c r="BV1777" s="2" t="s">
        <v>97</v>
      </c>
      <c r="BW1777" s="2" t="s">
        <v>6151</v>
      </c>
      <c r="BX1777" s="2" t="s">
        <v>6280</v>
      </c>
      <c r="BY1777" s="2" t="s">
        <v>112</v>
      </c>
      <c r="BZ1777" s="2" t="s">
        <v>100</v>
      </c>
    </row>
    <row r="1778">
      <c r="A1778" s="2" t="s">
        <v>6281</v>
      </c>
      <c r="B1778" s="2" t="s">
        <v>5155</v>
      </c>
      <c r="C1778" s="2" t="s">
        <v>6144</v>
      </c>
      <c r="D1778" s="2" t="s">
        <v>5156</v>
      </c>
      <c r="E1778" s="2" t="s">
        <v>5157</v>
      </c>
      <c r="F1778" s="2" t="s">
        <v>6256</v>
      </c>
      <c r="G1778" s="2" t="s">
        <v>6256</v>
      </c>
      <c r="H1778" s="2" t="s">
        <v>6256</v>
      </c>
      <c r="I1778" s="2" t="s">
        <v>5235</v>
      </c>
      <c r="J1778" s="2" t="s">
        <v>114</v>
      </c>
      <c r="K1778" s="2" t="s">
        <v>386</v>
      </c>
      <c r="L1778" s="3">
        <v>77.9</v>
      </c>
      <c r="M1778" s="3">
        <v>81.8</v>
      </c>
      <c r="N1778" s="3">
        <v>166.99</v>
      </c>
      <c r="O1778" s="2" t="s">
        <v>97</v>
      </c>
      <c r="P1778" s="2" t="s">
        <v>98</v>
      </c>
      <c r="Q1778" s="2" t="s">
        <v>99</v>
      </c>
      <c r="R1778" s="2" t="s">
        <v>100</v>
      </c>
      <c r="S1778" s="2" t="s">
        <v>100</v>
      </c>
      <c r="T1778" s="2" t="s">
        <v>4296</v>
      </c>
      <c r="U1778" s="2" t="s">
        <v>1776</v>
      </c>
      <c r="V1778" s="2" t="s">
        <v>461</v>
      </c>
      <c r="W1778" s="2" t="s">
        <v>609</v>
      </c>
      <c r="X1778" s="2" t="s">
        <v>100</v>
      </c>
      <c r="Y1778" s="2" t="s">
        <v>6161</v>
      </c>
      <c r="Z1778" s="4">
        <v>141</v>
      </c>
      <c r="AA1778" s="4">
        <f>=ROUNDDOWN(17.625,0)</f>
      </c>
      <c r="AB1778" s="5">
        <v>8</v>
      </c>
      <c r="AC1778" s="2" t="s">
        <v>3033</v>
      </c>
      <c r="AD1778" s="4">
        <v>190</v>
      </c>
      <c r="AE1778" s="4">
        <v>190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 t="s">
        <v>100</v>
      </c>
      <c r="AW1778" s="8" t="s">
        <v>100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/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/>
      <c r="BJ1778" s="4">
        <v>8</v>
      </c>
      <c r="BK1778" s="8">
        <v>682</v>
      </c>
      <c r="BL1778" s="2" t="s">
        <v>6282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6151</v>
      </c>
      <c r="BX1778" s="2" t="s">
        <v>6202</v>
      </c>
      <c r="BY1778" s="2" t="s">
        <v>112</v>
      </c>
      <c r="BZ1778" s="2" t="s">
        <v>100</v>
      </c>
    </row>
    <row r="1779">
      <c r="A1779" s="2" t="s">
        <v>6283</v>
      </c>
      <c r="B1779" s="2" t="s">
        <v>5155</v>
      </c>
      <c r="C1779" s="2" t="s">
        <v>6144</v>
      </c>
      <c r="D1779" s="2" t="s">
        <v>5156</v>
      </c>
      <c r="E1779" s="2" t="s">
        <v>5157</v>
      </c>
      <c r="F1779" s="2" t="s">
        <v>6256</v>
      </c>
      <c r="G1779" s="2" t="s">
        <v>6256</v>
      </c>
      <c r="H1779" s="2" t="s">
        <v>6256</v>
      </c>
      <c r="I1779" s="2" t="s">
        <v>5235</v>
      </c>
      <c r="J1779" s="2" t="s">
        <v>490</v>
      </c>
      <c r="K1779" s="2" t="s">
        <v>842</v>
      </c>
      <c r="L1779" s="3">
        <v>50.08</v>
      </c>
      <c r="M1779" s="3">
        <v>52.58</v>
      </c>
      <c r="N1779" s="3">
        <v>106.99</v>
      </c>
      <c r="O1779" s="2" t="s">
        <v>97</v>
      </c>
      <c r="P1779" s="2" t="s">
        <v>98</v>
      </c>
      <c r="Q1779" s="2" t="s">
        <v>99</v>
      </c>
      <c r="R1779" s="2" t="s">
        <v>100</v>
      </c>
      <c r="S1779" s="2" t="s">
        <v>100</v>
      </c>
      <c r="T1779" s="2" t="s">
        <v>4296</v>
      </c>
      <c r="U1779" s="2" t="s">
        <v>1776</v>
      </c>
      <c r="V1779" s="2" t="s">
        <v>461</v>
      </c>
      <c r="W1779" s="2" t="s">
        <v>609</v>
      </c>
      <c r="X1779" s="2" t="s">
        <v>100</v>
      </c>
      <c r="Y1779" s="2" t="s">
        <v>6161</v>
      </c>
      <c r="Z1779" s="4">
        <v>66</v>
      </c>
      <c r="AA1779" s="4">
        <f>=ROUNDDOWN(7.33333333333333,0)</f>
      </c>
      <c r="AB1779" s="5">
        <v>9</v>
      </c>
      <c r="AC1779" s="2" t="s">
        <v>1142</v>
      </c>
      <c r="AD1779" s="4">
        <v>150</v>
      </c>
      <c r="AE1779" s="4">
        <v>150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/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/>
      <c r="BJ1779" s="4">
        <v>10</v>
      </c>
      <c r="BK1779" s="8">
        <v>541.52</v>
      </c>
      <c r="BL1779" s="2" t="s">
        <v>6284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6151</v>
      </c>
      <c r="BX1779" s="2" t="s">
        <v>6165</v>
      </c>
      <c r="BY1779" s="2" t="s">
        <v>112</v>
      </c>
      <c r="BZ1779" s="2" t="s">
        <v>100</v>
      </c>
    </row>
    <row r="1780">
      <c r="A1780" s="2" t="s">
        <v>6285</v>
      </c>
      <c r="B1780" s="2" t="s">
        <v>5155</v>
      </c>
      <c r="C1780" s="2" t="s">
        <v>6144</v>
      </c>
      <c r="D1780" s="2" t="s">
        <v>5156</v>
      </c>
      <c r="E1780" s="2" t="s">
        <v>5157</v>
      </c>
      <c r="F1780" s="2" t="s">
        <v>6256</v>
      </c>
      <c r="G1780" s="2" t="s">
        <v>6256</v>
      </c>
      <c r="H1780" s="2" t="s">
        <v>6256</v>
      </c>
      <c r="I1780" s="2" t="s">
        <v>5235</v>
      </c>
      <c r="J1780" s="2" t="s">
        <v>95</v>
      </c>
      <c r="K1780" s="2" t="s">
        <v>842</v>
      </c>
      <c r="L1780" s="3">
        <v>72.34</v>
      </c>
      <c r="M1780" s="3">
        <v>75.96</v>
      </c>
      <c r="N1780" s="3">
        <v>149.99</v>
      </c>
      <c r="O1780" s="2" t="s">
        <v>97</v>
      </c>
      <c r="P1780" s="2" t="s">
        <v>98</v>
      </c>
      <c r="Q1780" s="2" t="s">
        <v>99</v>
      </c>
      <c r="R1780" s="2" t="s">
        <v>100</v>
      </c>
      <c r="S1780" s="2" t="s">
        <v>100</v>
      </c>
      <c r="T1780" s="2" t="s">
        <v>4296</v>
      </c>
      <c r="U1780" s="2" t="s">
        <v>1776</v>
      </c>
      <c r="V1780" s="2" t="s">
        <v>461</v>
      </c>
      <c r="W1780" s="2" t="s">
        <v>609</v>
      </c>
      <c r="X1780" s="2" t="s">
        <v>100</v>
      </c>
      <c r="Y1780" s="2" t="s">
        <v>6161</v>
      </c>
      <c r="Z1780" s="4">
        <v>21</v>
      </c>
      <c r="AA1780" s="4">
        <f>=ROUNDDOWN(1.90909090909091,0)</f>
      </c>
      <c r="AB1780" s="5">
        <v>11</v>
      </c>
      <c r="AC1780" s="2" t="s">
        <v>1142</v>
      </c>
      <c r="AD1780" s="4">
        <v>210</v>
      </c>
      <c r="AE1780" s="4">
        <v>210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/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/>
      <c r="BJ1780" s="4">
        <v>10</v>
      </c>
      <c r="BK1780" s="8">
        <v>795.1</v>
      </c>
      <c r="BL1780" s="2" t="s">
        <v>1380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109</v>
      </c>
      <c r="BV1780" s="2" t="s">
        <v>97</v>
      </c>
      <c r="BW1780" s="2" t="s">
        <v>6151</v>
      </c>
      <c r="BX1780" s="2" t="s">
        <v>6286</v>
      </c>
      <c r="BY1780" s="2" t="s">
        <v>112</v>
      </c>
      <c r="BZ1780" s="2" t="s">
        <v>100</v>
      </c>
    </row>
    <row r="1781">
      <c r="A1781" s="2" t="s">
        <v>6287</v>
      </c>
      <c r="B1781" s="2" t="s">
        <v>5155</v>
      </c>
      <c r="C1781" s="2" t="s">
        <v>6144</v>
      </c>
      <c r="D1781" s="2" t="s">
        <v>5156</v>
      </c>
      <c r="E1781" s="2" t="s">
        <v>5157</v>
      </c>
      <c r="F1781" s="2" t="s">
        <v>6256</v>
      </c>
      <c r="G1781" s="2" t="s">
        <v>6256</v>
      </c>
      <c r="H1781" s="2" t="s">
        <v>6256</v>
      </c>
      <c r="I1781" s="2" t="s">
        <v>5235</v>
      </c>
      <c r="J1781" s="2" t="s">
        <v>114</v>
      </c>
      <c r="K1781" s="2" t="s">
        <v>842</v>
      </c>
      <c r="L1781" s="3">
        <v>77.9</v>
      </c>
      <c r="M1781" s="3">
        <v>81.8</v>
      </c>
      <c r="N1781" s="3">
        <v>166.99</v>
      </c>
      <c r="O1781" s="2" t="s">
        <v>97</v>
      </c>
      <c r="P1781" s="2" t="s">
        <v>98</v>
      </c>
      <c r="Q1781" s="2" t="s">
        <v>99</v>
      </c>
      <c r="R1781" s="2" t="s">
        <v>100</v>
      </c>
      <c r="S1781" s="2" t="s">
        <v>100</v>
      </c>
      <c r="T1781" s="2" t="s">
        <v>4296</v>
      </c>
      <c r="U1781" s="2" t="s">
        <v>1776</v>
      </c>
      <c r="V1781" s="2" t="s">
        <v>461</v>
      </c>
      <c r="W1781" s="2" t="s">
        <v>609</v>
      </c>
      <c r="X1781" s="2" t="s">
        <v>100</v>
      </c>
      <c r="Y1781" s="2" t="s">
        <v>6161</v>
      </c>
      <c r="Z1781" s="4">
        <v>29</v>
      </c>
      <c r="AA1781" s="4">
        <f>=ROUNDDOWN(2.9,0)</f>
      </c>
      <c r="AB1781" s="5">
        <v>10</v>
      </c>
      <c r="AC1781" s="2" t="s">
        <v>1142</v>
      </c>
      <c r="AD1781" s="4">
        <v>190</v>
      </c>
      <c r="AE1781" s="4">
        <v>190</v>
      </c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/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/>
      <c r="BJ1781" s="4">
        <v>4</v>
      </c>
      <c r="BK1781" s="8">
        <v>335.85</v>
      </c>
      <c r="BL1781" s="2" t="s">
        <v>6288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109</v>
      </c>
      <c r="BV1781" s="2" t="s">
        <v>97</v>
      </c>
      <c r="BW1781" s="2" t="s">
        <v>6151</v>
      </c>
      <c r="BX1781" s="2" t="s">
        <v>6228</v>
      </c>
      <c r="BY1781" s="2" t="s">
        <v>112</v>
      </c>
      <c r="BZ1781" s="2" t="s">
        <v>100</v>
      </c>
    </row>
    <row r="1782">
      <c r="A1782" s="2" t="s">
        <v>6289</v>
      </c>
      <c r="B1782" s="2" t="s">
        <v>5155</v>
      </c>
      <c r="C1782" s="2" t="s">
        <v>6144</v>
      </c>
      <c r="D1782" s="2" t="s">
        <v>5156</v>
      </c>
      <c r="E1782" s="2" t="s">
        <v>5396</v>
      </c>
      <c r="F1782" s="2" t="s">
        <v>6290</v>
      </c>
      <c r="G1782" s="2" t="s">
        <v>6291</v>
      </c>
      <c r="H1782" s="2" t="s">
        <v>6291</v>
      </c>
      <c r="I1782" s="2" t="s">
        <v>6292</v>
      </c>
      <c r="J1782" s="2" t="s">
        <v>5894</v>
      </c>
      <c r="K1782" s="2" t="s">
        <v>188</v>
      </c>
      <c r="L1782" s="3">
        <v>36.17</v>
      </c>
      <c r="M1782" s="3">
        <v>37.98</v>
      </c>
      <c r="N1782" s="3">
        <v>79.99</v>
      </c>
      <c r="O1782" s="2" t="s">
        <v>97</v>
      </c>
      <c r="P1782" s="2" t="s">
        <v>156</v>
      </c>
      <c r="Q1782" s="2" t="s">
        <v>99</v>
      </c>
      <c r="R1782" s="2" t="s">
        <v>100</v>
      </c>
      <c r="S1782" s="2" t="s">
        <v>100</v>
      </c>
      <c r="T1782" s="2" t="s">
        <v>5436</v>
      </c>
      <c r="U1782" s="2" t="s">
        <v>1776</v>
      </c>
      <c r="V1782" s="2" t="s">
        <v>461</v>
      </c>
      <c r="W1782" s="2" t="s">
        <v>1136</v>
      </c>
      <c r="X1782" s="2" t="s">
        <v>609</v>
      </c>
      <c r="Y1782" s="2" t="s">
        <v>1526</v>
      </c>
      <c r="Z1782" s="4">
        <v>63</v>
      </c>
      <c r="AA1782" s="4">
        <f>=ROUNDDOWN(1.3695652173913,0)</f>
      </c>
      <c r="AB1782" s="5">
        <v>46</v>
      </c>
      <c r="AC1782" s="2" t="s">
        <v>1142</v>
      </c>
      <c r="AD1782" s="4">
        <v>340</v>
      </c>
      <c r="AE1782" s="4">
        <v>840</v>
      </c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2</v>
      </c>
      <c r="AQ1782" s="8">
        <v>75.76</v>
      </c>
      <c r="AR1782" s="4"/>
      <c r="AS1782" s="8"/>
      <c r="AT1782" s="7"/>
      <c r="AU1782" s="7"/>
      <c r="AV1782" s="4">
        <v>2</v>
      </c>
      <c r="AW1782" s="8">
        <v>75.76</v>
      </c>
      <c r="AX1782" s="4"/>
      <c r="AY1782" s="8"/>
      <c r="AZ1782" s="7"/>
      <c r="BA1782" s="7"/>
      <c r="BB1782" s="7">
        <v>1</v>
      </c>
      <c r="BC1782" s="4">
        <v>4</v>
      </c>
      <c r="BD1782" s="8">
        <v>151.52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>
        <v>0.5</v>
      </c>
      <c r="BJ1782" s="4">
        <v>63</v>
      </c>
      <c r="BK1782" s="8">
        <v>2476.1</v>
      </c>
      <c r="BL1782" s="2" t="s">
        <v>6293</v>
      </c>
      <c r="BM1782" s="7">
        <v>0.0317</v>
      </c>
      <c r="BN1782" s="7">
        <v>0.0306</v>
      </c>
      <c r="BO1782" s="4">
        <v>2</v>
      </c>
      <c r="BP1782" s="8">
        <v>75.76</v>
      </c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6151</v>
      </c>
      <c r="BX1782" s="2" t="s">
        <v>3960</v>
      </c>
      <c r="BY1782" s="2" t="s">
        <v>112</v>
      </c>
      <c r="BZ1782" s="2" t="s">
        <v>100</v>
      </c>
    </row>
    <row r="1783">
      <c r="A1783" s="2" t="s">
        <v>6294</v>
      </c>
      <c r="B1783" s="2" t="s">
        <v>5155</v>
      </c>
      <c r="C1783" s="2" t="s">
        <v>6144</v>
      </c>
      <c r="D1783" s="2" t="s">
        <v>5156</v>
      </c>
      <c r="E1783" s="2" t="s">
        <v>5396</v>
      </c>
      <c r="F1783" s="2" t="s">
        <v>6290</v>
      </c>
      <c r="G1783" s="2" t="s">
        <v>6291</v>
      </c>
      <c r="H1783" s="2" t="s">
        <v>6291</v>
      </c>
      <c r="I1783" s="2" t="s">
        <v>6292</v>
      </c>
      <c r="J1783" s="2" t="s">
        <v>5894</v>
      </c>
      <c r="K1783" s="2" t="s">
        <v>458</v>
      </c>
      <c r="L1783" s="3">
        <v>36.17</v>
      </c>
      <c r="M1783" s="3">
        <v>37.98</v>
      </c>
      <c r="N1783" s="3">
        <v>79.99</v>
      </c>
      <c r="O1783" s="2" t="s">
        <v>97</v>
      </c>
      <c r="P1783" s="2" t="s">
        <v>98</v>
      </c>
      <c r="Q1783" s="2" t="s">
        <v>99</v>
      </c>
      <c r="R1783" s="2" t="s">
        <v>100</v>
      </c>
      <c r="S1783" s="2" t="s">
        <v>100</v>
      </c>
      <c r="T1783" s="2" t="s">
        <v>5436</v>
      </c>
      <c r="U1783" s="2" t="s">
        <v>1776</v>
      </c>
      <c r="V1783" s="2" t="s">
        <v>461</v>
      </c>
      <c r="W1783" s="2" t="s">
        <v>1136</v>
      </c>
      <c r="X1783" s="2" t="s">
        <v>609</v>
      </c>
      <c r="Y1783" s="2" t="s">
        <v>1526</v>
      </c>
      <c r="Z1783" s="4">
        <v>342</v>
      </c>
      <c r="AA1783" s="4">
        <f>=ROUNDDOWN(21.375,0)</f>
      </c>
      <c r="AB1783" s="5">
        <v>16</v>
      </c>
      <c r="AC1783" s="2" t="s">
        <v>3033</v>
      </c>
      <c r="AD1783" s="4">
        <v>230</v>
      </c>
      <c r="AE1783" s="4">
        <v>230</v>
      </c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2</v>
      </c>
      <c r="AQ1783" s="8">
        <v>75.76</v>
      </c>
      <c r="AR1783" s="4"/>
      <c r="AS1783" s="8"/>
      <c r="AT1783" s="7"/>
      <c r="AU1783" s="7"/>
      <c r="AV1783" s="4">
        <v>2</v>
      </c>
      <c r="AW1783" s="8">
        <v>75.76</v>
      </c>
      <c r="AX1783" s="4"/>
      <c r="AY1783" s="8"/>
      <c r="AZ1783" s="7"/>
      <c r="BA1783" s="7"/>
      <c r="BB1783" s="7">
        <v>1</v>
      </c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>
        <v>0.5</v>
      </c>
      <c r="BJ1783" s="4">
        <v>14</v>
      </c>
      <c r="BK1783" s="8">
        <v>548.42</v>
      </c>
      <c r="BL1783" s="2" t="s">
        <v>6295</v>
      </c>
      <c r="BM1783" s="7">
        <v>0.1429</v>
      </c>
      <c r="BN1783" s="7">
        <v>0.1381</v>
      </c>
      <c r="BO1783" s="4">
        <v>2</v>
      </c>
      <c r="BP1783" s="8">
        <v>75.76</v>
      </c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6151</v>
      </c>
      <c r="BX1783" s="2" t="s">
        <v>5057</v>
      </c>
      <c r="BY1783" s="2" t="s">
        <v>112</v>
      </c>
      <c r="BZ1783" s="2" t="s">
        <v>100</v>
      </c>
    </row>
    <row r="1784">
      <c r="A1784" s="2" t="s">
        <v>6296</v>
      </c>
      <c r="B1784" s="2" t="s">
        <v>5155</v>
      </c>
      <c r="C1784" s="2" t="s">
        <v>6144</v>
      </c>
      <c r="D1784" s="2" t="s">
        <v>5156</v>
      </c>
      <c r="E1784" s="2" t="s">
        <v>5396</v>
      </c>
      <c r="F1784" s="2" t="s">
        <v>6290</v>
      </c>
      <c r="G1784" s="2" t="s">
        <v>6291</v>
      </c>
      <c r="H1784" s="2" t="s">
        <v>6291</v>
      </c>
      <c r="I1784" s="2" t="s">
        <v>6292</v>
      </c>
      <c r="J1784" s="2" t="s">
        <v>5894</v>
      </c>
      <c r="K1784" s="2" t="s">
        <v>165</v>
      </c>
      <c r="L1784" s="3">
        <v>36.17</v>
      </c>
      <c r="M1784" s="3">
        <v>37.98</v>
      </c>
      <c r="N1784" s="3">
        <v>79.99</v>
      </c>
      <c r="O1784" s="2" t="s">
        <v>97</v>
      </c>
      <c r="P1784" s="2" t="s">
        <v>98</v>
      </c>
      <c r="Q1784" s="2" t="s">
        <v>99</v>
      </c>
      <c r="R1784" s="2" t="s">
        <v>100</v>
      </c>
      <c r="S1784" s="2" t="s">
        <v>100</v>
      </c>
      <c r="T1784" s="2" t="s">
        <v>5436</v>
      </c>
      <c r="U1784" s="2" t="s">
        <v>1776</v>
      </c>
      <c r="V1784" s="2" t="s">
        <v>461</v>
      </c>
      <c r="W1784" s="2" t="s">
        <v>1136</v>
      </c>
      <c r="X1784" s="2" t="s">
        <v>609</v>
      </c>
      <c r="Y1784" s="2" t="s">
        <v>1526</v>
      </c>
      <c r="Z1784" s="4">
        <v>460</v>
      </c>
      <c r="AA1784" s="4">
        <f>=ROUNDDOWN(32.8571428571429,0)</f>
      </c>
      <c r="AB1784" s="5">
        <v>14</v>
      </c>
      <c r="AC1784" s="2" t="s">
        <v>3033</v>
      </c>
      <c r="AD1784" s="4">
        <v>280</v>
      </c>
      <c r="AE1784" s="4">
        <v>280</v>
      </c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/>
      <c r="BJ1784" s="4">
        <v>14</v>
      </c>
      <c r="BK1784" s="8">
        <v>527.81</v>
      </c>
      <c r="BL1784" s="2" t="s">
        <v>6297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109</v>
      </c>
      <c r="BV1784" s="2" t="s">
        <v>97</v>
      </c>
      <c r="BW1784" s="2" t="s">
        <v>6151</v>
      </c>
      <c r="BX1784" s="2" t="s">
        <v>3960</v>
      </c>
      <c r="BY1784" s="2" t="s">
        <v>112</v>
      </c>
      <c r="BZ1784" s="2" t="s">
        <v>100</v>
      </c>
    </row>
    <row r="1785">
      <c r="A1785" s="2" t="s">
        <v>6298</v>
      </c>
      <c r="B1785" s="2" t="s">
        <v>5155</v>
      </c>
      <c r="C1785" s="2" t="s">
        <v>6144</v>
      </c>
      <c r="D1785" s="2" t="s">
        <v>5156</v>
      </c>
      <c r="E1785" s="2" t="s">
        <v>5396</v>
      </c>
      <c r="F1785" s="2" t="s">
        <v>6290</v>
      </c>
      <c r="G1785" s="2" t="s">
        <v>6291</v>
      </c>
      <c r="H1785" s="2" t="s">
        <v>6291</v>
      </c>
      <c r="I1785" s="2" t="s">
        <v>6292</v>
      </c>
      <c r="J1785" s="2" t="s">
        <v>5894</v>
      </c>
      <c r="K1785" s="2" t="s">
        <v>96</v>
      </c>
      <c r="L1785" s="3">
        <v>36.17</v>
      </c>
      <c r="M1785" s="3">
        <v>37.98</v>
      </c>
      <c r="N1785" s="3">
        <v>79.99</v>
      </c>
      <c r="O1785" s="2" t="s">
        <v>97</v>
      </c>
      <c r="P1785" s="2" t="s">
        <v>98</v>
      </c>
      <c r="Q1785" s="2" t="s">
        <v>99</v>
      </c>
      <c r="R1785" s="2" t="s">
        <v>100</v>
      </c>
      <c r="S1785" s="2" t="s">
        <v>100</v>
      </c>
      <c r="T1785" s="2" t="s">
        <v>5436</v>
      </c>
      <c r="U1785" s="2" t="s">
        <v>1776</v>
      </c>
      <c r="V1785" s="2" t="s">
        <v>461</v>
      </c>
      <c r="W1785" s="2" t="s">
        <v>1136</v>
      </c>
      <c r="X1785" s="2" t="s">
        <v>609</v>
      </c>
      <c r="Y1785" s="2" t="s">
        <v>1526</v>
      </c>
      <c r="Z1785" s="4">
        <v>728</v>
      </c>
      <c r="AA1785" s="4">
        <f>=ROUNDDOWN(28,0)</f>
      </c>
      <c r="AB1785" s="5">
        <v>26</v>
      </c>
      <c r="AC1785" s="2" t="s">
        <v>3033</v>
      </c>
      <c r="AD1785" s="4">
        <v>150</v>
      </c>
      <c r="AE1785" s="4">
        <v>150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/>
      <c r="BJ1785" s="4">
        <v>23</v>
      </c>
      <c r="BK1785" s="8">
        <v>901.61</v>
      </c>
      <c r="BL1785" s="2" t="s">
        <v>6299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6151</v>
      </c>
      <c r="BX1785" s="2" t="s">
        <v>6286</v>
      </c>
      <c r="BY1785" s="2" t="s">
        <v>112</v>
      </c>
      <c r="BZ1785" s="2" t="s">
        <v>100</v>
      </c>
    </row>
    <row r="1786">
      <c r="A1786" s="2" t="s">
        <v>6300</v>
      </c>
      <c r="B1786" s="2" t="s">
        <v>5155</v>
      </c>
      <c r="C1786" s="2" t="s">
        <v>6144</v>
      </c>
      <c r="D1786" s="2" t="s">
        <v>5156</v>
      </c>
      <c r="E1786" s="2" t="s">
        <v>5396</v>
      </c>
      <c r="F1786" s="2" t="s">
        <v>6185</v>
      </c>
      <c r="G1786" s="2" t="s">
        <v>6185</v>
      </c>
      <c r="H1786" s="2" t="s">
        <v>6185</v>
      </c>
      <c r="I1786" s="2" t="s">
        <v>6301</v>
      </c>
      <c r="J1786" s="2" t="s">
        <v>5894</v>
      </c>
      <c r="K1786" s="2" t="s">
        <v>1212</v>
      </c>
      <c r="L1786" s="3">
        <v>30.02</v>
      </c>
      <c r="M1786" s="3">
        <v>31.52</v>
      </c>
      <c r="N1786" s="3">
        <v>64.99</v>
      </c>
      <c r="O1786" s="2" t="s">
        <v>97</v>
      </c>
      <c r="P1786" s="2" t="s">
        <v>156</v>
      </c>
      <c r="Q1786" s="2" t="s">
        <v>99</v>
      </c>
      <c r="R1786" s="2" t="s">
        <v>100</v>
      </c>
      <c r="S1786" s="2" t="s">
        <v>100</v>
      </c>
      <c r="T1786" s="2" t="s">
        <v>5161</v>
      </c>
      <c r="U1786" s="2" t="s">
        <v>1776</v>
      </c>
      <c r="V1786" s="2" t="s">
        <v>461</v>
      </c>
      <c r="W1786" s="2" t="s">
        <v>609</v>
      </c>
      <c r="X1786" s="2" t="s">
        <v>100</v>
      </c>
      <c r="Y1786" s="2" t="s">
        <v>6161</v>
      </c>
      <c r="Z1786" s="4">
        <v>490</v>
      </c>
      <c r="AA1786" s="4">
        <f>=ROUNDDOWN(9.8,0)</f>
      </c>
      <c r="AB1786" s="5">
        <v>50</v>
      </c>
      <c r="AC1786" s="2" t="s">
        <v>1142</v>
      </c>
      <c r="AD1786" s="4">
        <v>170</v>
      </c>
      <c r="AE1786" s="4">
        <v>710</v>
      </c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2</v>
      </c>
      <c r="AQ1786" s="8">
        <v>62.9</v>
      </c>
      <c r="AR1786" s="4"/>
      <c r="AS1786" s="8"/>
      <c r="AT1786" s="7"/>
      <c r="AU1786" s="7"/>
      <c r="AV1786" s="4">
        <v>2</v>
      </c>
      <c r="AW1786" s="8">
        <v>62.9</v>
      </c>
      <c r="AX1786" s="4"/>
      <c r="AY1786" s="8"/>
      <c r="AZ1786" s="7"/>
      <c r="BA1786" s="7"/>
      <c r="BB1786" s="7">
        <v>1</v>
      </c>
      <c r="BC1786" s="4">
        <v>3</v>
      </c>
      <c r="BD1786" s="8">
        <v>94.35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>
        <v>0.6667</v>
      </c>
      <c r="BJ1786" s="4">
        <v>35</v>
      </c>
      <c r="BK1786" s="8">
        <v>1134.05</v>
      </c>
      <c r="BL1786" s="2" t="s">
        <v>6302</v>
      </c>
      <c r="BM1786" s="7">
        <v>0.0571</v>
      </c>
      <c r="BN1786" s="7">
        <v>0.0555</v>
      </c>
      <c r="BO1786" s="4">
        <v>2</v>
      </c>
      <c r="BP1786" s="8">
        <v>62.9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6151</v>
      </c>
      <c r="BX1786" s="2" t="s">
        <v>3906</v>
      </c>
      <c r="BY1786" s="2" t="s">
        <v>112</v>
      </c>
      <c r="BZ1786" s="2" t="s">
        <v>100</v>
      </c>
    </row>
    <row r="1787">
      <c r="A1787" s="2" t="s">
        <v>6303</v>
      </c>
      <c r="B1787" s="2" t="s">
        <v>5155</v>
      </c>
      <c r="C1787" s="2" t="s">
        <v>6144</v>
      </c>
      <c r="D1787" s="2" t="s">
        <v>5156</v>
      </c>
      <c r="E1787" s="2" t="s">
        <v>5396</v>
      </c>
      <c r="F1787" s="2" t="s">
        <v>6185</v>
      </c>
      <c r="G1787" s="2" t="s">
        <v>6185</v>
      </c>
      <c r="H1787" s="2" t="s">
        <v>6185</v>
      </c>
      <c r="I1787" s="2" t="s">
        <v>6301</v>
      </c>
      <c r="J1787" s="2" t="s">
        <v>5894</v>
      </c>
      <c r="K1787" s="2" t="s">
        <v>179</v>
      </c>
      <c r="L1787" s="3">
        <v>30.02</v>
      </c>
      <c r="M1787" s="3">
        <v>31.52</v>
      </c>
      <c r="N1787" s="3">
        <v>64.99</v>
      </c>
      <c r="O1787" s="2" t="s">
        <v>97</v>
      </c>
      <c r="P1787" s="2" t="s">
        <v>98</v>
      </c>
      <c r="Q1787" s="2" t="s">
        <v>99</v>
      </c>
      <c r="R1787" s="2" t="s">
        <v>100</v>
      </c>
      <c r="S1787" s="2" t="s">
        <v>100</v>
      </c>
      <c r="T1787" s="2" t="s">
        <v>5161</v>
      </c>
      <c r="U1787" s="2" t="s">
        <v>1776</v>
      </c>
      <c r="V1787" s="2" t="s">
        <v>461</v>
      </c>
      <c r="W1787" s="2" t="s">
        <v>609</v>
      </c>
      <c r="X1787" s="2" t="s">
        <v>100</v>
      </c>
      <c r="Y1787" s="2" t="s">
        <v>6161</v>
      </c>
      <c r="Z1787" s="4">
        <v>243</v>
      </c>
      <c r="AA1787" s="4">
        <f>=ROUNDDOWN(5.65116279069767,0)</f>
      </c>
      <c r="AB1787" s="5">
        <v>43</v>
      </c>
      <c r="AC1787" s="2" t="s">
        <v>1142</v>
      </c>
      <c r="AD1787" s="4">
        <v>270</v>
      </c>
      <c r="AE1787" s="4">
        <v>740</v>
      </c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1</v>
      </c>
      <c r="AQ1787" s="8">
        <v>31.45</v>
      </c>
      <c r="AR1787" s="4"/>
      <c r="AS1787" s="8"/>
      <c r="AT1787" s="7"/>
      <c r="AU1787" s="7"/>
      <c r="AV1787" s="4">
        <v>1</v>
      </c>
      <c r="AW1787" s="8">
        <v>31.45</v>
      </c>
      <c r="AX1787" s="4"/>
      <c r="AY1787" s="8"/>
      <c r="AZ1787" s="7"/>
      <c r="BA1787" s="7"/>
      <c r="BB1787" s="7">
        <v>1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>
        <v>0.3333</v>
      </c>
      <c r="BJ1787" s="4">
        <v>37</v>
      </c>
      <c r="BK1787" s="8">
        <v>1203.23</v>
      </c>
      <c r="BL1787" s="2" t="s">
        <v>6304</v>
      </c>
      <c r="BM1787" s="7">
        <v>0.027</v>
      </c>
      <c r="BN1787" s="7">
        <v>0.0261</v>
      </c>
      <c r="BO1787" s="4">
        <v>1</v>
      </c>
      <c r="BP1787" s="8">
        <v>31.45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6151</v>
      </c>
      <c r="BX1787" s="2" t="s">
        <v>6305</v>
      </c>
      <c r="BY1787" s="2" t="s">
        <v>112</v>
      </c>
      <c r="BZ1787" s="2" t="s">
        <v>100</v>
      </c>
    </row>
    <row r="1788">
      <c r="A1788" s="2" t="s">
        <v>6306</v>
      </c>
      <c r="B1788" s="2" t="s">
        <v>5155</v>
      </c>
      <c r="C1788" s="2" t="s">
        <v>6144</v>
      </c>
      <c r="D1788" s="2" t="s">
        <v>5156</v>
      </c>
      <c r="E1788" s="2" t="s">
        <v>5396</v>
      </c>
      <c r="F1788" s="2" t="s">
        <v>6185</v>
      </c>
      <c r="G1788" s="2" t="s">
        <v>6185</v>
      </c>
      <c r="H1788" s="2" t="s">
        <v>6185</v>
      </c>
      <c r="I1788" s="2" t="s">
        <v>6301</v>
      </c>
      <c r="J1788" s="2" t="s">
        <v>5894</v>
      </c>
      <c r="K1788" s="2" t="s">
        <v>1460</v>
      </c>
      <c r="L1788" s="3">
        <v>30.02</v>
      </c>
      <c r="M1788" s="3">
        <v>31.52</v>
      </c>
      <c r="N1788" s="3">
        <v>64.99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100</v>
      </c>
      <c r="T1788" s="2" t="s">
        <v>5161</v>
      </c>
      <c r="U1788" s="2" t="s">
        <v>1776</v>
      </c>
      <c r="V1788" s="2" t="s">
        <v>461</v>
      </c>
      <c r="W1788" s="2" t="s">
        <v>609</v>
      </c>
      <c r="X1788" s="2" t="s">
        <v>100</v>
      </c>
      <c r="Y1788" s="2" t="s">
        <v>6268</v>
      </c>
      <c r="Z1788" s="4">
        <v>162</v>
      </c>
      <c r="AA1788" s="4">
        <f>=ROUNDDOWN(6.23076923076923,0)</f>
      </c>
      <c r="AB1788" s="5">
        <v>26</v>
      </c>
      <c r="AC1788" s="2" t="s">
        <v>1142</v>
      </c>
      <c r="AD1788" s="4">
        <v>170</v>
      </c>
      <c r="AE1788" s="4">
        <v>460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/>
      <c r="BJ1788" s="4">
        <v>21</v>
      </c>
      <c r="BK1788" s="8">
        <v>681.09</v>
      </c>
      <c r="BL1788" s="2" t="s">
        <v>6307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6151</v>
      </c>
      <c r="BX1788" s="2" t="s">
        <v>6155</v>
      </c>
      <c r="BY1788" s="2" t="s">
        <v>112</v>
      </c>
      <c r="BZ1788" s="2" t="s">
        <v>100</v>
      </c>
    </row>
    <row r="1789">
      <c r="A1789" s="2" t="s">
        <v>6308</v>
      </c>
      <c r="B1789" s="2" t="s">
        <v>5155</v>
      </c>
      <c r="C1789" s="2" t="s">
        <v>6144</v>
      </c>
      <c r="D1789" s="2" t="s">
        <v>5156</v>
      </c>
      <c r="E1789" s="2" t="s">
        <v>5396</v>
      </c>
      <c r="F1789" s="2" t="s">
        <v>6185</v>
      </c>
      <c r="G1789" s="2" t="s">
        <v>6185</v>
      </c>
      <c r="H1789" s="2" t="s">
        <v>6185</v>
      </c>
      <c r="I1789" s="2" t="s">
        <v>6301</v>
      </c>
      <c r="J1789" s="2" t="s">
        <v>5894</v>
      </c>
      <c r="K1789" s="2" t="s">
        <v>1373</v>
      </c>
      <c r="L1789" s="3">
        <v>30.02</v>
      </c>
      <c r="M1789" s="3">
        <v>31.52</v>
      </c>
      <c r="N1789" s="3">
        <v>64.99</v>
      </c>
      <c r="O1789" s="2" t="s">
        <v>97</v>
      </c>
      <c r="P1789" s="2" t="s">
        <v>98</v>
      </c>
      <c r="Q1789" s="2" t="s">
        <v>99</v>
      </c>
      <c r="R1789" s="2" t="s">
        <v>100</v>
      </c>
      <c r="S1789" s="2" t="s">
        <v>100</v>
      </c>
      <c r="T1789" s="2" t="s">
        <v>5161</v>
      </c>
      <c r="U1789" s="2" t="s">
        <v>1776</v>
      </c>
      <c r="V1789" s="2" t="s">
        <v>461</v>
      </c>
      <c r="W1789" s="2" t="s">
        <v>609</v>
      </c>
      <c r="X1789" s="2" t="s">
        <v>100</v>
      </c>
      <c r="Y1789" s="2" t="s">
        <v>6161</v>
      </c>
      <c r="Z1789" s="4">
        <v>1234</v>
      </c>
      <c r="AA1789" s="4">
        <f>=ROUNDDOWN(88.1428571428571,0)</f>
      </c>
      <c r="AB1789" s="5">
        <v>14</v>
      </c>
      <c r="AC1789" s="2" t="s">
        <v>100</v>
      </c>
      <c r="AD1789" s="4"/>
      <c r="AE1789" s="4"/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/>
      <c r="BJ1789" s="4">
        <v>4</v>
      </c>
      <c r="BK1789" s="8">
        <v>131.82</v>
      </c>
      <c r="BL1789" s="2" t="s">
        <v>1380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6151</v>
      </c>
      <c r="BX1789" s="2" t="s">
        <v>6309</v>
      </c>
      <c r="BY1789" s="2" t="s">
        <v>112</v>
      </c>
      <c r="BZ1789" s="2" t="s">
        <v>100</v>
      </c>
    </row>
    <row r="1790">
      <c r="A1790" s="2" t="s">
        <v>6310</v>
      </c>
      <c r="B1790" s="2" t="s">
        <v>5155</v>
      </c>
      <c r="C1790" s="2" t="s">
        <v>6144</v>
      </c>
      <c r="D1790" s="2" t="s">
        <v>5156</v>
      </c>
      <c r="E1790" s="2" t="s">
        <v>5396</v>
      </c>
      <c r="F1790" s="2" t="s">
        <v>6185</v>
      </c>
      <c r="G1790" s="2" t="s">
        <v>6185</v>
      </c>
      <c r="H1790" s="2" t="s">
        <v>6185</v>
      </c>
      <c r="I1790" s="2" t="s">
        <v>6301</v>
      </c>
      <c r="J1790" s="2" t="s">
        <v>5894</v>
      </c>
      <c r="K1790" s="2" t="s">
        <v>4488</v>
      </c>
      <c r="L1790" s="3">
        <v>30.02</v>
      </c>
      <c r="M1790" s="3">
        <v>31.52</v>
      </c>
      <c r="N1790" s="3">
        <v>64.99</v>
      </c>
      <c r="O1790" s="2" t="s">
        <v>97</v>
      </c>
      <c r="P1790" s="2" t="s">
        <v>98</v>
      </c>
      <c r="Q1790" s="2" t="s">
        <v>99</v>
      </c>
      <c r="R1790" s="2" t="s">
        <v>100</v>
      </c>
      <c r="S1790" s="2" t="s">
        <v>100</v>
      </c>
      <c r="T1790" s="2" t="s">
        <v>5161</v>
      </c>
      <c r="U1790" s="2" t="s">
        <v>1776</v>
      </c>
      <c r="V1790" s="2" t="s">
        <v>461</v>
      </c>
      <c r="W1790" s="2" t="s">
        <v>609</v>
      </c>
      <c r="X1790" s="2" t="s">
        <v>100</v>
      </c>
      <c r="Y1790" s="2" t="s">
        <v>1526</v>
      </c>
      <c r="Z1790" s="4">
        <v>962</v>
      </c>
      <c r="AA1790" s="4">
        <f>=ROUNDDOWN(48.1,0)</f>
      </c>
      <c r="AB1790" s="5">
        <v>20</v>
      </c>
      <c r="AC1790" s="2" t="s">
        <v>100</v>
      </c>
      <c r="AD1790" s="4"/>
      <c r="AE1790" s="4"/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/>
      <c r="BJ1790" s="4">
        <v>7</v>
      </c>
      <c r="BK1790" s="8">
        <v>229.52</v>
      </c>
      <c r="BL1790" s="2" t="s">
        <v>6275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109</v>
      </c>
      <c r="BV1790" s="2" t="s">
        <v>97</v>
      </c>
      <c r="BW1790" s="2" t="s">
        <v>6151</v>
      </c>
      <c r="BX1790" s="2" t="s">
        <v>6152</v>
      </c>
      <c r="BY1790" s="2" t="s">
        <v>112</v>
      </c>
      <c r="BZ1790" s="2" t="s">
        <v>100</v>
      </c>
    </row>
    <row r="1791">
      <c r="A1791" s="2" t="s">
        <v>6311</v>
      </c>
      <c r="B1791" s="2" t="s">
        <v>5155</v>
      </c>
      <c r="C1791" s="2" t="s">
        <v>6144</v>
      </c>
      <c r="D1791" s="2" t="s">
        <v>5156</v>
      </c>
      <c r="E1791" s="2" t="s">
        <v>5396</v>
      </c>
      <c r="F1791" s="2" t="s">
        <v>6185</v>
      </c>
      <c r="G1791" s="2" t="s">
        <v>6185</v>
      </c>
      <c r="H1791" s="2" t="s">
        <v>6185</v>
      </c>
      <c r="I1791" s="2" t="s">
        <v>6301</v>
      </c>
      <c r="J1791" s="2" t="s">
        <v>5894</v>
      </c>
      <c r="K1791" s="2" t="s">
        <v>523</v>
      </c>
      <c r="L1791" s="3">
        <v>30.02</v>
      </c>
      <c r="M1791" s="3">
        <v>31.52</v>
      </c>
      <c r="N1791" s="3">
        <v>64.99</v>
      </c>
      <c r="O1791" s="2" t="s">
        <v>97</v>
      </c>
      <c r="P1791" s="2" t="s">
        <v>98</v>
      </c>
      <c r="Q1791" s="2" t="s">
        <v>99</v>
      </c>
      <c r="R1791" s="2" t="s">
        <v>100</v>
      </c>
      <c r="S1791" s="2" t="s">
        <v>100</v>
      </c>
      <c r="T1791" s="2" t="s">
        <v>5161</v>
      </c>
      <c r="U1791" s="2" t="s">
        <v>1776</v>
      </c>
      <c r="V1791" s="2" t="s">
        <v>461</v>
      </c>
      <c r="W1791" s="2" t="s">
        <v>609</v>
      </c>
      <c r="X1791" s="2" t="s">
        <v>100</v>
      </c>
      <c r="Y1791" s="2" t="s">
        <v>6161</v>
      </c>
      <c r="Z1791" s="4">
        <v>875</v>
      </c>
      <c r="AA1791" s="4">
        <f>=ROUNDDOWN(62.5,0)</f>
      </c>
      <c r="AB1791" s="5">
        <v>14</v>
      </c>
      <c r="AC1791" s="2" t="s">
        <v>100</v>
      </c>
      <c r="AD1791" s="4"/>
      <c r="AE1791" s="4"/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/>
      <c r="BJ1791" s="4">
        <v>19</v>
      </c>
      <c r="BK1791" s="8">
        <v>623.98</v>
      </c>
      <c r="BL1791" s="2" t="s">
        <v>6312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6151</v>
      </c>
      <c r="BX1791" s="2" t="s">
        <v>4268</v>
      </c>
      <c r="BY1791" s="2" t="s">
        <v>112</v>
      </c>
      <c r="BZ1791" s="2" t="s">
        <v>100</v>
      </c>
    </row>
    <row r="1792">
      <c r="A1792" s="2" t="s">
        <v>6313</v>
      </c>
      <c r="B1792" s="2" t="s">
        <v>5155</v>
      </c>
      <c r="C1792" s="2" t="s">
        <v>6144</v>
      </c>
      <c r="D1792" s="2" t="s">
        <v>5156</v>
      </c>
      <c r="E1792" s="2" t="s">
        <v>5396</v>
      </c>
      <c r="F1792" s="2" t="s">
        <v>6256</v>
      </c>
      <c r="G1792" s="2" t="s">
        <v>6256</v>
      </c>
      <c r="H1792" s="2" t="s">
        <v>6256</v>
      </c>
      <c r="I1792" s="2" t="s">
        <v>5398</v>
      </c>
      <c r="J1792" s="2" t="s">
        <v>5894</v>
      </c>
      <c r="K1792" s="2" t="s">
        <v>1212</v>
      </c>
      <c r="L1792" s="3">
        <v>33.38</v>
      </c>
      <c r="M1792" s="3">
        <v>35.05</v>
      </c>
      <c r="N1792" s="3">
        <v>71.99</v>
      </c>
      <c r="O1792" s="2" t="s">
        <v>97</v>
      </c>
      <c r="P1792" s="2" t="s">
        <v>98</v>
      </c>
      <c r="Q1792" s="2" t="s">
        <v>99</v>
      </c>
      <c r="R1792" s="2" t="s">
        <v>100</v>
      </c>
      <c r="S1792" s="2" t="s">
        <v>100</v>
      </c>
      <c r="T1792" s="2" t="s">
        <v>4296</v>
      </c>
      <c r="U1792" s="2" t="s">
        <v>1776</v>
      </c>
      <c r="V1792" s="2" t="s">
        <v>461</v>
      </c>
      <c r="W1792" s="2" t="s">
        <v>609</v>
      </c>
      <c r="X1792" s="2" t="s">
        <v>100</v>
      </c>
      <c r="Y1792" s="2" t="s">
        <v>6161</v>
      </c>
      <c r="Z1792" s="4">
        <v>762</v>
      </c>
      <c r="AA1792" s="4">
        <f>=ROUNDDOWN(33.1304347826087,0)</f>
      </c>
      <c r="AB1792" s="5">
        <v>23</v>
      </c>
      <c r="AC1792" s="2" t="s">
        <v>3033</v>
      </c>
      <c r="AD1792" s="4">
        <v>240</v>
      </c>
      <c r="AE1792" s="4">
        <v>240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/>
      <c r="BJ1792" s="4">
        <v>22</v>
      </c>
      <c r="BK1792" s="8">
        <v>818.24</v>
      </c>
      <c r="BL1792" s="2" t="s">
        <v>6314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6151</v>
      </c>
      <c r="BX1792" s="2" t="s">
        <v>6315</v>
      </c>
      <c r="BY1792" s="2" t="s">
        <v>112</v>
      </c>
      <c r="BZ1792" s="2" t="s">
        <v>100</v>
      </c>
    </row>
    <row r="1793">
      <c r="A1793" s="2" t="s">
        <v>6316</v>
      </c>
      <c r="B1793" s="2" t="s">
        <v>5155</v>
      </c>
      <c r="C1793" s="2" t="s">
        <v>6144</v>
      </c>
      <c r="D1793" s="2" t="s">
        <v>5156</v>
      </c>
      <c r="E1793" s="2" t="s">
        <v>5396</v>
      </c>
      <c r="F1793" s="2" t="s">
        <v>6256</v>
      </c>
      <c r="G1793" s="2" t="s">
        <v>6256</v>
      </c>
      <c r="H1793" s="2" t="s">
        <v>6256</v>
      </c>
      <c r="I1793" s="2" t="s">
        <v>5398</v>
      </c>
      <c r="J1793" s="2" t="s">
        <v>5894</v>
      </c>
      <c r="K1793" s="2" t="s">
        <v>386</v>
      </c>
      <c r="L1793" s="3">
        <v>33.38</v>
      </c>
      <c r="M1793" s="3">
        <v>35.05</v>
      </c>
      <c r="N1793" s="3">
        <v>71.99</v>
      </c>
      <c r="O1793" s="2" t="s">
        <v>97</v>
      </c>
      <c r="P1793" s="2" t="s">
        <v>98</v>
      </c>
      <c r="Q1793" s="2" t="s">
        <v>99</v>
      </c>
      <c r="R1793" s="2" t="s">
        <v>100</v>
      </c>
      <c r="S1793" s="2" t="s">
        <v>100</v>
      </c>
      <c r="T1793" s="2" t="s">
        <v>4296</v>
      </c>
      <c r="U1793" s="2" t="s">
        <v>1776</v>
      </c>
      <c r="V1793" s="2" t="s">
        <v>461</v>
      </c>
      <c r="W1793" s="2" t="s">
        <v>609</v>
      </c>
      <c r="X1793" s="2" t="s">
        <v>100</v>
      </c>
      <c r="Y1793" s="2" t="s">
        <v>6161</v>
      </c>
      <c r="Z1793" s="4">
        <v>588</v>
      </c>
      <c r="AA1793" s="4">
        <f>=ROUNDDOWN(36.75,0)</f>
      </c>
      <c r="AB1793" s="5">
        <v>16</v>
      </c>
      <c r="AC1793" s="2" t="s">
        <v>100</v>
      </c>
      <c r="AD1793" s="4"/>
      <c r="AE1793" s="4"/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/>
      <c r="BJ1793" s="4">
        <v>13</v>
      </c>
      <c r="BK1793" s="8">
        <v>476.41</v>
      </c>
      <c r="BL1793" s="2" t="s">
        <v>6317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6151</v>
      </c>
      <c r="BX1793" s="2" t="s">
        <v>3960</v>
      </c>
      <c r="BY1793" s="2" t="s">
        <v>112</v>
      </c>
      <c r="BZ1793" s="2" t="s">
        <v>100</v>
      </c>
    </row>
    <row r="1794">
      <c r="A1794" s="2" t="s">
        <v>6318</v>
      </c>
      <c r="B1794" s="2" t="s">
        <v>5155</v>
      </c>
      <c r="C1794" s="2" t="s">
        <v>6144</v>
      </c>
      <c r="D1794" s="2" t="s">
        <v>5156</v>
      </c>
      <c r="E1794" s="2" t="s">
        <v>5396</v>
      </c>
      <c r="F1794" s="2" t="s">
        <v>6256</v>
      </c>
      <c r="G1794" s="2" t="s">
        <v>6256</v>
      </c>
      <c r="H1794" s="2" t="s">
        <v>6256</v>
      </c>
      <c r="I1794" s="2" t="s">
        <v>5398</v>
      </c>
      <c r="J1794" s="2" t="s">
        <v>5894</v>
      </c>
      <c r="K1794" s="2" t="s">
        <v>842</v>
      </c>
      <c r="L1794" s="3">
        <v>33.38</v>
      </c>
      <c r="M1794" s="3">
        <v>35.05</v>
      </c>
      <c r="N1794" s="3">
        <v>71.99</v>
      </c>
      <c r="O1794" s="2" t="s">
        <v>97</v>
      </c>
      <c r="P1794" s="2" t="s">
        <v>98</v>
      </c>
      <c r="Q1794" s="2" t="s">
        <v>99</v>
      </c>
      <c r="R1794" s="2" t="s">
        <v>100</v>
      </c>
      <c r="S1794" s="2" t="s">
        <v>100</v>
      </c>
      <c r="T1794" s="2" t="s">
        <v>4296</v>
      </c>
      <c r="U1794" s="2" t="s">
        <v>1776</v>
      </c>
      <c r="V1794" s="2" t="s">
        <v>461</v>
      </c>
      <c r="W1794" s="2" t="s">
        <v>609</v>
      </c>
      <c r="X1794" s="2" t="s">
        <v>100</v>
      </c>
      <c r="Y1794" s="2" t="s">
        <v>6161</v>
      </c>
      <c r="Z1794" s="4">
        <v>788</v>
      </c>
      <c r="AA1794" s="4">
        <f>=ROUNDDOWN(60.6153846153846,0)</f>
      </c>
      <c r="AB1794" s="5">
        <v>13</v>
      </c>
      <c r="AC1794" s="2" t="s">
        <v>100</v>
      </c>
      <c r="AD1794" s="4"/>
      <c r="AE1794" s="4"/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/>
      <c r="BJ1794" s="4">
        <v>11</v>
      </c>
      <c r="BK1794" s="8">
        <v>400.57</v>
      </c>
      <c r="BL1794" s="2" t="s">
        <v>710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109</v>
      </c>
      <c r="BV1794" s="2" t="s">
        <v>97</v>
      </c>
      <c r="BW1794" s="2" t="s">
        <v>6151</v>
      </c>
      <c r="BX1794" s="2" t="s">
        <v>2365</v>
      </c>
      <c r="BY1794" s="2" t="s">
        <v>112</v>
      </c>
      <c r="BZ1794" s="2" t="s">
        <v>100</v>
      </c>
    </row>
    <row r="1795">
      <c r="A1795" s="2" t="s">
        <v>6319</v>
      </c>
      <c r="B1795" s="2" t="s">
        <v>5155</v>
      </c>
      <c r="C1795" s="2" t="s">
        <v>2357</v>
      </c>
      <c r="D1795" s="2" t="s">
        <v>5156</v>
      </c>
      <c r="E1795" s="2" t="s">
        <v>5157</v>
      </c>
      <c r="F1795" s="2" t="s">
        <v>6320</v>
      </c>
      <c r="G1795" s="2" t="s">
        <v>6320</v>
      </c>
      <c r="H1795" s="2" t="s">
        <v>100</v>
      </c>
      <c r="I1795" s="2" t="s">
        <v>5235</v>
      </c>
      <c r="J1795" s="2" t="s">
        <v>1443</v>
      </c>
      <c r="K1795" s="2" t="s">
        <v>5349</v>
      </c>
      <c r="L1795" s="3">
        <v>54.64</v>
      </c>
      <c r="M1795" s="3">
        <v>57.37</v>
      </c>
      <c r="N1795" s="3">
        <v>109.99</v>
      </c>
      <c r="O1795" s="2" t="s">
        <v>97</v>
      </c>
      <c r="P1795" s="2" t="s">
        <v>98</v>
      </c>
      <c r="Q1795" s="2" t="s">
        <v>99</v>
      </c>
      <c r="R1795" s="2" t="s">
        <v>100</v>
      </c>
      <c r="S1795" s="2" t="s">
        <v>6321</v>
      </c>
      <c r="T1795" s="2" t="s">
        <v>5327</v>
      </c>
      <c r="U1795" s="2" t="s">
        <v>100</v>
      </c>
      <c r="V1795" s="2" t="s">
        <v>461</v>
      </c>
      <c r="W1795" s="2" t="s">
        <v>609</v>
      </c>
      <c r="X1795" s="2" t="s">
        <v>100</v>
      </c>
      <c r="Y1795" s="2" t="s">
        <v>144</v>
      </c>
      <c r="Z1795" s="4">
        <v>142</v>
      </c>
      <c r="AA1795" s="4">
        <f>=ROUNDDOWN(71,0)</f>
      </c>
      <c r="AB1795" s="5">
        <v>2</v>
      </c>
      <c r="AC1795" s="2" t="s">
        <v>3277</v>
      </c>
      <c r="AD1795" s="4">
        <v>54</v>
      </c>
      <c r="AE1795" s="4">
        <v>54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>
        <v>2</v>
      </c>
      <c r="AW1795" s="8">
        <v>182.55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/>
      <c r="BC1795" s="4">
        <v>7</v>
      </c>
      <c r="BD1795" s="8">
        <v>586.75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>
        <v>0.3111</v>
      </c>
      <c r="BJ1795" s="4">
        <v>3</v>
      </c>
      <c r="BK1795" s="8">
        <v>169.74</v>
      </c>
      <c r="BL1795" s="2" t="s">
        <v>4485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109</v>
      </c>
      <c r="BV1795" s="2" t="s">
        <v>97</v>
      </c>
      <c r="BW1795" s="2" t="s">
        <v>2365</v>
      </c>
      <c r="BX1795" s="2" t="s">
        <v>4611</v>
      </c>
      <c r="BY1795" s="2" t="s">
        <v>112</v>
      </c>
      <c r="BZ1795" s="2" t="s">
        <v>100</v>
      </c>
    </row>
    <row r="1796">
      <c r="A1796" s="2" t="s">
        <v>6322</v>
      </c>
      <c r="B1796" s="2" t="s">
        <v>5155</v>
      </c>
      <c r="C1796" s="2" t="s">
        <v>2357</v>
      </c>
      <c r="D1796" s="2" t="s">
        <v>5156</v>
      </c>
      <c r="E1796" s="2" t="s">
        <v>5157</v>
      </c>
      <c r="F1796" s="2" t="s">
        <v>6320</v>
      </c>
      <c r="G1796" s="2" t="s">
        <v>6320</v>
      </c>
      <c r="H1796" s="2" t="s">
        <v>100</v>
      </c>
      <c r="I1796" s="2" t="s">
        <v>5235</v>
      </c>
      <c r="J1796" s="2" t="s">
        <v>490</v>
      </c>
      <c r="K1796" s="2" t="s">
        <v>5349</v>
      </c>
      <c r="L1796" s="3">
        <v>59.61</v>
      </c>
      <c r="M1796" s="3">
        <v>62.59</v>
      </c>
      <c r="N1796" s="3">
        <v>119.99</v>
      </c>
      <c r="O1796" s="2" t="s">
        <v>97</v>
      </c>
      <c r="P1796" s="2" t="s">
        <v>98</v>
      </c>
      <c r="Q1796" s="2" t="s">
        <v>99</v>
      </c>
      <c r="R1796" s="2" t="s">
        <v>100</v>
      </c>
      <c r="S1796" s="2" t="s">
        <v>6321</v>
      </c>
      <c r="T1796" s="2" t="s">
        <v>5327</v>
      </c>
      <c r="U1796" s="2" t="s">
        <v>100</v>
      </c>
      <c r="V1796" s="2" t="s">
        <v>461</v>
      </c>
      <c r="W1796" s="2" t="s">
        <v>609</v>
      </c>
      <c r="X1796" s="2" t="s">
        <v>100</v>
      </c>
      <c r="Y1796" s="2" t="s">
        <v>144</v>
      </c>
      <c r="Z1796" s="4">
        <v>159</v>
      </c>
      <c r="AA1796" s="4">
        <f>=ROUNDDOWN(79.5,0)</f>
      </c>
      <c r="AB1796" s="5">
        <v>2</v>
      </c>
      <c r="AC1796" s="2" t="s">
        <v>100</v>
      </c>
      <c r="AD1796" s="4"/>
      <c r="AE1796" s="4"/>
      <c r="AF1796" s="6">
        <v>65</v>
      </c>
      <c r="AG1796" s="6"/>
      <c r="AH1796" s="7">
        <v>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1</v>
      </c>
      <c r="AQ1796" s="8">
        <v>78.23</v>
      </c>
      <c r="AR1796" s="4"/>
      <c r="AS1796" s="8"/>
      <c r="AT1796" s="7"/>
      <c r="AU1796" s="7"/>
      <c r="AV1796" s="4" t="s">
        <v>100</v>
      </c>
      <c r="AW1796" s="8" t="s">
        <v>100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>
        <v>0.4285</v>
      </c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 t="s">
        <v>100</v>
      </c>
      <c r="BJ1796" s="4">
        <v>3</v>
      </c>
      <c r="BK1796" s="8">
        <v>201.98</v>
      </c>
      <c r="BL1796" s="2" t="s">
        <v>6323</v>
      </c>
      <c r="BM1796" s="7">
        <v>0.3333</v>
      </c>
      <c r="BN1796" s="7">
        <v>0.3873</v>
      </c>
      <c r="BO1796" s="4">
        <v>1</v>
      </c>
      <c r="BP1796" s="8">
        <v>78.23</v>
      </c>
      <c r="BQ1796" s="4"/>
      <c r="BR1796" s="8"/>
      <c r="BS1796" s="7"/>
      <c r="BT1796" s="7"/>
      <c r="BU1796" s="2" t="s">
        <v>109</v>
      </c>
      <c r="BV1796" s="2" t="s">
        <v>97</v>
      </c>
      <c r="BW1796" s="2" t="s">
        <v>2365</v>
      </c>
      <c r="BX1796" s="2" t="s">
        <v>6324</v>
      </c>
      <c r="BY1796" s="2" t="s">
        <v>112</v>
      </c>
      <c r="BZ1796" s="2" t="s">
        <v>100</v>
      </c>
    </row>
    <row r="1797">
      <c r="A1797" s="2" t="s">
        <v>6325</v>
      </c>
      <c r="B1797" s="2" t="s">
        <v>5155</v>
      </c>
      <c r="C1797" s="2" t="s">
        <v>2357</v>
      </c>
      <c r="D1797" s="2" t="s">
        <v>5156</v>
      </c>
      <c r="E1797" s="2" t="s">
        <v>5157</v>
      </c>
      <c r="F1797" s="2" t="s">
        <v>6320</v>
      </c>
      <c r="G1797" s="2" t="s">
        <v>6320</v>
      </c>
      <c r="H1797" s="2" t="s">
        <v>100</v>
      </c>
      <c r="I1797" s="2" t="s">
        <v>5235</v>
      </c>
      <c r="J1797" s="2" t="s">
        <v>95</v>
      </c>
      <c r="K1797" s="2" t="s">
        <v>5349</v>
      </c>
      <c r="L1797" s="3">
        <v>79.48</v>
      </c>
      <c r="M1797" s="3">
        <v>83.45</v>
      </c>
      <c r="N1797" s="3">
        <v>159.99</v>
      </c>
      <c r="O1797" s="2" t="s">
        <v>97</v>
      </c>
      <c r="P1797" s="2" t="s">
        <v>98</v>
      </c>
      <c r="Q1797" s="2" t="s">
        <v>99</v>
      </c>
      <c r="R1797" s="2" t="s">
        <v>100</v>
      </c>
      <c r="S1797" s="2" t="s">
        <v>6321</v>
      </c>
      <c r="T1797" s="2" t="s">
        <v>5327</v>
      </c>
      <c r="U1797" s="2" t="s">
        <v>100</v>
      </c>
      <c r="V1797" s="2" t="s">
        <v>461</v>
      </c>
      <c r="W1797" s="2" t="s">
        <v>609</v>
      </c>
      <c r="X1797" s="2" t="s">
        <v>100</v>
      </c>
      <c r="Y1797" s="2" t="s">
        <v>144</v>
      </c>
      <c r="Z1797" s="4">
        <v>282</v>
      </c>
      <c r="AA1797" s="4">
        <f>=ROUNDDOWN(94,0)</f>
      </c>
      <c r="AB1797" s="5">
        <v>3</v>
      </c>
      <c r="AC1797" s="2" t="s">
        <v>100</v>
      </c>
      <c r="AD1797" s="4"/>
      <c r="AE1797" s="4"/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1</v>
      </c>
      <c r="AQ1797" s="8">
        <v>104.32</v>
      </c>
      <c r="AR1797" s="4"/>
      <c r="AS1797" s="8"/>
      <c r="AT1797" s="7"/>
      <c r="AU1797" s="7"/>
      <c r="AV1797" s="4" t="s">
        <v>100</v>
      </c>
      <c r="AW1797" s="8" t="s">
        <v>100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0.5715</v>
      </c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 t="s">
        <v>100</v>
      </c>
      <c r="BJ1797" s="4">
        <v>5</v>
      </c>
      <c r="BK1797" s="8">
        <v>443.87</v>
      </c>
      <c r="BL1797" s="2" t="s">
        <v>6326</v>
      </c>
      <c r="BM1797" s="7">
        <v>0.2</v>
      </c>
      <c r="BN1797" s="7">
        <v>0.235</v>
      </c>
      <c r="BO1797" s="4">
        <v>1</v>
      </c>
      <c r="BP1797" s="8">
        <v>104.32</v>
      </c>
      <c r="BQ1797" s="4"/>
      <c r="BR1797" s="8"/>
      <c r="BS1797" s="7"/>
      <c r="BT1797" s="7"/>
      <c r="BU1797" s="2" t="s">
        <v>109</v>
      </c>
      <c r="BV1797" s="2" t="s">
        <v>97</v>
      </c>
      <c r="BW1797" s="2" t="s">
        <v>2365</v>
      </c>
      <c r="BX1797" s="2" t="s">
        <v>6155</v>
      </c>
      <c r="BY1797" s="2" t="s">
        <v>112</v>
      </c>
      <c r="BZ1797" s="2" t="s">
        <v>100</v>
      </c>
    </row>
    <row r="1798">
      <c r="A1798" s="2" t="s">
        <v>6327</v>
      </c>
      <c r="B1798" s="2" t="s">
        <v>5155</v>
      </c>
      <c r="C1798" s="2" t="s">
        <v>2357</v>
      </c>
      <c r="D1798" s="2" t="s">
        <v>5156</v>
      </c>
      <c r="E1798" s="2" t="s">
        <v>5157</v>
      </c>
      <c r="F1798" s="2" t="s">
        <v>6320</v>
      </c>
      <c r="G1798" s="2" t="s">
        <v>6320</v>
      </c>
      <c r="H1798" s="2" t="s">
        <v>100</v>
      </c>
      <c r="I1798" s="2" t="s">
        <v>5235</v>
      </c>
      <c r="J1798" s="2" t="s">
        <v>114</v>
      </c>
      <c r="K1798" s="2" t="s">
        <v>5349</v>
      </c>
      <c r="L1798" s="3">
        <v>89.42</v>
      </c>
      <c r="M1798" s="3">
        <v>93.89</v>
      </c>
      <c r="N1798" s="3">
        <v>179.99</v>
      </c>
      <c r="O1798" s="2" t="s">
        <v>97</v>
      </c>
      <c r="P1798" s="2" t="s">
        <v>98</v>
      </c>
      <c r="Q1798" s="2" t="s">
        <v>99</v>
      </c>
      <c r="R1798" s="2" t="s">
        <v>100</v>
      </c>
      <c r="S1798" s="2" t="s">
        <v>6321</v>
      </c>
      <c r="T1798" s="2" t="s">
        <v>5327</v>
      </c>
      <c r="U1798" s="2" t="s">
        <v>100</v>
      </c>
      <c r="V1798" s="2" t="s">
        <v>461</v>
      </c>
      <c r="W1798" s="2" t="s">
        <v>609</v>
      </c>
      <c r="X1798" s="2" t="s">
        <v>100</v>
      </c>
      <c r="Y1798" s="2" t="s">
        <v>144</v>
      </c>
      <c r="Z1798" s="4">
        <v>267</v>
      </c>
      <c r="AA1798" s="4">
        <f>=ROUNDDOWN(89,0)</f>
      </c>
      <c r="AB1798" s="5">
        <v>3</v>
      </c>
      <c r="AC1798" s="2" t="s">
        <v>100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 t="s">
        <v>100</v>
      </c>
      <c r="AW1798" s="8" t="s">
        <v>100</v>
      </c>
      <c r="AX1798" s="4" t="s">
        <v>100</v>
      </c>
      <c r="AY1798" s="8" t="s">
        <v>100</v>
      </c>
      <c r="AZ1798" s="7" t="s">
        <v>100</v>
      </c>
      <c r="BA1798" s="7" t="s">
        <v>100</v>
      </c>
      <c r="BB1798" s="7"/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 t="s">
        <v>100</v>
      </c>
      <c r="BJ1798" s="4">
        <v>4</v>
      </c>
      <c r="BK1798" s="8">
        <v>382.63</v>
      </c>
      <c r="BL1798" s="2" t="s">
        <v>5249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3906</v>
      </c>
      <c r="BX1798" s="2" t="s">
        <v>6328</v>
      </c>
      <c r="BY1798" s="2" t="s">
        <v>112</v>
      </c>
      <c r="BZ1798" s="2" t="s">
        <v>100</v>
      </c>
    </row>
    <row r="1799">
      <c r="A1799" s="2" t="s">
        <v>6329</v>
      </c>
      <c r="B1799" s="2" t="s">
        <v>5155</v>
      </c>
      <c r="C1799" s="2" t="s">
        <v>2357</v>
      </c>
      <c r="D1799" s="2" t="s">
        <v>5156</v>
      </c>
      <c r="E1799" s="2" t="s">
        <v>5157</v>
      </c>
      <c r="F1799" s="2" t="s">
        <v>6320</v>
      </c>
      <c r="G1799" s="2" t="s">
        <v>6320</v>
      </c>
      <c r="H1799" s="2" t="s">
        <v>100</v>
      </c>
      <c r="I1799" s="2" t="s">
        <v>5235</v>
      </c>
      <c r="J1799" s="2" t="s">
        <v>1443</v>
      </c>
      <c r="K1799" s="2" t="s">
        <v>1384</v>
      </c>
      <c r="L1799" s="3">
        <v>54.64</v>
      </c>
      <c r="M1799" s="3">
        <v>57.37</v>
      </c>
      <c r="N1799" s="3">
        <v>109.99</v>
      </c>
      <c r="O1799" s="2" t="s">
        <v>97</v>
      </c>
      <c r="P1799" s="2" t="s">
        <v>98</v>
      </c>
      <c r="Q1799" s="2" t="s">
        <v>99</v>
      </c>
      <c r="R1799" s="2" t="s">
        <v>100</v>
      </c>
      <c r="S1799" s="2" t="s">
        <v>6330</v>
      </c>
      <c r="T1799" s="2" t="s">
        <v>5327</v>
      </c>
      <c r="U1799" s="2" t="s">
        <v>100</v>
      </c>
      <c r="V1799" s="2" t="s">
        <v>461</v>
      </c>
      <c r="W1799" s="2" t="s">
        <v>609</v>
      </c>
      <c r="X1799" s="2" t="s">
        <v>100</v>
      </c>
      <c r="Y1799" s="2" t="s">
        <v>144</v>
      </c>
      <c r="Z1799" s="4">
        <v>202</v>
      </c>
      <c r="AA1799" s="4">
        <f>=ROUNDDOWN(67.3333333333333,0)</f>
      </c>
      <c r="AB1799" s="5">
        <v>3</v>
      </c>
      <c r="AC1799" s="2" t="s">
        <v>100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2</v>
      </c>
      <c r="AQ1799" s="8">
        <v>143.42</v>
      </c>
      <c r="AR1799" s="4"/>
      <c r="AS1799" s="8"/>
      <c r="AT1799" s="7"/>
      <c r="AU1799" s="7"/>
      <c r="AV1799" s="4">
        <v>2</v>
      </c>
      <c r="AW1799" s="8">
        <v>143.42</v>
      </c>
      <c r="AX1799" s="4" t="s">
        <v>100</v>
      </c>
      <c r="AY1799" s="8" t="s">
        <v>100</v>
      </c>
      <c r="AZ1799" s="7" t="s">
        <v>100</v>
      </c>
      <c r="BA1799" s="7" t="s">
        <v>100</v>
      </c>
      <c r="BB1799" s="7">
        <v>1</v>
      </c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>
        <v>0.2444</v>
      </c>
      <c r="BJ1799" s="4">
        <v>7</v>
      </c>
      <c r="BK1799" s="8">
        <v>424.56</v>
      </c>
      <c r="BL1799" s="2" t="s">
        <v>6331</v>
      </c>
      <c r="BM1799" s="7">
        <v>0.2857</v>
      </c>
      <c r="BN1799" s="7">
        <v>0.3378</v>
      </c>
      <c r="BO1799" s="4">
        <v>2</v>
      </c>
      <c r="BP1799" s="8">
        <v>143.42</v>
      </c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2365</v>
      </c>
      <c r="BX1799" s="2" t="s">
        <v>6332</v>
      </c>
      <c r="BY1799" s="2" t="s">
        <v>112</v>
      </c>
      <c r="BZ1799" s="2" t="s">
        <v>100</v>
      </c>
    </row>
    <row r="1800">
      <c r="A1800" s="2" t="s">
        <v>6333</v>
      </c>
      <c r="B1800" s="2" t="s">
        <v>5155</v>
      </c>
      <c r="C1800" s="2" t="s">
        <v>2357</v>
      </c>
      <c r="D1800" s="2" t="s">
        <v>5156</v>
      </c>
      <c r="E1800" s="2" t="s">
        <v>5157</v>
      </c>
      <c r="F1800" s="2" t="s">
        <v>6320</v>
      </c>
      <c r="G1800" s="2" t="s">
        <v>6320</v>
      </c>
      <c r="H1800" s="2" t="s">
        <v>100</v>
      </c>
      <c r="I1800" s="2" t="s">
        <v>5235</v>
      </c>
      <c r="J1800" s="2" t="s">
        <v>490</v>
      </c>
      <c r="K1800" s="2" t="s">
        <v>1384</v>
      </c>
      <c r="L1800" s="3">
        <v>59.61</v>
      </c>
      <c r="M1800" s="3">
        <v>62.59</v>
      </c>
      <c r="N1800" s="3">
        <v>119.99</v>
      </c>
      <c r="O1800" s="2" t="s">
        <v>97</v>
      </c>
      <c r="P1800" s="2" t="s">
        <v>98</v>
      </c>
      <c r="Q1800" s="2" t="s">
        <v>99</v>
      </c>
      <c r="R1800" s="2" t="s">
        <v>100</v>
      </c>
      <c r="S1800" s="2" t="s">
        <v>6330</v>
      </c>
      <c r="T1800" s="2" t="s">
        <v>5327</v>
      </c>
      <c r="U1800" s="2" t="s">
        <v>100</v>
      </c>
      <c r="V1800" s="2" t="s">
        <v>461</v>
      </c>
      <c r="W1800" s="2" t="s">
        <v>609</v>
      </c>
      <c r="X1800" s="2" t="s">
        <v>100</v>
      </c>
      <c r="Y1800" s="2" t="s">
        <v>144</v>
      </c>
      <c r="Z1800" s="4">
        <v>344</v>
      </c>
      <c r="AA1800" s="4">
        <f>=ROUNDDOWN(86,0)</f>
      </c>
      <c r="AB1800" s="5">
        <v>4</v>
      </c>
      <c r="AC1800" s="2" t="s">
        <v>3277</v>
      </c>
      <c r="AD1800" s="4">
        <v>9</v>
      </c>
      <c r="AE1800" s="4">
        <v>9</v>
      </c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 t="s">
        <v>100</v>
      </c>
      <c r="AW1800" s="8" t="s">
        <v>100</v>
      </c>
      <c r="AX1800" s="4" t="s">
        <v>100</v>
      </c>
      <c r="AY1800" s="8" t="s">
        <v>100</v>
      </c>
      <c r="AZ1800" s="7" t="s">
        <v>100</v>
      </c>
      <c r="BA1800" s="7" t="s">
        <v>100</v>
      </c>
      <c r="BB1800" s="7"/>
      <c r="BC1800" s="4" t="s">
        <v>100</v>
      </c>
      <c r="BD1800" s="8" t="s">
        <v>100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 t="s">
        <v>100</v>
      </c>
      <c r="BJ1800" s="4">
        <v>3</v>
      </c>
      <c r="BK1800" s="8">
        <v>189.47</v>
      </c>
      <c r="BL1800" s="2" t="s">
        <v>6334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2365</v>
      </c>
      <c r="BX1800" s="2" t="s">
        <v>5494</v>
      </c>
      <c r="BY1800" s="2" t="s">
        <v>112</v>
      </c>
      <c r="BZ1800" s="2" t="s">
        <v>100</v>
      </c>
    </row>
    <row r="1801">
      <c r="A1801" s="2" t="s">
        <v>6335</v>
      </c>
      <c r="B1801" s="2" t="s">
        <v>5155</v>
      </c>
      <c r="C1801" s="2" t="s">
        <v>2357</v>
      </c>
      <c r="D1801" s="2" t="s">
        <v>5156</v>
      </c>
      <c r="E1801" s="2" t="s">
        <v>5157</v>
      </c>
      <c r="F1801" s="2" t="s">
        <v>6320</v>
      </c>
      <c r="G1801" s="2" t="s">
        <v>6320</v>
      </c>
      <c r="H1801" s="2" t="s">
        <v>100</v>
      </c>
      <c r="I1801" s="2" t="s">
        <v>5235</v>
      </c>
      <c r="J1801" s="2" t="s">
        <v>95</v>
      </c>
      <c r="K1801" s="2" t="s">
        <v>1384</v>
      </c>
      <c r="L1801" s="3">
        <v>79.48</v>
      </c>
      <c r="M1801" s="3">
        <v>83.45</v>
      </c>
      <c r="N1801" s="3">
        <v>159.99</v>
      </c>
      <c r="O1801" s="2" t="s">
        <v>97</v>
      </c>
      <c r="P1801" s="2" t="s">
        <v>98</v>
      </c>
      <c r="Q1801" s="2" t="s">
        <v>99</v>
      </c>
      <c r="R1801" s="2" t="s">
        <v>100</v>
      </c>
      <c r="S1801" s="2" t="s">
        <v>6330</v>
      </c>
      <c r="T1801" s="2" t="s">
        <v>5327</v>
      </c>
      <c r="U1801" s="2" t="s">
        <v>100</v>
      </c>
      <c r="V1801" s="2" t="s">
        <v>461</v>
      </c>
      <c r="W1801" s="2" t="s">
        <v>609</v>
      </c>
      <c r="X1801" s="2" t="s">
        <v>100</v>
      </c>
      <c r="Y1801" s="2" t="s">
        <v>144</v>
      </c>
      <c r="Z1801" s="4">
        <v>373</v>
      </c>
      <c r="AA1801" s="4">
        <f>=ROUNDDOWN(62.1666666666667,0)</f>
      </c>
      <c r="AB1801" s="5">
        <v>6</v>
      </c>
      <c r="AC1801" s="2" t="s">
        <v>100</v>
      </c>
      <c r="AD1801" s="4"/>
      <c r="AE1801" s="4"/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 t="s">
        <v>100</v>
      </c>
      <c r="AW1801" s="8" t="s">
        <v>100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/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 t="s">
        <v>100</v>
      </c>
      <c r="BJ1801" s="4">
        <v>1</v>
      </c>
      <c r="BK1801" s="8">
        <v>77.21</v>
      </c>
      <c r="BL1801" s="2" t="s">
        <v>6336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2365</v>
      </c>
      <c r="BX1801" s="2" t="s">
        <v>6337</v>
      </c>
      <c r="BY1801" s="2" t="s">
        <v>112</v>
      </c>
      <c r="BZ1801" s="2" t="s">
        <v>100</v>
      </c>
    </row>
    <row r="1802">
      <c r="A1802" s="2" t="s">
        <v>6338</v>
      </c>
      <c r="B1802" s="2" t="s">
        <v>5155</v>
      </c>
      <c r="C1802" s="2" t="s">
        <v>2357</v>
      </c>
      <c r="D1802" s="2" t="s">
        <v>5156</v>
      </c>
      <c r="E1802" s="2" t="s">
        <v>5157</v>
      </c>
      <c r="F1802" s="2" t="s">
        <v>6320</v>
      </c>
      <c r="G1802" s="2" t="s">
        <v>6320</v>
      </c>
      <c r="H1802" s="2" t="s">
        <v>100</v>
      </c>
      <c r="I1802" s="2" t="s">
        <v>5235</v>
      </c>
      <c r="J1802" s="2" t="s">
        <v>114</v>
      </c>
      <c r="K1802" s="2" t="s">
        <v>1384</v>
      </c>
      <c r="L1802" s="3">
        <v>89.42</v>
      </c>
      <c r="M1802" s="3">
        <v>93.89</v>
      </c>
      <c r="N1802" s="3">
        <v>179.99</v>
      </c>
      <c r="O1802" s="2" t="s">
        <v>97</v>
      </c>
      <c r="P1802" s="2" t="s">
        <v>98</v>
      </c>
      <c r="Q1802" s="2" t="s">
        <v>99</v>
      </c>
      <c r="R1802" s="2" t="s">
        <v>100</v>
      </c>
      <c r="S1802" s="2" t="s">
        <v>6330</v>
      </c>
      <c r="T1802" s="2" t="s">
        <v>5327</v>
      </c>
      <c r="U1802" s="2" t="s">
        <v>100</v>
      </c>
      <c r="V1802" s="2" t="s">
        <v>461</v>
      </c>
      <c r="W1802" s="2" t="s">
        <v>609</v>
      </c>
      <c r="X1802" s="2" t="s">
        <v>100</v>
      </c>
      <c r="Y1802" s="2" t="s">
        <v>144</v>
      </c>
      <c r="Z1802" s="4">
        <v>514</v>
      </c>
      <c r="AA1802" s="4">
        <f>=ROUNDDOWN(73.4285714285714,0)</f>
      </c>
      <c r="AB1802" s="5">
        <v>7</v>
      </c>
      <c r="AC1802" s="2" t="s">
        <v>100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 t="s">
        <v>100</v>
      </c>
      <c r="AW1802" s="8" t="s">
        <v>100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/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 t="s">
        <v>100</v>
      </c>
      <c r="BJ1802" s="4">
        <v>3</v>
      </c>
      <c r="BK1802" s="8">
        <v>291.07</v>
      </c>
      <c r="BL1802" s="2" t="s">
        <v>6339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6340</v>
      </c>
      <c r="BX1802" s="2" t="s">
        <v>6341</v>
      </c>
      <c r="BY1802" s="2" t="s">
        <v>112</v>
      </c>
      <c r="BZ1802" s="2" t="s">
        <v>100</v>
      </c>
    </row>
    <row r="1803">
      <c r="A1803" s="2" t="s">
        <v>6342</v>
      </c>
      <c r="B1803" s="2" t="s">
        <v>5155</v>
      </c>
      <c r="C1803" s="2" t="s">
        <v>2357</v>
      </c>
      <c r="D1803" s="2" t="s">
        <v>5156</v>
      </c>
      <c r="E1803" s="2" t="s">
        <v>5157</v>
      </c>
      <c r="F1803" s="2" t="s">
        <v>6320</v>
      </c>
      <c r="G1803" s="2" t="s">
        <v>6320</v>
      </c>
      <c r="H1803" s="2" t="s">
        <v>100</v>
      </c>
      <c r="I1803" s="2" t="s">
        <v>5235</v>
      </c>
      <c r="J1803" s="2" t="s">
        <v>1443</v>
      </c>
      <c r="K1803" s="2" t="s">
        <v>5271</v>
      </c>
      <c r="L1803" s="3">
        <v>54.64</v>
      </c>
      <c r="M1803" s="3">
        <v>57.37</v>
      </c>
      <c r="N1803" s="3">
        <v>109.99</v>
      </c>
      <c r="O1803" s="2" t="s">
        <v>97</v>
      </c>
      <c r="P1803" s="2" t="s">
        <v>98</v>
      </c>
      <c r="Q1803" s="2" t="s">
        <v>99</v>
      </c>
      <c r="R1803" s="2" t="s">
        <v>100</v>
      </c>
      <c r="S1803" s="2" t="s">
        <v>6343</v>
      </c>
      <c r="T1803" s="2" t="s">
        <v>5327</v>
      </c>
      <c r="U1803" s="2" t="s">
        <v>100</v>
      </c>
      <c r="V1803" s="2" t="s">
        <v>461</v>
      </c>
      <c r="W1803" s="2" t="s">
        <v>609</v>
      </c>
      <c r="X1803" s="2" t="s">
        <v>100</v>
      </c>
      <c r="Y1803" s="2" t="s">
        <v>144</v>
      </c>
      <c r="Z1803" s="4">
        <v>318</v>
      </c>
      <c r="AA1803" s="4">
        <f>=ROUNDDOWN(106,0)</f>
      </c>
      <c r="AB1803" s="5">
        <v>3</v>
      </c>
      <c r="AC1803" s="2" t="s">
        <v>100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2</v>
      </c>
      <c r="AQ1803" s="8">
        <v>143.42</v>
      </c>
      <c r="AR1803" s="4"/>
      <c r="AS1803" s="8"/>
      <c r="AT1803" s="7"/>
      <c r="AU1803" s="7"/>
      <c r="AV1803" s="4">
        <v>2</v>
      </c>
      <c r="AW1803" s="8">
        <v>143.42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>
        <v>1</v>
      </c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>
        <v>0.2444</v>
      </c>
      <c r="BJ1803" s="4">
        <v>3</v>
      </c>
      <c r="BK1803" s="8">
        <v>196.5</v>
      </c>
      <c r="BL1803" s="2" t="s">
        <v>6344</v>
      </c>
      <c r="BM1803" s="7">
        <v>0.6667</v>
      </c>
      <c r="BN1803" s="7">
        <v>0.7299</v>
      </c>
      <c r="BO1803" s="4">
        <v>2</v>
      </c>
      <c r="BP1803" s="8">
        <v>143.42</v>
      </c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2365</v>
      </c>
      <c r="BX1803" s="2" t="s">
        <v>6345</v>
      </c>
      <c r="BY1803" s="2" t="s">
        <v>112</v>
      </c>
      <c r="BZ1803" s="2" t="s">
        <v>100</v>
      </c>
    </row>
    <row r="1804">
      <c r="A1804" s="2" t="s">
        <v>6346</v>
      </c>
      <c r="B1804" s="2" t="s">
        <v>5155</v>
      </c>
      <c r="C1804" s="2" t="s">
        <v>2357</v>
      </c>
      <c r="D1804" s="2" t="s">
        <v>5156</v>
      </c>
      <c r="E1804" s="2" t="s">
        <v>5157</v>
      </c>
      <c r="F1804" s="2" t="s">
        <v>6320</v>
      </c>
      <c r="G1804" s="2" t="s">
        <v>6320</v>
      </c>
      <c r="H1804" s="2" t="s">
        <v>100</v>
      </c>
      <c r="I1804" s="2" t="s">
        <v>5235</v>
      </c>
      <c r="J1804" s="2" t="s">
        <v>490</v>
      </c>
      <c r="K1804" s="2" t="s">
        <v>5271</v>
      </c>
      <c r="L1804" s="3">
        <v>59.61</v>
      </c>
      <c r="M1804" s="3">
        <v>62.59</v>
      </c>
      <c r="N1804" s="3">
        <v>119.99</v>
      </c>
      <c r="O1804" s="2" t="s">
        <v>97</v>
      </c>
      <c r="P1804" s="2" t="s">
        <v>98</v>
      </c>
      <c r="Q1804" s="2" t="s">
        <v>99</v>
      </c>
      <c r="R1804" s="2" t="s">
        <v>100</v>
      </c>
      <c r="S1804" s="2" t="s">
        <v>6343</v>
      </c>
      <c r="T1804" s="2" t="s">
        <v>5327</v>
      </c>
      <c r="U1804" s="2" t="s">
        <v>100</v>
      </c>
      <c r="V1804" s="2" t="s">
        <v>461</v>
      </c>
      <c r="W1804" s="2" t="s">
        <v>609</v>
      </c>
      <c r="X1804" s="2" t="s">
        <v>100</v>
      </c>
      <c r="Y1804" s="2" t="s">
        <v>144</v>
      </c>
      <c r="Z1804" s="4">
        <v>313</v>
      </c>
      <c r="AA1804" s="4">
        <f>=ROUNDDOWN(156.5,0)</f>
      </c>
      <c r="AB1804" s="5">
        <v>2</v>
      </c>
      <c r="AC1804" s="2" t="s">
        <v>100</v>
      </c>
      <c r="AD1804" s="4"/>
      <c r="AE1804" s="4"/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 t="s">
        <v>100</v>
      </c>
      <c r="AW1804" s="8" t="s">
        <v>100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/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 t="s">
        <v>100</v>
      </c>
      <c r="BJ1804" s="4">
        <v>2</v>
      </c>
      <c r="BK1804" s="8">
        <v>128.31</v>
      </c>
      <c r="BL1804" s="2" t="s">
        <v>6339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109</v>
      </c>
      <c r="BV1804" s="2" t="s">
        <v>97</v>
      </c>
      <c r="BW1804" s="2" t="s">
        <v>2365</v>
      </c>
      <c r="BX1804" s="2" t="s">
        <v>6347</v>
      </c>
      <c r="BY1804" s="2" t="s">
        <v>112</v>
      </c>
      <c r="BZ1804" s="2" t="s">
        <v>100</v>
      </c>
    </row>
    <row r="1805">
      <c r="A1805" s="2" t="s">
        <v>6348</v>
      </c>
      <c r="B1805" s="2" t="s">
        <v>5155</v>
      </c>
      <c r="C1805" s="2" t="s">
        <v>2357</v>
      </c>
      <c r="D1805" s="2" t="s">
        <v>5156</v>
      </c>
      <c r="E1805" s="2" t="s">
        <v>5157</v>
      </c>
      <c r="F1805" s="2" t="s">
        <v>6320</v>
      </c>
      <c r="G1805" s="2" t="s">
        <v>6320</v>
      </c>
      <c r="H1805" s="2" t="s">
        <v>100</v>
      </c>
      <c r="I1805" s="2" t="s">
        <v>5235</v>
      </c>
      <c r="J1805" s="2" t="s">
        <v>95</v>
      </c>
      <c r="K1805" s="2" t="s">
        <v>5271</v>
      </c>
      <c r="L1805" s="3">
        <v>79.48</v>
      </c>
      <c r="M1805" s="3">
        <v>83.45</v>
      </c>
      <c r="N1805" s="3">
        <v>159.99</v>
      </c>
      <c r="O1805" s="2" t="s">
        <v>97</v>
      </c>
      <c r="P1805" s="2" t="s">
        <v>98</v>
      </c>
      <c r="Q1805" s="2" t="s">
        <v>99</v>
      </c>
      <c r="R1805" s="2" t="s">
        <v>100</v>
      </c>
      <c r="S1805" s="2" t="s">
        <v>6343</v>
      </c>
      <c r="T1805" s="2" t="s">
        <v>5327</v>
      </c>
      <c r="U1805" s="2" t="s">
        <v>100</v>
      </c>
      <c r="V1805" s="2" t="s">
        <v>461</v>
      </c>
      <c r="W1805" s="2" t="s">
        <v>609</v>
      </c>
      <c r="X1805" s="2" t="s">
        <v>100</v>
      </c>
      <c r="Y1805" s="2" t="s">
        <v>144</v>
      </c>
      <c r="Z1805" s="4">
        <v>530</v>
      </c>
      <c r="AA1805" s="4">
        <f>=ROUNDDOWN(66.25,0)</f>
      </c>
      <c r="AB1805" s="5">
        <v>8</v>
      </c>
      <c r="AC1805" s="2" t="s">
        <v>100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 t="s">
        <v>100</v>
      </c>
      <c r="AW1805" s="8" t="s">
        <v>100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/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 t="s">
        <v>100</v>
      </c>
      <c r="BJ1805" s="4">
        <v>1</v>
      </c>
      <c r="BK1805" s="8">
        <v>87.63</v>
      </c>
      <c r="BL1805" s="2" t="s">
        <v>2202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109</v>
      </c>
      <c r="BV1805" s="2" t="s">
        <v>97</v>
      </c>
      <c r="BW1805" s="2" t="s">
        <v>6340</v>
      </c>
      <c r="BX1805" s="2" t="s">
        <v>6198</v>
      </c>
      <c r="BY1805" s="2" t="s">
        <v>112</v>
      </c>
      <c r="BZ1805" s="2" t="s">
        <v>100</v>
      </c>
    </row>
    <row r="1806">
      <c r="A1806" s="2" t="s">
        <v>6349</v>
      </c>
      <c r="B1806" s="2" t="s">
        <v>5155</v>
      </c>
      <c r="C1806" s="2" t="s">
        <v>2357</v>
      </c>
      <c r="D1806" s="2" t="s">
        <v>5156</v>
      </c>
      <c r="E1806" s="2" t="s">
        <v>5157</v>
      </c>
      <c r="F1806" s="2" t="s">
        <v>6320</v>
      </c>
      <c r="G1806" s="2" t="s">
        <v>6320</v>
      </c>
      <c r="H1806" s="2" t="s">
        <v>100</v>
      </c>
      <c r="I1806" s="2" t="s">
        <v>5235</v>
      </c>
      <c r="J1806" s="2" t="s">
        <v>114</v>
      </c>
      <c r="K1806" s="2" t="s">
        <v>5271</v>
      </c>
      <c r="L1806" s="3">
        <v>89.42</v>
      </c>
      <c r="M1806" s="3">
        <v>93.89</v>
      </c>
      <c r="N1806" s="3">
        <v>179.99</v>
      </c>
      <c r="O1806" s="2" t="s">
        <v>97</v>
      </c>
      <c r="P1806" s="2" t="s">
        <v>98</v>
      </c>
      <c r="Q1806" s="2" t="s">
        <v>99</v>
      </c>
      <c r="R1806" s="2" t="s">
        <v>100</v>
      </c>
      <c r="S1806" s="2" t="s">
        <v>6343</v>
      </c>
      <c r="T1806" s="2" t="s">
        <v>5327</v>
      </c>
      <c r="U1806" s="2" t="s">
        <v>100</v>
      </c>
      <c r="V1806" s="2" t="s">
        <v>461</v>
      </c>
      <c r="W1806" s="2" t="s">
        <v>609</v>
      </c>
      <c r="X1806" s="2" t="s">
        <v>100</v>
      </c>
      <c r="Y1806" s="2" t="s">
        <v>144</v>
      </c>
      <c r="Z1806" s="4">
        <v>625</v>
      </c>
      <c r="AA1806" s="4">
        <f>=ROUNDDOWN(125,0)</f>
      </c>
      <c r="AB1806" s="5">
        <v>5</v>
      </c>
      <c r="AC1806" s="2" t="s">
        <v>100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 t="s">
        <v>100</v>
      </c>
      <c r="AW1806" s="8" t="s">
        <v>100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/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 t="s">
        <v>100</v>
      </c>
      <c r="BJ1806" s="4">
        <v>5</v>
      </c>
      <c r="BK1806" s="8">
        <v>476.68</v>
      </c>
      <c r="BL1806" s="2" t="s">
        <v>6350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109</v>
      </c>
      <c r="BV1806" s="2" t="s">
        <v>97</v>
      </c>
      <c r="BW1806" s="2" t="s">
        <v>6340</v>
      </c>
      <c r="BX1806" s="2" t="s">
        <v>6351</v>
      </c>
      <c r="BY1806" s="2" t="s">
        <v>112</v>
      </c>
      <c r="BZ1806" s="2" t="s">
        <v>100</v>
      </c>
    </row>
    <row r="1807">
      <c r="A1807" s="2" t="s">
        <v>6352</v>
      </c>
      <c r="B1807" s="2" t="s">
        <v>5155</v>
      </c>
      <c r="C1807" s="2" t="s">
        <v>2357</v>
      </c>
      <c r="D1807" s="2" t="s">
        <v>5156</v>
      </c>
      <c r="E1807" s="2" t="s">
        <v>5157</v>
      </c>
      <c r="F1807" s="2" t="s">
        <v>6320</v>
      </c>
      <c r="G1807" s="2" t="s">
        <v>6320</v>
      </c>
      <c r="H1807" s="2" t="s">
        <v>100</v>
      </c>
      <c r="I1807" s="2" t="s">
        <v>5235</v>
      </c>
      <c r="J1807" s="2" t="s">
        <v>1443</v>
      </c>
      <c r="K1807" s="2" t="s">
        <v>96</v>
      </c>
      <c r="L1807" s="3">
        <v>54.64</v>
      </c>
      <c r="M1807" s="3">
        <v>57.37</v>
      </c>
      <c r="N1807" s="3">
        <v>109.99</v>
      </c>
      <c r="O1807" s="2" t="s">
        <v>97</v>
      </c>
      <c r="P1807" s="2" t="s">
        <v>98</v>
      </c>
      <c r="Q1807" s="2" t="s">
        <v>99</v>
      </c>
      <c r="R1807" s="2" t="s">
        <v>100</v>
      </c>
      <c r="S1807" s="2" t="s">
        <v>6353</v>
      </c>
      <c r="T1807" s="2" t="s">
        <v>5327</v>
      </c>
      <c r="U1807" s="2" t="s">
        <v>100</v>
      </c>
      <c r="V1807" s="2" t="s">
        <v>461</v>
      </c>
      <c r="W1807" s="2" t="s">
        <v>609</v>
      </c>
      <c r="X1807" s="2" t="s">
        <v>100</v>
      </c>
      <c r="Y1807" s="2" t="s">
        <v>144</v>
      </c>
      <c r="Z1807" s="4">
        <v>289</v>
      </c>
      <c r="AA1807" s="4">
        <f>=ROUNDDOWN(48.1666666666667,0)</f>
      </c>
      <c r="AB1807" s="5">
        <v>6</v>
      </c>
      <c r="AC1807" s="2" t="s">
        <v>100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>
        <v>1</v>
      </c>
      <c r="AW1807" s="8">
        <v>117.36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/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>
        <v>0.2</v>
      </c>
      <c r="BJ1807" s="4">
        <v>2</v>
      </c>
      <c r="BK1807" s="8">
        <v>124.67</v>
      </c>
      <c r="BL1807" s="2" t="s">
        <v>2776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109</v>
      </c>
      <c r="BV1807" s="2" t="s">
        <v>97</v>
      </c>
      <c r="BW1807" s="2" t="s">
        <v>2365</v>
      </c>
      <c r="BX1807" s="2" t="s">
        <v>5494</v>
      </c>
      <c r="BY1807" s="2" t="s">
        <v>112</v>
      </c>
      <c r="BZ1807" s="2" t="s">
        <v>100</v>
      </c>
    </row>
    <row r="1808">
      <c r="A1808" s="2" t="s">
        <v>6354</v>
      </c>
      <c r="B1808" s="2" t="s">
        <v>5155</v>
      </c>
      <c r="C1808" s="2" t="s">
        <v>2357</v>
      </c>
      <c r="D1808" s="2" t="s">
        <v>5156</v>
      </c>
      <c r="E1808" s="2" t="s">
        <v>5157</v>
      </c>
      <c r="F1808" s="2" t="s">
        <v>6320</v>
      </c>
      <c r="G1808" s="2" t="s">
        <v>6320</v>
      </c>
      <c r="H1808" s="2" t="s">
        <v>100</v>
      </c>
      <c r="I1808" s="2" t="s">
        <v>5235</v>
      </c>
      <c r="J1808" s="2" t="s">
        <v>490</v>
      </c>
      <c r="K1808" s="2" t="s">
        <v>96</v>
      </c>
      <c r="L1808" s="3">
        <v>59.61</v>
      </c>
      <c r="M1808" s="3">
        <v>62.59</v>
      </c>
      <c r="N1808" s="3">
        <v>119.99</v>
      </c>
      <c r="O1808" s="2" t="s">
        <v>97</v>
      </c>
      <c r="P1808" s="2" t="s">
        <v>98</v>
      </c>
      <c r="Q1808" s="2" t="s">
        <v>99</v>
      </c>
      <c r="R1808" s="2" t="s">
        <v>100</v>
      </c>
      <c r="S1808" s="2" t="s">
        <v>6353</v>
      </c>
      <c r="T1808" s="2" t="s">
        <v>5327</v>
      </c>
      <c r="U1808" s="2" t="s">
        <v>100</v>
      </c>
      <c r="V1808" s="2" t="s">
        <v>461</v>
      </c>
      <c r="W1808" s="2" t="s">
        <v>609</v>
      </c>
      <c r="X1808" s="2" t="s">
        <v>100</v>
      </c>
      <c r="Y1808" s="2" t="s">
        <v>144</v>
      </c>
      <c r="Z1808" s="4">
        <v>428</v>
      </c>
      <c r="AA1808" s="4">
        <f>=ROUNDDOWN(61.1428571428571,0)</f>
      </c>
      <c r="AB1808" s="5">
        <v>7</v>
      </c>
      <c r="AC1808" s="2" t="s">
        <v>100</v>
      </c>
      <c r="AD1808" s="4"/>
      <c r="AE1808" s="4"/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 t="s">
        <v>100</v>
      </c>
      <c r="AW1808" s="8" t="s">
        <v>100</v>
      </c>
      <c r="AX1808" s="4" t="s">
        <v>100</v>
      </c>
      <c r="AY1808" s="8" t="s">
        <v>100</v>
      </c>
      <c r="AZ1808" s="7" t="s">
        <v>100</v>
      </c>
      <c r="BA1808" s="7" t="s">
        <v>100</v>
      </c>
      <c r="BB1808" s="7"/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 t="s">
        <v>100</v>
      </c>
      <c r="BJ1808" s="4">
        <v>6</v>
      </c>
      <c r="BK1808" s="8">
        <v>383.39</v>
      </c>
      <c r="BL1808" s="2" t="s">
        <v>5495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109</v>
      </c>
      <c r="BV1808" s="2" t="s">
        <v>97</v>
      </c>
      <c r="BW1808" s="2" t="s">
        <v>2365</v>
      </c>
      <c r="BX1808" s="2" t="s">
        <v>6355</v>
      </c>
      <c r="BY1808" s="2" t="s">
        <v>112</v>
      </c>
      <c r="BZ1808" s="2" t="s">
        <v>100</v>
      </c>
    </row>
    <row r="1809">
      <c r="A1809" s="2" t="s">
        <v>6356</v>
      </c>
      <c r="B1809" s="2" t="s">
        <v>5155</v>
      </c>
      <c r="C1809" s="2" t="s">
        <v>2357</v>
      </c>
      <c r="D1809" s="2" t="s">
        <v>5156</v>
      </c>
      <c r="E1809" s="2" t="s">
        <v>5157</v>
      </c>
      <c r="F1809" s="2" t="s">
        <v>6320</v>
      </c>
      <c r="G1809" s="2" t="s">
        <v>6320</v>
      </c>
      <c r="H1809" s="2" t="s">
        <v>100</v>
      </c>
      <c r="I1809" s="2" t="s">
        <v>5235</v>
      </c>
      <c r="J1809" s="2" t="s">
        <v>95</v>
      </c>
      <c r="K1809" s="2" t="s">
        <v>96</v>
      </c>
      <c r="L1809" s="3">
        <v>79.48</v>
      </c>
      <c r="M1809" s="3">
        <v>83.45</v>
      </c>
      <c r="N1809" s="3">
        <v>159.99</v>
      </c>
      <c r="O1809" s="2" t="s">
        <v>97</v>
      </c>
      <c r="P1809" s="2" t="s">
        <v>98</v>
      </c>
      <c r="Q1809" s="2" t="s">
        <v>99</v>
      </c>
      <c r="R1809" s="2" t="s">
        <v>100</v>
      </c>
      <c r="S1809" s="2" t="s">
        <v>6353</v>
      </c>
      <c r="T1809" s="2" t="s">
        <v>5327</v>
      </c>
      <c r="U1809" s="2" t="s">
        <v>100</v>
      </c>
      <c r="V1809" s="2" t="s">
        <v>461</v>
      </c>
      <c r="W1809" s="2" t="s">
        <v>609</v>
      </c>
      <c r="X1809" s="2" t="s">
        <v>100</v>
      </c>
      <c r="Y1809" s="2" t="s">
        <v>144</v>
      </c>
      <c r="Z1809" s="4">
        <v>652</v>
      </c>
      <c r="AA1809" s="4">
        <f>=ROUNDDOWN(65.2,0)</f>
      </c>
      <c r="AB1809" s="5">
        <v>10</v>
      </c>
      <c r="AC1809" s="2" t="s">
        <v>100</v>
      </c>
      <c r="AD1809" s="4"/>
      <c r="AE1809" s="4"/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 t="s">
        <v>100</v>
      </c>
      <c r="AW1809" s="8" t="s">
        <v>100</v>
      </c>
      <c r="AX1809" s="4" t="s">
        <v>100</v>
      </c>
      <c r="AY1809" s="8" t="s">
        <v>100</v>
      </c>
      <c r="AZ1809" s="7" t="s">
        <v>100</v>
      </c>
      <c r="BA1809" s="7" t="s">
        <v>100</v>
      </c>
      <c r="BB1809" s="7"/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 t="s">
        <v>100</v>
      </c>
      <c r="BJ1809" s="4">
        <v>5</v>
      </c>
      <c r="BK1809" s="8">
        <v>402.71</v>
      </c>
      <c r="BL1809" s="2" t="s">
        <v>6288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109</v>
      </c>
      <c r="BV1809" s="2" t="s">
        <v>97</v>
      </c>
      <c r="BW1809" s="2" t="s">
        <v>2365</v>
      </c>
      <c r="BX1809" s="2" t="s">
        <v>2948</v>
      </c>
      <c r="BY1809" s="2" t="s">
        <v>112</v>
      </c>
      <c r="BZ1809" s="2" t="s">
        <v>100</v>
      </c>
    </row>
    <row r="1810">
      <c r="A1810" s="2" t="s">
        <v>6357</v>
      </c>
      <c r="B1810" s="2" t="s">
        <v>5155</v>
      </c>
      <c r="C1810" s="2" t="s">
        <v>2357</v>
      </c>
      <c r="D1810" s="2" t="s">
        <v>5156</v>
      </c>
      <c r="E1810" s="2" t="s">
        <v>5157</v>
      </c>
      <c r="F1810" s="2" t="s">
        <v>6320</v>
      </c>
      <c r="G1810" s="2" t="s">
        <v>6320</v>
      </c>
      <c r="H1810" s="2" t="s">
        <v>100</v>
      </c>
      <c r="I1810" s="2" t="s">
        <v>5235</v>
      </c>
      <c r="J1810" s="2" t="s">
        <v>114</v>
      </c>
      <c r="K1810" s="2" t="s">
        <v>96</v>
      </c>
      <c r="L1810" s="3">
        <v>89.42</v>
      </c>
      <c r="M1810" s="3">
        <v>93.89</v>
      </c>
      <c r="N1810" s="3">
        <v>179.99</v>
      </c>
      <c r="O1810" s="2" t="s">
        <v>97</v>
      </c>
      <c r="P1810" s="2" t="s">
        <v>98</v>
      </c>
      <c r="Q1810" s="2" t="s">
        <v>99</v>
      </c>
      <c r="R1810" s="2" t="s">
        <v>100</v>
      </c>
      <c r="S1810" s="2" t="s">
        <v>6353</v>
      </c>
      <c r="T1810" s="2" t="s">
        <v>5327</v>
      </c>
      <c r="U1810" s="2" t="s">
        <v>100</v>
      </c>
      <c r="V1810" s="2" t="s">
        <v>461</v>
      </c>
      <c r="W1810" s="2" t="s">
        <v>609</v>
      </c>
      <c r="X1810" s="2" t="s">
        <v>100</v>
      </c>
      <c r="Y1810" s="2" t="s">
        <v>144</v>
      </c>
      <c r="Z1810" s="4">
        <v>583</v>
      </c>
      <c r="AA1810" s="4">
        <f>=ROUNDDOWN(58.3,0)</f>
      </c>
      <c r="AB1810" s="5">
        <v>10</v>
      </c>
      <c r="AC1810" s="2" t="s">
        <v>100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1</v>
      </c>
      <c r="AQ1810" s="8">
        <v>117.36</v>
      </c>
      <c r="AR1810" s="4"/>
      <c r="AS1810" s="8"/>
      <c r="AT1810" s="7"/>
      <c r="AU1810" s="7"/>
      <c r="AV1810" s="4" t="s">
        <v>100</v>
      </c>
      <c r="AW1810" s="8" t="s">
        <v>100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>
        <v>1</v>
      </c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 t="s">
        <v>100</v>
      </c>
      <c r="BJ1810" s="4">
        <v>7</v>
      </c>
      <c r="BK1810" s="8">
        <v>710.31</v>
      </c>
      <c r="BL1810" s="2" t="s">
        <v>6358</v>
      </c>
      <c r="BM1810" s="7">
        <v>0.1429</v>
      </c>
      <c r="BN1810" s="7">
        <v>0.1652</v>
      </c>
      <c r="BO1810" s="4">
        <v>1</v>
      </c>
      <c r="BP1810" s="8">
        <v>117.36</v>
      </c>
      <c r="BQ1810" s="4"/>
      <c r="BR1810" s="8"/>
      <c r="BS1810" s="7"/>
      <c r="BT1810" s="7"/>
      <c r="BU1810" s="2" t="s">
        <v>109</v>
      </c>
      <c r="BV1810" s="2" t="s">
        <v>97</v>
      </c>
      <c r="BW1810" s="2" t="s">
        <v>2365</v>
      </c>
      <c r="BX1810" s="2" t="s">
        <v>6359</v>
      </c>
      <c r="BY1810" s="2" t="s">
        <v>112</v>
      </c>
      <c r="BZ1810" s="2" t="s">
        <v>100</v>
      </c>
    </row>
    <row r="1811">
      <c r="A1811" s="2" t="s">
        <v>6360</v>
      </c>
      <c r="B1811" s="2" t="s">
        <v>5155</v>
      </c>
      <c r="C1811" s="2" t="s">
        <v>2357</v>
      </c>
      <c r="D1811" s="2" t="s">
        <v>5156</v>
      </c>
      <c r="E1811" s="2" t="s">
        <v>5157</v>
      </c>
      <c r="F1811" s="2" t="s">
        <v>6320</v>
      </c>
      <c r="G1811" s="2" t="s">
        <v>6320</v>
      </c>
      <c r="H1811" s="2" t="s">
        <v>100</v>
      </c>
      <c r="I1811" s="2" t="s">
        <v>5235</v>
      </c>
      <c r="J1811" s="2" t="s">
        <v>1443</v>
      </c>
      <c r="K1811" s="2" t="s">
        <v>6361</v>
      </c>
      <c r="L1811" s="3">
        <v>54.64</v>
      </c>
      <c r="M1811" s="3">
        <v>57.37</v>
      </c>
      <c r="N1811" s="3">
        <v>109.99</v>
      </c>
      <c r="O1811" s="2" t="s">
        <v>97</v>
      </c>
      <c r="P1811" s="2" t="s">
        <v>98</v>
      </c>
      <c r="Q1811" s="2" t="s">
        <v>99</v>
      </c>
      <c r="R1811" s="2" t="s">
        <v>100</v>
      </c>
      <c r="S1811" s="2" t="s">
        <v>6362</v>
      </c>
      <c r="T1811" s="2" t="s">
        <v>5327</v>
      </c>
      <c r="U1811" s="2" t="s">
        <v>100</v>
      </c>
      <c r="V1811" s="2" t="s">
        <v>461</v>
      </c>
      <c r="W1811" s="2" t="s">
        <v>609</v>
      </c>
      <c r="X1811" s="2" t="s">
        <v>100</v>
      </c>
      <c r="Y1811" s="2" t="s">
        <v>144</v>
      </c>
      <c r="Z1811" s="4">
        <v>104</v>
      </c>
      <c r="AA1811" s="4">
        <f>=ROUNDDOWN(26,0)</f>
      </c>
      <c r="AB1811" s="5">
        <v>4</v>
      </c>
      <c r="AC1811" s="2" t="s">
        <v>100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 t="s">
        <v>100</v>
      </c>
      <c r="AW1811" s="8" t="s">
        <v>100</v>
      </c>
      <c r="AX1811" s="4" t="s">
        <v>100</v>
      </c>
      <c r="AY1811" s="8" t="s">
        <v>100</v>
      </c>
      <c r="AZ1811" s="7" t="s">
        <v>100</v>
      </c>
      <c r="BA1811" s="7" t="s">
        <v>100</v>
      </c>
      <c r="BB1811" s="7"/>
      <c r="BC1811" s="4" t="s">
        <v>100</v>
      </c>
      <c r="BD1811" s="8" t="s">
        <v>100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 t="s">
        <v>100</v>
      </c>
      <c r="BJ1811" s="4">
        <v>1</v>
      </c>
      <c r="BK1811" s="8">
        <v>60.24</v>
      </c>
      <c r="BL1811" s="2" t="s">
        <v>2202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109</v>
      </c>
      <c r="BV1811" s="2" t="s">
        <v>97</v>
      </c>
      <c r="BW1811" s="2" t="s">
        <v>2365</v>
      </c>
      <c r="BX1811" s="2" t="s">
        <v>4611</v>
      </c>
      <c r="BY1811" s="2" t="s">
        <v>112</v>
      </c>
      <c r="BZ1811" s="2" t="s">
        <v>100</v>
      </c>
    </row>
    <row r="1812">
      <c r="A1812" s="2" t="s">
        <v>6363</v>
      </c>
      <c r="B1812" s="2" t="s">
        <v>5155</v>
      </c>
      <c r="C1812" s="2" t="s">
        <v>2357</v>
      </c>
      <c r="D1812" s="2" t="s">
        <v>5156</v>
      </c>
      <c r="E1812" s="2" t="s">
        <v>5157</v>
      </c>
      <c r="F1812" s="2" t="s">
        <v>6320</v>
      </c>
      <c r="G1812" s="2" t="s">
        <v>6320</v>
      </c>
      <c r="H1812" s="2" t="s">
        <v>100</v>
      </c>
      <c r="I1812" s="2" t="s">
        <v>5235</v>
      </c>
      <c r="J1812" s="2" t="s">
        <v>490</v>
      </c>
      <c r="K1812" s="2" t="s">
        <v>6361</v>
      </c>
      <c r="L1812" s="3">
        <v>59.61</v>
      </c>
      <c r="M1812" s="3">
        <v>62.59</v>
      </c>
      <c r="N1812" s="3">
        <v>119.99</v>
      </c>
      <c r="O1812" s="2" t="s">
        <v>97</v>
      </c>
      <c r="P1812" s="2" t="s">
        <v>98</v>
      </c>
      <c r="Q1812" s="2" t="s">
        <v>99</v>
      </c>
      <c r="R1812" s="2" t="s">
        <v>100</v>
      </c>
      <c r="S1812" s="2" t="s">
        <v>6362</v>
      </c>
      <c r="T1812" s="2" t="s">
        <v>5327</v>
      </c>
      <c r="U1812" s="2" t="s">
        <v>100</v>
      </c>
      <c r="V1812" s="2" t="s">
        <v>461</v>
      </c>
      <c r="W1812" s="2" t="s">
        <v>609</v>
      </c>
      <c r="X1812" s="2" t="s">
        <v>100</v>
      </c>
      <c r="Y1812" s="2" t="s">
        <v>144</v>
      </c>
      <c r="Z1812" s="4">
        <v>117</v>
      </c>
      <c r="AA1812" s="4">
        <f>=ROUNDDOWN(58.5,0)</f>
      </c>
      <c r="AB1812" s="5">
        <v>2</v>
      </c>
      <c r="AC1812" s="2" t="s">
        <v>100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 t="s">
        <v>100</v>
      </c>
      <c r="AW1812" s="8" t="s">
        <v>100</v>
      </c>
      <c r="AX1812" s="4" t="s">
        <v>100</v>
      </c>
      <c r="AY1812" s="8" t="s">
        <v>100</v>
      </c>
      <c r="AZ1812" s="7" t="s">
        <v>100</v>
      </c>
      <c r="BA1812" s="7" t="s">
        <v>100</v>
      </c>
      <c r="BB1812" s="7"/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 t="s">
        <v>100</v>
      </c>
      <c r="BJ1812" s="4">
        <v>2</v>
      </c>
      <c r="BK1812" s="8">
        <v>120.5</v>
      </c>
      <c r="BL1812" s="2" t="s">
        <v>6364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109</v>
      </c>
      <c r="BV1812" s="2" t="s">
        <v>97</v>
      </c>
      <c r="BW1812" s="2" t="s">
        <v>2365</v>
      </c>
      <c r="BX1812" s="2" t="s">
        <v>4611</v>
      </c>
      <c r="BY1812" s="2" t="s">
        <v>112</v>
      </c>
      <c r="BZ1812" s="2" t="s">
        <v>100</v>
      </c>
    </row>
    <row r="1813">
      <c r="A1813" s="2" t="s">
        <v>6365</v>
      </c>
      <c r="B1813" s="2" t="s">
        <v>5155</v>
      </c>
      <c r="C1813" s="2" t="s">
        <v>2357</v>
      </c>
      <c r="D1813" s="2" t="s">
        <v>5156</v>
      </c>
      <c r="E1813" s="2" t="s">
        <v>5157</v>
      </c>
      <c r="F1813" s="2" t="s">
        <v>6320</v>
      </c>
      <c r="G1813" s="2" t="s">
        <v>6320</v>
      </c>
      <c r="H1813" s="2" t="s">
        <v>100</v>
      </c>
      <c r="I1813" s="2" t="s">
        <v>5235</v>
      </c>
      <c r="J1813" s="2" t="s">
        <v>95</v>
      </c>
      <c r="K1813" s="2" t="s">
        <v>6361</v>
      </c>
      <c r="L1813" s="3">
        <v>79.48</v>
      </c>
      <c r="M1813" s="3">
        <v>83.45</v>
      </c>
      <c r="N1813" s="3">
        <v>159.99</v>
      </c>
      <c r="O1813" s="2" t="s">
        <v>97</v>
      </c>
      <c r="P1813" s="2" t="s">
        <v>98</v>
      </c>
      <c r="Q1813" s="2" t="s">
        <v>99</v>
      </c>
      <c r="R1813" s="2" t="s">
        <v>100</v>
      </c>
      <c r="S1813" s="2" t="s">
        <v>6362</v>
      </c>
      <c r="T1813" s="2" t="s">
        <v>5327</v>
      </c>
      <c r="U1813" s="2" t="s">
        <v>100</v>
      </c>
      <c r="V1813" s="2" t="s">
        <v>461</v>
      </c>
      <c r="W1813" s="2" t="s">
        <v>609</v>
      </c>
      <c r="X1813" s="2" t="s">
        <v>100</v>
      </c>
      <c r="Y1813" s="2" t="s">
        <v>144</v>
      </c>
      <c r="Z1813" s="4">
        <v>248</v>
      </c>
      <c r="AA1813" s="4">
        <f>=ROUNDDOWN(41.3333333333333,0)</f>
      </c>
      <c r="AB1813" s="5">
        <v>6</v>
      </c>
      <c r="AC1813" s="2" t="s">
        <v>100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 t="s">
        <v>100</v>
      </c>
      <c r="AW1813" s="8" t="s">
        <v>100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/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 t="s">
        <v>100</v>
      </c>
      <c r="BJ1813" s="4">
        <v>2</v>
      </c>
      <c r="BK1813" s="8">
        <v>181.5</v>
      </c>
      <c r="BL1813" s="2" t="s">
        <v>6366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2365</v>
      </c>
      <c r="BX1813" s="2" t="s">
        <v>6226</v>
      </c>
      <c r="BY1813" s="2" t="s">
        <v>112</v>
      </c>
      <c r="BZ1813" s="2" t="s">
        <v>100</v>
      </c>
    </row>
    <row r="1814">
      <c r="A1814" s="2" t="s">
        <v>6367</v>
      </c>
      <c r="B1814" s="2" t="s">
        <v>5155</v>
      </c>
      <c r="C1814" s="2" t="s">
        <v>2357</v>
      </c>
      <c r="D1814" s="2" t="s">
        <v>5156</v>
      </c>
      <c r="E1814" s="2" t="s">
        <v>5157</v>
      </c>
      <c r="F1814" s="2" t="s">
        <v>6320</v>
      </c>
      <c r="G1814" s="2" t="s">
        <v>6320</v>
      </c>
      <c r="H1814" s="2" t="s">
        <v>100</v>
      </c>
      <c r="I1814" s="2" t="s">
        <v>5235</v>
      </c>
      <c r="J1814" s="2" t="s">
        <v>114</v>
      </c>
      <c r="K1814" s="2" t="s">
        <v>6361</v>
      </c>
      <c r="L1814" s="3">
        <v>89.42</v>
      </c>
      <c r="M1814" s="3">
        <v>93.89</v>
      </c>
      <c r="N1814" s="3">
        <v>179.99</v>
      </c>
      <c r="O1814" s="2" t="s">
        <v>97</v>
      </c>
      <c r="P1814" s="2" t="s">
        <v>98</v>
      </c>
      <c r="Q1814" s="2" t="s">
        <v>99</v>
      </c>
      <c r="R1814" s="2" t="s">
        <v>100</v>
      </c>
      <c r="S1814" s="2" t="s">
        <v>6362</v>
      </c>
      <c r="T1814" s="2" t="s">
        <v>5327</v>
      </c>
      <c r="U1814" s="2" t="s">
        <v>100</v>
      </c>
      <c r="V1814" s="2" t="s">
        <v>461</v>
      </c>
      <c r="W1814" s="2" t="s">
        <v>609</v>
      </c>
      <c r="X1814" s="2" t="s">
        <v>100</v>
      </c>
      <c r="Y1814" s="2" t="s">
        <v>144</v>
      </c>
      <c r="Z1814" s="4">
        <v>242</v>
      </c>
      <c r="AA1814" s="4">
        <f>=ROUNDDOWN(60.5,0)</f>
      </c>
      <c r="AB1814" s="5">
        <v>4</v>
      </c>
      <c r="AC1814" s="2" t="s">
        <v>100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 t="s">
        <v>100</v>
      </c>
      <c r="AW1814" s="8" t="s">
        <v>100</v>
      </c>
      <c r="AX1814" s="4" t="s">
        <v>100</v>
      </c>
      <c r="AY1814" s="8" t="s">
        <v>100</v>
      </c>
      <c r="AZ1814" s="7" t="s">
        <v>100</v>
      </c>
      <c r="BA1814" s="7" t="s">
        <v>100</v>
      </c>
      <c r="BB1814" s="7"/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 t="s">
        <v>100</v>
      </c>
      <c r="BJ1814" s="4"/>
      <c r="BK1814" s="8"/>
      <c r="BL1814" s="2" t="s">
        <v>100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6340</v>
      </c>
      <c r="BX1814" s="2" t="s">
        <v>4496</v>
      </c>
      <c r="BY1814" s="2" t="s">
        <v>112</v>
      </c>
      <c r="BZ1814" s="2" t="s">
        <v>100</v>
      </c>
    </row>
    <row r="1815">
      <c r="A1815" s="2" t="s">
        <v>6368</v>
      </c>
      <c r="B1815" s="2" t="s">
        <v>5155</v>
      </c>
      <c r="C1815" s="2" t="s">
        <v>2357</v>
      </c>
      <c r="D1815" s="2" t="s">
        <v>5156</v>
      </c>
      <c r="E1815" s="2" t="s">
        <v>5157</v>
      </c>
      <c r="F1815" s="2" t="s">
        <v>6320</v>
      </c>
      <c r="G1815" s="2" t="s">
        <v>6320</v>
      </c>
      <c r="H1815" s="2" t="s">
        <v>100</v>
      </c>
      <c r="I1815" s="2" t="s">
        <v>5235</v>
      </c>
      <c r="J1815" s="2" t="s">
        <v>1443</v>
      </c>
      <c r="K1815" s="2" t="s">
        <v>1373</v>
      </c>
      <c r="L1815" s="3">
        <v>54.64</v>
      </c>
      <c r="M1815" s="3">
        <v>57.37</v>
      </c>
      <c r="N1815" s="3">
        <v>109.99</v>
      </c>
      <c r="O1815" s="2" t="s">
        <v>97</v>
      </c>
      <c r="P1815" s="2" t="s">
        <v>98</v>
      </c>
      <c r="Q1815" s="2" t="s">
        <v>99</v>
      </c>
      <c r="R1815" s="2" t="s">
        <v>100</v>
      </c>
      <c r="S1815" s="2" t="s">
        <v>6369</v>
      </c>
      <c r="T1815" s="2" t="s">
        <v>5327</v>
      </c>
      <c r="U1815" s="2" t="s">
        <v>100</v>
      </c>
      <c r="V1815" s="2" t="s">
        <v>461</v>
      </c>
      <c r="W1815" s="2" t="s">
        <v>609</v>
      </c>
      <c r="X1815" s="2" t="s">
        <v>100</v>
      </c>
      <c r="Y1815" s="2" t="s">
        <v>144</v>
      </c>
      <c r="Z1815" s="4">
        <v>150</v>
      </c>
      <c r="AA1815" s="4">
        <f>=ROUNDDOWN(37.5,0)</f>
      </c>
      <c r="AB1815" s="5">
        <v>4</v>
      </c>
      <c r="AC1815" s="2" t="s">
        <v>100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 t="s">
        <v>100</v>
      </c>
      <c r="AW1815" s="8" t="s">
        <v>100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/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 t="s">
        <v>100</v>
      </c>
      <c r="BJ1815" s="4">
        <v>3</v>
      </c>
      <c r="BK1815" s="8">
        <v>177.85</v>
      </c>
      <c r="BL1815" s="2" t="s">
        <v>2619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171</v>
      </c>
      <c r="BV1815" s="2" t="s">
        <v>97</v>
      </c>
      <c r="BW1815" s="2" t="s">
        <v>100</v>
      </c>
      <c r="BX1815" s="2" t="s">
        <v>100</v>
      </c>
      <c r="BY1815" s="2" t="s">
        <v>112</v>
      </c>
      <c r="BZ1815" s="2" t="s">
        <v>100</v>
      </c>
    </row>
    <row r="1816">
      <c r="A1816" s="2" t="s">
        <v>6370</v>
      </c>
      <c r="B1816" s="2" t="s">
        <v>5155</v>
      </c>
      <c r="C1816" s="2" t="s">
        <v>2357</v>
      </c>
      <c r="D1816" s="2" t="s">
        <v>5156</v>
      </c>
      <c r="E1816" s="2" t="s">
        <v>5157</v>
      </c>
      <c r="F1816" s="2" t="s">
        <v>6320</v>
      </c>
      <c r="G1816" s="2" t="s">
        <v>6320</v>
      </c>
      <c r="H1816" s="2" t="s">
        <v>100</v>
      </c>
      <c r="I1816" s="2" t="s">
        <v>5235</v>
      </c>
      <c r="J1816" s="2" t="s">
        <v>490</v>
      </c>
      <c r="K1816" s="2" t="s">
        <v>1373</v>
      </c>
      <c r="L1816" s="3">
        <v>59.61</v>
      </c>
      <c r="M1816" s="3">
        <v>62.59</v>
      </c>
      <c r="N1816" s="3">
        <v>119.99</v>
      </c>
      <c r="O1816" s="2" t="s">
        <v>97</v>
      </c>
      <c r="P1816" s="2" t="s">
        <v>98</v>
      </c>
      <c r="Q1816" s="2" t="s">
        <v>99</v>
      </c>
      <c r="R1816" s="2" t="s">
        <v>100</v>
      </c>
      <c r="S1816" s="2" t="s">
        <v>6369</v>
      </c>
      <c r="T1816" s="2" t="s">
        <v>5327</v>
      </c>
      <c r="U1816" s="2" t="s">
        <v>100</v>
      </c>
      <c r="V1816" s="2" t="s">
        <v>461</v>
      </c>
      <c r="W1816" s="2" t="s">
        <v>609</v>
      </c>
      <c r="X1816" s="2" t="s">
        <v>100</v>
      </c>
      <c r="Y1816" s="2" t="s">
        <v>144</v>
      </c>
      <c r="Z1816" s="4">
        <v>347</v>
      </c>
      <c r="AA1816" s="4">
        <f>=ROUNDDOWN(86.75,0)</f>
      </c>
      <c r="AB1816" s="5">
        <v>4</v>
      </c>
      <c r="AC1816" s="2" t="s">
        <v>100</v>
      </c>
      <c r="AD1816" s="4"/>
      <c r="AE1816" s="4"/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 t="s">
        <v>100</v>
      </c>
      <c r="AW1816" s="8" t="s">
        <v>100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/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 t="s">
        <v>100</v>
      </c>
      <c r="BJ1816" s="4">
        <v>4</v>
      </c>
      <c r="BK1816" s="8">
        <v>255.07</v>
      </c>
      <c r="BL1816" s="2" t="s">
        <v>5249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171</v>
      </c>
      <c r="BV1816" s="2" t="s">
        <v>97</v>
      </c>
      <c r="BW1816" s="2" t="s">
        <v>100</v>
      </c>
      <c r="BX1816" s="2" t="s">
        <v>100</v>
      </c>
      <c r="BY1816" s="2" t="s">
        <v>112</v>
      </c>
      <c r="BZ1816" s="2" t="s">
        <v>100</v>
      </c>
    </row>
    <row r="1817">
      <c r="A1817" s="2" t="s">
        <v>6371</v>
      </c>
      <c r="B1817" s="2" t="s">
        <v>5155</v>
      </c>
      <c r="C1817" s="2" t="s">
        <v>2357</v>
      </c>
      <c r="D1817" s="2" t="s">
        <v>5156</v>
      </c>
      <c r="E1817" s="2" t="s">
        <v>5157</v>
      </c>
      <c r="F1817" s="2" t="s">
        <v>6320</v>
      </c>
      <c r="G1817" s="2" t="s">
        <v>6320</v>
      </c>
      <c r="H1817" s="2" t="s">
        <v>100</v>
      </c>
      <c r="I1817" s="2" t="s">
        <v>5235</v>
      </c>
      <c r="J1817" s="2" t="s">
        <v>95</v>
      </c>
      <c r="K1817" s="2" t="s">
        <v>1373</v>
      </c>
      <c r="L1817" s="3">
        <v>79.48</v>
      </c>
      <c r="M1817" s="3">
        <v>83.45</v>
      </c>
      <c r="N1817" s="3">
        <v>159.99</v>
      </c>
      <c r="O1817" s="2" t="s">
        <v>97</v>
      </c>
      <c r="P1817" s="2" t="s">
        <v>98</v>
      </c>
      <c r="Q1817" s="2" t="s">
        <v>99</v>
      </c>
      <c r="R1817" s="2" t="s">
        <v>100</v>
      </c>
      <c r="S1817" s="2" t="s">
        <v>6369</v>
      </c>
      <c r="T1817" s="2" t="s">
        <v>5327</v>
      </c>
      <c r="U1817" s="2" t="s">
        <v>100</v>
      </c>
      <c r="V1817" s="2" t="s">
        <v>461</v>
      </c>
      <c r="W1817" s="2" t="s">
        <v>609</v>
      </c>
      <c r="X1817" s="2" t="s">
        <v>100</v>
      </c>
      <c r="Y1817" s="2" t="s">
        <v>144</v>
      </c>
      <c r="Z1817" s="4">
        <v>434</v>
      </c>
      <c r="AA1817" s="4">
        <f>=ROUNDDOWN(39.4545454545455,0)</f>
      </c>
      <c r="AB1817" s="5">
        <v>11</v>
      </c>
      <c r="AC1817" s="2" t="s">
        <v>100</v>
      </c>
      <c r="AD1817" s="4"/>
      <c r="AE1817" s="4"/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 t="s">
        <v>100</v>
      </c>
      <c r="AW1817" s="8" t="s">
        <v>100</v>
      </c>
      <c r="AX1817" s="4" t="s">
        <v>100</v>
      </c>
      <c r="AY1817" s="8" t="s">
        <v>100</v>
      </c>
      <c r="AZ1817" s="7" t="s">
        <v>100</v>
      </c>
      <c r="BA1817" s="7" t="s">
        <v>100</v>
      </c>
      <c r="BB1817" s="7"/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 t="s">
        <v>100</v>
      </c>
      <c r="BJ1817" s="4">
        <v>3</v>
      </c>
      <c r="BK1817" s="8">
        <v>252.47</v>
      </c>
      <c r="BL1817" s="2" t="s">
        <v>5249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171</v>
      </c>
      <c r="BV1817" s="2" t="s">
        <v>97</v>
      </c>
      <c r="BW1817" s="2" t="s">
        <v>100</v>
      </c>
      <c r="BX1817" s="2" t="s">
        <v>100</v>
      </c>
      <c r="BY1817" s="2" t="s">
        <v>112</v>
      </c>
      <c r="BZ1817" s="2" t="s">
        <v>100</v>
      </c>
    </row>
    <row r="1818">
      <c r="A1818" s="2" t="s">
        <v>6372</v>
      </c>
      <c r="B1818" s="2" t="s">
        <v>5155</v>
      </c>
      <c r="C1818" s="2" t="s">
        <v>2357</v>
      </c>
      <c r="D1818" s="2" t="s">
        <v>5156</v>
      </c>
      <c r="E1818" s="2" t="s">
        <v>5157</v>
      </c>
      <c r="F1818" s="2" t="s">
        <v>6320</v>
      </c>
      <c r="G1818" s="2" t="s">
        <v>6320</v>
      </c>
      <c r="H1818" s="2" t="s">
        <v>100</v>
      </c>
      <c r="I1818" s="2" t="s">
        <v>5235</v>
      </c>
      <c r="J1818" s="2" t="s">
        <v>114</v>
      </c>
      <c r="K1818" s="2" t="s">
        <v>1373</v>
      </c>
      <c r="L1818" s="3">
        <v>89.42</v>
      </c>
      <c r="M1818" s="3">
        <v>93.89</v>
      </c>
      <c r="N1818" s="3">
        <v>179.99</v>
      </c>
      <c r="O1818" s="2" t="s">
        <v>97</v>
      </c>
      <c r="P1818" s="2" t="s">
        <v>98</v>
      </c>
      <c r="Q1818" s="2" t="s">
        <v>99</v>
      </c>
      <c r="R1818" s="2" t="s">
        <v>100</v>
      </c>
      <c r="S1818" s="2" t="s">
        <v>6369</v>
      </c>
      <c r="T1818" s="2" t="s">
        <v>5327</v>
      </c>
      <c r="U1818" s="2" t="s">
        <v>100</v>
      </c>
      <c r="V1818" s="2" t="s">
        <v>461</v>
      </c>
      <c r="W1818" s="2" t="s">
        <v>609</v>
      </c>
      <c r="X1818" s="2" t="s">
        <v>100</v>
      </c>
      <c r="Y1818" s="2" t="s">
        <v>144</v>
      </c>
      <c r="Z1818" s="4">
        <v>1216</v>
      </c>
      <c r="AA1818" s="4">
        <f>=ROUNDDOWN(152,0)</f>
      </c>
      <c r="AB1818" s="5">
        <v>8</v>
      </c>
      <c r="AC1818" s="2" t="s">
        <v>100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 t="s">
        <v>100</v>
      </c>
      <c r="AW1818" s="8" t="s">
        <v>100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/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 t="s">
        <v>100</v>
      </c>
      <c r="BJ1818" s="4">
        <v>2</v>
      </c>
      <c r="BK1818" s="8">
        <v>161.97</v>
      </c>
      <c r="BL1818" s="2" t="s">
        <v>6246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171</v>
      </c>
      <c r="BV1818" s="2" t="s">
        <v>97</v>
      </c>
      <c r="BW1818" s="2" t="s">
        <v>100</v>
      </c>
      <c r="BX1818" s="2" t="s">
        <v>100</v>
      </c>
      <c r="BY1818" s="2" t="s">
        <v>112</v>
      </c>
      <c r="BZ1818" s="2" t="s">
        <v>100</v>
      </c>
    </row>
    <row r="1819">
      <c r="A1819" s="2" t="s">
        <v>6373</v>
      </c>
      <c r="B1819" s="2" t="s">
        <v>5155</v>
      </c>
      <c r="C1819" s="2" t="s">
        <v>2357</v>
      </c>
      <c r="D1819" s="2" t="s">
        <v>5156</v>
      </c>
      <c r="E1819" s="2" t="s">
        <v>5157</v>
      </c>
      <c r="F1819" s="2" t="s">
        <v>6320</v>
      </c>
      <c r="G1819" s="2" t="s">
        <v>6320</v>
      </c>
      <c r="H1819" s="2" t="s">
        <v>100</v>
      </c>
      <c r="I1819" s="2" t="s">
        <v>5235</v>
      </c>
      <c r="J1819" s="2" t="s">
        <v>1443</v>
      </c>
      <c r="K1819" s="2" t="s">
        <v>523</v>
      </c>
      <c r="L1819" s="3">
        <v>54.64</v>
      </c>
      <c r="M1819" s="3">
        <v>57.37</v>
      </c>
      <c r="N1819" s="3">
        <v>109.99</v>
      </c>
      <c r="O1819" s="2" t="s">
        <v>97</v>
      </c>
      <c r="P1819" s="2" t="s">
        <v>98</v>
      </c>
      <c r="Q1819" s="2" t="s">
        <v>99</v>
      </c>
      <c r="R1819" s="2" t="s">
        <v>100</v>
      </c>
      <c r="S1819" s="2" t="s">
        <v>6374</v>
      </c>
      <c r="T1819" s="2" t="s">
        <v>5327</v>
      </c>
      <c r="U1819" s="2" t="s">
        <v>100</v>
      </c>
      <c r="V1819" s="2" t="s">
        <v>461</v>
      </c>
      <c r="W1819" s="2" t="s">
        <v>609</v>
      </c>
      <c r="X1819" s="2" t="s">
        <v>100</v>
      </c>
      <c r="Y1819" s="2" t="s">
        <v>144</v>
      </c>
      <c r="Z1819" s="4">
        <v>234</v>
      </c>
      <c r="AA1819" s="4">
        <f>=ROUNDDOWN(78,0)</f>
      </c>
      <c r="AB1819" s="5">
        <v>3</v>
      </c>
      <c r="AC1819" s="2" t="s">
        <v>100</v>
      </c>
      <c r="AD1819" s="4"/>
      <c r="AE1819" s="4"/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100</v>
      </c>
      <c r="AW1819" s="8" t="s">
        <v>100</v>
      </c>
      <c r="AX1819" s="4" t="s">
        <v>100</v>
      </c>
      <c r="AY1819" s="8" t="s">
        <v>100</v>
      </c>
      <c r="AZ1819" s="7" t="s">
        <v>100</v>
      </c>
      <c r="BA1819" s="7" t="s">
        <v>100</v>
      </c>
      <c r="BB1819" s="7"/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 t="s">
        <v>100</v>
      </c>
      <c r="BJ1819" s="4">
        <v>2</v>
      </c>
      <c r="BK1819" s="8">
        <v>121.56</v>
      </c>
      <c r="BL1819" s="2" t="s">
        <v>6366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109</v>
      </c>
      <c r="BV1819" s="2" t="s">
        <v>97</v>
      </c>
      <c r="BW1819" s="2" t="s">
        <v>2365</v>
      </c>
      <c r="BX1819" s="2" t="s">
        <v>6375</v>
      </c>
      <c r="BY1819" s="2" t="s">
        <v>112</v>
      </c>
      <c r="BZ1819" s="2" t="s">
        <v>100</v>
      </c>
    </row>
    <row r="1820">
      <c r="A1820" s="2" t="s">
        <v>6376</v>
      </c>
      <c r="B1820" s="2" t="s">
        <v>5155</v>
      </c>
      <c r="C1820" s="2" t="s">
        <v>2357</v>
      </c>
      <c r="D1820" s="2" t="s">
        <v>5156</v>
      </c>
      <c r="E1820" s="2" t="s">
        <v>5157</v>
      </c>
      <c r="F1820" s="2" t="s">
        <v>6320</v>
      </c>
      <c r="G1820" s="2" t="s">
        <v>6320</v>
      </c>
      <c r="H1820" s="2" t="s">
        <v>100</v>
      </c>
      <c r="I1820" s="2" t="s">
        <v>5235</v>
      </c>
      <c r="J1820" s="2" t="s">
        <v>490</v>
      </c>
      <c r="K1820" s="2" t="s">
        <v>523</v>
      </c>
      <c r="L1820" s="3">
        <v>59.61</v>
      </c>
      <c r="M1820" s="3">
        <v>62.59</v>
      </c>
      <c r="N1820" s="3">
        <v>119.99</v>
      </c>
      <c r="O1820" s="2" t="s">
        <v>97</v>
      </c>
      <c r="P1820" s="2" t="s">
        <v>98</v>
      </c>
      <c r="Q1820" s="2" t="s">
        <v>99</v>
      </c>
      <c r="R1820" s="2" t="s">
        <v>100</v>
      </c>
      <c r="S1820" s="2" t="s">
        <v>6374</v>
      </c>
      <c r="T1820" s="2" t="s">
        <v>5327</v>
      </c>
      <c r="U1820" s="2" t="s">
        <v>100</v>
      </c>
      <c r="V1820" s="2" t="s">
        <v>461</v>
      </c>
      <c r="W1820" s="2" t="s">
        <v>609</v>
      </c>
      <c r="X1820" s="2" t="s">
        <v>100</v>
      </c>
      <c r="Y1820" s="2" t="s">
        <v>144</v>
      </c>
      <c r="Z1820" s="4">
        <v>291</v>
      </c>
      <c r="AA1820" s="4">
        <f>=ROUNDDOWN(145.5,0)</f>
      </c>
      <c r="AB1820" s="5">
        <v>2</v>
      </c>
      <c r="AC1820" s="2" t="s">
        <v>100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 t="s">
        <v>100</v>
      </c>
      <c r="AW1820" s="8" t="s">
        <v>100</v>
      </c>
      <c r="AX1820" s="4" t="s">
        <v>100</v>
      </c>
      <c r="AY1820" s="8" t="s">
        <v>100</v>
      </c>
      <c r="AZ1820" s="7" t="s">
        <v>100</v>
      </c>
      <c r="BA1820" s="7" t="s">
        <v>100</v>
      </c>
      <c r="BB1820" s="7"/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 t="s">
        <v>100</v>
      </c>
      <c r="BJ1820" s="4">
        <v>2</v>
      </c>
      <c r="BK1820" s="8">
        <v>131.44</v>
      </c>
      <c r="BL1820" s="2" t="s">
        <v>2202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109</v>
      </c>
      <c r="BV1820" s="2" t="s">
        <v>97</v>
      </c>
      <c r="BW1820" s="2" t="s">
        <v>6377</v>
      </c>
      <c r="BX1820" s="2" t="s">
        <v>6378</v>
      </c>
      <c r="BY1820" s="2" t="s">
        <v>112</v>
      </c>
      <c r="BZ1820" s="2" t="s">
        <v>100</v>
      </c>
    </row>
    <row r="1821">
      <c r="A1821" s="2" t="s">
        <v>6379</v>
      </c>
      <c r="B1821" s="2" t="s">
        <v>5155</v>
      </c>
      <c r="C1821" s="2" t="s">
        <v>2357</v>
      </c>
      <c r="D1821" s="2" t="s">
        <v>5156</v>
      </c>
      <c r="E1821" s="2" t="s">
        <v>5157</v>
      </c>
      <c r="F1821" s="2" t="s">
        <v>6320</v>
      </c>
      <c r="G1821" s="2" t="s">
        <v>6320</v>
      </c>
      <c r="H1821" s="2" t="s">
        <v>100</v>
      </c>
      <c r="I1821" s="2" t="s">
        <v>5235</v>
      </c>
      <c r="J1821" s="2" t="s">
        <v>95</v>
      </c>
      <c r="K1821" s="2" t="s">
        <v>523</v>
      </c>
      <c r="L1821" s="3">
        <v>79.48</v>
      </c>
      <c r="M1821" s="3">
        <v>83.45</v>
      </c>
      <c r="N1821" s="3">
        <v>159.99</v>
      </c>
      <c r="O1821" s="2" t="s">
        <v>97</v>
      </c>
      <c r="P1821" s="2" t="s">
        <v>98</v>
      </c>
      <c r="Q1821" s="2" t="s">
        <v>99</v>
      </c>
      <c r="R1821" s="2" t="s">
        <v>100</v>
      </c>
      <c r="S1821" s="2" t="s">
        <v>6374</v>
      </c>
      <c r="T1821" s="2" t="s">
        <v>5327</v>
      </c>
      <c r="U1821" s="2" t="s">
        <v>100</v>
      </c>
      <c r="V1821" s="2" t="s">
        <v>461</v>
      </c>
      <c r="W1821" s="2" t="s">
        <v>609</v>
      </c>
      <c r="X1821" s="2" t="s">
        <v>100</v>
      </c>
      <c r="Y1821" s="2" t="s">
        <v>144</v>
      </c>
      <c r="Z1821" s="4">
        <v>498</v>
      </c>
      <c r="AA1821" s="4">
        <f>=ROUNDDOWN(71.1428571428571,0)</f>
      </c>
      <c r="AB1821" s="5">
        <v>7</v>
      </c>
      <c r="AC1821" s="2" t="s">
        <v>100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 t="s">
        <v>100</v>
      </c>
      <c r="AW1821" s="8" t="s">
        <v>100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/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 t="s">
        <v>100</v>
      </c>
      <c r="BJ1821" s="4">
        <v>4</v>
      </c>
      <c r="BK1821" s="8">
        <v>382.49</v>
      </c>
      <c r="BL1821" s="2" t="s">
        <v>6380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2365</v>
      </c>
      <c r="BX1821" s="2" t="s">
        <v>6381</v>
      </c>
      <c r="BY1821" s="2" t="s">
        <v>112</v>
      </c>
      <c r="BZ1821" s="2" t="s">
        <v>100</v>
      </c>
    </row>
    <row r="1822">
      <c r="A1822" s="2" t="s">
        <v>6382</v>
      </c>
      <c r="B1822" s="2" t="s">
        <v>5155</v>
      </c>
      <c r="C1822" s="2" t="s">
        <v>2357</v>
      </c>
      <c r="D1822" s="2" t="s">
        <v>5156</v>
      </c>
      <c r="E1822" s="2" t="s">
        <v>5157</v>
      </c>
      <c r="F1822" s="2" t="s">
        <v>6320</v>
      </c>
      <c r="G1822" s="2" t="s">
        <v>6320</v>
      </c>
      <c r="H1822" s="2" t="s">
        <v>100</v>
      </c>
      <c r="I1822" s="2" t="s">
        <v>5235</v>
      </c>
      <c r="J1822" s="2" t="s">
        <v>114</v>
      </c>
      <c r="K1822" s="2" t="s">
        <v>523</v>
      </c>
      <c r="L1822" s="3">
        <v>89.42</v>
      </c>
      <c r="M1822" s="3">
        <v>93.89</v>
      </c>
      <c r="N1822" s="3">
        <v>179.99</v>
      </c>
      <c r="O1822" s="2" t="s">
        <v>97</v>
      </c>
      <c r="P1822" s="2" t="s">
        <v>98</v>
      </c>
      <c r="Q1822" s="2" t="s">
        <v>99</v>
      </c>
      <c r="R1822" s="2" t="s">
        <v>100</v>
      </c>
      <c r="S1822" s="2" t="s">
        <v>6374</v>
      </c>
      <c r="T1822" s="2" t="s">
        <v>5327</v>
      </c>
      <c r="U1822" s="2" t="s">
        <v>100</v>
      </c>
      <c r="V1822" s="2" t="s">
        <v>461</v>
      </c>
      <c r="W1822" s="2" t="s">
        <v>609</v>
      </c>
      <c r="X1822" s="2" t="s">
        <v>100</v>
      </c>
      <c r="Y1822" s="2" t="s">
        <v>144</v>
      </c>
      <c r="Z1822" s="4">
        <v>486</v>
      </c>
      <c r="AA1822" s="4">
        <f>=ROUNDDOWN(69.4285714285714,0)</f>
      </c>
      <c r="AB1822" s="5">
        <v>7</v>
      </c>
      <c r="AC1822" s="2" t="s">
        <v>100</v>
      </c>
      <c r="AD1822" s="4"/>
      <c r="AE1822" s="4"/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 t="s">
        <v>100</v>
      </c>
      <c r="AW1822" s="8" t="s">
        <v>100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/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 t="s">
        <v>100</v>
      </c>
      <c r="BJ1822" s="4">
        <v>5</v>
      </c>
      <c r="BK1822" s="8">
        <v>493.11</v>
      </c>
      <c r="BL1822" s="2" t="s">
        <v>2263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109</v>
      </c>
      <c r="BV1822" s="2" t="s">
        <v>97</v>
      </c>
      <c r="BW1822" s="2" t="s">
        <v>2365</v>
      </c>
      <c r="BX1822" s="2" t="s">
        <v>1465</v>
      </c>
      <c r="BY1822" s="2" t="s">
        <v>112</v>
      </c>
      <c r="BZ1822" s="2" t="s">
        <v>100</v>
      </c>
    </row>
    <row r="1823">
      <c r="A1823" s="2" t="s">
        <v>6383</v>
      </c>
      <c r="B1823" s="2" t="s">
        <v>5155</v>
      </c>
      <c r="C1823" s="2" t="s">
        <v>2357</v>
      </c>
      <c r="D1823" s="2" t="s">
        <v>5156</v>
      </c>
      <c r="E1823" s="2" t="s">
        <v>5396</v>
      </c>
      <c r="F1823" s="2" t="s">
        <v>558</v>
      </c>
      <c r="G1823" s="2" t="s">
        <v>558</v>
      </c>
      <c r="H1823" s="2" t="s">
        <v>100</v>
      </c>
      <c r="I1823" s="2" t="s">
        <v>6384</v>
      </c>
      <c r="J1823" s="2" t="s">
        <v>5399</v>
      </c>
      <c r="K1823" s="2" t="s">
        <v>96</v>
      </c>
      <c r="L1823" s="3">
        <v>37.72</v>
      </c>
      <c r="M1823" s="3">
        <v>39.61</v>
      </c>
      <c r="N1823" s="3">
        <v>81.99</v>
      </c>
      <c r="O1823" s="2" t="s">
        <v>97</v>
      </c>
      <c r="P1823" s="2" t="s">
        <v>98</v>
      </c>
      <c r="Q1823" s="2" t="s">
        <v>99</v>
      </c>
      <c r="R1823" s="2" t="s">
        <v>100</v>
      </c>
      <c r="S1823" s="2" t="s">
        <v>6385</v>
      </c>
      <c r="T1823" s="2" t="s">
        <v>5327</v>
      </c>
      <c r="U1823" s="2" t="s">
        <v>100</v>
      </c>
      <c r="V1823" s="2" t="s">
        <v>473</v>
      </c>
      <c r="W1823" s="2" t="s">
        <v>270</v>
      </c>
      <c r="X1823" s="2" t="s">
        <v>525</v>
      </c>
      <c r="Y1823" s="2" t="s">
        <v>144</v>
      </c>
      <c r="Z1823" s="4">
        <v>289</v>
      </c>
      <c r="AA1823" s="4">
        <f>=ROUNDDOWN(24.0833333333333,0)</f>
      </c>
      <c r="AB1823" s="5">
        <v>12</v>
      </c>
      <c r="AC1823" s="2" t="s">
        <v>100</v>
      </c>
      <c r="AD1823" s="4"/>
      <c r="AE1823" s="4"/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/>
      <c r="BJ1823" s="4">
        <v>8</v>
      </c>
      <c r="BK1823" s="8">
        <v>322.62</v>
      </c>
      <c r="BL1823" s="2" t="s">
        <v>6386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109</v>
      </c>
      <c r="BV1823" s="2" t="s">
        <v>97</v>
      </c>
      <c r="BW1823" s="2" t="s">
        <v>2365</v>
      </c>
      <c r="BX1823" s="2" t="s">
        <v>6387</v>
      </c>
      <c r="BY1823" s="2" t="s">
        <v>112</v>
      </c>
      <c r="BZ1823" s="2" t="s">
        <v>100</v>
      </c>
    </row>
    <row r="1824">
      <c r="A1824" s="2" t="s">
        <v>6388</v>
      </c>
      <c r="B1824" s="2" t="s">
        <v>5155</v>
      </c>
      <c r="C1824" s="2" t="s">
        <v>2357</v>
      </c>
      <c r="D1824" s="2" t="s">
        <v>5156</v>
      </c>
      <c r="E1824" s="2" t="s">
        <v>5396</v>
      </c>
      <c r="F1824" s="2" t="s">
        <v>558</v>
      </c>
      <c r="G1824" s="2" t="s">
        <v>558</v>
      </c>
      <c r="H1824" s="2" t="s">
        <v>100</v>
      </c>
      <c r="I1824" s="2" t="s">
        <v>6384</v>
      </c>
      <c r="J1824" s="2" t="s">
        <v>5399</v>
      </c>
      <c r="K1824" s="2" t="s">
        <v>446</v>
      </c>
      <c r="L1824" s="3">
        <v>37.72</v>
      </c>
      <c r="M1824" s="3">
        <v>39.61</v>
      </c>
      <c r="N1824" s="3">
        <v>81.99</v>
      </c>
      <c r="O1824" s="2" t="s">
        <v>97</v>
      </c>
      <c r="P1824" s="2" t="s">
        <v>98</v>
      </c>
      <c r="Q1824" s="2" t="s">
        <v>99</v>
      </c>
      <c r="R1824" s="2" t="s">
        <v>100</v>
      </c>
      <c r="S1824" s="2" t="s">
        <v>6389</v>
      </c>
      <c r="T1824" s="2" t="s">
        <v>5327</v>
      </c>
      <c r="U1824" s="2" t="s">
        <v>100</v>
      </c>
      <c r="V1824" s="2" t="s">
        <v>473</v>
      </c>
      <c r="W1824" s="2" t="s">
        <v>270</v>
      </c>
      <c r="X1824" s="2" t="s">
        <v>525</v>
      </c>
      <c r="Y1824" s="2" t="s">
        <v>144</v>
      </c>
      <c r="Z1824" s="4">
        <v>256</v>
      </c>
      <c r="AA1824" s="4">
        <f>=ROUNDDOWN(15.0588235294118,0)</f>
      </c>
      <c r="AB1824" s="5">
        <v>17</v>
      </c>
      <c r="AC1824" s="2" t="s">
        <v>100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/>
      <c r="BJ1824" s="4">
        <v>18</v>
      </c>
      <c r="BK1824" s="8">
        <v>725.96</v>
      </c>
      <c r="BL1824" s="2" t="s">
        <v>6390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109</v>
      </c>
      <c r="BV1824" s="2" t="s">
        <v>97</v>
      </c>
      <c r="BW1824" s="2" t="s">
        <v>2365</v>
      </c>
      <c r="BX1824" s="2" t="s">
        <v>6391</v>
      </c>
      <c r="BY1824" s="2" t="s">
        <v>112</v>
      </c>
      <c r="BZ1824" s="2" t="s">
        <v>100</v>
      </c>
    </row>
    <row r="1825">
      <c r="A1825" s="2" t="s">
        <v>6392</v>
      </c>
      <c r="B1825" s="2" t="s">
        <v>5155</v>
      </c>
      <c r="C1825" s="2" t="s">
        <v>2357</v>
      </c>
      <c r="D1825" s="2" t="s">
        <v>5156</v>
      </c>
      <c r="E1825" s="2" t="s">
        <v>5396</v>
      </c>
      <c r="F1825" s="2" t="s">
        <v>6393</v>
      </c>
      <c r="G1825" s="2" t="s">
        <v>6393</v>
      </c>
      <c r="H1825" s="2" t="s">
        <v>6394</v>
      </c>
      <c r="I1825" s="2" t="s">
        <v>6384</v>
      </c>
      <c r="J1825" s="2" t="s">
        <v>5399</v>
      </c>
      <c r="K1825" s="2" t="s">
        <v>6395</v>
      </c>
      <c r="L1825" s="3">
        <v>37.72</v>
      </c>
      <c r="M1825" s="3">
        <v>39.61</v>
      </c>
      <c r="N1825" s="3">
        <v>81.99</v>
      </c>
      <c r="O1825" s="2" t="s">
        <v>97</v>
      </c>
      <c r="P1825" s="2" t="s">
        <v>98</v>
      </c>
      <c r="Q1825" s="2" t="s">
        <v>99</v>
      </c>
      <c r="R1825" s="2" t="s">
        <v>100</v>
      </c>
      <c r="S1825" s="2" t="s">
        <v>6396</v>
      </c>
      <c r="T1825" s="2" t="s">
        <v>5327</v>
      </c>
      <c r="U1825" s="2" t="s">
        <v>100</v>
      </c>
      <c r="V1825" s="2" t="s">
        <v>269</v>
      </c>
      <c r="W1825" s="2" t="s">
        <v>270</v>
      </c>
      <c r="X1825" s="2" t="s">
        <v>525</v>
      </c>
      <c r="Y1825" s="2" t="s">
        <v>503</v>
      </c>
      <c r="Z1825" s="4">
        <v>1179</v>
      </c>
      <c r="AA1825" s="4">
        <f>=ROUNDDOWN(117.9,0)</f>
      </c>
      <c r="AB1825" s="5">
        <v>10</v>
      </c>
      <c r="AC1825" s="2" t="s">
        <v>100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/>
      <c r="BD1825" s="8"/>
      <c r="BE1825" s="4"/>
      <c r="BF1825" s="8"/>
      <c r="BG1825" s="7"/>
      <c r="BH1825" s="7"/>
      <c r="BI1825" s="7"/>
      <c r="BJ1825" s="4">
        <v>9</v>
      </c>
      <c r="BK1825" s="8">
        <v>359.8</v>
      </c>
      <c r="BL1825" s="2" t="s">
        <v>6397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2365</v>
      </c>
      <c r="BX1825" s="2" t="s">
        <v>2459</v>
      </c>
      <c r="BY1825" s="2" t="s">
        <v>112</v>
      </c>
      <c r="BZ1825" s="2" t="s">
        <v>100</v>
      </c>
    </row>
    <row r="1826">
      <c r="A1826" s="2" t="s">
        <v>6398</v>
      </c>
      <c r="B1826" s="2" t="s">
        <v>5155</v>
      </c>
      <c r="C1826" s="2" t="s">
        <v>2357</v>
      </c>
      <c r="D1826" s="2" t="s">
        <v>5156</v>
      </c>
      <c r="E1826" s="2" t="s">
        <v>5396</v>
      </c>
      <c r="F1826" s="2" t="s">
        <v>6320</v>
      </c>
      <c r="G1826" s="2" t="s">
        <v>6320</v>
      </c>
      <c r="H1826" s="2" t="s">
        <v>100</v>
      </c>
      <c r="I1826" s="2" t="s">
        <v>5398</v>
      </c>
      <c r="J1826" s="2" t="s">
        <v>5399</v>
      </c>
      <c r="K1826" s="2" t="s">
        <v>96</v>
      </c>
      <c r="L1826" s="3">
        <v>37.72</v>
      </c>
      <c r="M1826" s="3">
        <v>39.61</v>
      </c>
      <c r="N1826" s="3">
        <v>81.99</v>
      </c>
      <c r="O1826" s="2" t="s">
        <v>97</v>
      </c>
      <c r="P1826" s="2" t="s">
        <v>98</v>
      </c>
      <c r="Q1826" s="2" t="s">
        <v>99</v>
      </c>
      <c r="R1826" s="2" t="s">
        <v>100</v>
      </c>
      <c r="S1826" s="2" t="s">
        <v>6399</v>
      </c>
      <c r="T1826" s="2" t="s">
        <v>5327</v>
      </c>
      <c r="U1826" s="2" t="s">
        <v>100</v>
      </c>
      <c r="V1826" s="2" t="s">
        <v>461</v>
      </c>
      <c r="W1826" s="2" t="s">
        <v>609</v>
      </c>
      <c r="X1826" s="2" t="s">
        <v>100</v>
      </c>
      <c r="Y1826" s="2" t="s">
        <v>144</v>
      </c>
      <c r="Z1826" s="4"/>
      <c r="AA1826" s="4">
        <f>=ROUNDDOWN({0},0)</f>
      </c>
      <c r="AB1826" s="5">
        <v>48</v>
      </c>
      <c r="AC1826" s="2" t="s">
        <v>173</v>
      </c>
      <c r="AD1826" s="4">
        <v>310</v>
      </c>
      <c r="AE1826" s="4">
        <v>310</v>
      </c>
      <c r="AF1826" s="6">
        <v>65</v>
      </c>
      <c r="AG1826" s="6"/>
      <c r="AH1826" s="7">
        <v>0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/>
      <c r="BJ1826" s="4"/>
      <c r="BK1826" s="8"/>
      <c r="BL1826" s="2" t="s">
        <v>100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109</v>
      </c>
      <c r="BV1826" s="2" t="s">
        <v>97</v>
      </c>
      <c r="BW1826" s="2" t="s">
        <v>2365</v>
      </c>
      <c r="BX1826" s="2" t="s">
        <v>6400</v>
      </c>
      <c r="BY1826" s="2" t="s">
        <v>112</v>
      </c>
      <c r="BZ1826" s="2" t="s">
        <v>100</v>
      </c>
    </row>
    <row r="1827">
      <c r="A1827" s="2" t="s">
        <v>6401</v>
      </c>
      <c r="B1827" s="2" t="s">
        <v>5155</v>
      </c>
      <c r="C1827" s="2" t="s">
        <v>2357</v>
      </c>
      <c r="D1827" s="2" t="s">
        <v>5156</v>
      </c>
      <c r="E1827" s="2" t="s">
        <v>5396</v>
      </c>
      <c r="F1827" s="2" t="s">
        <v>6320</v>
      </c>
      <c r="G1827" s="2" t="s">
        <v>6320</v>
      </c>
      <c r="H1827" s="2" t="s">
        <v>100</v>
      </c>
      <c r="I1827" s="2" t="s">
        <v>5398</v>
      </c>
      <c r="J1827" s="2" t="s">
        <v>5399</v>
      </c>
      <c r="K1827" s="2" t="s">
        <v>236</v>
      </c>
      <c r="L1827" s="3">
        <v>37.72</v>
      </c>
      <c r="M1827" s="3">
        <v>39.61</v>
      </c>
      <c r="N1827" s="3">
        <v>81.99</v>
      </c>
      <c r="O1827" s="2" t="s">
        <v>97</v>
      </c>
      <c r="P1827" s="2" t="s">
        <v>98</v>
      </c>
      <c r="Q1827" s="2" t="s">
        <v>99</v>
      </c>
      <c r="R1827" s="2" t="s">
        <v>100</v>
      </c>
      <c r="S1827" s="2" t="s">
        <v>6402</v>
      </c>
      <c r="T1827" s="2" t="s">
        <v>5327</v>
      </c>
      <c r="U1827" s="2" t="s">
        <v>100</v>
      </c>
      <c r="V1827" s="2" t="s">
        <v>461</v>
      </c>
      <c r="W1827" s="2" t="s">
        <v>609</v>
      </c>
      <c r="X1827" s="2" t="s">
        <v>100</v>
      </c>
      <c r="Y1827" s="2" t="s">
        <v>144</v>
      </c>
      <c r="Z1827" s="4"/>
      <c r="AA1827" s="4">
        <f>=ROUNDDOWN({0},0)</f>
      </c>
      <c r="AB1827" s="5">
        <v>20</v>
      </c>
      <c r="AC1827" s="2" t="s">
        <v>173</v>
      </c>
      <c r="AD1827" s="4">
        <v>150</v>
      </c>
      <c r="AE1827" s="4">
        <v>150</v>
      </c>
      <c r="AF1827" s="6">
        <v>65</v>
      </c>
      <c r="AG1827" s="6"/>
      <c r="AH1827" s="7">
        <v>0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/>
      <c r="BJ1827" s="4"/>
      <c r="BK1827" s="8"/>
      <c r="BL1827" s="2" t="s">
        <v>100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109</v>
      </c>
      <c r="BV1827" s="2" t="s">
        <v>97</v>
      </c>
      <c r="BW1827" s="2" t="s">
        <v>2365</v>
      </c>
      <c r="BX1827" s="2" t="s">
        <v>6403</v>
      </c>
      <c r="BY1827" s="2" t="s">
        <v>112</v>
      </c>
      <c r="BZ1827" s="2" t="s">
        <v>100</v>
      </c>
    </row>
    <row r="1828">
      <c r="A1828" s="2" t="s">
        <v>6404</v>
      </c>
      <c r="B1828" s="2" t="s">
        <v>5155</v>
      </c>
      <c r="C1828" s="2" t="s">
        <v>2357</v>
      </c>
      <c r="D1828" s="2" t="s">
        <v>5156</v>
      </c>
      <c r="E1828" s="2" t="s">
        <v>5396</v>
      </c>
      <c r="F1828" s="2" t="s">
        <v>6320</v>
      </c>
      <c r="G1828" s="2" t="s">
        <v>6320</v>
      </c>
      <c r="H1828" s="2" t="s">
        <v>100</v>
      </c>
      <c r="I1828" s="2" t="s">
        <v>5398</v>
      </c>
      <c r="J1828" s="2" t="s">
        <v>5399</v>
      </c>
      <c r="K1828" s="2" t="s">
        <v>523</v>
      </c>
      <c r="L1828" s="3">
        <v>37.72</v>
      </c>
      <c r="M1828" s="3">
        <v>39.61</v>
      </c>
      <c r="N1828" s="3">
        <v>81.99</v>
      </c>
      <c r="O1828" s="2" t="s">
        <v>97</v>
      </c>
      <c r="P1828" s="2" t="s">
        <v>98</v>
      </c>
      <c r="Q1828" s="2" t="s">
        <v>99</v>
      </c>
      <c r="R1828" s="2" t="s">
        <v>100</v>
      </c>
      <c r="S1828" s="2" t="s">
        <v>6405</v>
      </c>
      <c r="T1828" s="2" t="s">
        <v>5327</v>
      </c>
      <c r="U1828" s="2" t="s">
        <v>100</v>
      </c>
      <c r="V1828" s="2" t="s">
        <v>461</v>
      </c>
      <c r="W1828" s="2" t="s">
        <v>609</v>
      </c>
      <c r="X1828" s="2" t="s">
        <v>100</v>
      </c>
      <c r="Y1828" s="2" t="s">
        <v>144</v>
      </c>
      <c r="Z1828" s="4"/>
      <c r="AA1828" s="4">
        <f>=ROUNDDOWN({0},0)</f>
      </c>
      <c r="AB1828" s="5">
        <v>22</v>
      </c>
      <c r="AC1828" s="2" t="s">
        <v>173</v>
      </c>
      <c r="AD1828" s="4">
        <v>150</v>
      </c>
      <c r="AE1828" s="4">
        <v>150</v>
      </c>
      <c r="AF1828" s="6">
        <v>65</v>
      </c>
      <c r="AG1828" s="6"/>
      <c r="AH1828" s="7">
        <v>0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/>
      <c r="BJ1828" s="4"/>
      <c r="BK1828" s="8"/>
      <c r="BL1828" s="2" t="s">
        <v>100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2365</v>
      </c>
      <c r="BX1828" s="2" t="s">
        <v>6406</v>
      </c>
      <c r="BY1828" s="2" t="s">
        <v>112</v>
      </c>
      <c r="BZ1828" s="2" t="s">
        <v>100</v>
      </c>
    </row>
    <row r="1829">
      <c r="A1829" s="2" t="s">
        <v>6407</v>
      </c>
      <c r="B1829" s="2" t="s">
        <v>5155</v>
      </c>
      <c r="C1829" s="2" t="s">
        <v>2357</v>
      </c>
      <c r="D1829" s="2" t="s">
        <v>5156</v>
      </c>
      <c r="E1829" s="2" t="s">
        <v>5396</v>
      </c>
      <c r="F1829" s="2" t="s">
        <v>3864</v>
      </c>
      <c r="G1829" s="2" t="s">
        <v>3864</v>
      </c>
      <c r="H1829" s="2" t="s">
        <v>3864</v>
      </c>
      <c r="I1829" s="2" t="s">
        <v>6384</v>
      </c>
      <c r="J1829" s="2" t="s">
        <v>5399</v>
      </c>
      <c r="K1829" s="2" t="s">
        <v>236</v>
      </c>
      <c r="L1829" s="3">
        <v>37.72</v>
      </c>
      <c r="M1829" s="3">
        <v>39.61</v>
      </c>
      <c r="N1829" s="3">
        <v>81.99</v>
      </c>
      <c r="O1829" s="2" t="s">
        <v>97</v>
      </c>
      <c r="P1829" s="2" t="s">
        <v>98</v>
      </c>
      <c r="Q1829" s="2" t="s">
        <v>99</v>
      </c>
      <c r="R1829" s="2" t="s">
        <v>100</v>
      </c>
      <c r="S1829" s="2" t="s">
        <v>6408</v>
      </c>
      <c r="T1829" s="2" t="s">
        <v>100</v>
      </c>
      <c r="U1829" s="2" t="s">
        <v>1776</v>
      </c>
      <c r="V1829" s="2" t="s">
        <v>269</v>
      </c>
      <c r="W1829" s="2" t="s">
        <v>270</v>
      </c>
      <c r="X1829" s="2" t="s">
        <v>525</v>
      </c>
      <c r="Y1829" s="2" t="s">
        <v>6409</v>
      </c>
      <c r="Z1829" s="4">
        <v>1450</v>
      </c>
      <c r="AA1829" s="4">
        <f>=ROUNDDOWN(131.818181818182,0)</f>
      </c>
      <c r="AB1829" s="5">
        <v>11</v>
      </c>
      <c r="AC1829" s="2" t="s">
        <v>100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/>
      <c r="BJ1829" s="4">
        <v>15</v>
      </c>
      <c r="BK1829" s="8">
        <v>598.8</v>
      </c>
      <c r="BL1829" s="2" t="s">
        <v>6410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171</v>
      </c>
      <c r="BV1829" s="2" t="s">
        <v>97</v>
      </c>
      <c r="BW1829" s="2" t="s">
        <v>100</v>
      </c>
      <c r="BX1829" s="2" t="s">
        <v>100</v>
      </c>
      <c r="BY1829" s="2" t="s">
        <v>112</v>
      </c>
      <c r="BZ1829" s="2" t="s">
        <v>100</v>
      </c>
    </row>
    <row r="1830">
      <c r="A1830" s="2" t="s">
        <v>6411</v>
      </c>
      <c r="B1830" s="2" t="s">
        <v>5155</v>
      </c>
      <c r="C1830" s="2" t="s">
        <v>2357</v>
      </c>
      <c r="D1830" s="2" t="s">
        <v>5156</v>
      </c>
      <c r="E1830" s="2" t="s">
        <v>5396</v>
      </c>
      <c r="F1830" s="2" t="s">
        <v>3864</v>
      </c>
      <c r="G1830" s="2" t="s">
        <v>3864</v>
      </c>
      <c r="H1830" s="2" t="s">
        <v>3864</v>
      </c>
      <c r="I1830" s="2" t="s">
        <v>6384</v>
      </c>
      <c r="J1830" s="2" t="s">
        <v>5399</v>
      </c>
      <c r="K1830" s="2" t="s">
        <v>523</v>
      </c>
      <c r="L1830" s="3">
        <v>37.72</v>
      </c>
      <c r="M1830" s="3">
        <v>39.61</v>
      </c>
      <c r="N1830" s="3">
        <v>81.99</v>
      </c>
      <c r="O1830" s="2" t="s">
        <v>97</v>
      </c>
      <c r="P1830" s="2" t="s">
        <v>98</v>
      </c>
      <c r="Q1830" s="2" t="s">
        <v>99</v>
      </c>
      <c r="R1830" s="2" t="s">
        <v>100</v>
      </c>
      <c r="S1830" s="2" t="s">
        <v>6412</v>
      </c>
      <c r="T1830" s="2" t="s">
        <v>100</v>
      </c>
      <c r="U1830" s="2" t="s">
        <v>1776</v>
      </c>
      <c r="V1830" s="2" t="s">
        <v>269</v>
      </c>
      <c r="W1830" s="2" t="s">
        <v>270</v>
      </c>
      <c r="X1830" s="2" t="s">
        <v>525</v>
      </c>
      <c r="Y1830" s="2" t="s">
        <v>6409</v>
      </c>
      <c r="Z1830" s="4">
        <v>1138</v>
      </c>
      <c r="AA1830" s="4">
        <f>=ROUNDDOWN(66.9411764705882,0)</f>
      </c>
      <c r="AB1830" s="5">
        <v>17</v>
      </c>
      <c r="AC1830" s="2" t="s">
        <v>100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/>
      <c r="BJ1830" s="4">
        <v>9</v>
      </c>
      <c r="BK1830" s="8">
        <v>351.57</v>
      </c>
      <c r="BL1830" s="2" t="s">
        <v>6413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171</v>
      </c>
      <c r="BV1830" s="2" t="s">
        <v>97</v>
      </c>
      <c r="BW1830" s="2" t="s">
        <v>100</v>
      </c>
      <c r="BX1830" s="2" t="s">
        <v>100</v>
      </c>
      <c r="BY1830" s="2" t="s">
        <v>112</v>
      </c>
      <c r="BZ1830" s="2" t="s">
        <v>100</v>
      </c>
    </row>
    <row r="1831">
      <c r="A1831" s="2" t="s">
        <v>6414</v>
      </c>
      <c r="B1831" s="2" t="s">
        <v>5155</v>
      </c>
      <c r="C1831" s="2" t="s">
        <v>2357</v>
      </c>
      <c r="D1831" s="2" t="s">
        <v>5156</v>
      </c>
      <c r="E1831" s="2" t="s">
        <v>5396</v>
      </c>
      <c r="F1831" s="2" t="s">
        <v>6415</v>
      </c>
      <c r="G1831" s="2" t="s">
        <v>6415</v>
      </c>
      <c r="H1831" s="2" t="s">
        <v>6415</v>
      </c>
      <c r="I1831" s="2" t="s">
        <v>6416</v>
      </c>
      <c r="J1831" s="2" t="s">
        <v>5399</v>
      </c>
      <c r="K1831" s="2" t="s">
        <v>165</v>
      </c>
      <c r="L1831" s="3">
        <v>37.72</v>
      </c>
      <c r="M1831" s="3">
        <v>39.61</v>
      </c>
      <c r="N1831" s="3">
        <v>81.99</v>
      </c>
      <c r="O1831" s="2" t="s">
        <v>97</v>
      </c>
      <c r="P1831" s="2" t="s">
        <v>98</v>
      </c>
      <c r="Q1831" s="2" t="s">
        <v>99</v>
      </c>
      <c r="R1831" s="2" t="s">
        <v>100</v>
      </c>
      <c r="S1831" s="2" t="s">
        <v>6417</v>
      </c>
      <c r="T1831" s="2" t="s">
        <v>5327</v>
      </c>
      <c r="U1831" s="2" t="s">
        <v>1776</v>
      </c>
      <c r="V1831" s="2" t="s">
        <v>269</v>
      </c>
      <c r="W1831" s="2" t="s">
        <v>270</v>
      </c>
      <c r="X1831" s="2" t="s">
        <v>525</v>
      </c>
      <c r="Y1831" s="2" t="s">
        <v>6418</v>
      </c>
      <c r="Z1831" s="4">
        <v>70</v>
      </c>
      <c r="AA1831" s="4">
        <f>=ROUNDDOWN(4.66666666666667,0)</f>
      </c>
      <c r="AB1831" s="5">
        <v>15</v>
      </c>
      <c r="AC1831" s="2" t="s">
        <v>173</v>
      </c>
      <c r="AD1831" s="4">
        <v>150</v>
      </c>
      <c r="AE1831" s="4">
        <v>150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/>
      <c r="BD1831" s="8"/>
      <c r="BE1831" s="4"/>
      <c r="BF1831" s="8"/>
      <c r="BG1831" s="7"/>
      <c r="BH1831" s="7"/>
      <c r="BI1831" s="7"/>
      <c r="BJ1831" s="4">
        <v>14</v>
      </c>
      <c r="BK1831" s="8">
        <v>577.65</v>
      </c>
      <c r="BL1831" s="2" t="s">
        <v>6419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2365</v>
      </c>
      <c r="BX1831" s="2" t="s">
        <v>6226</v>
      </c>
      <c r="BY1831" s="2" t="s">
        <v>112</v>
      </c>
      <c r="BZ1831" s="2" t="s">
        <v>100</v>
      </c>
    </row>
    <row r="1832">
      <c r="A1832" s="2" t="s">
        <v>6420</v>
      </c>
      <c r="B1832" s="2" t="s">
        <v>5155</v>
      </c>
      <c r="C1832" s="2" t="s">
        <v>2357</v>
      </c>
      <c r="D1832" s="2" t="s">
        <v>5156</v>
      </c>
      <c r="E1832" s="2" t="s">
        <v>5396</v>
      </c>
      <c r="F1832" s="2" t="s">
        <v>748</v>
      </c>
      <c r="G1832" s="2" t="s">
        <v>748</v>
      </c>
      <c r="H1832" s="2" t="s">
        <v>100</v>
      </c>
      <c r="I1832" s="2" t="s">
        <v>6384</v>
      </c>
      <c r="J1832" s="2" t="s">
        <v>5399</v>
      </c>
      <c r="K1832" s="2" t="s">
        <v>138</v>
      </c>
      <c r="L1832" s="3">
        <v>37.72</v>
      </c>
      <c r="M1832" s="3">
        <v>39.61</v>
      </c>
      <c r="N1832" s="3">
        <v>81.99</v>
      </c>
      <c r="O1832" s="2" t="s">
        <v>97</v>
      </c>
      <c r="P1832" s="2" t="s">
        <v>98</v>
      </c>
      <c r="Q1832" s="2" t="s">
        <v>99</v>
      </c>
      <c r="R1832" s="2" t="s">
        <v>100</v>
      </c>
      <c r="S1832" s="2" t="s">
        <v>6421</v>
      </c>
      <c r="T1832" s="2" t="s">
        <v>5327</v>
      </c>
      <c r="U1832" s="2" t="s">
        <v>100</v>
      </c>
      <c r="V1832" s="2" t="s">
        <v>269</v>
      </c>
      <c r="W1832" s="2" t="s">
        <v>270</v>
      </c>
      <c r="X1832" s="2" t="s">
        <v>525</v>
      </c>
      <c r="Y1832" s="2" t="s">
        <v>144</v>
      </c>
      <c r="Z1832" s="4">
        <v>38</v>
      </c>
      <c r="AA1832" s="4">
        <f>=ROUNDDOWN(2.53333333333333,0)</f>
      </c>
      <c r="AB1832" s="5">
        <v>15</v>
      </c>
      <c r="AC1832" s="2" t="s">
        <v>173</v>
      </c>
      <c r="AD1832" s="4">
        <v>150</v>
      </c>
      <c r="AE1832" s="4">
        <v>150</v>
      </c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/>
      <c r="BJ1832" s="4">
        <v>5</v>
      </c>
      <c r="BK1832" s="8">
        <v>199.08</v>
      </c>
      <c r="BL1832" s="2" t="s">
        <v>2619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6422</v>
      </c>
      <c r="BX1832" s="2" t="s">
        <v>6423</v>
      </c>
      <c r="BY1832" s="2" t="s">
        <v>112</v>
      </c>
      <c r="BZ1832" s="2" t="s">
        <v>100</v>
      </c>
    </row>
    <row r="1833">
      <c r="A1833" s="2" t="s">
        <v>6424</v>
      </c>
      <c r="B1833" s="2" t="s">
        <v>5155</v>
      </c>
      <c r="C1833" s="2" t="s">
        <v>2357</v>
      </c>
      <c r="D1833" s="2" t="s">
        <v>5156</v>
      </c>
      <c r="E1833" s="2" t="s">
        <v>5396</v>
      </c>
      <c r="F1833" s="2" t="s">
        <v>748</v>
      </c>
      <c r="G1833" s="2" t="s">
        <v>748</v>
      </c>
      <c r="H1833" s="2" t="s">
        <v>100</v>
      </c>
      <c r="I1833" s="2" t="s">
        <v>6384</v>
      </c>
      <c r="J1833" s="2" t="s">
        <v>5399</v>
      </c>
      <c r="K1833" s="2" t="s">
        <v>96</v>
      </c>
      <c r="L1833" s="3">
        <v>37.72</v>
      </c>
      <c r="M1833" s="3">
        <v>39.61</v>
      </c>
      <c r="N1833" s="3">
        <v>81.99</v>
      </c>
      <c r="O1833" s="2" t="s">
        <v>97</v>
      </c>
      <c r="P1833" s="2" t="s">
        <v>98</v>
      </c>
      <c r="Q1833" s="2" t="s">
        <v>99</v>
      </c>
      <c r="R1833" s="2" t="s">
        <v>100</v>
      </c>
      <c r="S1833" s="2" t="s">
        <v>6425</v>
      </c>
      <c r="T1833" s="2" t="s">
        <v>5327</v>
      </c>
      <c r="U1833" s="2" t="s">
        <v>100</v>
      </c>
      <c r="V1833" s="2" t="s">
        <v>269</v>
      </c>
      <c r="W1833" s="2" t="s">
        <v>270</v>
      </c>
      <c r="X1833" s="2" t="s">
        <v>525</v>
      </c>
      <c r="Y1833" s="2" t="s">
        <v>144</v>
      </c>
      <c r="Z1833" s="4">
        <v>263</v>
      </c>
      <c r="AA1833" s="4">
        <f>=ROUNDDOWN(14.6111111111111,0)</f>
      </c>
      <c r="AB1833" s="5">
        <v>18</v>
      </c>
      <c r="AC1833" s="2" t="s">
        <v>100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/>
      <c r="BJ1833" s="4">
        <v>13</v>
      </c>
      <c r="BK1833" s="8">
        <v>519.27</v>
      </c>
      <c r="BL1833" s="2" t="s">
        <v>6426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6427</v>
      </c>
      <c r="BX1833" s="2" t="s">
        <v>6428</v>
      </c>
      <c r="BY1833" s="2" t="s">
        <v>112</v>
      </c>
      <c r="BZ1833" s="2" t="s">
        <v>100</v>
      </c>
    </row>
    <row r="1834">
      <c r="A1834" s="2" t="s">
        <v>6429</v>
      </c>
      <c r="B1834" s="2" t="s">
        <v>5155</v>
      </c>
      <c r="C1834" s="2" t="s">
        <v>2357</v>
      </c>
      <c r="D1834" s="2" t="s">
        <v>5156</v>
      </c>
      <c r="E1834" s="2" t="s">
        <v>5396</v>
      </c>
      <c r="F1834" s="2" t="s">
        <v>748</v>
      </c>
      <c r="G1834" s="2" t="s">
        <v>748</v>
      </c>
      <c r="H1834" s="2" t="s">
        <v>100</v>
      </c>
      <c r="I1834" s="2" t="s">
        <v>6384</v>
      </c>
      <c r="J1834" s="2" t="s">
        <v>5399</v>
      </c>
      <c r="K1834" s="2" t="s">
        <v>236</v>
      </c>
      <c r="L1834" s="3">
        <v>37.72</v>
      </c>
      <c r="M1834" s="3">
        <v>39.61</v>
      </c>
      <c r="N1834" s="3">
        <v>81.99</v>
      </c>
      <c r="O1834" s="2" t="s">
        <v>97</v>
      </c>
      <c r="P1834" s="2" t="s">
        <v>98</v>
      </c>
      <c r="Q1834" s="2" t="s">
        <v>99</v>
      </c>
      <c r="R1834" s="2" t="s">
        <v>100</v>
      </c>
      <c r="S1834" s="2" t="s">
        <v>6430</v>
      </c>
      <c r="T1834" s="2" t="s">
        <v>5327</v>
      </c>
      <c r="U1834" s="2" t="s">
        <v>100</v>
      </c>
      <c r="V1834" s="2" t="s">
        <v>269</v>
      </c>
      <c r="W1834" s="2" t="s">
        <v>270</v>
      </c>
      <c r="X1834" s="2" t="s">
        <v>525</v>
      </c>
      <c r="Y1834" s="2" t="s">
        <v>144</v>
      </c>
      <c r="Z1834" s="4"/>
      <c r="AA1834" s="4">
        <f>=ROUNDDOWN({0},0)</f>
      </c>
      <c r="AB1834" s="5">
        <v>31</v>
      </c>
      <c r="AC1834" s="2" t="s">
        <v>173</v>
      </c>
      <c r="AD1834" s="4">
        <v>200</v>
      </c>
      <c r="AE1834" s="4">
        <v>200</v>
      </c>
      <c r="AF1834" s="6">
        <v>65</v>
      </c>
      <c r="AG1834" s="6"/>
      <c r="AH1834" s="7">
        <v>0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/>
      <c r="BJ1834" s="4"/>
      <c r="BK1834" s="8"/>
      <c r="BL1834" s="2" t="s">
        <v>100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109</v>
      </c>
      <c r="BV1834" s="2" t="s">
        <v>97</v>
      </c>
      <c r="BW1834" s="2" t="s">
        <v>6431</v>
      </c>
      <c r="BX1834" s="2" t="s">
        <v>6432</v>
      </c>
      <c r="BY1834" s="2" t="s">
        <v>112</v>
      </c>
      <c r="BZ1834" s="2" t="s">
        <v>100</v>
      </c>
    </row>
    <row r="1835">
      <c r="A1835" s="2" t="s">
        <v>6433</v>
      </c>
      <c r="B1835" s="2" t="s">
        <v>5155</v>
      </c>
      <c r="C1835" s="2" t="s">
        <v>2357</v>
      </c>
      <c r="D1835" s="2" t="s">
        <v>4216</v>
      </c>
      <c r="E1835" s="2" t="s">
        <v>5235</v>
      </c>
      <c r="F1835" s="2" t="s">
        <v>6434</v>
      </c>
      <c r="G1835" s="2" t="s">
        <v>6434</v>
      </c>
      <c r="H1835" s="2" t="s">
        <v>6434</v>
      </c>
      <c r="I1835" s="2" t="s">
        <v>6435</v>
      </c>
      <c r="J1835" s="2" t="s">
        <v>1443</v>
      </c>
      <c r="K1835" s="2" t="s">
        <v>179</v>
      </c>
      <c r="L1835" s="3">
        <v>17.19</v>
      </c>
      <c r="M1835" s="3">
        <v>18.05</v>
      </c>
      <c r="N1835" s="3">
        <v>37.99</v>
      </c>
      <c r="O1835" s="2" t="s">
        <v>97</v>
      </c>
      <c r="P1835" s="2" t="s">
        <v>139</v>
      </c>
      <c r="Q1835" s="2" t="s">
        <v>99</v>
      </c>
      <c r="R1835" s="2" t="s">
        <v>100</v>
      </c>
      <c r="S1835" s="2" t="s">
        <v>100</v>
      </c>
      <c r="T1835" s="2" t="s">
        <v>5327</v>
      </c>
      <c r="U1835" s="2" t="s">
        <v>100</v>
      </c>
      <c r="V1835" s="2" t="s">
        <v>461</v>
      </c>
      <c r="W1835" s="2" t="s">
        <v>609</v>
      </c>
      <c r="X1835" s="2" t="s">
        <v>525</v>
      </c>
      <c r="Y1835" s="2" t="s">
        <v>2511</v>
      </c>
      <c r="Z1835" s="4">
        <v>332</v>
      </c>
      <c r="AA1835" s="4">
        <f>=ROUNDDOWN(15.0909090909091,0)</f>
      </c>
      <c r="AB1835" s="5">
        <v>22</v>
      </c>
      <c r="AC1835" s="2" t="s">
        <v>307</v>
      </c>
      <c r="AD1835" s="4">
        <v>150</v>
      </c>
      <c r="AE1835" s="4">
        <v>650</v>
      </c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1</v>
      </c>
      <c r="AQ1835" s="8">
        <v>21.84</v>
      </c>
      <c r="AR1835" s="4"/>
      <c r="AS1835" s="8"/>
      <c r="AT1835" s="7"/>
      <c r="AU1835" s="7"/>
      <c r="AV1835" s="4">
        <v>2</v>
      </c>
      <c r="AW1835" s="8">
        <v>51.12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>
        <v>0.4272</v>
      </c>
      <c r="BC1835" s="4">
        <v>4</v>
      </c>
      <c r="BD1835" s="8">
        <v>124.14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>
        <v>0.4118</v>
      </c>
      <c r="BJ1835" s="4">
        <v>46</v>
      </c>
      <c r="BK1835" s="8">
        <v>850.59</v>
      </c>
      <c r="BL1835" s="2" t="s">
        <v>6436</v>
      </c>
      <c r="BM1835" s="7">
        <v>0.0217</v>
      </c>
      <c r="BN1835" s="7">
        <v>0.0257</v>
      </c>
      <c r="BO1835" s="4">
        <v>1</v>
      </c>
      <c r="BP1835" s="8">
        <v>21.84</v>
      </c>
      <c r="BQ1835" s="4"/>
      <c r="BR1835" s="8"/>
      <c r="BS1835" s="7"/>
      <c r="BT1835" s="7"/>
      <c r="BU1835" s="2" t="s">
        <v>109</v>
      </c>
      <c r="BV1835" s="2" t="s">
        <v>97</v>
      </c>
      <c r="BW1835" s="2" t="s">
        <v>6437</v>
      </c>
      <c r="BX1835" s="2" t="s">
        <v>6438</v>
      </c>
      <c r="BY1835" s="2" t="s">
        <v>112</v>
      </c>
      <c r="BZ1835" s="2" t="s">
        <v>100</v>
      </c>
    </row>
    <row r="1836">
      <c r="A1836" s="2" t="s">
        <v>6439</v>
      </c>
      <c r="B1836" s="2" t="s">
        <v>5155</v>
      </c>
      <c r="C1836" s="2" t="s">
        <v>2357</v>
      </c>
      <c r="D1836" s="2" t="s">
        <v>4216</v>
      </c>
      <c r="E1836" s="2" t="s">
        <v>5235</v>
      </c>
      <c r="F1836" s="2" t="s">
        <v>6434</v>
      </c>
      <c r="G1836" s="2" t="s">
        <v>6434</v>
      </c>
      <c r="H1836" s="2" t="s">
        <v>6434</v>
      </c>
      <c r="I1836" s="2" t="s">
        <v>6435</v>
      </c>
      <c r="J1836" s="2" t="s">
        <v>522</v>
      </c>
      <c r="K1836" s="2" t="s">
        <v>179</v>
      </c>
      <c r="L1836" s="3">
        <v>23.04</v>
      </c>
      <c r="M1836" s="3">
        <v>24.19</v>
      </c>
      <c r="N1836" s="3">
        <v>49.99</v>
      </c>
      <c r="O1836" s="2" t="s">
        <v>97</v>
      </c>
      <c r="P1836" s="2" t="s">
        <v>139</v>
      </c>
      <c r="Q1836" s="2" t="s">
        <v>99</v>
      </c>
      <c r="R1836" s="2" t="s">
        <v>100</v>
      </c>
      <c r="S1836" s="2" t="s">
        <v>100</v>
      </c>
      <c r="T1836" s="2" t="s">
        <v>5327</v>
      </c>
      <c r="U1836" s="2" t="s">
        <v>100</v>
      </c>
      <c r="V1836" s="2" t="s">
        <v>461</v>
      </c>
      <c r="W1836" s="2" t="s">
        <v>609</v>
      </c>
      <c r="X1836" s="2" t="s">
        <v>525</v>
      </c>
      <c r="Y1836" s="2" t="s">
        <v>2511</v>
      </c>
      <c r="Z1836" s="4">
        <v>444</v>
      </c>
      <c r="AA1836" s="4">
        <f>=ROUNDDOWN(13.0588235294118,0)</f>
      </c>
      <c r="AB1836" s="5">
        <v>34</v>
      </c>
      <c r="AC1836" s="2" t="s">
        <v>307</v>
      </c>
      <c r="AD1836" s="4">
        <v>250</v>
      </c>
      <c r="AE1836" s="4">
        <v>1250</v>
      </c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1</v>
      </c>
      <c r="AQ1836" s="8">
        <v>29.28</v>
      </c>
      <c r="AR1836" s="4"/>
      <c r="AS1836" s="8"/>
      <c r="AT1836" s="7"/>
      <c r="AU1836" s="7"/>
      <c r="AV1836" s="4" t="s">
        <v>100</v>
      </c>
      <c r="AW1836" s="8" t="s">
        <v>100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0.5728</v>
      </c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 t="s">
        <v>100</v>
      </c>
      <c r="BJ1836" s="4">
        <v>58</v>
      </c>
      <c r="BK1836" s="8">
        <v>1387.11</v>
      </c>
      <c r="BL1836" s="2" t="s">
        <v>6440</v>
      </c>
      <c r="BM1836" s="7">
        <v>0.0172</v>
      </c>
      <c r="BN1836" s="7">
        <v>0.0211</v>
      </c>
      <c r="BO1836" s="4">
        <v>1</v>
      </c>
      <c r="BP1836" s="8">
        <v>29.28</v>
      </c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6202</v>
      </c>
      <c r="BX1836" s="2" t="s">
        <v>4611</v>
      </c>
      <c r="BY1836" s="2" t="s">
        <v>112</v>
      </c>
      <c r="BZ1836" s="2" t="s">
        <v>100</v>
      </c>
    </row>
    <row r="1837">
      <c r="A1837" s="2" t="s">
        <v>6441</v>
      </c>
      <c r="B1837" s="2" t="s">
        <v>5155</v>
      </c>
      <c r="C1837" s="2" t="s">
        <v>2357</v>
      </c>
      <c r="D1837" s="2" t="s">
        <v>4216</v>
      </c>
      <c r="E1837" s="2" t="s">
        <v>5235</v>
      </c>
      <c r="F1837" s="2" t="s">
        <v>6434</v>
      </c>
      <c r="G1837" s="2" t="s">
        <v>6434</v>
      </c>
      <c r="H1837" s="2" t="s">
        <v>6434</v>
      </c>
      <c r="I1837" s="2" t="s">
        <v>6435</v>
      </c>
      <c r="J1837" s="2" t="s">
        <v>114</v>
      </c>
      <c r="K1837" s="2" t="s">
        <v>179</v>
      </c>
      <c r="L1837" s="3">
        <v>28.73</v>
      </c>
      <c r="M1837" s="3">
        <v>30.17</v>
      </c>
      <c r="N1837" s="3">
        <v>59.99</v>
      </c>
      <c r="O1837" s="2" t="s">
        <v>97</v>
      </c>
      <c r="P1837" s="2" t="s">
        <v>139</v>
      </c>
      <c r="Q1837" s="2" t="s">
        <v>99</v>
      </c>
      <c r="R1837" s="2" t="s">
        <v>100</v>
      </c>
      <c r="S1837" s="2" t="s">
        <v>100</v>
      </c>
      <c r="T1837" s="2" t="s">
        <v>5327</v>
      </c>
      <c r="U1837" s="2" t="s">
        <v>100</v>
      </c>
      <c r="V1837" s="2" t="s">
        <v>461</v>
      </c>
      <c r="W1837" s="2" t="s">
        <v>609</v>
      </c>
      <c r="X1837" s="2" t="s">
        <v>525</v>
      </c>
      <c r="Y1837" s="2" t="s">
        <v>2430</v>
      </c>
      <c r="Z1837" s="4">
        <v>197</v>
      </c>
      <c r="AA1837" s="4">
        <f>=ROUNDDOWN(8.56521739130435,0)</f>
      </c>
      <c r="AB1837" s="5">
        <v>23</v>
      </c>
      <c r="AC1837" s="2" t="s">
        <v>307</v>
      </c>
      <c r="AD1837" s="4">
        <v>150</v>
      </c>
      <c r="AE1837" s="4">
        <v>900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/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 t="s">
        <v>100</v>
      </c>
      <c r="BJ1837" s="4">
        <v>39</v>
      </c>
      <c r="BK1837" s="8">
        <v>1164.29</v>
      </c>
      <c r="BL1837" s="2" t="s">
        <v>6442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6202</v>
      </c>
      <c r="BX1837" s="2" t="s">
        <v>5057</v>
      </c>
      <c r="BY1837" s="2" t="s">
        <v>112</v>
      </c>
      <c r="BZ1837" s="2" t="s">
        <v>100</v>
      </c>
    </row>
    <row r="1838">
      <c r="A1838" s="2" t="s">
        <v>6443</v>
      </c>
      <c r="B1838" s="2" t="s">
        <v>5155</v>
      </c>
      <c r="C1838" s="2" t="s">
        <v>2357</v>
      </c>
      <c r="D1838" s="2" t="s">
        <v>4216</v>
      </c>
      <c r="E1838" s="2" t="s">
        <v>5235</v>
      </c>
      <c r="F1838" s="2" t="s">
        <v>6434</v>
      </c>
      <c r="G1838" s="2" t="s">
        <v>6434</v>
      </c>
      <c r="H1838" s="2" t="s">
        <v>6434</v>
      </c>
      <c r="I1838" s="2" t="s">
        <v>6435</v>
      </c>
      <c r="J1838" s="2" t="s">
        <v>1443</v>
      </c>
      <c r="K1838" s="2" t="s">
        <v>96</v>
      </c>
      <c r="L1838" s="3">
        <v>17.19</v>
      </c>
      <c r="M1838" s="3">
        <v>18.05</v>
      </c>
      <c r="N1838" s="3">
        <v>37.99</v>
      </c>
      <c r="O1838" s="2" t="s">
        <v>97</v>
      </c>
      <c r="P1838" s="2" t="s">
        <v>317</v>
      </c>
      <c r="Q1838" s="2" t="s">
        <v>99</v>
      </c>
      <c r="R1838" s="2" t="s">
        <v>100</v>
      </c>
      <c r="S1838" s="2" t="s">
        <v>100</v>
      </c>
      <c r="T1838" s="2" t="s">
        <v>5327</v>
      </c>
      <c r="U1838" s="2" t="s">
        <v>100</v>
      </c>
      <c r="V1838" s="2" t="s">
        <v>461</v>
      </c>
      <c r="W1838" s="2" t="s">
        <v>609</v>
      </c>
      <c r="X1838" s="2" t="s">
        <v>525</v>
      </c>
      <c r="Y1838" s="2" t="s">
        <v>2511</v>
      </c>
      <c r="Z1838" s="4">
        <v>481</v>
      </c>
      <c r="AA1838" s="4">
        <f>=ROUNDDOWN(22.9047619047619,0)</f>
      </c>
      <c r="AB1838" s="5">
        <v>21</v>
      </c>
      <c r="AC1838" s="2" t="s">
        <v>307</v>
      </c>
      <c r="AD1838" s="4">
        <v>210</v>
      </c>
      <c r="AE1838" s="4">
        <v>210</v>
      </c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>
        <v>1</v>
      </c>
      <c r="AW1838" s="8">
        <v>36.51</v>
      </c>
      <c r="AX1838" s="4" t="s">
        <v>100</v>
      </c>
      <c r="AY1838" s="8" t="s">
        <v>100</v>
      </c>
      <c r="AZ1838" s="7" t="s">
        <v>100</v>
      </c>
      <c r="BA1838" s="7" t="s">
        <v>100</v>
      </c>
      <c r="BB1838" s="7"/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>
        <v>0.2941</v>
      </c>
      <c r="BJ1838" s="4">
        <v>22</v>
      </c>
      <c r="BK1838" s="8">
        <v>408.7</v>
      </c>
      <c r="BL1838" s="2" t="s">
        <v>1494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5057</v>
      </c>
      <c r="BX1838" s="2" t="s">
        <v>6444</v>
      </c>
      <c r="BY1838" s="2" t="s">
        <v>112</v>
      </c>
      <c r="BZ1838" s="2" t="s">
        <v>100</v>
      </c>
    </row>
    <row r="1839">
      <c r="A1839" s="2" t="s">
        <v>6445</v>
      </c>
      <c r="B1839" s="2" t="s">
        <v>5155</v>
      </c>
      <c r="C1839" s="2" t="s">
        <v>2357</v>
      </c>
      <c r="D1839" s="2" t="s">
        <v>4216</v>
      </c>
      <c r="E1839" s="2" t="s">
        <v>5235</v>
      </c>
      <c r="F1839" s="2" t="s">
        <v>6434</v>
      </c>
      <c r="G1839" s="2" t="s">
        <v>6434</v>
      </c>
      <c r="H1839" s="2" t="s">
        <v>6434</v>
      </c>
      <c r="I1839" s="2" t="s">
        <v>6435</v>
      </c>
      <c r="J1839" s="2" t="s">
        <v>522</v>
      </c>
      <c r="K1839" s="2" t="s">
        <v>96</v>
      </c>
      <c r="L1839" s="3">
        <v>23.04</v>
      </c>
      <c r="M1839" s="3">
        <v>24.19</v>
      </c>
      <c r="N1839" s="3">
        <v>49.99</v>
      </c>
      <c r="O1839" s="2" t="s">
        <v>97</v>
      </c>
      <c r="P1839" s="2" t="s">
        <v>317</v>
      </c>
      <c r="Q1839" s="2" t="s">
        <v>99</v>
      </c>
      <c r="R1839" s="2" t="s">
        <v>100</v>
      </c>
      <c r="S1839" s="2" t="s">
        <v>100</v>
      </c>
      <c r="T1839" s="2" t="s">
        <v>5327</v>
      </c>
      <c r="U1839" s="2" t="s">
        <v>100</v>
      </c>
      <c r="V1839" s="2" t="s">
        <v>461</v>
      </c>
      <c r="W1839" s="2" t="s">
        <v>609</v>
      </c>
      <c r="X1839" s="2" t="s">
        <v>525</v>
      </c>
      <c r="Y1839" s="2" t="s">
        <v>2511</v>
      </c>
      <c r="Z1839" s="4">
        <v>560</v>
      </c>
      <c r="AA1839" s="4">
        <f>=ROUNDDOWN(18.6666666666667,0)</f>
      </c>
      <c r="AB1839" s="5">
        <v>30</v>
      </c>
      <c r="AC1839" s="2" t="s">
        <v>307</v>
      </c>
      <c r="AD1839" s="4">
        <v>350</v>
      </c>
      <c r="AE1839" s="4">
        <v>750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 t="s">
        <v>100</v>
      </c>
      <c r="AW1839" s="8" t="s">
        <v>100</v>
      </c>
      <c r="AX1839" s="4" t="s">
        <v>100</v>
      </c>
      <c r="AY1839" s="8" t="s">
        <v>100</v>
      </c>
      <c r="AZ1839" s="7" t="s">
        <v>100</v>
      </c>
      <c r="BA1839" s="7" t="s">
        <v>100</v>
      </c>
      <c r="BB1839" s="7"/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 t="s">
        <v>100</v>
      </c>
      <c r="BJ1839" s="4">
        <v>58</v>
      </c>
      <c r="BK1839" s="8">
        <v>1384.19</v>
      </c>
      <c r="BL1839" s="2" t="s">
        <v>6446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109</v>
      </c>
      <c r="BV1839" s="2" t="s">
        <v>97</v>
      </c>
      <c r="BW1839" s="2" t="s">
        <v>6202</v>
      </c>
      <c r="BX1839" s="2" t="s">
        <v>6447</v>
      </c>
      <c r="BY1839" s="2" t="s">
        <v>112</v>
      </c>
      <c r="BZ1839" s="2" t="s">
        <v>100</v>
      </c>
    </row>
    <row r="1840">
      <c r="A1840" s="2" t="s">
        <v>6448</v>
      </c>
      <c r="B1840" s="2" t="s">
        <v>5155</v>
      </c>
      <c r="C1840" s="2" t="s">
        <v>2357</v>
      </c>
      <c r="D1840" s="2" t="s">
        <v>4216</v>
      </c>
      <c r="E1840" s="2" t="s">
        <v>5235</v>
      </c>
      <c r="F1840" s="2" t="s">
        <v>6434</v>
      </c>
      <c r="G1840" s="2" t="s">
        <v>6434</v>
      </c>
      <c r="H1840" s="2" t="s">
        <v>6434</v>
      </c>
      <c r="I1840" s="2" t="s">
        <v>6435</v>
      </c>
      <c r="J1840" s="2" t="s">
        <v>114</v>
      </c>
      <c r="K1840" s="2" t="s">
        <v>96</v>
      </c>
      <c r="L1840" s="3">
        <v>28.73</v>
      </c>
      <c r="M1840" s="3">
        <v>30.17</v>
      </c>
      <c r="N1840" s="3">
        <v>59.99</v>
      </c>
      <c r="O1840" s="2" t="s">
        <v>97</v>
      </c>
      <c r="P1840" s="2" t="s">
        <v>317</v>
      </c>
      <c r="Q1840" s="2" t="s">
        <v>99</v>
      </c>
      <c r="R1840" s="2" t="s">
        <v>100</v>
      </c>
      <c r="S1840" s="2" t="s">
        <v>100</v>
      </c>
      <c r="T1840" s="2" t="s">
        <v>5327</v>
      </c>
      <c r="U1840" s="2" t="s">
        <v>100</v>
      </c>
      <c r="V1840" s="2" t="s">
        <v>461</v>
      </c>
      <c r="W1840" s="2" t="s">
        <v>609</v>
      </c>
      <c r="X1840" s="2" t="s">
        <v>525</v>
      </c>
      <c r="Y1840" s="2" t="s">
        <v>2511</v>
      </c>
      <c r="Z1840" s="4">
        <v>443</v>
      </c>
      <c r="AA1840" s="4">
        <f>=ROUNDDOWN(17.72,0)</f>
      </c>
      <c r="AB1840" s="5">
        <v>25</v>
      </c>
      <c r="AC1840" s="2" t="s">
        <v>307</v>
      </c>
      <c r="AD1840" s="4">
        <v>350</v>
      </c>
      <c r="AE1840" s="4">
        <v>700</v>
      </c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1</v>
      </c>
      <c r="AQ1840" s="8">
        <v>36.51</v>
      </c>
      <c r="AR1840" s="4"/>
      <c r="AS1840" s="8"/>
      <c r="AT1840" s="7"/>
      <c r="AU1840" s="7"/>
      <c r="AV1840" s="4" t="s">
        <v>100</v>
      </c>
      <c r="AW1840" s="8" t="s">
        <v>100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>
        <v>1</v>
      </c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 t="s">
        <v>100</v>
      </c>
      <c r="BJ1840" s="4">
        <v>42</v>
      </c>
      <c r="BK1840" s="8">
        <v>1235.48</v>
      </c>
      <c r="BL1840" s="2" t="s">
        <v>6449</v>
      </c>
      <c r="BM1840" s="7">
        <v>0.0238</v>
      </c>
      <c r="BN1840" s="7">
        <v>0.0296</v>
      </c>
      <c r="BO1840" s="4">
        <v>1</v>
      </c>
      <c r="BP1840" s="8">
        <v>36.51</v>
      </c>
      <c r="BQ1840" s="4"/>
      <c r="BR1840" s="8"/>
      <c r="BS1840" s="7"/>
      <c r="BT1840" s="7"/>
      <c r="BU1840" s="2" t="s">
        <v>109</v>
      </c>
      <c r="BV1840" s="2" t="s">
        <v>97</v>
      </c>
      <c r="BW1840" s="2" t="s">
        <v>6202</v>
      </c>
      <c r="BX1840" s="2" t="s">
        <v>6276</v>
      </c>
      <c r="BY1840" s="2" t="s">
        <v>112</v>
      </c>
      <c r="BZ1840" s="2" t="s">
        <v>100</v>
      </c>
    </row>
    <row r="1841">
      <c r="A1841" s="2" t="s">
        <v>6450</v>
      </c>
      <c r="B1841" s="2" t="s">
        <v>5155</v>
      </c>
      <c r="C1841" s="2" t="s">
        <v>2357</v>
      </c>
      <c r="D1841" s="2" t="s">
        <v>4216</v>
      </c>
      <c r="E1841" s="2" t="s">
        <v>5235</v>
      </c>
      <c r="F1841" s="2" t="s">
        <v>6434</v>
      </c>
      <c r="G1841" s="2" t="s">
        <v>6434</v>
      </c>
      <c r="H1841" s="2" t="s">
        <v>6434</v>
      </c>
      <c r="I1841" s="2" t="s">
        <v>6435</v>
      </c>
      <c r="J1841" s="2" t="s">
        <v>1443</v>
      </c>
      <c r="K1841" s="2" t="s">
        <v>523</v>
      </c>
      <c r="L1841" s="3">
        <v>17.19</v>
      </c>
      <c r="M1841" s="3">
        <v>18.05</v>
      </c>
      <c r="N1841" s="3">
        <v>37.99</v>
      </c>
      <c r="O1841" s="2" t="s">
        <v>97</v>
      </c>
      <c r="P1841" s="2" t="s">
        <v>139</v>
      </c>
      <c r="Q1841" s="2" t="s">
        <v>99</v>
      </c>
      <c r="R1841" s="2" t="s">
        <v>100</v>
      </c>
      <c r="S1841" s="2" t="s">
        <v>100</v>
      </c>
      <c r="T1841" s="2" t="s">
        <v>5327</v>
      </c>
      <c r="U1841" s="2" t="s">
        <v>100</v>
      </c>
      <c r="V1841" s="2" t="s">
        <v>461</v>
      </c>
      <c r="W1841" s="2" t="s">
        <v>609</v>
      </c>
      <c r="X1841" s="2" t="s">
        <v>525</v>
      </c>
      <c r="Y1841" s="2" t="s">
        <v>2511</v>
      </c>
      <c r="Z1841" s="4">
        <v>488</v>
      </c>
      <c r="AA1841" s="4">
        <f>=ROUNDDOWN(30.5,0)</f>
      </c>
      <c r="AB1841" s="5">
        <v>16</v>
      </c>
      <c r="AC1841" s="2" t="s">
        <v>2008</v>
      </c>
      <c r="AD1841" s="4">
        <v>150</v>
      </c>
      <c r="AE1841" s="4">
        <v>250</v>
      </c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>
        <v>1</v>
      </c>
      <c r="AW1841" s="8">
        <v>36.51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/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>
        <v>0.2941</v>
      </c>
      <c r="BJ1841" s="4">
        <v>30</v>
      </c>
      <c r="BK1841" s="8">
        <v>553.17</v>
      </c>
      <c r="BL1841" s="2" t="s">
        <v>384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109</v>
      </c>
      <c r="BV1841" s="2" t="s">
        <v>97</v>
      </c>
      <c r="BW1841" s="2" t="s">
        <v>6451</v>
      </c>
      <c r="BX1841" s="2" t="s">
        <v>6452</v>
      </c>
      <c r="BY1841" s="2" t="s">
        <v>112</v>
      </c>
      <c r="BZ1841" s="2" t="s">
        <v>100</v>
      </c>
    </row>
    <row r="1842">
      <c r="A1842" s="2" t="s">
        <v>6453</v>
      </c>
      <c r="B1842" s="2" t="s">
        <v>5155</v>
      </c>
      <c r="C1842" s="2" t="s">
        <v>2357</v>
      </c>
      <c r="D1842" s="2" t="s">
        <v>4216</v>
      </c>
      <c r="E1842" s="2" t="s">
        <v>5235</v>
      </c>
      <c r="F1842" s="2" t="s">
        <v>6434</v>
      </c>
      <c r="G1842" s="2" t="s">
        <v>6434</v>
      </c>
      <c r="H1842" s="2" t="s">
        <v>6434</v>
      </c>
      <c r="I1842" s="2" t="s">
        <v>6435</v>
      </c>
      <c r="J1842" s="2" t="s">
        <v>522</v>
      </c>
      <c r="K1842" s="2" t="s">
        <v>523</v>
      </c>
      <c r="L1842" s="3">
        <v>23.04</v>
      </c>
      <c r="M1842" s="3">
        <v>24.19</v>
      </c>
      <c r="N1842" s="3">
        <v>49.99</v>
      </c>
      <c r="O1842" s="2" t="s">
        <v>97</v>
      </c>
      <c r="P1842" s="2" t="s">
        <v>139</v>
      </c>
      <c r="Q1842" s="2" t="s">
        <v>99</v>
      </c>
      <c r="R1842" s="2" t="s">
        <v>100</v>
      </c>
      <c r="S1842" s="2" t="s">
        <v>100</v>
      </c>
      <c r="T1842" s="2" t="s">
        <v>5327</v>
      </c>
      <c r="U1842" s="2" t="s">
        <v>100</v>
      </c>
      <c r="V1842" s="2" t="s">
        <v>461</v>
      </c>
      <c r="W1842" s="2" t="s">
        <v>609</v>
      </c>
      <c r="X1842" s="2" t="s">
        <v>525</v>
      </c>
      <c r="Y1842" s="2" t="s">
        <v>2511</v>
      </c>
      <c r="Z1842" s="4">
        <v>454</v>
      </c>
      <c r="AA1842" s="4">
        <f>=ROUNDDOWN(15.1333333333333,0)</f>
      </c>
      <c r="AB1842" s="5">
        <v>30</v>
      </c>
      <c r="AC1842" s="2" t="s">
        <v>307</v>
      </c>
      <c r="AD1842" s="4">
        <v>200</v>
      </c>
      <c r="AE1842" s="4">
        <v>800</v>
      </c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 t="s">
        <v>100</v>
      </c>
      <c r="AW1842" s="8" t="s">
        <v>100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/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 t="s">
        <v>100</v>
      </c>
      <c r="BJ1842" s="4">
        <v>45</v>
      </c>
      <c r="BK1842" s="8">
        <v>1078.61</v>
      </c>
      <c r="BL1842" s="2" t="s">
        <v>1494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109</v>
      </c>
      <c r="BV1842" s="2" t="s">
        <v>97</v>
      </c>
      <c r="BW1842" s="2" t="s">
        <v>6202</v>
      </c>
      <c r="BX1842" s="2" t="s">
        <v>6454</v>
      </c>
      <c r="BY1842" s="2" t="s">
        <v>112</v>
      </c>
      <c r="BZ1842" s="2" t="s">
        <v>100</v>
      </c>
    </row>
    <row r="1843">
      <c r="A1843" s="2" t="s">
        <v>6455</v>
      </c>
      <c r="B1843" s="2" t="s">
        <v>5155</v>
      </c>
      <c r="C1843" s="2" t="s">
        <v>2357</v>
      </c>
      <c r="D1843" s="2" t="s">
        <v>4216</v>
      </c>
      <c r="E1843" s="2" t="s">
        <v>5235</v>
      </c>
      <c r="F1843" s="2" t="s">
        <v>6434</v>
      </c>
      <c r="G1843" s="2" t="s">
        <v>6434</v>
      </c>
      <c r="H1843" s="2" t="s">
        <v>6434</v>
      </c>
      <c r="I1843" s="2" t="s">
        <v>6435</v>
      </c>
      <c r="J1843" s="2" t="s">
        <v>114</v>
      </c>
      <c r="K1843" s="2" t="s">
        <v>523</v>
      </c>
      <c r="L1843" s="3">
        <v>28.73</v>
      </c>
      <c r="M1843" s="3">
        <v>30.17</v>
      </c>
      <c r="N1843" s="3">
        <v>59.99</v>
      </c>
      <c r="O1843" s="2" t="s">
        <v>97</v>
      </c>
      <c r="P1843" s="2" t="s">
        <v>139</v>
      </c>
      <c r="Q1843" s="2" t="s">
        <v>99</v>
      </c>
      <c r="R1843" s="2" t="s">
        <v>100</v>
      </c>
      <c r="S1843" s="2" t="s">
        <v>100</v>
      </c>
      <c r="T1843" s="2" t="s">
        <v>5327</v>
      </c>
      <c r="U1843" s="2" t="s">
        <v>100</v>
      </c>
      <c r="V1843" s="2" t="s">
        <v>461</v>
      </c>
      <c r="W1843" s="2" t="s">
        <v>609</v>
      </c>
      <c r="X1843" s="2" t="s">
        <v>525</v>
      </c>
      <c r="Y1843" s="2" t="s">
        <v>2511</v>
      </c>
      <c r="Z1843" s="4">
        <v>176</v>
      </c>
      <c r="AA1843" s="4">
        <f>=ROUNDDOWN(8,0)</f>
      </c>
      <c r="AB1843" s="5">
        <v>22</v>
      </c>
      <c r="AC1843" s="2" t="s">
        <v>307</v>
      </c>
      <c r="AD1843" s="4">
        <v>200</v>
      </c>
      <c r="AE1843" s="4">
        <v>750</v>
      </c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1</v>
      </c>
      <c r="AQ1843" s="8">
        <v>36.51</v>
      </c>
      <c r="AR1843" s="4"/>
      <c r="AS1843" s="8"/>
      <c r="AT1843" s="7"/>
      <c r="AU1843" s="7"/>
      <c r="AV1843" s="4" t="s">
        <v>100</v>
      </c>
      <c r="AW1843" s="8" t="s">
        <v>100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1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 t="s">
        <v>100</v>
      </c>
      <c r="BJ1843" s="4">
        <v>60</v>
      </c>
      <c r="BK1843" s="8">
        <v>1786.1</v>
      </c>
      <c r="BL1843" s="2" t="s">
        <v>6456</v>
      </c>
      <c r="BM1843" s="7">
        <v>0.0167</v>
      </c>
      <c r="BN1843" s="7">
        <v>0.0204</v>
      </c>
      <c r="BO1843" s="4">
        <v>1</v>
      </c>
      <c r="BP1843" s="8">
        <v>36.51</v>
      </c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5057</v>
      </c>
      <c r="BX1843" s="2" t="s">
        <v>6457</v>
      </c>
      <c r="BY1843" s="2" t="s">
        <v>112</v>
      </c>
      <c r="BZ1843" s="2" t="s">
        <v>100</v>
      </c>
    </row>
    <row r="1844">
      <c r="A1844" s="2" t="s">
        <v>6458</v>
      </c>
      <c r="B1844" s="2" t="s">
        <v>5155</v>
      </c>
      <c r="C1844" s="2" t="s">
        <v>2357</v>
      </c>
      <c r="D1844" s="2" t="s">
        <v>4216</v>
      </c>
      <c r="E1844" s="2" t="s">
        <v>5235</v>
      </c>
      <c r="F1844" s="2" t="s">
        <v>6434</v>
      </c>
      <c r="G1844" s="2" t="s">
        <v>6434</v>
      </c>
      <c r="H1844" s="2" t="s">
        <v>6434</v>
      </c>
      <c r="I1844" s="2" t="s">
        <v>6435</v>
      </c>
      <c r="J1844" s="2" t="s">
        <v>1443</v>
      </c>
      <c r="K1844" s="2" t="s">
        <v>165</v>
      </c>
      <c r="L1844" s="3">
        <v>17.19</v>
      </c>
      <c r="M1844" s="3">
        <v>18.05</v>
      </c>
      <c r="N1844" s="3">
        <v>37.99</v>
      </c>
      <c r="O1844" s="2" t="s">
        <v>97</v>
      </c>
      <c r="P1844" s="2" t="s">
        <v>98</v>
      </c>
      <c r="Q1844" s="2" t="s">
        <v>99</v>
      </c>
      <c r="R1844" s="2" t="s">
        <v>100</v>
      </c>
      <c r="S1844" s="2" t="s">
        <v>6459</v>
      </c>
      <c r="T1844" s="2" t="s">
        <v>5327</v>
      </c>
      <c r="U1844" s="2" t="s">
        <v>1776</v>
      </c>
      <c r="V1844" s="2" t="s">
        <v>461</v>
      </c>
      <c r="W1844" s="2" t="s">
        <v>609</v>
      </c>
      <c r="X1844" s="2" t="s">
        <v>525</v>
      </c>
      <c r="Y1844" s="2" t="s">
        <v>6460</v>
      </c>
      <c r="Z1844" s="4">
        <v>248</v>
      </c>
      <c r="AA1844" s="4">
        <f>=ROUNDDOWN(20.6666666666667,0)</f>
      </c>
      <c r="AB1844" s="5">
        <v>12</v>
      </c>
      <c r="AC1844" s="2" t="s">
        <v>307</v>
      </c>
      <c r="AD1844" s="4">
        <v>120</v>
      </c>
      <c r="AE1844" s="4">
        <v>240</v>
      </c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 t="s">
        <v>100</v>
      </c>
      <c r="AW1844" s="8" t="s">
        <v>100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/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 t="s">
        <v>100</v>
      </c>
      <c r="BJ1844" s="4">
        <v>15</v>
      </c>
      <c r="BK1844" s="8">
        <v>278.27</v>
      </c>
      <c r="BL1844" s="2" t="s">
        <v>3056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171</v>
      </c>
      <c r="BV1844" s="2" t="s">
        <v>97</v>
      </c>
      <c r="BW1844" s="2" t="s">
        <v>100</v>
      </c>
      <c r="BX1844" s="2" t="s">
        <v>100</v>
      </c>
      <c r="BY1844" s="2" t="s">
        <v>112</v>
      </c>
      <c r="BZ1844" s="2" t="s">
        <v>100</v>
      </c>
    </row>
    <row r="1845">
      <c r="A1845" s="2" t="s">
        <v>6461</v>
      </c>
      <c r="B1845" s="2" t="s">
        <v>5155</v>
      </c>
      <c r="C1845" s="2" t="s">
        <v>2357</v>
      </c>
      <c r="D1845" s="2" t="s">
        <v>4216</v>
      </c>
      <c r="E1845" s="2" t="s">
        <v>5235</v>
      </c>
      <c r="F1845" s="2" t="s">
        <v>6434</v>
      </c>
      <c r="G1845" s="2" t="s">
        <v>6434</v>
      </c>
      <c r="H1845" s="2" t="s">
        <v>6434</v>
      </c>
      <c r="I1845" s="2" t="s">
        <v>6435</v>
      </c>
      <c r="J1845" s="2" t="s">
        <v>522</v>
      </c>
      <c r="K1845" s="2" t="s">
        <v>165</v>
      </c>
      <c r="L1845" s="3">
        <v>23.04</v>
      </c>
      <c r="M1845" s="3">
        <v>24.19</v>
      </c>
      <c r="N1845" s="3">
        <v>49.99</v>
      </c>
      <c r="O1845" s="2" t="s">
        <v>97</v>
      </c>
      <c r="P1845" s="2" t="s">
        <v>98</v>
      </c>
      <c r="Q1845" s="2" t="s">
        <v>99</v>
      </c>
      <c r="R1845" s="2" t="s">
        <v>100</v>
      </c>
      <c r="S1845" s="2" t="s">
        <v>6459</v>
      </c>
      <c r="T1845" s="2" t="s">
        <v>5327</v>
      </c>
      <c r="U1845" s="2" t="s">
        <v>1776</v>
      </c>
      <c r="V1845" s="2" t="s">
        <v>461</v>
      </c>
      <c r="W1845" s="2" t="s">
        <v>609</v>
      </c>
      <c r="X1845" s="2" t="s">
        <v>525</v>
      </c>
      <c r="Y1845" s="2" t="s">
        <v>6460</v>
      </c>
      <c r="Z1845" s="4">
        <v>387</v>
      </c>
      <c r="AA1845" s="4">
        <f>=ROUNDDOWN(19.35,0)</f>
      </c>
      <c r="AB1845" s="5">
        <v>20</v>
      </c>
      <c r="AC1845" s="2" t="s">
        <v>307</v>
      </c>
      <c r="AD1845" s="4">
        <v>260</v>
      </c>
      <c r="AE1845" s="4">
        <v>580</v>
      </c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 t="s">
        <v>100</v>
      </c>
      <c r="AW1845" s="8" t="s">
        <v>100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/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 t="s">
        <v>100</v>
      </c>
      <c r="BJ1845" s="4">
        <v>23</v>
      </c>
      <c r="BK1845" s="8">
        <v>555.93</v>
      </c>
      <c r="BL1845" s="2" t="s">
        <v>2337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171</v>
      </c>
      <c r="BV1845" s="2" t="s">
        <v>97</v>
      </c>
      <c r="BW1845" s="2" t="s">
        <v>100</v>
      </c>
      <c r="BX1845" s="2" t="s">
        <v>100</v>
      </c>
      <c r="BY1845" s="2" t="s">
        <v>112</v>
      </c>
      <c r="BZ1845" s="2" t="s">
        <v>100</v>
      </c>
    </row>
    <row r="1846">
      <c r="A1846" s="2" t="s">
        <v>6462</v>
      </c>
      <c r="B1846" s="2" t="s">
        <v>5155</v>
      </c>
      <c r="C1846" s="2" t="s">
        <v>2357</v>
      </c>
      <c r="D1846" s="2" t="s">
        <v>4216</v>
      </c>
      <c r="E1846" s="2" t="s">
        <v>5235</v>
      </c>
      <c r="F1846" s="2" t="s">
        <v>6434</v>
      </c>
      <c r="G1846" s="2" t="s">
        <v>6434</v>
      </c>
      <c r="H1846" s="2" t="s">
        <v>6434</v>
      </c>
      <c r="I1846" s="2" t="s">
        <v>6435</v>
      </c>
      <c r="J1846" s="2" t="s">
        <v>114</v>
      </c>
      <c r="K1846" s="2" t="s">
        <v>165</v>
      </c>
      <c r="L1846" s="3">
        <v>28.73</v>
      </c>
      <c r="M1846" s="3">
        <v>30.17</v>
      </c>
      <c r="N1846" s="3">
        <v>59.99</v>
      </c>
      <c r="O1846" s="2" t="s">
        <v>97</v>
      </c>
      <c r="P1846" s="2" t="s">
        <v>98</v>
      </c>
      <c r="Q1846" s="2" t="s">
        <v>99</v>
      </c>
      <c r="R1846" s="2" t="s">
        <v>100</v>
      </c>
      <c r="S1846" s="2" t="s">
        <v>6459</v>
      </c>
      <c r="T1846" s="2" t="s">
        <v>5327</v>
      </c>
      <c r="U1846" s="2" t="s">
        <v>1776</v>
      </c>
      <c r="V1846" s="2" t="s">
        <v>461</v>
      </c>
      <c r="W1846" s="2" t="s">
        <v>609</v>
      </c>
      <c r="X1846" s="2" t="s">
        <v>525</v>
      </c>
      <c r="Y1846" s="2" t="s">
        <v>6460</v>
      </c>
      <c r="Z1846" s="4">
        <v>262</v>
      </c>
      <c r="AA1846" s="4">
        <f>=ROUNDDOWN(18.7142857142857,0)</f>
      </c>
      <c r="AB1846" s="5">
        <v>14</v>
      </c>
      <c r="AC1846" s="2" t="s">
        <v>307</v>
      </c>
      <c r="AD1846" s="4">
        <v>220</v>
      </c>
      <c r="AE1846" s="4">
        <v>520</v>
      </c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 t="s">
        <v>100</v>
      </c>
      <c r="AW1846" s="8" t="s">
        <v>100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/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 t="s">
        <v>100</v>
      </c>
      <c r="BJ1846" s="4">
        <v>24</v>
      </c>
      <c r="BK1846" s="8">
        <v>715.45</v>
      </c>
      <c r="BL1846" s="2" t="s">
        <v>1368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171</v>
      </c>
      <c r="BV1846" s="2" t="s">
        <v>97</v>
      </c>
      <c r="BW1846" s="2" t="s">
        <v>100</v>
      </c>
      <c r="BX1846" s="2" t="s">
        <v>100</v>
      </c>
      <c r="BY1846" s="2" t="s">
        <v>112</v>
      </c>
      <c r="BZ1846" s="2" t="s">
        <v>100</v>
      </c>
    </row>
    <row r="1847">
      <c r="A1847" s="2" t="s">
        <v>6463</v>
      </c>
      <c r="B1847" s="2" t="s">
        <v>5155</v>
      </c>
      <c r="C1847" s="2" t="s">
        <v>2357</v>
      </c>
      <c r="D1847" s="2" t="s">
        <v>4216</v>
      </c>
      <c r="E1847" s="2" t="s">
        <v>5235</v>
      </c>
      <c r="F1847" s="2" t="s">
        <v>6434</v>
      </c>
      <c r="G1847" s="2" t="s">
        <v>6434</v>
      </c>
      <c r="H1847" s="2" t="s">
        <v>6434</v>
      </c>
      <c r="I1847" s="2" t="s">
        <v>6435</v>
      </c>
      <c r="J1847" s="2" t="s">
        <v>1443</v>
      </c>
      <c r="K1847" s="2" t="s">
        <v>138</v>
      </c>
      <c r="L1847" s="3">
        <v>17.19</v>
      </c>
      <c r="M1847" s="3">
        <v>18.05</v>
      </c>
      <c r="N1847" s="3">
        <v>37.99</v>
      </c>
      <c r="O1847" s="2" t="s">
        <v>97</v>
      </c>
      <c r="P1847" s="2" t="s">
        <v>98</v>
      </c>
      <c r="Q1847" s="2" t="s">
        <v>99</v>
      </c>
      <c r="R1847" s="2" t="s">
        <v>100</v>
      </c>
      <c r="S1847" s="2" t="s">
        <v>6464</v>
      </c>
      <c r="T1847" s="2" t="s">
        <v>5327</v>
      </c>
      <c r="U1847" s="2" t="s">
        <v>1776</v>
      </c>
      <c r="V1847" s="2" t="s">
        <v>461</v>
      </c>
      <c r="W1847" s="2" t="s">
        <v>609</v>
      </c>
      <c r="X1847" s="2" t="s">
        <v>525</v>
      </c>
      <c r="Y1847" s="2" t="s">
        <v>6460</v>
      </c>
      <c r="Z1847" s="4">
        <v>183</v>
      </c>
      <c r="AA1847" s="4">
        <f>=ROUNDDOWN(12.2,0)</f>
      </c>
      <c r="AB1847" s="5">
        <v>15</v>
      </c>
      <c r="AC1847" s="2" t="s">
        <v>307</v>
      </c>
      <c r="AD1847" s="4">
        <v>250</v>
      </c>
      <c r="AE1847" s="4">
        <v>320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 t="s">
        <v>100</v>
      </c>
      <c r="AW1847" s="8" t="s">
        <v>100</v>
      </c>
      <c r="AX1847" s="4" t="s">
        <v>100</v>
      </c>
      <c r="AY1847" s="8" t="s">
        <v>100</v>
      </c>
      <c r="AZ1847" s="7" t="s">
        <v>100</v>
      </c>
      <c r="BA1847" s="7" t="s">
        <v>100</v>
      </c>
      <c r="BB1847" s="7"/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 t="s">
        <v>100</v>
      </c>
      <c r="BJ1847" s="4">
        <v>16</v>
      </c>
      <c r="BK1847" s="8">
        <v>291.2</v>
      </c>
      <c r="BL1847" s="2" t="s">
        <v>1082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171</v>
      </c>
      <c r="BV1847" s="2" t="s">
        <v>97</v>
      </c>
      <c r="BW1847" s="2" t="s">
        <v>100</v>
      </c>
      <c r="BX1847" s="2" t="s">
        <v>100</v>
      </c>
      <c r="BY1847" s="2" t="s">
        <v>112</v>
      </c>
      <c r="BZ1847" s="2" t="s">
        <v>100</v>
      </c>
    </row>
    <row r="1848">
      <c r="A1848" s="2" t="s">
        <v>6465</v>
      </c>
      <c r="B1848" s="2" t="s">
        <v>5155</v>
      </c>
      <c r="C1848" s="2" t="s">
        <v>2357</v>
      </c>
      <c r="D1848" s="2" t="s">
        <v>4216</v>
      </c>
      <c r="E1848" s="2" t="s">
        <v>5235</v>
      </c>
      <c r="F1848" s="2" t="s">
        <v>6434</v>
      </c>
      <c r="G1848" s="2" t="s">
        <v>6434</v>
      </c>
      <c r="H1848" s="2" t="s">
        <v>6434</v>
      </c>
      <c r="I1848" s="2" t="s">
        <v>6435</v>
      </c>
      <c r="J1848" s="2" t="s">
        <v>522</v>
      </c>
      <c r="K1848" s="2" t="s">
        <v>138</v>
      </c>
      <c r="L1848" s="3">
        <v>23.04</v>
      </c>
      <c r="M1848" s="3">
        <v>24.19</v>
      </c>
      <c r="N1848" s="3">
        <v>49.99</v>
      </c>
      <c r="O1848" s="2" t="s">
        <v>97</v>
      </c>
      <c r="P1848" s="2" t="s">
        <v>98</v>
      </c>
      <c r="Q1848" s="2" t="s">
        <v>99</v>
      </c>
      <c r="R1848" s="2" t="s">
        <v>100</v>
      </c>
      <c r="S1848" s="2" t="s">
        <v>6464</v>
      </c>
      <c r="T1848" s="2" t="s">
        <v>5327</v>
      </c>
      <c r="U1848" s="2" t="s">
        <v>1776</v>
      </c>
      <c r="V1848" s="2" t="s">
        <v>461</v>
      </c>
      <c r="W1848" s="2" t="s">
        <v>609</v>
      </c>
      <c r="X1848" s="2" t="s">
        <v>525</v>
      </c>
      <c r="Y1848" s="2" t="s">
        <v>6460</v>
      </c>
      <c r="Z1848" s="4">
        <v>335</v>
      </c>
      <c r="AA1848" s="4">
        <f>=ROUNDDOWN(12.8846153846154,0)</f>
      </c>
      <c r="AB1848" s="5">
        <v>26</v>
      </c>
      <c r="AC1848" s="2" t="s">
        <v>307</v>
      </c>
      <c r="AD1848" s="4">
        <v>320</v>
      </c>
      <c r="AE1848" s="4">
        <v>603</v>
      </c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 t="s">
        <v>100</v>
      </c>
      <c r="AW1848" s="8" t="s">
        <v>100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/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 t="s">
        <v>100</v>
      </c>
      <c r="BJ1848" s="4">
        <v>45</v>
      </c>
      <c r="BK1848" s="8">
        <v>1091.22</v>
      </c>
      <c r="BL1848" s="2" t="s">
        <v>384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171</v>
      </c>
      <c r="BV1848" s="2" t="s">
        <v>97</v>
      </c>
      <c r="BW1848" s="2" t="s">
        <v>100</v>
      </c>
      <c r="BX1848" s="2" t="s">
        <v>100</v>
      </c>
      <c r="BY1848" s="2" t="s">
        <v>112</v>
      </c>
      <c r="BZ1848" s="2" t="s">
        <v>100</v>
      </c>
    </row>
    <row r="1849">
      <c r="A1849" s="2" t="s">
        <v>6466</v>
      </c>
      <c r="B1849" s="2" t="s">
        <v>5155</v>
      </c>
      <c r="C1849" s="2" t="s">
        <v>2357</v>
      </c>
      <c r="D1849" s="2" t="s">
        <v>4216</v>
      </c>
      <c r="E1849" s="2" t="s">
        <v>5235</v>
      </c>
      <c r="F1849" s="2" t="s">
        <v>6434</v>
      </c>
      <c r="G1849" s="2" t="s">
        <v>6434</v>
      </c>
      <c r="H1849" s="2" t="s">
        <v>6434</v>
      </c>
      <c r="I1849" s="2" t="s">
        <v>6435</v>
      </c>
      <c r="J1849" s="2" t="s">
        <v>114</v>
      </c>
      <c r="K1849" s="2" t="s">
        <v>138</v>
      </c>
      <c r="L1849" s="3">
        <v>28.73</v>
      </c>
      <c r="M1849" s="3">
        <v>30.17</v>
      </c>
      <c r="N1849" s="3">
        <v>59.99</v>
      </c>
      <c r="O1849" s="2" t="s">
        <v>97</v>
      </c>
      <c r="P1849" s="2" t="s">
        <v>98</v>
      </c>
      <c r="Q1849" s="2" t="s">
        <v>99</v>
      </c>
      <c r="R1849" s="2" t="s">
        <v>100</v>
      </c>
      <c r="S1849" s="2" t="s">
        <v>6464</v>
      </c>
      <c r="T1849" s="2" t="s">
        <v>5327</v>
      </c>
      <c r="U1849" s="2" t="s">
        <v>1776</v>
      </c>
      <c r="V1849" s="2" t="s">
        <v>461</v>
      </c>
      <c r="W1849" s="2" t="s">
        <v>609</v>
      </c>
      <c r="X1849" s="2" t="s">
        <v>525</v>
      </c>
      <c r="Y1849" s="2" t="s">
        <v>6460</v>
      </c>
      <c r="Z1849" s="4">
        <v>275</v>
      </c>
      <c r="AA1849" s="4">
        <f>=ROUNDDOWN(13.0952380952381,0)</f>
      </c>
      <c r="AB1849" s="5">
        <v>21</v>
      </c>
      <c r="AC1849" s="2" t="s">
        <v>307</v>
      </c>
      <c r="AD1849" s="4">
        <v>200</v>
      </c>
      <c r="AE1849" s="4">
        <v>580</v>
      </c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 t="s">
        <v>100</v>
      </c>
      <c r="AW1849" s="8" t="s">
        <v>100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/>
      <c r="BC1849" s="4" t="s">
        <v>100</v>
      </c>
      <c r="BD1849" s="8" t="s">
        <v>100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 t="s">
        <v>100</v>
      </c>
      <c r="BJ1849" s="4">
        <v>34</v>
      </c>
      <c r="BK1849" s="8">
        <v>1017.16</v>
      </c>
      <c r="BL1849" s="2" t="s">
        <v>6467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171</v>
      </c>
      <c r="BV1849" s="2" t="s">
        <v>97</v>
      </c>
      <c r="BW1849" s="2" t="s">
        <v>100</v>
      </c>
      <c r="BX1849" s="2" t="s">
        <v>100</v>
      </c>
      <c r="BY1849" s="2" t="s">
        <v>112</v>
      </c>
      <c r="BZ1849" s="2" t="s">
        <v>100</v>
      </c>
    </row>
    <row r="1850">
      <c r="A1850" s="2" t="s">
        <v>6468</v>
      </c>
      <c r="B1850" s="2" t="s">
        <v>5155</v>
      </c>
      <c r="C1850" s="2" t="s">
        <v>2357</v>
      </c>
      <c r="D1850" s="2" t="s">
        <v>4216</v>
      </c>
      <c r="E1850" s="2" t="s">
        <v>5235</v>
      </c>
      <c r="F1850" s="2" t="s">
        <v>6434</v>
      </c>
      <c r="G1850" s="2" t="s">
        <v>6434</v>
      </c>
      <c r="H1850" s="2" t="s">
        <v>6434</v>
      </c>
      <c r="I1850" s="2" t="s">
        <v>6435</v>
      </c>
      <c r="J1850" s="2" t="s">
        <v>1443</v>
      </c>
      <c r="K1850" s="2" t="s">
        <v>256</v>
      </c>
      <c r="L1850" s="3">
        <v>17.19</v>
      </c>
      <c r="M1850" s="3">
        <v>18.05</v>
      </c>
      <c r="N1850" s="3">
        <v>37.99</v>
      </c>
      <c r="O1850" s="2" t="s">
        <v>97</v>
      </c>
      <c r="P1850" s="2" t="s">
        <v>156</v>
      </c>
      <c r="Q1850" s="2" t="s">
        <v>99</v>
      </c>
      <c r="R1850" s="2" t="s">
        <v>100</v>
      </c>
      <c r="S1850" s="2" t="s">
        <v>6469</v>
      </c>
      <c r="T1850" s="2" t="s">
        <v>5327</v>
      </c>
      <c r="U1850" s="2" t="s">
        <v>1776</v>
      </c>
      <c r="V1850" s="2" t="s">
        <v>461</v>
      </c>
      <c r="W1850" s="2" t="s">
        <v>609</v>
      </c>
      <c r="X1850" s="2" t="s">
        <v>525</v>
      </c>
      <c r="Y1850" s="2" t="s">
        <v>6460</v>
      </c>
      <c r="Z1850" s="4">
        <v>326</v>
      </c>
      <c r="AA1850" s="4">
        <f>=ROUNDDOWN(14.8181818181818,0)</f>
      </c>
      <c r="AB1850" s="5">
        <v>22</v>
      </c>
      <c r="AC1850" s="2" t="s">
        <v>307</v>
      </c>
      <c r="AD1850" s="4">
        <v>170</v>
      </c>
      <c r="AE1850" s="4">
        <v>320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 t="s">
        <v>100</v>
      </c>
      <c r="AW1850" s="8" t="s">
        <v>100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/>
      <c r="BC1850" s="4" t="s">
        <v>100</v>
      </c>
      <c r="BD1850" s="8" t="s">
        <v>100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 t="s">
        <v>100</v>
      </c>
      <c r="BJ1850" s="4">
        <v>33</v>
      </c>
      <c r="BK1850" s="8">
        <v>619.77</v>
      </c>
      <c r="BL1850" s="2" t="s">
        <v>788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171</v>
      </c>
      <c r="BV1850" s="2" t="s">
        <v>97</v>
      </c>
      <c r="BW1850" s="2" t="s">
        <v>100</v>
      </c>
      <c r="BX1850" s="2" t="s">
        <v>100</v>
      </c>
      <c r="BY1850" s="2" t="s">
        <v>112</v>
      </c>
      <c r="BZ1850" s="2" t="s">
        <v>100</v>
      </c>
    </row>
    <row r="1851">
      <c r="A1851" s="2" t="s">
        <v>6470</v>
      </c>
      <c r="B1851" s="2" t="s">
        <v>5155</v>
      </c>
      <c r="C1851" s="2" t="s">
        <v>2357</v>
      </c>
      <c r="D1851" s="2" t="s">
        <v>4216</v>
      </c>
      <c r="E1851" s="2" t="s">
        <v>5235</v>
      </c>
      <c r="F1851" s="2" t="s">
        <v>6434</v>
      </c>
      <c r="G1851" s="2" t="s">
        <v>6434</v>
      </c>
      <c r="H1851" s="2" t="s">
        <v>6434</v>
      </c>
      <c r="I1851" s="2" t="s">
        <v>6435</v>
      </c>
      <c r="J1851" s="2" t="s">
        <v>522</v>
      </c>
      <c r="K1851" s="2" t="s">
        <v>256</v>
      </c>
      <c r="L1851" s="3">
        <v>23.04</v>
      </c>
      <c r="M1851" s="3">
        <v>24.19</v>
      </c>
      <c r="N1851" s="3">
        <v>49.99</v>
      </c>
      <c r="O1851" s="2" t="s">
        <v>97</v>
      </c>
      <c r="P1851" s="2" t="s">
        <v>156</v>
      </c>
      <c r="Q1851" s="2" t="s">
        <v>99</v>
      </c>
      <c r="R1851" s="2" t="s">
        <v>100</v>
      </c>
      <c r="S1851" s="2" t="s">
        <v>6469</v>
      </c>
      <c r="T1851" s="2" t="s">
        <v>5327</v>
      </c>
      <c r="U1851" s="2" t="s">
        <v>1776</v>
      </c>
      <c r="V1851" s="2" t="s">
        <v>461</v>
      </c>
      <c r="W1851" s="2" t="s">
        <v>609</v>
      </c>
      <c r="X1851" s="2" t="s">
        <v>525</v>
      </c>
      <c r="Y1851" s="2" t="s">
        <v>6460</v>
      </c>
      <c r="Z1851" s="4">
        <v>416</v>
      </c>
      <c r="AA1851" s="4">
        <f>=ROUNDDOWN(12.6060606060606,0)</f>
      </c>
      <c r="AB1851" s="5">
        <v>33</v>
      </c>
      <c r="AC1851" s="2" t="s">
        <v>307</v>
      </c>
      <c r="AD1851" s="4">
        <v>240</v>
      </c>
      <c r="AE1851" s="4">
        <v>590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 t="s">
        <v>100</v>
      </c>
      <c r="AW1851" s="8" t="s">
        <v>100</v>
      </c>
      <c r="AX1851" s="4" t="s">
        <v>100</v>
      </c>
      <c r="AY1851" s="8" t="s">
        <v>100</v>
      </c>
      <c r="AZ1851" s="7" t="s">
        <v>100</v>
      </c>
      <c r="BA1851" s="7" t="s">
        <v>100</v>
      </c>
      <c r="BB1851" s="7"/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 t="s">
        <v>100</v>
      </c>
      <c r="BJ1851" s="4">
        <v>39</v>
      </c>
      <c r="BK1851" s="8">
        <v>955.05</v>
      </c>
      <c r="BL1851" s="2" t="s">
        <v>6471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171</v>
      </c>
      <c r="BV1851" s="2" t="s">
        <v>97</v>
      </c>
      <c r="BW1851" s="2" t="s">
        <v>100</v>
      </c>
      <c r="BX1851" s="2" t="s">
        <v>100</v>
      </c>
      <c r="BY1851" s="2" t="s">
        <v>112</v>
      </c>
      <c r="BZ1851" s="2" t="s">
        <v>100</v>
      </c>
    </row>
    <row r="1852">
      <c r="A1852" s="2" t="s">
        <v>6472</v>
      </c>
      <c r="B1852" s="2" t="s">
        <v>5155</v>
      </c>
      <c r="C1852" s="2" t="s">
        <v>2357</v>
      </c>
      <c r="D1852" s="2" t="s">
        <v>4216</v>
      </c>
      <c r="E1852" s="2" t="s">
        <v>5235</v>
      </c>
      <c r="F1852" s="2" t="s">
        <v>6434</v>
      </c>
      <c r="G1852" s="2" t="s">
        <v>6434</v>
      </c>
      <c r="H1852" s="2" t="s">
        <v>6434</v>
      </c>
      <c r="I1852" s="2" t="s">
        <v>6435</v>
      </c>
      <c r="J1852" s="2" t="s">
        <v>114</v>
      </c>
      <c r="K1852" s="2" t="s">
        <v>256</v>
      </c>
      <c r="L1852" s="3">
        <v>28.73</v>
      </c>
      <c r="M1852" s="3">
        <v>30.17</v>
      </c>
      <c r="N1852" s="3">
        <v>59.99</v>
      </c>
      <c r="O1852" s="2" t="s">
        <v>97</v>
      </c>
      <c r="P1852" s="2" t="s">
        <v>156</v>
      </c>
      <c r="Q1852" s="2" t="s">
        <v>99</v>
      </c>
      <c r="R1852" s="2" t="s">
        <v>100</v>
      </c>
      <c r="S1852" s="2" t="s">
        <v>6469</v>
      </c>
      <c r="T1852" s="2" t="s">
        <v>5327</v>
      </c>
      <c r="U1852" s="2" t="s">
        <v>1776</v>
      </c>
      <c r="V1852" s="2" t="s">
        <v>461</v>
      </c>
      <c r="W1852" s="2" t="s">
        <v>609</v>
      </c>
      <c r="X1852" s="2" t="s">
        <v>525</v>
      </c>
      <c r="Y1852" s="2" t="s">
        <v>6460</v>
      </c>
      <c r="Z1852" s="4">
        <v>324</v>
      </c>
      <c r="AA1852" s="4">
        <f>=ROUNDDOWN(18,0)</f>
      </c>
      <c r="AB1852" s="5">
        <v>18</v>
      </c>
      <c r="AC1852" s="2" t="s">
        <v>307</v>
      </c>
      <c r="AD1852" s="4">
        <v>170</v>
      </c>
      <c r="AE1852" s="4">
        <v>520</v>
      </c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 t="s">
        <v>100</v>
      </c>
      <c r="AW1852" s="8" t="s">
        <v>100</v>
      </c>
      <c r="AX1852" s="4" t="s">
        <v>100</v>
      </c>
      <c r="AY1852" s="8" t="s">
        <v>100</v>
      </c>
      <c r="AZ1852" s="7" t="s">
        <v>100</v>
      </c>
      <c r="BA1852" s="7" t="s">
        <v>100</v>
      </c>
      <c r="BB1852" s="7"/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 t="s">
        <v>100</v>
      </c>
      <c r="BJ1852" s="4">
        <v>27</v>
      </c>
      <c r="BK1852" s="8">
        <v>817.95</v>
      </c>
      <c r="BL1852" s="2" t="s">
        <v>6473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171</v>
      </c>
      <c r="BV1852" s="2" t="s">
        <v>97</v>
      </c>
      <c r="BW1852" s="2" t="s">
        <v>100</v>
      </c>
      <c r="BX1852" s="2" t="s">
        <v>100</v>
      </c>
      <c r="BY1852" s="2" t="s">
        <v>112</v>
      </c>
      <c r="BZ1852" s="2" t="s">
        <v>100</v>
      </c>
    </row>
    <row r="1853">
      <c r="A1853" s="2" t="s">
        <v>6474</v>
      </c>
      <c r="B1853" s="2" t="s">
        <v>5155</v>
      </c>
      <c r="C1853" s="2" t="s">
        <v>2357</v>
      </c>
      <c r="D1853" s="2" t="s">
        <v>4216</v>
      </c>
      <c r="E1853" s="2" t="s">
        <v>5235</v>
      </c>
      <c r="F1853" s="2" t="s">
        <v>6434</v>
      </c>
      <c r="G1853" s="2" t="s">
        <v>6434</v>
      </c>
      <c r="H1853" s="2" t="s">
        <v>6434</v>
      </c>
      <c r="I1853" s="2" t="s">
        <v>6435</v>
      </c>
      <c r="J1853" s="2" t="s">
        <v>1443</v>
      </c>
      <c r="K1853" s="2" t="s">
        <v>1373</v>
      </c>
      <c r="L1853" s="3">
        <v>17.19</v>
      </c>
      <c r="M1853" s="3">
        <v>18.05</v>
      </c>
      <c r="N1853" s="3">
        <v>37.99</v>
      </c>
      <c r="O1853" s="2" t="s">
        <v>97</v>
      </c>
      <c r="P1853" s="2" t="s">
        <v>317</v>
      </c>
      <c r="Q1853" s="2" t="s">
        <v>99</v>
      </c>
      <c r="R1853" s="2" t="s">
        <v>100</v>
      </c>
      <c r="S1853" s="2" t="s">
        <v>100</v>
      </c>
      <c r="T1853" s="2" t="s">
        <v>5327</v>
      </c>
      <c r="U1853" s="2" t="s">
        <v>100</v>
      </c>
      <c r="V1853" s="2" t="s">
        <v>461</v>
      </c>
      <c r="W1853" s="2" t="s">
        <v>609</v>
      </c>
      <c r="X1853" s="2" t="s">
        <v>525</v>
      </c>
      <c r="Y1853" s="2" t="s">
        <v>2511</v>
      </c>
      <c r="Z1853" s="4">
        <v>298</v>
      </c>
      <c r="AA1853" s="4">
        <f>=ROUNDDOWN(14.9,0)</f>
      </c>
      <c r="AB1853" s="5">
        <v>20</v>
      </c>
      <c r="AC1853" s="2" t="s">
        <v>307</v>
      </c>
      <c r="AD1853" s="4">
        <v>200</v>
      </c>
      <c r="AE1853" s="4">
        <v>350</v>
      </c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 t="s">
        <v>100</v>
      </c>
      <c r="AW1853" s="8" t="s">
        <v>100</v>
      </c>
      <c r="AX1853" s="4" t="s">
        <v>100</v>
      </c>
      <c r="AY1853" s="8" t="s">
        <v>100</v>
      </c>
      <c r="AZ1853" s="7" t="s">
        <v>100</v>
      </c>
      <c r="BA1853" s="7" t="s">
        <v>100</v>
      </c>
      <c r="BB1853" s="7"/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 t="s">
        <v>100</v>
      </c>
      <c r="BJ1853" s="4">
        <v>45</v>
      </c>
      <c r="BK1853" s="8">
        <v>846.69</v>
      </c>
      <c r="BL1853" s="2" t="s">
        <v>6475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109</v>
      </c>
      <c r="BV1853" s="2" t="s">
        <v>97</v>
      </c>
      <c r="BW1853" s="2" t="s">
        <v>6437</v>
      </c>
      <c r="BX1853" s="2" t="s">
        <v>6476</v>
      </c>
      <c r="BY1853" s="2" t="s">
        <v>112</v>
      </c>
      <c r="BZ1853" s="2" t="s">
        <v>100</v>
      </c>
    </row>
    <row r="1854">
      <c r="A1854" s="2" t="s">
        <v>6477</v>
      </c>
      <c r="B1854" s="2" t="s">
        <v>5155</v>
      </c>
      <c r="C1854" s="2" t="s">
        <v>2357</v>
      </c>
      <c r="D1854" s="2" t="s">
        <v>4216</v>
      </c>
      <c r="E1854" s="2" t="s">
        <v>5235</v>
      </c>
      <c r="F1854" s="2" t="s">
        <v>6434</v>
      </c>
      <c r="G1854" s="2" t="s">
        <v>6434</v>
      </c>
      <c r="H1854" s="2" t="s">
        <v>6434</v>
      </c>
      <c r="I1854" s="2" t="s">
        <v>6435</v>
      </c>
      <c r="J1854" s="2" t="s">
        <v>522</v>
      </c>
      <c r="K1854" s="2" t="s">
        <v>1373</v>
      </c>
      <c r="L1854" s="3">
        <v>23.04</v>
      </c>
      <c r="M1854" s="3">
        <v>24.19</v>
      </c>
      <c r="N1854" s="3">
        <v>49.99</v>
      </c>
      <c r="O1854" s="2" t="s">
        <v>97</v>
      </c>
      <c r="P1854" s="2" t="s">
        <v>317</v>
      </c>
      <c r="Q1854" s="2" t="s">
        <v>99</v>
      </c>
      <c r="R1854" s="2" t="s">
        <v>100</v>
      </c>
      <c r="S1854" s="2" t="s">
        <v>100</v>
      </c>
      <c r="T1854" s="2" t="s">
        <v>5327</v>
      </c>
      <c r="U1854" s="2" t="s">
        <v>100</v>
      </c>
      <c r="V1854" s="2" t="s">
        <v>461</v>
      </c>
      <c r="W1854" s="2" t="s">
        <v>609</v>
      </c>
      <c r="X1854" s="2" t="s">
        <v>525</v>
      </c>
      <c r="Y1854" s="2" t="s">
        <v>2511</v>
      </c>
      <c r="Z1854" s="4">
        <v>359</v>
      </c>
      <c r="AA1854" s="4">
        <f>=ROUNDDOWN(8.975,0)</f>
      </c>
      <c r="AB1854" s="5">
        <v>40</v>
      </c>
      <c r="AC1854" s="2" t="s">
        <v>307</v>
      </c>
      <c r="AD1854" s="4">
        <v>400</v>
      </c>
      <c r="AE1854" s="4">
        <v>1270</v>
      </c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 t="s">
        <v>100</v>
      </c>
      <c r="AW1854" s="8" t="s">
        <v>100</v>
      </c>
      <c r="AX1854" s="4" t="s">
        <v>100</v>
      </c>
      <c r="AY1854" s="8" t="s">
        <v>100</v>
      </c>
      <c r="AZ1854" s="7" t="s">
        <v>100</v>
      </c>
      <c r="BA1854" s="7" t="s">
        <v>100</v>
      </c>
      <c r="BB1854" s="7"/>
      <c r="BC1854" s="4" t="s">
        <v>100</v>
      </c>
      <c r="BD1854" s="8" t="s">
        <v>100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 t="s">
        <v>100</v>
      </c>
      <c r="BJ1854" s="4">
        <v>73</v>
      </c>
      <c r="BK1854" s="8">
        <v>1738.46</v>
      </c>
      <c r="BL1854" s="2" t="s">
        <v>859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6478</v>
      </c>
      <c r="BX1854" s="2" t="s">
        <v>5057</v>
      </c>
      <c r="BY1854" s="2" t="s">
        <v>112</v>
      </c>
      <c r="BZ1854" s="2" t="s">
        <v>100</v>
      </c>
    </row>
    <row r="1855">
      <c r="A1855" s="2" t="s">
        <v>6479</v>
      </c>
      <c r="B1855" s="2" t="s">
        <v>5155</v>
      </c>
      <c r="C1855" s="2" t="s">
        <v>2357</v>
      </c>
      <c r="D1855" s="2" t="s">
        <v>4216</v>
      </c>
      <c r="E1855" s="2" t="s">
        <v>5235</v>
      </c>
      <c r="F1855" s="2" t="s">
        <v>6434</v>
      </c>
      <c r="G1855" s="2" t="s">
        <v>6434</v>
      </c>
      <c r="H1855" s="2" t="s">
        <v>6434</v>
      </c>
      <c r="I1855" s="2" t="s">
        <v>6435</v>
      </c>
      <c r="J1855" s="2" t="s">
        <v>114</v>
      </c>
      <c r="K1855" s="2" t="s">
        <v>1373</v>
      </c>
      <c r="L1855" s="3">
        <v>28.73</v>
      </c>
      <c r="M1855" s="3">
        <v>30.17</v>
      </c>
      <c r="N1855" s="3">
        <v>59.99</v>
      </c>
      <c r="O1855" s="2" t="s">
        <v>97</v>
      </c>
      <c r="P1855" s="2" t="s">
        <v>317</v>
      </c>
      <c r="Q1855" s="2" t="s">
        <v>99</v>
      </c>
      <c r="R1855" s="2" t="s">
        <v>100</v>
      </c>
      <c r="S1855" s="2" t="s">
        <v>100</v>
      </c>
      <c r="T1855" s="2" t="s">
        <v>5327</v>
      </c>
      <c r="U1855" s="2" t="s">
        <v>100</v>
      </c>
      <c r="V1855" s="2" t="s">
        <v>461</v>
      </c>
      <c r="W1855" s="2" t="s">
        <v>609</v>
      </c>
      <c r="X1855" s="2" t="s">
        <v>525</v>
      </c>
      <c r="Y1855" s="2" t="s">
        <v>2511</v>
      </c>
      <c r="Z1855" s="4">
        <v>228</v>
      </c>
      <c r="AA1855" s="4">
        <f>=ROUNDDOWN(9.12,0)</f>
      </c>
      <c r="AB1855" s="5">
        <v>25</v>
      </c>
      <c r="AC1855" s="2" t="s">
        <v>307</v>
      </c>
      <c r="AD1855" s="4">
        <v>180</v>
      </c>
      <c r="AE1855" s="4">
        <v>710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 t="s">
        <v>100</v>
      </c>
      <c r="AW1855" s="8" t="s">
        <v>100</v>
      </c>
      <c r="AX1855" s="4" t="s">
        <v>100</v>
      </c>
      <c r="AY1855" s="8" t="s">
        <v>100</v>
      </c>
      <c r="AZ1855" s="7" t="s">
        <v>100</v>
      </c>
      <c r="BA1855" s="7" t="s">
        <v>100</v>
      </c>
      <c r="BB1855" s="7"/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 t="s">
        <v>100</v>
      </c>
      <c r="BJ1855" s="4">
        <v>48</v>
      </c>
      <c r="BK1855" s="8">
        <v>1434.45</v>
      </c>
      <c r="BL1855" s="2" t="s">
        <v>6480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6478</v>
      </c>
      <c r="BX1855" s="2" t="s">
        <v>4471</v>
      </c>
      <c r="BY1855" s="2" t="s">
        <v>112</v>
      </c>
      <c r="BZ1855" s="2" t="s">
        <v>100</v>
      </c>
    </row>
    <row r="1856">
      <c r="A1856" s="2" t="s">
        <v>6481</v>
      </c>
      <c r="B1856" s="2" t="s">
        <v>5155</v>
      </c>
      <c r="C1856" s="2" t="s">
        <v>2357</v>
      </c>
      <c r="D1856" s="2" t="s">
        <v>4216</v>
      </c>
      <c r="E1856" s="2" t="s">
        <v>5235</v>
      </c>
      <c r="F1856" s="2" t="s">
        <v>6434</v>
      </c>
      <c r="G1856" s="2" t="s">
        <v>6434</v>
      </c>
      <c r="H1856" s="2" t="s">
        <v>6434</v>
      </c>
      <c r="I1856" s="2" t="s">
        <v>6435</v>
      </c>
      <c r="J1856" s="2" t="s">
        <v>522</v>
      </c>
      <c r="K1856" s="2" t="s">
        <v>223</v>
      </c>
      <c r="L1856" s="3">
        <v>23.04</v>
      </c>
      <c r="M1856" s="3">
        <v>24.19</v>
      </c>
      <c r="N1856" s="3">
        <v>49.99</v>
      </c>
      <c r="O1856" s="2" t="s">
        <v>97</v>
      </c>
      <c r="P1856" s="2" t="s">
        <v>123</v>
      </c>
      <c r="Q1856" s="2" t="s">
        <v>99</v>
      </c>
      <c r="R1856" s="2" t="s">
        <v>100</v>
      </c>
      <c r="S1856" s="2" t="s">
        <v>6482</v>
      </c>
      <c r="T1856" s="2" t="s">
        <v>5327</v>
      </c>
      <c r="U1856" s="2" t="s">
        <v>1776</v>
      </c>
      <c r="V1856" s="2" t="s">
        <v>461</v>
      </c>
      <c r="W1856" s="2" t="s">
        <v>609</v>
      </c>
      <c r="X1856" s="2" t="s">
        <v>525</v>
      </c>
      <c r="Y1856" s="2" t="s">
        <v>4863</v>
      </c>
      <c r="Z1856" s="4">
        <v>149</v>
      </c>
      <c r="AA1856" s="4">
        <f>=ROUNDDOWN(7.0952380952381,0)</f>
      </c>
      <c r="AB1856" s="5">
        <v>21</v>
      </c>
      <c r="AC1856" s="2" t="s">
        <v>307</v>
      </c>
      <c r="AD1856" s="4">
        <v>200</v>
      </c>
      <c r="AE1856" s="4">
        <v>960</v>
      </c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 t="s">
        <v>100</v>
      </c>
      <c r="AW1856" s="8" t="s">
        <v>100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/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 t="s">
        <v>100</v>
      </c>
      <c r="BJ1856" s="4">
        <v>44</v>
      </c>
      <c r="BK1856" s="8">
        <v>1067.98</v>
      </c>
      <c r="BL1856" s="2" t="s">
        <v>6483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5057</v>
      </c>
      <c r="BX1856" s="2" t="s">
        <v>6484</v>
      </c>
      <c r="BY1856" s="2" t="s">
        <v>112</v>
      </c>
      <c r="BZ1856" s="2" t="s">
        <v>100</v>
      </c>
    </row>
    <row r="1857">
      <c r="A1857" s="2" t="s">
        <v>6485</v>
      </c>
      <c r="B1857" s="2" t="s">
        <v>5155</v>
      </c>
      <c r="C1857" s="2" t="s">
        <v>2357</v>
      </c>
      <c r="D1857" s="2" t="s">
        <v>4216</v>
      </c>
      <c r="E1857" s="2" t="s">
        <v>5235</v>
      </c>
      <c r="F1857" s="2" t="s">
        <v>6434</v>
      </c>
      <c r="G1857" s="2" t="s">
        <v>6434</v>
      </c>
      <c r="H1857" s="2" t="s">
        <v>6434</v>
      </c>
      <c r="I1857" s="2" t="s">
        <v>6435</v>
      </c>
      <c r="J1857" s="2" t="s">
        <v>114</v>
      </c>
      <c r="K1857" s="2" t="s">
        <v>223</v>
      </c>
      <c r="L1857" s="3">
        <v>28.73</v>
      </c>
      <c r="M1857" s="3">
        <v>30.17</v>
      </c>
      <c r="N1857" s="3">
        <v>59.99</v>
      </c>
      <c r="O1857" s="2" t="s">
        <v>97</v>
      </c>
      <c r="P1857" s="2" t="s">
        <v>123</v>
      </c>
      <c r="Q1857" s="2" t="s">
        <v>99</v>
      </c>
      <c r="R1857" s="2" t="s">
        <v>100</v>
      </c>
      <c r="S1857" s="2" t="s">
        <v>6482</v>
      </c>
      <c r="T1857" s="2" t="s">
        <v>5327</v>
      </c>
      <c r="U1857" s="2" t="s">
        <v>1776</v>
      </c>
      <c r="V1857" s="2" t="s">
        <v>461</v>
      </c>
      <c r="W1857" s="2" t="s">
        <v>609</v>
      </c>
      <c r="X1857" s="2" t="s">
        <v>525</v>
      </c>
      <c r="Y1857" s="2" t="s">
        <v>4863</v>
      </c>
      <c r="Z1857" s="4">
        <v>167</v>
      </c>
      <c r="AA1857" s="4">
        <f>=ROUNDDOWN(13.9166666666667,0)</f>
      </c>
      <c r="AB1857" s="5">
        <v>12</v>
      </c>
      <c r="AC1857" s="2" t="s">
        <v>307</v>
      </c>
      <c r="AD1857" s="4">
        <v>80</v>
      </c>
      <c r="AE1857" s="4">
        <v>500</v>
      </c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 t="s">
        <v>100</v>
      </c>
      <c r="AW1857" s="8" t="s">
        <v>100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/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 t="s">
        <v>100</v>
      </c>
      <c r="BJ1857" s="4">
        <v>18</v>
      </c>
      <c r="BK1857" s="8">
        <v>531.96</v>
      </c>
      <c r="BL1857" s="2" t="s">
        <v>6486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5057</v>
      </c>
      <c r="BX1857" s="2" t="s">
        <v>6487</v>
      </c>
      <c r="BY1857" s="2" t="s">
        <v>112</v>
      </c>
      <c r="BZ1857" s="2" t="s">
        <v>100</v>
      </c>
    </row>
    <row r="1858">
      <c r="A1858" s="2" t="s">
        <v>6488</v>
      </c>
      <c r="B1858" s="2" t="s">
        <v>5155</v>
      </c>
      <c r="C1858" s="2" t="s">
        <v>2357</v>
      </c>
      <c r="D1858" s="2" t="s">
        <v>89</v>
      </c>
      <c r="E1858" s="2" t="s">
        <v>887</v>
      </c>
      <c r="F1858" s="2" t="s">
        <v>6489</v>
      </c>
      <c r="G1858" s="2" t="s">
        <v>6489</v>
      </c>
      <c r="H1858" s="2" t="s">
        <v>6489</v>
      </c>
      <c r="I1858" s="2" t="s">
        <v>6490</v>
      </c>
      <c r="J1858" s="2" t="s">
        <v>1443</v>
      </c>
      <c r="K1858" s="2" t="s">
        <v>706</v>
      </c>
      <c r="L1858" s="3">
        <v>25.3</v>
      </c>
      <c r="M1858" s="3">
        <v>26.56</v>
      </c>
      <c r="N1858" s="3">
        <v>54.99</v>
      </c>
      <c r="O1858" s="2" t="s">
        <v>97</v>
      </c>
      <c r="P1858" s="2" t="s">
        <v>98</v>
      </c>
      <c r="Q1858" s="2" t="s">
        <v>99</v>
      </c>
      <c r="R1858" s="2" t="s">
        <v>100</v>
      </c>
      <c r="S1858" s="2" t="s">
        <v>6491</v>
      </c>
      <c r="T1858" s="2" t="s">
        <v>753</v>
      </c>
      <c r="U1858" s="2" t="s">
        <v>100</v>
      </c>
      <c r="V1858" s="2" t="s">
        <v>2380</v>
      </c>
      <c r="W1858" s="2" t="s">
        <v>270</v>
      </c>
      <c r="X1858" s="2" t="s">
        <v>271</v>
      </c>
      <c r="Y1858" s="2" t="s">
        <v>144</v>
      </c>
      <c r="Z1858" s="4">
        <v>104</v>
      </c>
      <c r="AA1858" s="4">
        <f>=ROUNDDOWN(4.52173913043478,0)</f>
      </c>
      <c r="AB1858" s="5">
        <v>23</v>
      </c>
      <c r="AC1858" s="2" t="s">
        <v>1142</v>
      </c>
      <c r="AD1858" s="4">
        <v>260</v>
      </c>
      <c r="AE1858" s="4">
        <v>410</v>
      </c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>
        <v>2</v>
      </c>
      <c r="AW1858" s="8">
        <v>83.32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/>
      <c r="BC1858" s="4">
        <v>2</v>
      </c>
      <c r="BD1858" s="8">
        <v>83.32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>
        <v>1</v>
      </c>
      <c r="BJ1858" s="4">
        <v>84</v>
      </c>
      <c r="BK1858" s="8">
        <v>2448.3</v>
      </c>
      <c r="BL1858" s="2" t="s">
        <v>6492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2365</v>
      </c>
      <c r="BX1858" s="2" t="s">
        <v>4611</v>
      </c>
      <c r="BY1858" s="2" t="s">
        <v>112</v>
      </c>
      <c r="BZ1858" s="2" t="s">
        <v>100</v>
      </c>
    </row>
    <row r="1859">
      <c r="A1859" s="2" t="s">
        <v>6493</v>
      </c>
      <c r="B1859" s="2" t="s">
        <v>5155</v>
      </c>
      <c r="C1859" s="2" t="s">
        <v>2357</v>
      </c>
      <c r="D1859" s="2" t="s">
        <v>89</v>
      </c>
      <c r="E1859" s="2" t="s">
        <v>887</v>
      </c>
      <c r="F1859" s="2" t="s">
        <v>6489</v>
      </c>
      <c r="G1859" s="2" t="s">
        <v>6489</v>
      </c>
      <c r="H1859" s="2" t="s">
        <v>6489</v>
      </c>
      <c r="I1859" s="2" t="s">
        <v>6490</v>
      </c>
      <c r="J1859" s="2" t="s">
        <v>522</v>
      </c>
      <c r="K1859" s="2" t="s">
        <v>706</v>
      </c>
      <c r="L1859" s="3">
        <v>34.5</v>
      </c>
      <c r="M1859" s="3">
        <v>36.22</v>
      </c>
      <c r="N1859" s="3">
        <v>74.99</v>
      </c>
      <c r="O1859" s="2" t="s">
        <v>97</v>
      </c>
      <c r="P1859" s="2" t="s">
        <v>98</v>
      </c>
      <c r="Q1859" s="2" t="s">
        <v>99</v>
      </c>
      <c r="R1859" s="2" t="s">
        <v>100</v>
      </c>
      <c r="S1859" s="2" t="s">
        <v>6491</v>
      </c>
      <c r="T1859" s="2" t="s">
        <v>753</v>
      </c>
      <c r="U1859" s="2" t="s">
        <v>100</v>
      </c>
      <c r="V1859" s="2" t="s">
        <v>2380</v>
      </c>
      <c r="W1859" s="2" t="s">
        <v>270</v>
      </c>
      <c r="X1859" s="2" t="s">
        <v>271</v>
      </c>
      <c r="Y1859" s="2" t="s">
        <v>144</v>
      </c>
      <c r="Z1859" s="4">
        <v>242</v>
      </c>
      <c r="AA1859" s="4">
        <f>=ROUNDDOWN(9.68,0)</f>
      </c>
      <c r="AB1859" s="5">
        <v>25</v>
      </c>
      <c r="AC1859" s="2" t="s">
        <v>1142</v>
      </c>
      <c r="AD1859" s="4">
        <v>200</v>
      </c>
      <c r="AE1859" s="4">
        <v>330</v>
      </c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2</v>
      </c>
      <c r="AQ1859" s="8">
        <v>83.32</v>
      </c>
      <c r="AR1859" s="4"/>
      <c r="AS1859" s="8"/>
      <c r="AT1859" s="7"/>
      <c r="AU1859" s="7"/>
      <c r="AV1859" s="4" t="s">
        <v>100</v>
      </c>
      <c r="AW1859" s="8" t="s">
        <v>100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>
        <v>1</v>
      </c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 t="s">
        <v>100</v>
      </c>
      <c r="BJ1859" s="4">
        <v>69</v>
      </c>
      <c r="BK1859" s="8">
        <v>2640.02</v>
      </c>
      <c r="BL1859" s="2" t="s">
        <v>6494</v>
      </c>
      <c r="BM1859" s="7">
        <v>0.029</v>
      </c>
      <c r="BN1859" s="7">
        <v>0.0316</v>
      </c>
      <c r="BO1859" s="4">
        <v>2</v>
      </c>
      <c r="BP1859" s="8">
        <v>83.32</v>
      </c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2365</v>
      </c>
      <c r="BX1859" s="2" t="s">
        <v>6406</v>
      </c>
      <c r="BY1859" s="2" t="s">
        <v>112</v>
      </c>
      <c r="BZ1859" s="2" t="s">
        <v>100</v>
      </c>
    </row>
    <row r="1860">
      <c r="A1860" s="2" t="s">
        <v>6495</v>
      </c>
      <c r="B1860" s="2" t="s">
        <v>5155</v>
      </c>
      <c r="C1860" s="2" t="s">
        <v>2357</v>
      </c>
      <c r="D1860" s="2" t="s">
        <v>89</v>
      </c>
      <c r="E1860" s="2" t="s">
        <v>887</v>
      </c>
      <c r="F1860" s="2" t="s">
        <v>6489</v>
      </c>
      <c r="G1860" s="2" t="s">
        <v>6489</v>
      </c>
      <c r="H1860" s="2" t="s">
        <v>6489</v>
      </c>
      <c r="I1860" s="2" t="s">
        <v>6490</v>
      </c>
      <c r="J1860" s="2" t="s">
        <v>114</v>
      </c>
      <c r="K1860" s="2" t="s">
        <v>706</v>
      </c>
      <c r="L1860" s="3">
        <v>39.95</v>
      </c>
      <c r="M1860" s="3">
        <v>41.95</v>
      </c>
      <c r="N1860" s="3">
        <v>84.99</v>
      </c>
      <c r="O1860" s="2" t="s">
        <v>97</v>
      </c>
      <c r="P1860" s="2" t="s">
        <v>98</v>
      </c>
      <c r="Q1860" s="2" t="s">
        <v>99</v>
      </c>
      <c r="R1860" s="2" t="s">
        <v>100</v>
      </c>
      <c r="S1860" s="2" t="s">
        <v>6491</v>
      </c>
      <c r="T1860" s="2" t="s">
        <v>753</v>
      </c>
      <c r="U1860" s="2" t="s">
        <v>100</v>
      </c>
      <c r="V1860" s="2" t="s">
        <v>2380</v>
      </c>
      <c r="W1860" s="2" t="s">
        <v>270</v>
      </c>
      <c r="X1860" s="2" t="s">
        <v>271</v>
      </c>
      <c r="Y1860" s="2" t="s">
        <v>144</v>
      </c>
      <c r="Z1860" s="4">
        <v>312</v>
      </c>
      <c r="AA1860" s="4">
        <f>=ROUNDDOWN(18.3529411764706,0)</f>
      </c>
      <c r="AB1860" s="5">
        <v>17</v>
      </c>
      <c r="AC1860" s="2" t="s">
        <v>1860</v>
      </c>
      <c r="AD1860" s="4">
        <v>60</v>
      </c>
      <c r="AE1860" s="4">
        <v>60</v>
      </c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/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 t="s">
        <v>100</v>
      </c>
      <c r="BJ1860" s="4">
        <v>46</v>
      </c>
      <c r="BK1860" s="8">
        <v>2050.82</v>
      </c>
      <c r="BL1860" s="2" t="s">
        <v>6496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109</v>
      </c>
      <c r="BV1860" s="2" t="s">
        <v>97</v>
      </c>
      <c r="BW1860" s="2" t="s">
        <v>2365</v>
      </c>
      <c r="BX1860" s="2" t="s">
        <v>5983</v>
      </c>
      <c r="BY1860" s="2" t="s">
        <v>112</v>
      </c>
      <c r="BZ1860" s="2" t="s">
        <v>100</v>
      </c>
    </row>
    <row r="1861">
      <c r="A1861" s="2" t="s">
        <v>6497</v>
      </c>
      <c r="B1861" s="2" t="s">
        <v>5155</v>
      </c>
      <c r="C1861" s="2" t="s">
        <v>2357</v>
      </c>
      <c r="D1861" s="2" t="s">
        <v>89</v>
      </c>
      <c r="E1861" s="2" t="s">
        <v>887</v>
      </c>
      <c r="F1861" s="2" t="s">
        <v>6498</v>
      </c>
      <c r="G1861" s="2" t="s">
        <v>100</v>
      </c>
      <c r="H1861" s="2" t="s">
        <v>100</v>
      </c>
      <c r="I1861" s="2" t="s">
        <v>6499</v>
      </c>
      <c r="J1861" s="2" t="s">
        <v>1443</v>
      </c>
      <c r="K1861" s="2" t="s">
        <v>96</v>
      </c>
      <c r="L1861" s="3">
        <v>25.3</v>
      </c>
      <c r="M1861" s="3">
        <v>26.56</v>
      </c>
      <c r="N1861" s="3">
        <v>54.99</v>
      </c>
      <c r="O1861" s="2" t="s">
        <v>97</v>
      </c>
      <c r="P1861" s="2" t="s">
        <v>98</v>
      </c>
      <c r="Q1861" s="2" t="s">
        <v>99</v>
      </c>
      <c r="R1861" s="2" t="s">
        <v>100</v>
      </c>
      <c r="S1861" s="2" t="s">
        <v>6500</v>
      </c>
      <c r="T1861" s="2" t="s">
        <v>753</v>
      </c>
      <c r="U1861" s="2" t="s">
        <v>100</v>
      </c>
      <c r="V1861" s="2" t="s">
        <v>269</v>
      </c>
      <c r="W1861" s="2" t="s">
        <v>270</v>
      </c>
      <c r="X1861" s="2" t="s">
        <v>271</v>
      </c>
      <c r="Y1861" s="2" t="s">
        <v>144</v>
      </c>
      <c r="Z1861" s="4">
        <v>255</v>
      </c>
      <c r="AA1861" s="4">
        <f>=ROUNDDOWN(23.1818181818182,0)</f>
      </c>
      <c r="AB1861" s="5">
        <v>11</v>
      </c>
      <c r="AC1861" s="2" t="s">
        <v>100</v>
      </c>
      <c r="AD1861" s="4"/>
      <c r="AE1861" s="4"/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1</v>
      </c>
      <c r="AQ1861" s="8">
        <v>30.55</v>
      </c>
      <c r="AR1861" s="4"/>
      <c r="AS1861" s="8"/>
      <c r="AT1861" s="7"/>
      <c r="AU1861" s="7"/>
      <c r="AV1861" s="4">
        <v>1</v>
      </c>
      <c r="AW1861" s="8">
        <v>30.55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>
        <v>1</v>
      </c>
      <c r="BC1861" s="4">
        <v>1</v>
      </c>
      <c r="BD1861" s="8">
        <v>30.55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>
        <v>1</v>
      </c>
      <c r="BJ1861" s="4">
        <v>9</v>
      </c>
      <c r="BK1861" s="8">
        <v>274.83</v>
      </c>
      <c r="BL1861" s="2" t="s">
        <v>6501</v>
      </c>
      <c r="BM1861" s="7">
        <v>0.1111</v>
      </c>
      <c r="BN1861" s="7">
        <v>0.1112</v>
      </c>
      <c r="BO1861" s="4">
        <v>1</v>
      </c>
      <c r="BP1861" s="8">
        <v>30.55</v>
      </c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5163</v>
      </c>
      <c r="BX1861" s="2" t="s">
        <v>5050</v>
      </c>
      <c r="BY1861" s="2" t="s">
        <v>112</v>
      </c>
      <c r="BZ1861" s="2" t="s">
        <v>100</v>
      </c>
    </row>
    <row r="1862">
      <c r="A1862" s="2" t="s">
        <v>6502</v>
      </c>
      <c r="B1862" s="2" t="s">
        <v>5155</v>
      </c>
      <c r="C1862" s="2" t="s">
        <v>2357</v>
      </c>
      <c r="D1862" s="2" t="s">
        <v>89</v>
      </c>
      <c r="E1862" s="2" t="s">
        <v>887</v>
      </c>
      <c r="F1862" s="2" t="s">
        <v>6498</v>
      </c>
      <c r="G1862" s="2" t="s">
        <v>100</v>
      </c>
      <c r="H1862" s="2" t="s">
        <v>100</v>
      </c>
      <c r="I1862" s="2" t="s">
        <v>6499</v>
      </c>
      <c r="J1862" s="2" t="s">
        <v>522</v>
      </c>
      <c r="K1862" s="2" t="s">
        <v>96</v>
      </c>
      <c r="L1862" s="3">
        <v>34.5</v>
      </c>
      <c r="M1862" s="3">
        <v>36.22</v>
      </c>
      <c r="N1862" s="3">
        <v>74.99</v>
      </c>
      <c r="O1862" s="2" t="s">
        <v>97</v>
      </c>
      <c r="P1862" s="2" t="s">
        <v>98</v>
      </c>
      <c r="Q1862" s="2" t="s">
        <v>99</v>
      </c>
      <c r="R1862" s="2" t="s">
        <v>100</v>
      </c>
      <c r="S1862" s="2" t="s">
        <v>6500</v>
      </c>
      <c r="T1862" s="2" t="s">
        <v>753</v>
      </c>
      <c r="U1862" s="2" t="s">
        <v>100</v>
      </c>
      <c r="V1862" s="2" t="s">
        <v>269</v>
      </c>
      <c r="W1862" s="2" t="s">
        <v>270</v>
      </c>
      <c r="X1862" s="2" t="s">
        <v>271</v>
      </c>
      <c r="Y1862" s="2" t="s">
        <v>144</v>
      </c>
      <c r="Z1862" s="4">
        <v>308</v>
      </c>
      <c r="AA1862" s="4">
        <f>=ROUNDDOWN(14.6666666666667,0)</f>
      </c>
      <c r="AB1862" s="5">
        <v>21</v>
      </c>
      <c r="AC1862" s="2" t="s">
        <v>100</v>
      </c>
      <c r="AD1862" s="4"/>
      <c r="AE1862" s="4"/>
      <c r="AF1862" s="6">
        <v>65</v>
      </c>
      <c r="AG1862" s="6"/>
      <c r="AH1862" s="7">
        <v>0.7419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 t="s">
        <v>100</v>
      </c>
      <c r="AW1862" s="8" t="s">
        <v>100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/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 t="s">
        <v>100</v>
      </c>
      <c r="BJ1862" s="4">
        <v>24</v>
      </c>
      <c r="BK1862" s="8">
        <v>965.57</v>
      </c>
      <c r="BL1862" s="2" t="s">
        <v>6503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2365</v>
      </c>
      <c r="BX1862" s="2" t="s">
        <v>4611</v>
      </c>
      <c r="BY1862" s="2" t="s">
        <v>112</v>
      </c>
      <c r="BZ1862" s="2" t="s">
        <v>100</v>
      </c>
    </row>
    <row r="1863">
      <c r="A1863" s="2" t="s">
        <v>6504</v>
      </c>
      <c r="B1863" s="2" t="s">
        <v>5155</v>
      </c>
      <c r="C1863" s="2" t="s">
        <v>2357</v>
      </c>
      <c r="D1863" s="2" t="s">
        <v>89</v>
      </c>
      <c r="E1863" s="2" t="s">
        <v>887</v>
      </c>
      <c r="F1863" s="2" t="s">
        <v>6498</v>
      </c>
      <c r="G1863" s="2" t="s">
        <v>100</v>
      </c>
      <c r="H1863" s="2" t="s">
        <v>100</v>
      </c>
      <c r="I1863" s="2" t="s">
        <v>6499</v>
      </c>
      <c r="J1863" s="2" t="s">
        <v>114</v>
      </c>
      <c r="K1863" s="2" t="s">
        <v>96</v>
      </c>
      <c r="L1863" s="3">
        <v>39.1</v>
      </c>
      <c r="M1863" s="3">
        <v>41.06</v>
      </c>
      <c r="N1863" s="3">
        <v>84.99</v>
      </c>
      <c r="O1863" s="2" t="s">
        <v>97</v>
      </c>
      <c r="P1863" s="2" t="s">
        <v>98</v>
      </c>
      <c r="Q1863" s="2" t="s">
        <v>99</v>
      </c>
      <c r="R1863" s="2" t="s">
        <v>100</v>
      </c>
      <c r="S1863" s="2" t="s">
        <v>6500</v>
      </c>
      <c r="T1863" s="2" t="s">
        <v>753</v>
      </c>
      <c r="U1863" s="2" t="s">
        <v>100</v>
      </c>
      <c r="V1863" s="2" t="s">
        <v>269</v>
      </c>
      <c r="W1863" s="2" t="s">
        <v>270</v>
      </c>
      <c r="X1863" s="2" t="s">
        <v>271</v>
      </c>
      <c r="Y1863" s="2" t="s">
        <v>144</v>
      </c>
      <c r="Z1863" s="4">
        <v>224</v>
      </c>
      <c r="AA1863" s="4">
        <f>=ROUNDDOWN(74.6666666666667,0)</f>
      </c>
      <c r="AB1863" s="5">
        <v>3</v>
      </c>
      <c r="AC1863" s="2" t="s">
        <v>100</v>
      </c>
      <c r="AD1863" s="4"/>
      <c r="AE1863" s="4"/>
      <c r="AF1863" s="6">
        <v>65</v>
      </c>
      <c r="AG1863" s="6"/>
      <c r="AH1863" s="7">
        <v>0.7419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 t="s">
        <v>100</v>
      </c>
      <c r="AW1863" s="8" t="s">
        <v>100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/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 t="s">
        <v>100</v>
      </c>
      <c r="BJ1863" s="4">
        <v>6</v>
      </c>
      <c r="BK1863" s="8">
        <v>289.66</v>
      </c>
      <c r="BL1863" s="2" t="s">
        <v>2068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2365</v>
      </c>
      <c r="BX1863" s="2" t="s">
        <v>5983</v>
      </c>
      <c r="BY1863" s="2" t="s">
        <v>112</v>
      </c>
      <c r="BZ1863" s="2" t="s">
        <v>100</v>
      </c>
    </row>
    <row r="1864">
      <c r="A1864" s="2" t="s">
        <v>6505</v>
      </c>
      <c r="B1864" s="2" t="s">
        <v>5155</v>
      </c>
      <c r="C1864" s="2" t="s">
        <v>2357</v>
      </c>
      <c r="D1864" s="2" t="s">
        <v>89</v>
      </c>
      <c r="E1864" s="2" t="s">
        <v>887</v>
      </c>
      <c r="F1864" s="2" t="s">
        <v>6506</v>
      </c>
      <c r="G1864" s="2" t="s">
        <v>6506</v>
      </c>
      <c r="H1864" s="2" t="s">
        <v>6506</v>
      </c>
      <c r="I1864" s="2" t="s">
        <v>6507</v>
      </c>
      <c r="J1864" s="2" t="s">
        <v>1443</v>
      </c>
      <c r="K1864" s="2" t="s">
        <v>223</v>
      </c>
      <c r="L1864" s="3">
        <v>25.3</v>
      </c>
      <c r="M1864" s="3">
        <v>26.56</v>
      </c>
      <c r="N1864" s="3">
        <v>54.99</v>
      </c>
      <c r="O1864" s="2" t="s">
        <v>97</v>
      </c>
      <c r="P1864" s="2" t="s">
        <v>98</v>
      </c>
      <c r="Q1864" s="2" t="s">
        <v>99</v>
      </c>
      <c r="R1864" s="2" t="s">
        <v>100</v>
      </c>
      <c r="S1864" s="2" t="s">
        <v>6508</v>
      </c>
      <c r="T1864" s="2" t="s">
        <v>753</v>
      </c>
      <c r="U1864" s="2" t="s">
        <v>894</v>
      </c>
      <c r="V1864" s="2" t="s">
        <v>269</v>
      </c>
      <c r="W1864" s="2" t="s">
        <v>270</v>
      </c>
      <c r="X1864" s="2" t="s">
        <v>100</v>
      </c>
      <c r="Y1864" s="2" t="s">
        <v>6509</v>
      </c>
      <c r="Z1864" s="4"/>
      <c r="AA1864" s="4">
        <f>=ROUNDDOWN({0},0)</f>
      </c>
      <c r="AB1864" s="5">
        <v>10</v>
      </c>
      <c r="AC1864" s="2" t="s">
        <v>1142</v>
      </c>
      <c r="AD1864" s="4">
        <v>130</v>
      </c>
      <c r="AE1864" s="4">
        <v>270</v>
      </c>
      <c r="AF1864" s="6">
        <v>65</v>
      </c>
      <c r="AG1864" s="6"/>
      <c r="AH1864" s="7">
        <v>0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 t="s">
        <v>100</v>
      </c>
      <c r="AW1864" s="8" t="s">
        <v>100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/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/>
      <c r="BJ1864" s="4"/>
      <c r="BK1864" s="8"/>
      <c r="BL1864" s="2" t="s">
        <v>100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6400</v>
      </c>
      <c r="BX1864" s="2" t="s">
        <v>6510</v>
      </c>
      <c r="BY1864" s="2" t="s">
        <v>112</v>
      </c>
      <c r="BZ1864" s="2" t="s">
        <v>100</v>
      </c>
    </row>
    <row r="1865">
      <c r="A1865" s="2" t="s">
        <v>6511</v>
      </c>
      <c r="B1865" s="2" t="s">
        <v>5155</v>
      </c>
      <c r="C1865" s="2" t="s">
        <v>2357</v>
      </c>
      <c r="D1865" s="2" t="s">
        <v>89</v>
      </c>
      <c r="E1865" s="2" t="s">
        <v>887</v>
      </c>
      <c r="F1865" s="2" t="s">
        <v>6506</v>
      </c>
      <c r="G1865" s="2" t="s">
        <v>6506</v>
      </c>
      <c r="H1865" s="2" t="s">
        <v>6506</v>
      </c>
      <c r="I1865" s="2" t="s">
        <v>6507</v>
      </c>
      <c r="J1865" s="2" t="s">
        <v>522</v>
      </c>
      <c r="K1865" s="2" t="s">
        <v>223</v>
      </c>
      <c r="L1865" s="3">
        <v>34.5</v>
      </c>
      <c r="M1865" s="3">
        <v>36.22</v>
      </c>
      <c r="N1865" s="3">
        <v>74.99</v>
      </c>
      <c r="O1865" s="2" t="s">
        <v>97</v>
      </c>
      <c r="P1865" s="2" t="s">
        <v>98</v>
      </c>
      <c r="Q1865" s="2" t="s">
        <v>99</v>
      </c>
      <c r="R1865" s="2" t="s">
        <v>100</v>
      </c>
      <c r="S1865" s="2" t="s">
        <v>6508</v>
      </c>
      <c r="T1865" s="2" t="s">
        <v>753</v>
      </c>
      <c r="U1865" s="2" t="s">
        <v>901</v>
      </c>
      <c r="V1865" s="2" t="s">
        <v>269</v>
      </c>
      <c r="W1865" s="2" t="s">
        <v>270</v>
      </c>
      <c r="X1865" s="2" t="s">
        <v>100</v>
      </c>
      <c r="Y1865" s="2" t="s">
        <v>6509</v>
      </c>
      <c r="Z1865" s="4"/>
      <c r="AA1865" s="4">
        <f>=ROUNDDOWN({0},0)</f>
      </c>
      <c r="AB1865" s="5">
        <v>20</v>
      </c>
      <c r="AC1865" s="2" t="s">
        <v>1142</v>
      </c>
      <c r="AD1865" s="4">
        <v>210</v>
      </c>
      <c r="AE1865" s="4">
        <v>510</v>
      </c>
      <c r="AF1865" s="6">
        <v>65</v>
      </c>
      <c r="AG1865" s="6"/>
      <c r="AH1865" s="7">
        <v>0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 t="s">
        <v>100</v>
      </c>
      <c r="AW1865" s="8" t="s">
        <v>100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/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/>
      <c r="BJ1865" s="4"/>
      <c r="BK1865" s="8"/>
      <c r="BL1865" s="2" t="s">
        <v>100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6400</v>
      </c>
      <c r="BX1865" s="2" t="s">
        <v>6512</v>
      </c>
      <c r="BY1865" s="2" t="s">
        <v>112</v>
      </c>
      <c r="BZ1865" s="2" t="s">
        <v>100</v>
      </c>
    </row>
    <row r="1866">
      <c r="A1866" s="2" t="s">
        <v>6513</v>
      </c>
      <c r="B1866" s="2" t="s">
        <v>5155</v>
      </c>
      <c r="C1866" s="2" t="s">
        <v>2357</v>
      </c>
      <c r="D1866" s="2" t="s">
        <v>89</v>
      </c>
      <c r="E1866" s="2" t="s">
        <v>887</v>
      </c>
      <c r="F1866" s="2" t="s">
        <v>6506</v>
      </c>
      <c r="G1866" s="2" t="s">
        <v>6506</v>
      </c>
      <c r="H1866" s="2" t="s">
        <v>6506</v>
      </c>
      <c r="I1866" s="2" t="s">
        <v>6507</v>
      </c>
      <c r="J1866" s="2" t="s">
        <v>114</v>
      </c>
      <c r="K1866" s="2" t="s">
        <v>223</v>
      </c>
      <c r="L1866" s="3">
        <v>40.5</v>
      </c>
      <c r="M1866" s="3">
        <v>42.52</v>
      </c>
      <c r="N1866" s="3">
        <v>89.99</v>
      </c>
      <c r="O1866" s="2" t="s">
        <v>97</v>
      </c>
      <c r="P1866" s="2" t="s">
        <v>98</v>
      </c>
      <c r="Q1866" s="2" t="s">
        <v>99</v>
      </c>
      <c r="R1866" s="2" t="s">
        <v>100</v>
      </c>
      <c r="S1866" s="2" t="s">
        <v>6514</v>
      </c>
      <c r="T1866" s="2" t="s">
        <v>753</v>
      </c>
      <c r="U1866" s="2" t="s">
        <v>901</v>
      </c>
      <c r="V1866" s="2" t="s">
        <v>269</v>
      </c>
      <c r="W1866" s="2" t="s">
        <v>270</v>
      </c>
      <c r="X1866" s="2" t="s">
        <v>100</v>
      </c>
      <c r="Y1866" s="2" t="s">
        <v>6509</v>
      </c>
      <c r="Z1866" s="4"/>
      <c r="AA1866" s="4">
        <f>=ROUNDDOWN({0},0)</f>
      </c>
      <c r="AB1866" s="5">
        <v>9</v>
      </c>
      <c r="AC1866" s="2" t="s">
        <v>1142</v>
      </c>
      <c r="AD1866" s="4">
        <v>100</v>
      </c>
      <c r="AE1866" s="4">
        <v>210</v>
      </c>
      <c r="AF1866" s="6">
        <v>65</v>
      </c>
      <c r="AG1866" s="6"/>
      <c r="AH1866" s="7">
        <v>0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 t="s">
        <v>100</v>
      </c>
      <c r="AW1866" s="8" t="s">
        <v>100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/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/>
      <c r="BJ1866" s="4"/>
      <c r="BK1866" s="8"/>
      <c r="BL1866" s="2" t="s">
        <v>100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2365</v>
      </c>
      <c r="BX1866" s="2" t="s">
        <v>6381</v>
      </c>
      <c r="BY1866" s="2" t="s">
        <v>112</v>
      </c>
      <c r="BZ1866" s="2" t="s">
        <v>100</v>
      </c>
    </row>
    <row r="1867">
      <c r="A1867" s="2" t="s">
        <v>6515</v>
      </c>
      <c r="B1867" s="2" t="s">
        <v>5155</v>
      </c>
      <c r="C1867" s="2" t="s">
        <v>2357</v>
      </c>
      <c r="D1867" s="2" t="s">
        <v>89</v>
      </c>
      <c r="E1867" s="2" t="s">
        <v>887</v>
      </c>
      <c r="F1867" s="2" t="s">
        <v>6516</v>
      </c>
      <c r="G1867" s="2" t="s">
        <v>6516</v>
      </c>
      <c r="H1867" s="2" t="s">
        <v>6516</v>
      </c>
      <c r="I1867" s="2" t="s">
        <v>6517</v>
      </c>
      <c r="J1867" s="2" t="s">
        <v>1443</v>
      </c>
      <c r="K1867" s="2" t="s">
        <v>706</v>
      </c>
      <c r="L1867" s="3">
        <v>25.3</v>
      </c>
      <c r="M1867" s="3">
        <v>26.56</v>
      </c>
      <c r="N1867" s="3">
        <v>54.99</v>
      </c>
      <c r="O1867" s="2" t="s">
        <v>97</v>
      </c>
      <c r="P1867" s="2" t="s">
        <v>98</v>
      </c>
      <c r="Q1867" s="2" t="s">
        <v>99</v>
      </c>
      <c r="R1867" s="2" t="s">
        <v>100</v>
      </c>
      <c r="S1867" s="2" t="s">
        <v>6518</v>
      </c>
      <c r="T1867" s="2" t="s">
        <v>753</v>
      </c>
      <c r="U1867" s="2" t="s">
        <v>100</v>
      </c>
      <c r="V1867" s="2" t="s">
        <v>269</v>
      </c>
      <c r="W1867" s="2" t="s">
        <v>270</v>
      </c>
      <c r="X1867" s="2" t="s">
        <v>271</v>
      </c>
      <c r="Y1867" s="2" t="s">
        <v>144</v>
      </c>
      <c r="Z1867" s="4">
        <v>222</v>
      </c>
      <c r="AA1867" s="4">
        <f>=ROUNDDOWN(12.3333333333333,0)</f>
      </c>
      <c r="AB1867" s="5">
        <v>18</v>
      </c>
      <c r="AC1867" s="2" t="s">
        <v>173</v>
      </c>
      <c r="AD1867" s="4">
        <v>140</v>
      </c>
      <c r="AE1867" s="4">
        <v>270</v>
      </c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 t="s">
        <v>100</v>
      </c>
      <c r="AW1867" s="8" t="s">
        <v>100</v>
      </c>
      <c r="AX1867" s="4" t="s">
        <v>100</v>
      </c>
      <c r="AY1867" s="8" t="s">
        <v>100</v>
      </c>
      <c r="AZ1867" s="7" t="s">
        <v>100</v>
      </c>
      <c r="BA1867" s="7" t="s">
        <v>100</v>
      </c>
      <c r="BB1867" s="7"/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/>
      <c r="BJ1867" s="4">
        <v>37</v>
      </c>
      <c r="BK1867" s="8">
        <v>1035.38</v>
      </c>
      <c r="BL1867" s="2" t="s">
        <v>6519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171</v>
      </c>
      <c r="BV1867" s="2" t="s">
        <v>97</v>
      </c>
      <c r="BW1867" s="2" t="s">
        <v>100</v>
      </c>
      <c r="BX1867" s="2" t="s">
        <v>100</v>
      </c>
      <c r="BY1867" s="2" t="s">
        <v>112</v>
      </c>
      <c r="BZ1867" s="2" t="s">
        <v>100</v>
      </c>
    </row>
    <row r="1868">
      <c r="A1868" s="2" t="s">
        <v>6520</v>
      </c>
      <c r="B1868" s="2" t="s">
        <v>5155</v>
      </c>
      <c r="C1868" s="2" t="s">
        <v>2357</v>
      </c>
      <c r="D1868" s="2" t="s">
        <v>89</v>
      </c>
      <c r="E1868" s="2" t="s">
        <v>887</v>
      </c>
      <c r="F1868" s="2" t="s">
        <v>6516</v>
      </c>
      <c r="G1868" s="2" t="s">
        <v>6516</v>
      </c>
      <c r="H1868" s="2" t="s">
        <v>6516</v>
      </c>
      <c r="I1868" s="2" t="s">
        <v>6517</v>
      </c>
      <c r="J1868" s="2" t="s">
        <v>522</v>
      </c>
      <c r="K1868" s="2" t="s">
        <v>706</v>
      </c>
      <c r="L1868" s="3">
        <v>34.5</v>
      </c>
      <c r="M1868" s="3">
        <v>36.22</v>
      </c>
      <c r="N1868" s="3">
        <v>74.99</v>
      </c>
      <c r="O1868" s="2" t="s">
        <v>97</v>
      </c>
      <c r="P1868" s="2" t="s">
        <v>98</v>
      </c>
      <c r="Q1868" s="2" t="s">
        <v>99</v>
      </c>
      <c r="R1868" s="2" t="s">
        <v>100</v>
      </c>
      <c r="S1868" s="2" t="s">
        <v>6518</v>
      </c>
      <c r="T1868" s="2" t="s">
        <v>753</v>
      </c>
      <c r="U1868" s="2" t="s">
        <v>100</v>
      </c>
      <c r="V1868" s="2" t="s">
        <v>269</v>
      </c>
      <c r="W1868" s="2" t="s">
        <v>270</v>
      </c>
      <c r="X1868" s="2" t="s">
        <v>271</v>
      </c>
      <c r="Y1868" s="2" t="s">
        <v>144</v>
      </c>
      <c r="Z1868" s="4">
        <v>288</v>
      </c>
      <c r="AA1868" s="4">
        <f>=ROUNDDOWN(8,0)</f>
      </c>
      <c r="AB1868" s="5">
        <v>36</v>
      </c>
      <c r="AC1868" s="2" t="s">
        <v>173</v>
      </c>
      <c r="AD1868" s="4">
        <v>240</v>
      </c>
      <c r="AE1868" s="4">
        <v>470</v>
      </c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 t="s">
        <v>100</v>
      </c>
      <c r="AW1868" s="8" t="s">
        <v>100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/>
      <c r="BC1868" s="4" t="s">
        <v>100</v>
      </c>
      <c r="BD1868" s="8" t="s">
        <v>100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/>
      <c r="BJ1868" s="4">
        <v>60</v>
      </c>
      <c r="BK1868" s="8">
        <v>2287.21</v>
      </c>
      <c r="BL1868" s="2" t="s">
        <v>6521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171</v>
      </c>
      <c r="BV1868" s="2" t="s">
        <v>97</v>
      </c>
      <c r="BW1868" s="2" t="s">
        <v>100</v>
      </c>
      <c r="BX1868" s="2" t="s">
        <v>100</v>
      </c>
      <c r="BY1868" s="2" t="s">
        <v>112</v>
      </c>
      <c r="BZ1868" s="2" t="s">
        <v>100</v>
      </c>
    </row>
    <row r="1869">
      <c r="A1869" s="2" t="s">
        <v>6522</v>
      </c>
      <c r="B1869" s="2" t="s">
        <v>5155</v>
      </c>
      <c r="C1869" s="2" t="s">
        <v>2357</v>
      </c>
      <c r="D1869" s="2" t="s">
        <v>89</v>
      </c>
      <c r="E1869" s="2" t="s">
        <v>887</v>
      </c>
      <c r="F1869" s="2" t="s">
        <v>6516</v>
      </c>
      <c r="G1869" s="2" t="s">
        <v>6516</v>
      </c>
      <c r="H1869" s="2" t="s">
        <v>6516</v>
      </c>
      <c r="I1869" s="2" t="s">
        <v>6517</v>
      </c>
      <c r="J1869" s="2" t="s">
        <v>114</v>
      </c>
      <c r="K1869" s="2" t="s">
        <v>706</v>
      </c>
      <c r="L1869" s="3">
        <v>39.95</v>
      </c>
      <c r="M1869" s="3">
        <v>41.95</v>
      </c>
      <c r="N1869" s="3">
        <v>84.99</v>
      </c>
      <c r="O1869" s="2" t="s">
        <v>97</v>
      </c>
      <c r="P1869" s="2" t="s">
        <v>98</v>
      </c>
      <c r="Q1869" s="2" t="s">
        <v>99</v>
      </c>
      <c r="R1869" s="2" t="s">
        <v>100</v>
      </c>
      <c r="S1869" s="2" t="s">
        <v>6518</v>
      </c>
      <c r="T1869" s="2" t="s">
        <v>753</v>
      </c>
      <c r="U1869" s="2" t="s">
        <v>100</v>
      </c>
      <c r="V1869" s="2" t="s">
        <v>269</v>
      </c>
      <c r="W1869" s="2" t="s">
        <v>270</v>
      </c>
      <c r="X1869" s="2" t="s">
        <v>271</v>
      </c>
      <c r="Y1869" s="2" t="s">
        <v>144</v>
      </c>
      <c r="Z1869" s="4">
        <v>209</v>
      </c>
      <c r="AA1869" s="4">
        <f>=ROUNDDOWN(6.14705882352941,0)</f>
      </c>
      <c r="AB1869" s="5">
        <v>34</v>
      </c>
      <c r="AC1869" s="2" t="s">
        <v>1860</v>
      </c>
      <c r="AD1869" s="4">
        <v>60</v>
      </c>
      <c r="AE1869" s="4">
        <v>60</v>
      </c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 t="s">
        <v>100</v>
      </c>
      <c r="AW1869" s="8" t="s">
        <v>100</v>
      </c>
      <c r="AX1869" s="4" t="s">
        <v>100</v>
      </c>
      <c r="AY1869" s="8" t="s">
        <v>100</v>
      </c>
      <c r="AZ1869" s="7" t="s">
        <v>100</v>
      </c>
      <c r="BA1869" s="7" t="s">
        <v>100</v>
      </c>
      <c r="BB1869" s="7"/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/>
      <c r="BJ1869" s="4">
        <v>24</v>
      </c>
      <c r="BK1869" s="8">
        <v>1046.65</v>
      </c>
      <c r="BL1869" s="2" t="s">
        <v>6523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171</v>
      </c>
      <c r="BV1869" s="2" t="s">
        <v>97</v>
      </c>
      <c r="BW1869" s="2" t="s">
        <v>100</v>
      </c>
      <c r="BX1869" s="2" t="s">
        <v>100</v>
      </c>
      <c r="BY1869" s="2" t="s">
        <v>112</v>
      </c>
      <c r="BZ1869" s="2" t="s">
        <v>100</v>
      </c>
    </row>
    <row r="1870">
      <c r="A1870" s="2" t="s">
        <v>6524</v>
      </c>
      <c r="B1870" s="2" t="s">
        <v>5155</v>
      </c>
      <c r="C1870" s="2" t="s">
        <v>2357</v>
      </c>
      <c r="D1870" s="2" t="s">
        <v>89</v>
      </c>
      <c r="E1870" s="2" t="s">
        <v>887</v>
      </c>
      <c r="F1870" s="2" t="s">
        <v>6525</v>
      </c>
      <c r="G1870" s="2" t="s">
        <v>6525</v>
      </c>
      <c r="H1870" s="2" t="s">
        <v>6525</v>
      </c>
      <c r="I1870" s="2" t="s">
        <v>6526</v>
      </c>
      <c r="J1870" s="2" t="s">
        <v>522</v>
      </c>
      <c r="K1870" s="2" t="s">
        <v>6527</v>
      </c>
      <c r="L1870" s="3">
        <v>47.61</v>
      </c>
      <c r="M1870" s="3">
        <v>50</v>
      </c>
      <c r="N1870" s="3">
        <v>99.99</v>
      </c>
      <c r="O1870" s="2" t="s">
        <v>97</v>
      </c>
      <c r="P1870" s="2" t="s">
        <v>98</v>
      </c>
      <c r="Q1870" s="2" t="s">
        <v>99</v>
      </c>
      <c r="R1870" s="2" t="s">
        <v>100</v>
      </c>
      <c r="S1870" s="2" t="s">
        <v>6528</v>
      </c>
      <c r="T1870" s="2" t="s">
        <v>5327</v>
      </c>
      <c r="U1870" s="2" t="s">
        <v>901</v>
      </c>
      <c r="V1870" s="2" t="s">
        <v>4636</v>
      </c>
      <c r="W1870" s="2" t="s">
        <v>270</v>
      </c>
      <c r="X1870" s="2" t="s">
        <v>525</v>
      </c>
      <c r="Y1870" s="2" t="s">
        <v>6208</v>
      </c>
      <c r="Z1870" s="4"/>
      <c r="AA1870" s="4">
        <f>=ROUNDDOWN({0},0)</f>
      </c>
      <c r="AB1870" s="5">
        <v>11</v>
      </c>
      <c r="AC1870" s="2" t="s">
        <v>173</v>
      </c>
      <c r="AD1870" s="4">
        <v>130</v>
      </c>
      <c r="AE1870" s="4">
        <v>370</v>
      </c>
      <c r="AF1870" s="6">
        <v>65</v>
      </c>
      <c r="AG1870" s="6"/>
      <c r="AH1870" s="7">
        <v>0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 t="s">
        <v>100</v>
      </c>
      <c r="AW1870" s="8" t="s">
        <v>100</v>
      </c>
      <c r="AX1870" s="4" t="s">
        <v>100</v>
      </c>
      <c r="AY1870" s="8" t="s">
        <v>100</v>
      </c>
      <c r="AZ1870" s="7" t="s">
        <v>100</v>
      </c>
      <c r="BA1870" s="7" t="s">
        <v>100</v>
      </c>
      <c r="BB1870" s="7"/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/>
      <c r="BJ1870" s="4"/>
      <c r="BK1870" s="8"/>
      <c r="BL1870" s="2" t="s">
        <v>100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171</v>
      </c>
      <c r="BV1870" s="2" t="s">
        <v>97</v>
      </c>
      <c r="BW1870" s="2" t="s">
        <v>100</v>
      </c>
      <c r="BX1870" s="2" t="s">
        <v>100</v>
      </c>
      <c r="BY1870" s="2" t="s">
        <v>112</v>
      </c>
      <c r="BZ1870" s="2" t="s">
        <v>100</v>
      </c>
    </row>
    <row r="1871">
      <c r="A1871" s="2" t="s">
        <v>6529</v>
      </c>
      <c r="B1871" s="2" t="s">
        <v>5155</v>
      </c>
      <c r="C1871" s="2" t="s">
        <v>2357</v>
      </c>
      <c r="D1871" s="2" t="s">
        <v>89</v>
      </c>
      <c r="E1871" s="2" t="s">
        <v>887</v>
      </c>
      <c r="F1871" s="2" t="s">
        <v>6525</v>
      </c>
      <c r="G1871" s="2" t="s">
        <v>6525</v>
      </c>
      <c r="H1871" s="2" t="s">
        <v>6525</v>
      </c>
      <c r="I1871" s="2" t="s">
        <v>6526</v>
      </c>
      <c r="J1871" s="2" t="s">
        <v>529</v>
      </c>
      <c r="K1871" s="2" t="s">
        <v>6527</v>
      </c>
      <c r="L1871" s="3">
        <v>52.38</v>
      </c>
      <c r="M1871" s="3">
        <v>55</v>
      </c>
      <c r="N1871" s="3">
        <v>109.99</v>
      </c>
      <c r="O1871" s="2" t="s">
        <v>97</v>
      </c>
      <c r="P1871" s="2" t="s">
        <v>98</v>
      </c>
      <c r="Q1871" s="2" t="s">
        <v>99</v>
      </c>
      <c r="R1871" s="2" t="s">
        <v>100</v>
      </c>
      <c r="S1871" s="2" t="s">
        <v>6528</v>
      </c>
      <c r="T1871" s="2" t="s">
        <v>5327</v>
      </c>
      <c r="U1871" s="2" t="s">
        <v>901</v>
      </c>
      <c r="V1871" s="2" t="s">
        <v>4636</v>
      </c>
      <c r="W1871" s="2" t="s">
        <v>270</v>
      </c>
      <c r="X1871" s="2" t="s">
        <v>525</v>
      </c>
      <c r="Y1871" s="2" t="s">
        <v>6208</v>
      </c>
      <c r="Z1871" s="4">
        <v>1</v>
      </c>
      <c r="AA1871" s="4">
        <f>=ROUNDDOWN(0.0555555555555556,0)</f>
      </c>
      <c r="AB1871" s="5">
        <v>18</v>
      </c>
      <c r="AC1871" s="2" t="s">
        <v>173</v>
      </c>
      <c r="AD1871" s="4">
        <v>190</v>
      </c>
      <c r="AE1871" s="4">
        <v>420</v>
      </c>
      <c r="AF1871" s="6">
        <v>65</v>
      </c>
      <c r="AG1871" s="6"/>
      <c r="AH1871" s="7">
        <v>0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 t="s">
        <v>100</v>
      </c>
      <c r="AW1871" s="8" t="s">
        <v>100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/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/>
      <c r="BJ1871" s="4">
        <v>1</v>
      </c>
      <c r="BK1871" s="8">
        <v>55</v>
      </c>
      <c r="BL1871" s="2" t="s">
        <v>3477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171</v>
      </c>
      <c r="BV1871" s="2" t="s">
        <v>97</v>
      </c>
      <c r="BW1871" s="2" t="s">
        <v>100</v>
      </c>
      <c r="BX1871" s="2" t="s">
        <v>100</v>
      </c>
      <c r="BY1871" s="2" t="s">
        <v>112</v>
      </c>
      <c r="BZ1871" s="2" t="s">
        <v>100</v>
      </c>
    </row>
    <row r="1872">
      <c r="A1872" s="2" t="s">
        <v>6530</v>
      </c>
      <c r="B1872" s="2" t="s">
        <v>5155</v>
      </c>
      <c r="C1872" s="2" t="s">
        <v>2357</v>
      </c>
      <c r="D1872" s="2" t="s">
        <v>89</v>
      </c>
      <c r="E1872" s="2" t="s">
        <v>90</v>
      </c>
      <c r="F1872" s="2" t="s">
        <v>6531</v>
      </c>
      <c r="G1872" s="2" t="s">
        <v>6531</v>
      </c>
      <c r="H1872" s="2" t="s">
        <v>6531</v>
      </c>
      <c r="I1872" s="2" t="s">
        <v>6532</v>
      </c>
      <c r="J1872" s="2" t="s">
        <v>522</v>
      </c>
      <c r="K1872" s="2" t="s">
        <v>6533</v>
      </c>
      <c r="L1872" s="3">
        <v>56.45</v>
      </c>
      <c r="M1872" s="3">
        <v>59.27</v>
      </c>
      <c r="N1872" s="3">
        <v>118.99</v>
      </c>
      <c r="O1872" s="2" t="s">
        <v>97</v>
      </c>
      <c r="P1872" s="2" t="s">
        <v>98</v>
      </c>
      <c r="Q1872" s="2" t="s">
        <v>99</v>
      </c>
      <c r="R1872" s="2" t="s">
        <v>100</v>
      </c>
      <c r="S1872" s="2" t="s">
        <v>6534</v>
      </c>
      <c r="T1872" s="2" t="s">
        <v>5327</v>
      </c>
      <c r="U1872" s="2" t="s">
        <v>1228</v>
      </c>
      <c r="V1872" s="2" t="s">
        <v>269</v>
      </c>
      <c r="W1872" s="2" t="s">
        <v>270</v>
      </c>
      <c r="X1872" s="2" t="s">
        <v>525</v>
      </c>
      <c r="Y1872" s="2" t="s">
        <v>6535</v>
      </c>
      <c r="Z1872" s="4"/>
      <c r="AA1872" s="4">
        <f>=ROUNDDOWN({0},0)</f>
      </c>
      <c r="AB1872" s="5">
        <v>20</v>
      </c>
      <c r="AC1872" s="2" t="s">
        <v>1142</v>
      </c>
      <c r="AD1872" s="4">
        <v>240</v>
      </c>
      <c r="AE1872" s="4">
        <v>550</v>
      </c>
      <c r="AF1872" s="6">
        <v>65</v>
      </c>
      <c r="AG1872" s="6"/>
      <c r="AH1872" s="7">
        <v>0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 t="s">
        <v>100</v>
      </c>
      <c r="AW1872" s="8" t="s">
        <v>100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/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/>
      <c r="BJ1872" s="4"/>
      <c r="BK1872" s="8"/>
      <c r="BL1872" s="2" t="s">
        <v>100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171</v>
      </c>
      <c r="BV1872" s="2" t="s">
        <v>97</v>
      </c>
      <c r="BW1872" s="2" t="s">
        <v>100</v>
      </c>
      <c r="BX1872" s="2" t="s">
        <v>100</v>
      </c>
      <c r="BY1872" s="2" t="s">
        <v>112</v>
      </c>
      <c r="BZ1872" s="2" t="s">
        <v>100</v>
      </c>
    </row>
    <row r="1873">
      <c r="A1873" s="2" t="s">
        <v>6536</v>
      </c>
      <c r="B1873" s="2" t="s">
        <v>5155</v>
      </c>
      <c r="C1873" s="2" t="s">
        <v>2357</v>
      </c>
      <c r="D1873" s="2" t="s">
        <v>89</v>
      </c>
      <c r="E1873" s="2" t="s">
        <v>90</v>
      </c>
      <c r="F1873" s="2" t="s">
        <v>6531</v>
      </c>
      <c r="G1873" s="2" t="s">
        <v>6531</v>
      </c>
      <c r="H1873" s="2" t="s">
        <v>6531</v>
      </c>
      <c r="I1873" s="2" t="s">
        <v>6532</v>
      </c>
      <c r="J1873" s="2" t="s">
        <v>114</v>
      </c>
      <c r="K1873" s="2" t="s">
        <v>6533</v>
      </c>
      <c r="L1873" s="3">
        <v>63.11</v>
      </c>
      <c r="M1873" s="3">
        <v>66.27</v>
      </c>
      <c r="N1873" s="3">
        <v>132.99</v>
      </c>
      <c r="O1873" s="2" t="s">
        <v>97</v>
      </c>
      <c r="P1873" s="2" t="s">
        <v>98</v>
      </c>
      <c r="Q1873" s="2" t="s">
        <v>99</v>
      </c>
      <c r="R1873" s="2" t="s">
        <v>100</v>
      </c>
      <c r="S1873" s="2" t="s">
        <v>6534</v>
      </c>
      <c r="T1873" s="2" t="s">
        <v>5327</v>
      </c>
      <c r="U1873" s="2" t="s">
        <v>1228</v>
      </c>
      <c r="V1873" s="2" t="s">
        <v>269</v>
      </c>
      <c r="W1873" s="2" t="s">
        <v>270</v>
      </c>
      <c r="X1873" s="2" t="s">
        <v>525</v>
      </c>
      <c r="Y1873" s="2" t="s">
        <v>6535</v>
      </c>
      <c r="Z1873" s="4">
        <v>1</v>
      </c>
      <c r="AA1873" s="4">
        <f>=ROUNDDOWN(0.0555555555555556,0)</f>
      </c>
      <c r="AB1873" s="5">
        <v>18</v>
      </c>
      <c r="AC1873" s="2" t="s">
        <v>1142</v>
      </c>
      <c r="AD1873" s="4">
        <v>230</v>
      </c>
      <c r="AE1873" s="4">
        <v>540</v>
      </c>
      <c r="AF1873" s="6">
        <v>65</v>
      </c>
      <c r="AG1873" s="6"/>
      <c r="AH1873" s="7">
        <v>0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/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/>
      <c r="BJ1873" s="4"/>
      <c r="BK1873" s="8"/>
      <c r="BL1873" s="2" t="s">
        <v>100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171</v>
      </c>
      <c r="BV1873" s="2" t="s">
        <v>97</v>
      </c>
      <c r="BW1873" s="2" t="s">
        <v>100</v>
      </c>
      <c r="BX1873" s="2" t="s">
        <v>100</v>
      </c>
      <c r="BY1873" s="2" t="s">
        <v>112</v>
      </c>
      <c r="BZ1873" s="2" t="s">
        <v>100</v>
      </c>
    </row>
    <row r="1874">
      <c r="A1874" s="2" t="s">
        <v>6537</v>
      </c>
      <c r="B1874" s="2" t="s">
        <v>5155</v>
      </c>
      <c r="C1874" s="2" t="s">
        <v>2357</v>
      </c>
      <c r="D1874" s="2" t="s">
        <v>89</v>
      </c>
      <c r="E1874" s="2" t="s">
        <v>90</v>
      </c>
      <c r="F1874" s="2" t="s">
        <v>6531</v>
      </c>
      <c r="G1874" s="2" t="s">
        <v>6531</v>
      </c>
      <c r="H1874" s="2" t="s">
        <v>6531</v>
      </c>
      <c r="I1874" s="2" t="s">
        <v>6532</v>
      </c>
      <c r="J1874" s="2" t="s">
        <v>522</v>
      </c>
      <c r="K1874" s="2" t="s">
        <v>6538</v>
      </c>
      <c r="L1874" s="3">
        <v>56.45</v>
      </c>
      <c r="M1874" s="3">
        <v>59.27</v>
      </c>
      <c r="N1874" s="3">
        <v>118.99</v>
      </c>
      <c r="O1874" s="2" t="s">
        <v>97</v>
      </c>
      <c r="P1874" s="2" t="s">
        <v>98</v>
      </c>
      <c r="Q1874" s="2" t="s">
        <v>99</v>
      </c>
      <c r="R1874" s="2" t="s">
        <v>100</v>
      </c>
      <c r="S1874" s="2" t="s">
        <v>6539</v>
      </c>
      <c r="T1874" s="2" t="s">
        <v>5327</v>
      </c>
      <c r="U1874" s="2" t="s">
        <v>1228</v>
      </c>
      <c r="V1874" s="2" t="s">
        <v>461</v>
      </c>
      <c r="W1874" s="2" t="s">
        <v>270</v>
      </c>
      <c r="X1874" s="2" t="s">
        <v>525</v>
      </c>
      <c r="Y1874" s="2" t="s">
        <v>5674</v>
      </c>
      <c r="Z1874" s="4"/>
      <c r="AA1874" s="4">
        <f>=ROUNDDOWN({0},0)</f>
      </c>
      <c r="AB1874" s="5">
        <v>13</v>
      </c>
      <c r="AC1874" s="2" t="s">
        <v>1142</v>
      </c>
      <c r="AD1874" s="4">
        <v>160</v>
      </c>
      <c r="AE1874" s="4">
        <v>350</v>
      </c>
      <c r="AF1874" s="6">
        <v>65</v>
      </c>
      <c r="AG1874" s="6"/>
      <c r="AH1874" s="7">
        <v>0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 t="s">
        <v>100</v>
      </c>
      <c r="AW1874" s="8" t="s">
        <v>100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/>
      <c r="BC1874" s="4" t="s">
        <v>100</v>
      </c>
      <c r="BD1874" s="8" t="s">
        <v>100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/>
      <c r="BJ1874" s="4"/>
      <c r="BK1874" s="8"/>
      <c r="BL1874" s="2" t="s">
        <v>100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171</v>
      </c>
      <c r="BV1874" s="2" t="s">
        <v>97</v>
      </c>
      <c r="BW1874" s="2" t="s">
        <v>100</v>
      </c>
      <c r="BX1874" s="2" t="s">
        <v>100</v>
      </c>
      <c r="BY1874" s="2" t="s">
        <v>112</v>
      </c>
      <c r="BZ1874" s="2" t="s">
        <v>100</v>
      </c>
    </row>
    <row r="1875">
      <c r="A1875" s="2" t="s">
        <v>6540</v>
      </c>
      <c r="B1875" s="2" t="s">
        <v>5155</v>
      </c>
      <c r="C1875" s="2" t="s">
        <v>2357</v>
      </c>
      <c r="D1875" s="2" t="s">
        <v>89</v>
      </c>
      <c r="E1875" s="2" t="s">
        <v>90</v>
      </c>
      <c r="F1875" s="2" t="s">
        <v>6531</v>
      </c>
      <c r="G1875" s="2" t="s">
        <v>6531</v>
      </c>
      <c r="H1875" s="2" t="s">
        <v>6531</v>
      </c>
      <c r="I1875" s="2" t="s">
        <v>6532</v>
      </c>
      <c r="J1875" s="2" t="s">
        <v>114</v>
      </c>
      <c r="K1875" s="2" t="s">
        <v>6538</v>
      </c>
      <c r="L1875" s="3">
        <v>63.11</v>
      </c>
      <c r="M1875" s="3">
        <v>66.27</v>
      </c>
      <c r="N1875" s="3">
        <v>132.99</v>
      </c>
      <c r="O1875" s="2" t="s">
        <v>97</v>
      </c>
      <c r="P1875" s="2" t="s">
        <v>98</v>
      </c>
      <c r="Q1875" s="2" t="s">
        <v>99</v>
      </c>
      <c r="R1875" s="2" t="s">
        <v>100</v>
      </c>
      <c r="S1875" s="2" t="s">
        <v>6539</v>
      </c>
      <c r="T1875" s="2" t="s">
        <v>5327</v>
      </c>
      <c r="U1875" s="2" t="s">
        <v>1228</v>
      </c>
      <c r="V1875" s="2" t="s">
        <v>461</v>
      </c>
      <c r="W1875" s="2" t="s">
        <v>270</v>
      </c>
      <c r="X1875" s="2" t="s">
        <v>525</v>
      </c>
      <c r="Y1875" s="2" t="s">
        <v>5674</v>
      </c>
      <c r="Z1875" s="4"/>
      <c r="AA1875" s="4">
        <f>=ROUNDDOWN({0},0)</f>
      </c>
      <c r="AB1875" s="5">
        <v>15</v>
      </c>
      <c r="AC1875" s="2" t="s">
        <v>1142</v>
      </c>
      <c r="AD1875" s="4">
        <v>190</v>
      </c>
      <c r="AE1875" s="4">
        <v>440</v>
      </c>
      <c r="AF1875" s="6">
        <v>65</v>
      </c>
      <c r="AG1875" s="6"/>
      <c r="AH1875" s="7">
        <v>0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 t="s">
        <v>100</v>
      </c>
      <c r="AW1875" s="8" t="s">
        <v>100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/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/>
      <c r="BJ1875" s="4"/>
      <c r="BK1875" s="8"/>
      <c r="BL1875" s="2" t="s">
        <v>100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171</v>
      </c>
      <c r="BV1875" s="2" t="s">
        <v>97</v>
      </c>
      <c r="BW1875" s="2" t="s">
        <v>100</v>
      </c>
      <c r="BX1875" s="2" t="s">
        <v>100</v>
      </c>
      <c r="BY1875" s="2" t="s">
        <v>112</v>
      </c>
      <c r="BZ1875" s="2" t="s">
        <v>100</v>
      </c>
    </row>
    <row r="1876">
      <c r="A1876" s="2" t="s">
        <v>6541</v>
      </c>
      <c r="B1876" s="2" t="s">
        <v>5155</v>
      </c>
      <c r="C1876" s="2" t="s">
        <v>2357</v>
      </c>
      <c r="D1876" s="2" t="s">
        <v>89</v>
      </c>
      <c r="E1876" s="2" t="s">
        <v>90</v>
      </c>
      <c r="F1876" s="2" t="s">
        <v>6531</v>
      </c>
      <c r="G1876" s="2" t="s">
        <v>6531</v>
      </c>
      <c r="H1876" s="2" t="s">
        <v>6531</v>
      </c>
      <c r="I1876" s="2" t="s">
        <v>6532</v>
      </c>
      <c r="J1876" s="2" t="s">
        <v>522</v>
      </c>
      <c r="K1876" s="2" t="s">
        <v>6542</v>
      </c>
      <c r="L1876" s="3">
        <v>56.45</v>
      </c>
      <c r="M1876" s="3">
        <v>59.27</v>
      </c>
      <c r="N1876" s="3">
        <v>118.99</v>
      </c>
      <c r="O1876" s="2" t="s">
        <v>97</v>
      </c>
      <c r="P1876" s="2" t="s">
        <v>156</v>
      </c>
      <c r="Q1876" s="2" t="s">
        <v>99</v>
      </c>
      <c r="R1876" s="2" t="s">
        <v>100</v>
      </c>
      <c r="S1876" s="2" t="s">
        <v>6539</v>
      </c>
      <c r="T1876" s="2" t="s">
        <v>5327</v>
      </c>
      <c r="U1876" s="2" t="s">
        <v>1228</v>
      </c>
      <c r="V1876" s="2" t="s">
        <v>461</v>
      </c>
      <c r="W1876" s="2" t="s">
        <v>270</v>
      </c>
      <c r="X1876" s="2" t="s">
        <v>525</v>
      </c>
      <c r="Y1876" s="2" t="s">
        <v>5674</v>
      </c>
      <c r="Z1876" s="4">
        <v>2</v>
      </c>
      <c r="AA1876" s="4">
        <f>=ROUNDDOWN(0.0869565217391304,0)</f>
      </c>
      <c r="AB1876" s="5">
        <v>23</v>
      </c>
      <c r="AC1876" s="2" t="s">
        <v>1142</v>
      </c>
      <c r="AD1876" s="4">
        <v>270</v>
      </c>
      <c r="AE1876" s="4">
        <v>610</v>
      </c>
      <c r="AF1876" s="6">
        <v>65</v>
      </c>
      <c r="AG1876" s="6"/>
      <c r="AH1876" s="7">
        <v>0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 t="s">
        <v>100</v>
      </c>
      <c r="AW1876" s="8" t="s">
        <v>100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/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/>
      <c r="BJ1876" s="4"/>
      <c r="BK1876" s="8"/>
      <c r="BL1876" s="2" t="s">
        <v>100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171</v>
      </c>
      <c r="BV1876" s="2" t="s">
        <v>97</v>
      </c>
      <c r="BW1876" s="2" t="s">
        <v>100</v>
      </c>
      <c r="BX1876" s="2" t="s">
        <v>100</v>
      </c>
      <c r="BY1876" s="2" t="s">
        <v>112</v>
      </c>
      <c r="BZ1876" s="2" t="s">
        <v>100</v>
      </c>
    </row>
    <row r="1877">
      <c r="A1877" s="2" t="s">
        <v>6543</v>
      </c>
      <c r="B1877" s="2" t="s">
        <v>5155</v>
      </c>
      <c r="C1877" s="2" t="s">
        <v>2357</v>
      </c>
      <c r="D1877" s="2" t="s">
        <v>89</v>
      </c>
      <c r="E1877" s="2" t="s">
        <v>90</v>
      </c>
      <c r="F1877" s="2" t="s">
        <v>6531</v>
      </c>
      <c r="G1877" s="2" t="s">
        <v>6531</v>
      </c>
      <c r="H1877" s="2" t="s">
        <v>6531</v>
      </c>
      <c r="I1877" s="2" t="s">
        <v>6532</v>
      </c>
      <c r="J1877" s="2" t="s">
        <v>114</v>
      </c>
      <c r="K1877" s="2" t="s">
        <v>6542</v>
      </c>
      <c r="L1877" s="3">
        <v>63.11</v>
      </c>
      <c r="M1877" s="3">
        <v>66.27</v>
      </c>
      <c r="N1877" s="3">
        <v>132.99</v>
      </c>
      <c r="O1877" s="2" t="s">
        <v>97</v>
      </c>
      <c r="P1877" s="2" t="s">
        <v>156</v>
      </c>
      <c r="Q1877" s="2" t="s">
        <v>99</v>
      </c>
      <c r="R1877" s="2" t="s">
        <v>100</v>
      </c>
      <c r="S1877" s="2" t="s">
        <v>6539</v>
      </c>
      <c r="T1877" s="2" t="s">
        <v>5327</v>
      </c>
      <c r="U1877" s="2" t="s">
        <v>1228</v>
      </c>
      <c r="V1877" s="2" t="s">
        <v>461</v>
      </c>
      <c r="W1877" s="2" t="s">
        <v>270</v>
      </c>
      <c r="X1877" s="2" t="s">
        <v>525</v>
      </c>
      <c r="Y1877" s="2" t="s">
        <v>5945</v>
      </c>
      <c r="Z1877" s="4"/>
      <c r="AA1877" s="4">
        <f>=ROUNDDOWN({0},0)</f>
      </c>
      <c r="AB1877" s="5">
        <v>24</v>
      </c>
      <c r="AC1877" s="2" t="s">
        <v>1142</v>
      </c>
      <c r="AD1877" s="4">
        <v>300</v>
      </c>
      <c r="AE1877" s="4">
        <v>710</v>
      </c>
      <c r="AF1877" s="6">
        <v>65</v>
      </c>
      <c r="AG1877" s="6"/>
      <c r="AH1877" s="7">
        <v>0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 t="s">
        <v>100</v>
      </c>
      <c r="AW1877" s="8" t="s">
        <v>100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/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/>
      <c r="BJ1877" s="4"/>
      <c r="BK1877" s="8"/>
      <c r="BL1877" s="2" t="s">
        <v>100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171</v>
      </c>
      <c r="BV1877" s="2" t="s">
        <v>97</v>
      </c>
      <c r="BW1877" s="2" t="s">
        <v>100</v>
      </c>
      <c r="BX1877" s="2" t="s">
        <v>100</v>
      </c>
      <c r="BY1877" s="2" t="s">
        <v>112</v>
      </c>
      <c r="BZ1877" s="2" t="s">
        <v>100</v>
      </c>
    </row>
    <row r="1878">
      <c r="A1878" s="2" t="s">
        <v>6544</v>
      </c>
      <c r="B1878" s="2" t="s">
        <v>5155</v>
      </c>
      <c r="C1878" s="2" t="s">
        <v>2357</v>
      </c>
      <c r="D1878" s="2" t="s">
        <v>89</v>
      </c>
      <c r="E1878" s="2" t="s">
        <v>90</v>
      </c>
      <c r="F1878" s="2" t="s">
        <v>6531</v>
      </c>
      <c r="G1878" s="2" t="s">
        <v>6531</v>
      </c>
      <c r="H1878" s="2" t="s">
        <v>6531</v>
      </c>
      <c r="I1878" s="2" t="s">
        <v>6532</v>
      </c>
      <c r="J1878" s="2" t="s">
        <v>522</v>
      </c>
      <c r="K1878" s="2" t="s">
        <v>3022</v>
      </c>
      <c r="L1878" s="3">
        <v>56.45</v>
      </c>
      <c r="M1878" s="3">
        <v>59.27</v>
      </c>
      <c r="N1878" s="3">
        <v>118.99</v>
      </c>
      <c r="O1878" s="2" t="s">
        <v>97</v>
      </c>
      <c r="P1878" s="2" t="s">
        <v>98</v>
      </c>
      <c r="Q1878" s="2" t="s">
        <v>99</v>
      </c>
      <c r="R1878" s="2" t="s">
        <v>100</v>
      </c>
      <c r="S1878" s="2" t="s">
        <v>6545</v>
      </c>
      <c r="T1878" s="2" t="s">
        <v>5327</v>
      </c>
      <c r="U1878" s="2" t="s">
        <v>1228</v>
      </c>
      <c r="V1878" s="2" t="s">
        <v>461</v>
      </c>
      <c r="W1878" s="2" t="s">
        <v>270</v>
      </c>
      <c r="X1878" s="2" t="s">
        <v>100</v>
      </c>
      <c r="Y1878" s="2" t="s">
        <v>5053</v>
      </c>
      <c r="Z1878" s="4">
        <v>2</v>
      </c>
      <c r="AA1878" s="4">
        <f>=ROUNDDOWN(0.111111111111111,0)</f>
      </c>
      <c r="AB1878" s="5">
        <v>18</v>
      </c>
      <c r="AC1878" s="2" t="s">
        <v>1142</v>
      </c>
      <c r="AD1878" s="4">
        <v>230</v>
      </c>
      <c r="AE1878" s="4">
        <v>520</v>
      </c>
      <c r="AF1878" s="6">
        <v>65</v>
      </c>
      <c r="AG1878" s="6"/>
      <c r="AH1878" s="7">
        <v>0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 t="s">
        <v>100</v>
      </c>
      <c r="AW1878" s="8" t="s">
        <v>100</v>
      </c>
      <c r="AX1878" s="4" t="s">
        <v>100</v>
      </c>
      <c r="AY1878" s="8" t="s">
        <v>100</v>
      </c>
      <c r="AZ1878" s="7" t="s">
        <v>100</v>
      </c>
      <c r="BA1878" s="7" t="s">
        <v>100</v>
      </c>
      <c r="BB1878" s="7"/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/>
      <c r="BJ1878" s="4"/>
      <c r="BK1878" s="8"/>
      <c r="BL1878" s="2" t="s">
        <v>100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171</v>
      </c>
      <c r="BV1878" s="2" t="s">
        <v>97</v>
      </c>
      <c r="BW1878" s="2" t="s">
        <v>100</v>
      </c>
      <c r="BX1878" s="2" t="s">
        <v>100</v>
      </c>
      <c r="BY1878" s="2" t="s">
        <v>112</v>
      </c>
      <c r="BZ1878" s="2" t="s">
        <v>100</v>
      </c>
    </row>
    <row r="1879">
      <c r="A1879" s="2" t="s">
        <v>6546</v>
      </c>
      <c r="B1879" s="2" t="s">
        <v>5155</v>
      </c>
      <c r="C1879" s="2" t="s">
        <v>2357</v>
      </c>
      <c r="D1879" s="2" t="s">
        <v>89</v>
      </c>
      <c r="E1879" s="2" t="s">
        <v>90</v>
      </c>
      <c r="F1879" s="2" t="s">
        <v>6531</v>
      </c>
      <c r="G1879" s="2" t="s">
        <v>6531</v>
      </c>
      <c r="H1879" s="2" t="s">
        <v>6531</v>
      </c>
      <c r="I1879" s="2" t="s">
        <v>6532</v>
      </c>
      <c r="J1879" s="2" t="s">
        <v>114</v>
      </c>
      <c r="K1879" s="2" t="s">
        <v>3022</v>
      </c>
      <c r="L1879" s="3">
        <v>63.11</v>
      </c>
      <c r="M1879" s="3">
        <v>66.27</v>
      </c>
      <c r="N1879" s="3">
        <v>132.99</v>
      </c>
      <c r="O1879" s="2" t="s">
        <v>97</v>
      </c>
      <c r="P1879" s="2" t="s">
        <v>98</v>
      </c>
      <c r="Q1879" s="2" t="s">
        <v>99</v>
      </c>
      <c r="R1879" s="2" t="s">
        <v>100</v>
      </c>
      <c r="S1879" s="2" t="s">
        <v>6545</v>
      </c>
      <c r="T1879" s="2" t="s">
        <v>5327</v>
      </c>
      <c r="U1879" s="2" t="s">
        <v>1228</v>
      </c>
      <c r="V1879" s="2" t="s">
        <v>461</v>
      </c>
      <c r="W1879" s="2" t="s">
        <v>270</v>
      </c>
      <c r="X1879" s="2" t="s">
        <v>100</v>
      </c>
      <c r="Y1879" s="2" t="s">
        <v>5053</v>
      </c>
      <c r="Z1879" s="4"/>
      <c r="AA1879" s="4">
        <f>=ROUNDDOWN({0},0)</f>
      </c>
      <c r="AB1879" s="5">
        <v>18</v>
      </c>
      <c r="AC1879" s="2" t="s">
        <v>1142</v>
      </c>
      <c r="AD1879" s="4">
        <v>230</v>
      </c>
      <c r="AE1879" s="4">
        <v>530</v>
      </c>
      <c r="AF1879" s="6">
        <v>65</v>
      </c>
      <c r="AG1879" s="6"/>
      <c r="AH1879" s="7">
        <v>0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 t="s">
        <v>100</v>
      </c>
      <c r="AW1879" s="8" t="s">
        <v>100</v>
      </c>
      <c r="AX1879" s="4" t="s">
        <v>100</v>
      </c>
      <c r="AY1879" s="8" t="s">
        <v>100</v>
      </c>
      <c r="AZ1879" s="7" t="s">
        <v>100</v>
      </c>
      <c r="BA1879" s="7" t="s">
        <v>100</v>
      </c>
      <c r="BB1879" s="7"/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/>
      <c r="BJ1879" s="4">
        <v>1</v>
      </c>
      <c r="BK1879" s="8">
        <v>66.27</v>
      </c>
      <c r="BL1879" s="2" t="s">
        <v>3477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171</v>
      </c>
      <c r="BV1879" s="2" t="s">
        <v>97</v>
      </c>
      <c r="BW1879" s="2" t="s">
        <v>100</v>
      </c>
      <c r="BX1879" s="2" t="s">
        <v>100</v>
      </c>
      <c r="BY1879" s="2" t="s">
        <v>112</v>
      </c>
      <c r="BZ1879" s="2" t="s">
        <v>100</v>
      </c>
    </row>
    <row r="1880">
      <c r="A1880" s="2" t="s">
        <v>6547</v>
      </c>
      <c r="B1880" s="2" t="s">
        <v>5155</v>
      </c>
      <c r="C1880" s="2" t="s">
        <v>2357</v>
      </c>
      <c r="D1880" s="2" t="s">
        <v>89</v>
      </c>
      <c r="E1880" s="2" t="s">
        <v>90</v>
      </c>
      <c r="F1880" s="2" t="s">
        <v>6531</v>
      </c>
      <c r="G1880" s="2" t="s">
        <v>6531</v>
      </c>
      <c r="H1880" s="2" t="s">
        <v>6531</v>
      </c>
      <c r="I1880" s="2" t="s">
        <v>6532</v>
      </c>
      <c r="J1880" s="2" t="s">
        <v>522</v>
      </c>
      <c r="K1880" s="2" t="s">
        <v>6548</v>
      </c>
      <c r="L1880" s="3">
        <v>56.45</v>
      </c>
      <c r="M1880" s="3">
        <v>59.27</v>
      </c>
      <c r="N1880" s="3">
        <v>118.99</v>
      </c>
      <c r="O1880" s="2" t="s">
        <v>97</v>
      </c>
      <c r="P1880" s="2" t="s">
        <v>139</v>
      </c>
      <c r="Q1880" s="2" t="s">
        <v>99</v>
      </c>
      <c r="R1880" s="2" t="s">
        <v>100</v>
      </c>
      <c r="S1880" s="2" t="s">
        <v>6549</v>
      </c>
      <c r="T1880" s="2" t="s">
        <v>5327</v>
      </c>
      <c r="U1880" s="2" t="s">
        <v>1228</v>
      </c>
      <c r="V1880" s="2" t="s">
        <v>461</v>
      </c>
      <c r="W1880" s="2" t="s">
        <v>270</v>
      </c>
      <c r="X1880" s="2" t="s">
        <v>525</v>
      </c>
      <c r="Y1880" s="2" t="s">
        <v>417</v>
      </c>
      <c r="Z1880" s="4"/>
      <c r="AA1880" s="4">
        <f>=ROUNDDOWN({0},0)</f>
      </c>
      <c r="AB1880" s="5">
        <v>35</v>
      </c>
      <c r="AC1880" s="2" t="s">
        <v>1142</v>
      </c>
      <c r="AD1880" s="4">
        <v>420</v>
      </c>
      <c r="AE1880" s="4">
        <v>950</v>
      </c>
      <c r="AF1880" s="6">
        <v>65</v>
      </c>
      <c r="AG1880" s="6"/>
      <c r="AH1880" s="7">
        <v>0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 t="s">
        <v>100</v>
      </c>
      <c r="AW1880" s="8" t="s">
        <v>100</v>
      </c>
      <c r="AX1880" s="4" t="s">
        <v>100</v>
      </c>
      <c r="AY1880" s="8" t="s">
        <v>100</v>
      </c>
      <c r="AZ1880" s="7" t="s">
        <v>100</v>
      </c>
      <c r="BA1880" s="7" t="s">
        <v>100</v>
      </c>
      <c r="BB1880" s="7"/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/>
      <c r="BJ1880" s="4"/>
      <c r="BK1880" s="8"/>
      <c r="BL1880" s="2" t="s">
        <v>100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171</v>
      </c>
      <c r="BV1880" s="2" t="s">
        <v>97</v>
      </c>
      <c r="BW1880" s="2" t="s">
        <v>100</v>
      </c>
      <c r="BX1880" s="2" t="s">
        <v>100</v>
      </c>
      <c r="BY1880" s="2" t="s">
        <v>112</v>
      </c>
      <c r="BZ1880" s="2" t="s">
        <v>100</v>
      </c>
    </row>
    <row r="1881">
      <c r="A1881" s="2" t="s">
        <v>6550</v>
      </c>
      <c r="B1881" s="2" t="s">
        <v>5155</v>
      </c>
      <c r="C1881" s="2" t="s">
        <v>2357</v>
      </c>
      <c r="D1881" s="2" t="s">
        <v>89</v>
      </c>
      <c r="E1881" s="2" t="s">
        <v>90</v>
      </c>
      <c r="F1881" s="2" t="s">
        <v>6531</v>
      </c>
      <c r="G1881" s="2" t="s">
        <v>6531</v>
      </c>
      <c r="H1881" s="2" t="s">
        <v>6531</v>
      </c>
      <c r="I1881" s="2" t="s">
        <v>6532</v>
      </c>
      <c r="J1881" s="2" t="s">
        <v>114</v>
      </c>
      <c r="K1881" s="2" t="s">
        <v>6548</v>
      </c>
      <c r="L1881" s="3">
        <v>63.11</v>
      </c>
      <c r="M1881" s="3">
        <v>66.27</v>
      </c>
      <c r="N1881" s="3">
        <v>132.99</v>
      </c>
      <c r="O1881" s="2" t="s">
        <v>97</v>
      </c>
      <c r="P1881" s="2" t="s">
        <v>139</v>
      </c>
      <c r="Q1881" s="2" t="s">
        <v>99</v>
      </c>
      <c r="R1881" s="2" t="s">
        <v>100</v>
      </c>
      <c r="S1881" s="2" t="s">
        <v>6549</v>
      </c>
      <c r="T1881" s="2" t="s">
        <v>5327</v>
      </c>
      <c r="U1881" s="2" t="s">
        <v>1228</v>
      </c>
      <c r="V1881" s="2" t="s">
        <v>461</v>
      </c>
      <c r="W1881" s="2" t="s">
        <v>270</v>
      </c>
      <c r="X1881" s="2" t="s">
        <v>525</v>
      </c>
      <c r="Y1881" s="2" t="s">
        <v>417</v>
      </c>
      <c r="Z1881" s="4"/>
      <c r="AA1881" s="4">
        <f>=ROUNDDOWN({0},0)</f>
      </c>
      <c r="AB1881" s="5">
        <v>29</v>
      </c>
      <c r="AC1881" s="2" t="s">
        <v>1142</v>
      </c>
      <c r="AD1881" s="4">
        <v>350</v>
      </c>
      <c r="AE1881" s="4">
        <v>820</v>
      </c>
      <c r="AF1881" s="6">
        <v>65</v>
      </c>
      <c r="AG1881" s="6"/>
      <c r="AH1881" s="7">
        <v>0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 t="s">
        <v>100</v>
      </c>
      <c r="AW1881" s="8" t="s">
        <v>100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/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/>
      <c r="BJ1881" s="4"/>
      <c r="BK1881" s="8"/>
      <c r="BL1881" s="2" t="s">
        <v>100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171</v>
      </c>
      <c r="BV1881" s="2" t="s">
        <v>97</v>
      </c>
      <c r="BW1881" s="2" t="s">
        <v>100</v>
      </c>
      <c r="BX1881" s="2" t="s">
        <v>100</v>
      </c>
      <c r="BY1881" s="2" t="s">
        <v>112</v>
      </c>
      <c r="BZ1881" s="2" t="s">
        <v>100</v>
      </c>
    </row>
    <row r="1882">
      <c r="A1882" s="2" t="s">
        <v>6551</v>
      </c>
      <c r="B1882" s="2" t="s">
        <v>5155</v>
      </c>
      <c r="C1882" s="2" t="s">
        <v>2357</v>
      </c>
      <c r="D1882" s="2" t="s">
        <v>89</v>
      </c>
      <c r="E1882" s="2" t="s">
        <v>90</v>
      </c>
      <c r="F1882" s="2" t="s">
        <v>6531</v>
      </c>
      <c r="G1882" s="2" t="s">
        <v>6531</v>
      </c>
      <c r="H1882" s="2" t="s">
        <v>6531</v>
      </c>
      <c r="I1882" s="2" t="s">
        <v>6532</v>
      </c>
      <c r="J1882" s="2" t="s">
        <v>522</v>
      </c>
      <c r="K1882" s="2" t="s">
        <v>6552</v>
      </c>
      <c r="L1882" s="3">
        <v>56.45</v>
      </c>
      <c r="M1882" s="3">
        <v>59.27</v>
      </c>
      <c r="N1882" s="3">
        <v>118.99</v>
      </c>
      <c r="O1882" s="2" t="s">
        <v>97</v>
      </c>
      <c r="P1882" s="2" t="s">
        <v>156</v>
      </c>
      <c r="Q1882" s="2" t="s">
        <v>99</v>
      </c>
      <c r="R1882" s="2" t="s">
        <v>100</v>
      </c>
      <c r="S1882" s="2" t="s">
        <v>100</v>
      </c>
      <c r="T1882" s="2" t="s">
        <v>5327</v>
      </c>
      <c r="U1882" s="2" t="s">
        <v>1228</v>
      </c>
      <c r="V1882" s="2" t="s">
        <v>461</v>
      </c>
      <c r="W1882" s="2" t="s">
        <v>270</v>
      </c>
      <c r="X1882" s="2" t="s">
        <v>525</v>
      </c>
      <c r="Y1882" s="2" t="s">
        <v>6553</v>
      </c>
      <c r="Z1882" s="4">
        <v>3</v>
      </c>
      <c r="AA1882" s="4">
        <f>=ROUNDDOWN(0.0967741935483871,0)</f>
      </c>
      <c r="AB1882" s="5">
        <v>31</v>
      </c>
      <c r="AC1882" s="2" t="s">
        <v>1142</v>
      </c>
      <c r="AD1882" s="4">
        <v>370</v>
      </c>
      <c r="AE1882" s="4">
        <v>850</v>
      </c>
      <c r="AF1882" s="6">
        <v>65</v>
      </c>
      <c r="AG1882" s="6"/>
      <c r="AH1882" s="7">
        <v>0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 t="s">
        <v>100</v>
      </c>
      <c r="AW1882" s="8" t="s">
        <v>100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/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/>
      <c r="BJ1882" s="4"/>
      <c r="BK1882" s="8"/>
      <c r="BL1882" s="2" t="s">
        <v>100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171</v>
      </c>
      <c r="BV1882" s="2" t="s">
        <v>97</v>
      </c>
      <c r="BW1882" s="2" t="s">
        <v>100</v>
      </c>
      <c r="BX1882" s="2" t="s">
        <v>100</v>
      </c>
      <c r="BY1882" s="2" t="s">
        <v>112</v>
      </c>
      <c r="BZ1882" s="2" t="s">
        <v>100</v>
      </c>
    </row>
    <row r="1883">
      <c r="A1883" s="2" t="s">
        <v>6554</v>
      </c>
      <c r="B1883" s="2" t="s">
        <v>5155</v>
      </c>
      <c r="C1883" s="2" t="s">
        <v>2357</v>
      </c>
      <c r="D1883" s="2" t="s">
        <v>89</v>
      </c>
      <c r="E1883" s="2" t="s">
        <v>90</v>
      </c>
      <c r="F1883" s="2" t="s">
        <v>6531</v>
      </c>
      <c r="G1883" s="2" t="s">
        <v>6531</v>
      </c>
      <c r="H1883" s="2" t="s">
        <v>6531</v>
      </c>
      <c r="I1883" s="2" t="s">
        <v>6532</v>
      </c>
      <c r="J1883" s="2" t="s">
        <v>114</v>
      </c>
      <c r="K1883" s="2" t="s">
        <v>6552</v>
      </c>
      <c r="L1883" s="3">
        <v>63.11</v>
      </c>
      <c r="M1883" s="3">
        <v>66.27</v>
      </c>
      <c r="N1883" s="3">
        <v>132.99</v>
      </c>
      <c r="O1883" s="2" t="s">
        <v>97</v>
      </c>
      <c r="P1883" s="2" t="s">
        <v>156</v>
      </c>
      <c r="Q1883" s="2" t="s">
        <v>99</v>
      </c>
      <c r="R1883" s="2" t="s">
        <v>100</v>
      </c>
      <c r="S1883" s="2" t="s">
        <v>100</v>
      </c>
      <c r="T1883" s="2" t="s">
        <v>5327</v>
      </c>
      <c r="U1883" s="2" t="s">
        <v>1228</v>
      </c>
      <c r="V1883" s="2" t="s">
        <v>461</v>
      </c>
      <c r="W1883" s="2" t="s">
        <v>270</v>
      </c>
      <c r="X1883" s="2" t="s">
        <v>525</v>
      </c>
      <c r="Y1883" s="2" t="s">
        <v>6553</v>
      </c>
      <c r="Z1883" s="4">
        <v>2</v>
      </c>
      <c r="AA1883" s="4">
        <f>=ROUNDDOWN(0.0869565217391304,0)</f>
      </c>
      <c r="AB1883" s="5">
        <v>23</v>
      </c>
      <c r="AC1883" s="2" t="s">
        <v>1142</v>
      </c>
      <c r="AD1883" s="4">
        <v>290</v>
      </c>
      <c r="AE1883" s="4">
        <v>680</v>
      </c>
      <c r="AF1883" s="6">
        <v>65</v>
      </c>
      <c r="AG1883" s="6"/>
      <c r="AH1883" s="7">
        <v>0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 t="s">
        <v>100</v>
      </c>
      <c r="AW1883" s="8" t="s">
        <v>100</v>
      </c>
      <c r="AX1883" s="4" t="s">
        <v>100</v>
      </c>
      <c r="AY1883" s="8" t="s">
        <v>100</v>
      </c>
      <c r="AZ1883" s="7" t="s">
        <v>100</v>
      </c>
      <c r="BA1883" s="7" t="s">
        <v>100</v>
      </c>
      <c r="BB1883" s="7"/>
      <c r="BC1883" s="4" t="s">
        <v>100</v>
      </c>
      <c r="BD1883" s="8" t="s">
        <v>100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/>
      <c r="BJ1883" s="4">
        <v>1</v>
      </c>
      <c r="BK1883" s="8">
        <v>66.26</v>
      </c>
      <c r="BL1883" s="2" t="s">
        <v>3477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171</v>
      </c>
      <c r="BV1883" s="2" t="s">
        <v>97</v>
      </c>
      <c r="BW1883" s="2" t="s">
        <v>100</v>
      </c>
      <c r="BX1883" s="2" t="s">
        <v>100</v>
      </c>
      <c r="BY1883" s="2" t="s">
        <v>112</v>
      </c>
      <c r="BZ1883" s="2" t="s">
        <v>100</v>
      </c>
    </row>
    <row r="1884">
      <c r="A1884" s="2" t="s">
        <v>6555</v>
      </c>
      <c r="B1884" s="2" t="s">
        <v>5155</v>
      </c>
      <c r="C1884" s="2" t="s">
        <v>2357</v>
      </c>
      <c r="D1884" s="2" t="s">
        <v>89</v>
      </c>
      <c r="E1884" s="2" t="s">
        <v>90</v>
      </c>
      <c r="F1884" s="2" t="s">
        <v>6531</v>
      </c>
      <c r="G1884" s="2" t="s">
        <v>6531</v>
      </c>
      <c r="H1884" s="2" t="s">
        <v>6531</v>
      </c>
      <c r="I1884" s="2" t="s">
        <v>6532</v>
      </c>
      <c r="J1884" s="2" t="s">
        <v>522</v>
      </c>
      <c r="K1884" s="2" t="s">
        <v>2025</v>
      </c>
      <c r="L1884" s="3">
        <v>56.45</v>
      </c>
      <c r="M1884" s="3">
        <v>59.27</v>
      </c>
      <c r="N1884" s="3">
        <v>118.99</v>
      </c>
      <c r="O1884" s="2" t="s">
        <v>97</v>
      </c>
      <c r="P1884" s="2" t="s">
        <v>98</v>
      </c>
      <c r="Q1884" s="2" t="s">
        <v>99</v>
      </c>
      <c r="R1884" s="2" t="s">
        <v>100</v>
      </c>
      <c r="S1884" s="2" t="s">
        <v>6556</v>
      </c>
      <c r="T1884" s="2" t="s">
        <v>5327</v>
      </c>
      <c r="U1884" s="2" t="s">
        <v>1228</v>
      </c>
      <c r="V1884" s="2" t="s">
        <v>269</v>
      </c>
      <c r="W1884" s="2" t="s">
        <v>270</v>
      </c>
      <c r="X1884" s="2" t="s">
        <v>525</v>
      </c>
      <c r="Y1884" s="2" t="s">
        <v>6535</v>
      </c>
      <c r="Z1884" s="4"/>
      <c r="AA1884" s="4">
        <f>=ROUNDDOWN({0},0)</f>
      </c>
      <c r="AB1884" s="5">
        <v>10</v>
      </c>
      <c r="AC1884" s="2" t="s">
        <v>1142</v>
      </c>
      <c r="AD1884" s="4">
        <v>120</v>
      </c>
      <c r="AE1884" s="4">
        <v>270</v>
      </c>
      <c r="AF1884" s="6">
        <v>65</v>
      </c>
      <c r="AG1884" s="6"/>
      <c r="AH1884" s="7">
        <v>0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 t="s">
        <v>100</v>
      </c>
      <c r="AW1884" s="8" t="s">
        <v>100</v>
      </c>
      <c r="AX1884" s="4" t="s">
        <v>100</v>
      </c>
      <c r="AY1884" s="8" t="s">
        <v>100</v>
      </c>
      <c r="AZ1884" s="7" t="s">
        <v>100</v>
      </c>
      <c r="BA1884" s="7" t="s">
        <v>100</v>
      </c>
      <c r="BB1884" s="7"/>
      <c r="BC1884" s="4" t="s">
        <v>100</v>
      </c>
      <c r="BD1884" s="8" t="s">
        <v>100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/>
      <c r="BJ1884" s="4"/>
      <c r="BK1884" s="8"/>
      <c r="BL1884" s="2" t="s">
        <v>100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171</v>
      </c>
      <c r="BV1884" s="2" t="s">
        <v>97</v>
      </c>
      <c r="BW1884" s="2" t="s">
        <v>100</v>
      </c>
      <c r="BX1884" s="2" t="s">
        <v>100</v>
      </c>
      <c r="BY1884" s="2" t="s">
        <v>112</v>
      </c>
      <c r="BZ1884" s="2" t="s">
        <v>100</v>
      </c>
    </row>
    <row r="1885">
      <c r="A1885" s="2" t="s">
        <v>6557</v>
      </c>
      <c r="B1885" s="2" t="s">
        <v>5155</v>
      </c>
      <c r="C1885" s="2" t="s">
        <v>2357</v>
      </c>
      <c r="D1885" s="2" t="s">
        <v>89</v>
      </c>
      <c r="E1885" s="2" t="s">
        <v>90</v>
      </c>
      <c r="F1885" s="2" t="s">
        <v>6531</v>
      </c>
      <c r="G1885" s="2" t="s">
        <v>6531</v>
      </c>
      <c r="H1885" s="2" t="s">
        <v>6531</v>
      </c>
      <c r="I1885" s="2" t="s">
        <v>6532</v>
      </c>
      <c r="J1885" s="2" t="s">
        <v>114</v>
      </c>
      <c r="K1885" s="2" t="s">
        <v>2025</v>
      </c>
      <c r="L1885" s="3">
        <v>63.11</v>
      </c>
      <c r="M1885" s="3">
        <v>66.27</v>
      </c>
      <c r="N1885" s="3">
        <v>132.99</v>
      </c>
      <c r="O1885" s="2" t="s">
        <v>97</v>
      </c>
      <c r="P1885" s="2" t="s">
        <v>98</v>
      </c>
      <c r="Q1885" s="2" t="s">
        <v>99</v>
      </c>
      <c r="R1885" s="2" t="s">
        <v>100</v>
      </c>
      <c r="S1885" s="2" t="s">
        <v>6556</v>
      </c>
      <c r="T1885" s="2" t="s">
        <v>5327</v>
      </c>
      <c r="U1885" s="2" t="s">
        <v>1228</v>
      </c>
      <c r="V1885" s="2" t="s">
        <v>269</v>
      </c>
      <c r="W1885" s="2" t="s">
        <v>270</v>
      </c>
      <c r="X1885" s="2" t="s">
        <v>525</v>
      </c>
      <c r="Y1885" s="2" t="s">
        <v>6535</v>
      </c>
      <c r="Z1885" s="4"/>
      <c r="AA1885" s="4">
        <f>=ROUNDDOWN({0},0)</f>
      </c>
      <c r="AB1885" s="5">
        <v>9</v>
      </c>
      <c r="AC1885" s="2" t="s">
        <v>1142</v>
      </c>
      <c r="AD1885" s="4">
        <v>100</v>
      </c>
      <c r="AE1885" s="4">
        <v>240</v>
      </c>
      <c r="AF1885" s="6">
        <v>65</v>
      </c>
      <c r="AG1885" s="6"/>
      <c r="AH1885" s="7">
        <v>0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 t="s">
        <v>100</v>
      </c>
      <c r="AW1885" s="8" t="s">
        <v>100</v>
      </c>
      <c r="AX1885" s="4" t="s">
        <v>100</v>
      </c>
      <c r="AY1885" s="8" t="s">
        <v>100</v>
      </c>
      <c r="AZ1885" s="7" t="s">
        <v>100</v>
      </c>
      <c r="BA1885" s="7" t="s">
        <v>100</v>
      </c>
      <c r="BB1885" s="7"/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/>
      <c r="BJ1885" s="4"/>
      <c r="BK1885" s="8"/>
      <c r="BL1885" s="2" t="s">
        <v>100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171</v>
      </c>
      <c r="BV1885" s="2" t="s">
        <v>97</v>
      </c>
      <c r="BW1885" s="2" t="s">
        <v>100</v>
      </c>
      <c r="BX1885" s="2" t="s">
        <v>100</v>
      </c>
      <c r="BY1885" s="2" t="s">
        <v>112</v>
      </c>
      <c r="BZ1885" s="2" t="s">
        <v>100</v>
      </c>
    </row>
    <row r="1886">
      <c r="A1886" s="2" t="s">
        <v>6558</v>
      </c>
      <c r="B1886" s="2" t="s">
        <v>5155</v>
      </c>
      <c r="C1886" s="2" t="s">
        <v>2357</v>
      </c>
      <c r="D1886" s="2" t="s">
        <v>89</v>
      </c>
      <c r="E1886" s="2" t="s">
        <v>90</v>
      </c>
      <c r="F1886" s="2" t="s">
        <v>6531</v>
      </c>
      <c r="G1886" s="2" t="s">
        <v>6531</v>
      </c>
      <c r="H1886" s="2" t="s">
        <v>6531</v>
      </c>
      <c r="I1886" s="2" t="s">
        <v>6532</v>
      </c>
      <c r="J1886" s="2" t="s">
        <v>522</v>
      </c>
      <c r="K1886" s="2" t="s">
        <v>6527</v>
      </c>
      <c r="L1886" s="3">
        <v>56.45</v>
      </c>
      <c r="M1886" s="3">
        <v>59.27</v>
      </c>
      <c r="N1886" s="3">
        <v>118.99</v>
      </c>
      <c r="O1886" s="2" t="s">
        <v>97</v>
      </c>
      <c r="P1886" s="2" t="s">
        <v>156</v>
      </c>
      <c r="Q1886" s="2" t="s">
        <v>99</v>
      </c>
      <c r="R1886" s="2" t="s">
        <v>100</v>
      </c>
      <c r="S1886" s="2" t="s">
        <v>6559</v>
      </c>
      <c r="T1886" s="2" t="s">
        <v>5327</v>
      </c>
      <c r="U1886" s="2" t="s">
        <v>1228</v>
      </c>
      <c r="V1886" s="2" t="s">
        <v>461</v>
      </c>
      <c r="W1886" s="2" t="s">
        <v>270</v>
      </c>
      <c r="X1886" s="2" t="s">
        <v>525</v>
      </c>
      <c r="Y1886" s="2" t="s">
        <v>417</v>
      </c>
      <c r="Z1886" s="4">
        <v>2</v>
      </c>
      <c r="AA1886" s="4">
        <f>=ROUNDDOWN(0.117647058823529,0)</f>
      </c>
      <c r="AB1886" s="5">
        <v>17</v>
      </c>
      <c r="AC1886" s="2" t="s">
        <v>1142</v>
      </c>
      <c r="AD1886" s="4">
        <v>180</v>
      </c>
      <c r="AE1886" s="4">
        <v>410</v>
      </c>
      <c r="AF1886" s="6">
        <v>65</v>
      </c>
      <c r="AG1886" s="6"/>
      <c r="AH1886" s="7">
        <v>0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 t="s">
        <v>100</v>
      </c>
      <c r="AW1886" s="8" t="s">
        <v>100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/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/>
      <c r="BJ1886" s="4">
        <v>1</v>
      </c>
      <c r="BK1886" s="8">
        <v>59.27</v>
      </c>
      <c r="BL1886" s="2" t="s">
        <v>3477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171</v>
      </c>
      <c r="BV1886" s="2" t="s">
        <v>97</v>
      </c>
      <c r="BW1886" s="2" t="s">
        <v>100</v>
      </c>
      <c r="BX1886" s="2" t="s">
        <v>100</v>
      </c>
      <c r="BY1886" s="2" t="s">
        <v>112</v>
      </c>
      <c r="BZ1886" s="2" t="s">
        <v>100</v>
      </c>
    </row>
    <row r="1887">
      <c r="A1887" s="2" t="s">
        <v>6560</v>
      </c>
      <c r="B1887" s="2" t="s">
        <v>5155</v>
      </c>
      <c r="C1887" s="2" t="s">
        <v>2357</v>
      </c>
      <c r="D1887" s="2" t="s">
        <v>89</v>
      </c>
      <c r="E1887" s="2" t="s">
        <v>90</v>
      </c>
      <c r="F1887" s="2" t="s">
        <v>6531</v>
      </c>
      <c r="G1887" s="2" t="s">
        <v>6531</v>
      </c>
      <c r="H1887" s="2" t="s">
        <v>6531</v>
      </c>
      <c r="I1887" s="2" t="s">
        <v>6532</v>
      </c>
      <c r="J1887" s="2" t="s">
        <v>114</v>
      </c>
      <c r="K1887" s="2" t="s">
        <v>6527</v>
      </c>
      <c r="L1887" s="3">
        <v>63.11</v>
      </c>
      <c r="M1887" s="3">
        <v>66.27</v>
      </c>
      <c r="N1887" s="3">
        <v>132.99</v>
      </c>
      <c r="O1887" s="2" t="s">
        <v>97</v>
      </c>
      <c r="P1887" s="2" t="s">
        <v>156</v>
      </c>
      <c r="Q1887" s="2" t="s">
        <v>99</v>
      </c>
      <c r="R1887" s="2" t="s">
        <v>100</v>
      </c>
      <c r="S1887" s="2" t="s">
        <v>6559</v>
      </c>
      <c r="T1887" s="2" t="s">
        <v>5327</v>
      </c>
      <c r="U1887" s="2" t="s">
        <v>1228</v>
      </c>
      <c r="V1887" s="2" t="s">
        <v>461</v>
      </c>
      <c r="W1887" s="2" t="s">
        <v>270</v>
      </c>
      <c r="X1887" s="2" t="s">
        <v>525</v>
      </c>
      <c r="Y1887" s="2" t="s">
        <v>417</v>
      </c>
      <c r="Z1887" s="4">
        <v>2</v>
      </c>
      <c r="AA1887" s="4">
        <f>=ROUNDDOWN(0.142857142857143,0)</f>
      </c>
      <c r="AB1887" s="5">
        <v>14</v>
      </c>
      <c r="AC1887" s="2" t="s">
        <v>1142</v>
      </c>
      <c r="AD1887" s="4">
        <v>180</v>
      </c>
      <c r="AE1887" s="4">
        <v>420</v>
      </c>
      <c r="AF1887" s="6">
        <v>65</v>
      </c>
      <c r="AG1887" s="6"/>
      <c r="AH1887" s="7">
        <v>0.3871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 t="s">
        <v>100</v>
      </c>
      <c r="AW1887" s="8" t="s">
        <v>100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/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/>
      <c r="BJ1887" s="4">
        <v>12</v>
      </c>
      <c r="BK1887" s="8">
        <v>795.42</v>
      </c>
      <c r="BL1887" s="2" t="s">
        <v>6561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171</v>
      </c>
      <c r="BV1887" s="2" t="s">
        <v>97</v>
      </c>
      <c r="BW1887" s="2" t="s">
        <v>100</v>
      </c>
      <c r="BX1887" s="2" t="s">
        <v>100</v>
      </c>
      <c r="BY1887" s="2" t="s">
        <v>112</v>
      </c>
      <c r="BZ1887" s="2" t="s">
        <v>100</v>
      </c>
    </row>
    <row r="1888">
      <c r="A1888" s="2" t="s">
        <v>6562</v>
      </c>
      <c r="B1888" s="2" t="s">
        <v>5155</v>
      </c>
      <c r="C1888" s="2" t="s">
        <v>2357</v>
      </c>
      <c r="D1888" s="2" t="s">
        <v>89</v>
      </c>
      <c r="E1888" s="2" t="s">
        <v>90</v>
      </c>
      <c r="F1888" s="2" t="s">
        <v>6531</v>
      </c>
      <c r="G1888" s="2" t="s">
        <v>6531</v>
      </c>
      <c r="H1888" s="2" t="s">
        <v>6531</v>
      </c>
      <c r="I1888" s="2" t="s">
        <v>6532</v>
      </c>
      <c r="J1888" s="2" t="s">
        <v>522</v>
      </c>
      <c r="K1888" s="2" t="s">
        <v>6563</v>
      </c>
      <c r="L1888" s="3">
        <v>56.45</v>
      </c>
      <c r="M1888" s="3">
        <v>59.27</v>
      </c>
      <c r="N1888" s="3">
        <v>118.99</v>
      </c>
      <c r="O1888" s="2" t="s">
        <v>97</v>
      </c>
      <c r="P1888" s="2" t="s">
        <v>98</v>
      </c>
      <c r="Q1888" s="2" t="s">
        <v>99</v>
      </c>
      <c r="R1888" s="2" t="s">
        <v>100</v>
      </c>
      <c r="S1888" s="2" t="s">
        <v>6564</v>
      </c>
      <c r="T1888" s="2" t="s">
        <v>5327</v>
      </c>
      <c r="U1888" s="2" t="s">
        <v>1228</v>
      </c>
      <c r="V1888" s="2" t="s">
        <v>269</v>
      </c>
      <c r="W1888" s="2" t="s">
        <v>270</v>
      </c>
      <c r="X1888" s="2" t="s">
        <v>525</v>
      </c>
      <c r="Y1888" s="2" t="s">
        <v>6565</v>
      </c>
      <c r="Z1888" s="4">
        <v>1</v>
      </c>
      <c r="AA1888" s="4">
        <f>=ROUNDDOWN(0.0714285714285714,0)</f>
      </c>
      <c r="AB1888" s="5">
        <v>14</v>
      </c>
      <c r="AC1888" s="2" t="s">
        <v>1142</v>
      </c>
      <c r="AD1888" s="4">
        <v>170</v>
      </c>
      <c r="AE1888" s="4">
        <v>390</v>
      </c>
      <c r="AF1888" s="6">
        <v>65</v>
      </c>
      <c r="AG1888" s="6"/>
      <c r="AH1888" s="7">
        <v>0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 t="s">
        <v>100</v>
      </c>
      <c r="AW1888" s="8" t="s">
        <v>100</v>
      </c>
      <c r="AX1888" s="4" t="s">
        <v>100</v>
      </c>
      <c r="AY1888" s="8" t="s">
        <v>100</v>
      </c>
      <c r="AZ1888" s="7" t="s">
        <v>100</v>
      </c>
      <c r="BA1888" s="7" t="s">
        <v>100</v>
      </c>
      <c r="BB1888" s="7"/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/>
      <c r="BJ1888" s="4">
        <v>1</v>
      </c>
      <c r="BK1888" s="8">
        <v>59.27</v>
      </c>
      <c r="BL1888" s="2" t="s">
        <v>3477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171</v>
      </c>
      <c r="BV1888" s="2" t="s">
        <v>97</v>
      </c>
      <c r="BW1888" s="2" t="s">
        <v>100</v>
      </c>
      <c r="BX1888" s="2" t="s">
        <v>100</v>
      </c>
      <c r="BY1888" s="2" t="s">
        <v>112</v>
      </c>
      <c r="BZ1888" s="2" t="s">
        <v>100</v>
      </c>
    </row>
    <row r="1889">
      <c r="A1889" s="2" t="s">
        <v>6566</v>
      </c>
      <c r="B1889" s="2" t="s">
        <v>5155</v>
      </c>
      <c r="C1889" s="2" t="s">
        <v>2357</v>
      </c>
      <c r="D1889" s="2" t="s">
        <v>89</v>
      </c>
      <c r="E1889" s="2" t="s">
        <v>90</v>
      </c>
      <c r="F1889" s="2" t="s">
        <v>6531</v>
      </c>
      <c r="G1889" s="2" t="s">
        <v>6531</v>
      </c>
      <c r="H1889" s="2" t="s">
        <v>6531</v>
      </c>
      <c r="I1889" s="2" t="s">
        <v>6532</v>
      </c>
      <c r="J1889" s="2" t="s">
        <v>114</v>
      </c>
      <c r="K1889" s="2" t="s">
        <v>6563</v>
      </c>
      <c r="L1889" s="3">
        <v>63.11</v>
      </c>
      <c r="M1889" s="3">
        <v>66.27</v>
      </c>
      <c r="N1889" s="3">
        <v>132.99</v>
      </c>
      <c r="O1889" s="2" t="s">
        <v>97</v>
      </c>
      <c r="P1889" s="2" t="s">
        <v>98</v>
      </c>
      <c r="Q1889" s="2" t="s">
        <v>99</v>
      </c>
      <c r="R1889" s="2" t="s">
        <v>100</v>
      </c>
      <c r="S1889" s="2" t="s">
        <v>6564</v>
      </c>
      <c r="T1889" s="2" t="s">
        <v>5327</v>
      </c>
      <c r="U1889" s="2" t="s">
        <v>1228</v>
      </c>
      <c r="V1889" s="2" t="s">
        <v>269</v>
      </c>
      <c r="W1889" s="2" t="s">
        <v>270</v>
      </c>
      <c r="X1889" s="2" t="s">
        <v>525</v>
      </c>
      <c r="Y1889" s="2" t="s">
        <v>6565</v>
      </c>
      <c r="Z1889" s="4"/>
      <c r="AA1889" s="4">
        <f>=ROUNDDOWN({0},0)</f>
      </c>
      <c r="AB1889" s="5">
        <v>13</v>
      </c>
      <c r="AC1889" s="2" t="s">
        <v>1142</v>
      </c>
      <c r="AD1889" s="4">
        <v>160</v>
      </c>
      <c r="AE1889" s="4">
        <v>370</v>
      </c>
      <c r="AF1889" s="6">
        <v>65</v>
      </c>
      <c r="AG1889" s="6"/>
      <c r="AH1889" s="7">
        <v>0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 t="s">
        <v>100</v>
      </c>
      <c r="AW1889" s="8" t="s">
        <v>100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/>
      <c r="BC1889" s="4" t="s">
        <v>100</v>
      </c>
      <c r="BD1889" s="8" t="s">
        <v>100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/>
      <c r="BJ1889" s="4"/>
      <c r="BK1889" s="8"/>
      <c r="BL1889" s="2" t="s">
        <v>100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171</v>
      </c>
      <c r="BV1889" s="2" t="s">
        <v>97</v>
      </c>
      <c r="BW1889" s="2" t="s">
        <v>100</v>
      </c>
      <c r="BX1889" s="2" t="s">
        <v>100</v>
      </c>
      <c r="BY1889" s="2" t="s">
        <v>112</v>
      </c>
      <c r="BZ1889" s="2" t="s">
        <v>100</v>
      </c>
    </row>
    <row r="1890">
      <c r="A1890" s="2" t="s">
        <v>6567</v>
      </c>
      <c r="B1890" s="2" t="s">
        <v>5155</v>
      </c>
      <c r="C1890" s="2" t="s">
        <v>2357</v>
      </c>
      <c r="D1890" s="2" t="s">
        <v>89</v>
      </c>
      <c r="E1890" s="2" t="s">
        <v>90</v>
      </c>
      <c r="F1890" s="2" t="s">
        <v>6531</v>
      </c>
      <c r="G1890" s="2" t="s">
        <v>6531</v>
      </c>
      <c r="H1890" s="2" t="s">
        <v>6531</v>
      </c>
      <c r="I1890" s="2" t="s">
        <v>6532</v>
      </c>
      <c r="J1890" s="2" t="s">
        <v>522</v>
      </c>
      <c r="K1890" s="2" t="s">
        <v>6568</v>
      </c>
      <c r="L1890" s="3">
        <v>56.45</v>
      </c>
      <c r="M1890" s="3">
        <v>59.27</v>
      </c>
      <c r="N1890" s="3">
        <v>118.99</v>
      </c>
      <c r="O1890" s="2" t="s">
        <v>97</v>
      </c>
      <c r="P1890" s="2" t="s">
        <v>98</v>
      </c>
      <c r="Q1890" s="2" t="s">
        <v>99</v>
      </c>
      <c r="R1890" s="2" t="s">
        <v>100</v>
      </c>
      <c r="S1890" s="2" t="s">
        <v>6569</v>
      </c>
      <c r="T1890" s="2" t="s">
        <v>5327</v>
      </c>
      <c r="U1890" s="2" t="s">
        <v>1228</v>
      </c>
      <c r="V1890" s="2" t="s">
        <v>269</v>
      </c>
      <c r="W1890" s="2" t="s">
        <v>270</v>
      </c>
      <c r="X1890" s="2" t="s">
        <v>525</v>
      </c>
      <c r="Y1890" s="2" t="s">
        <v>6026</v>
      </c>
      <c r="Z1890" s="4"/>
      <c r="AA1890" s="4">
        <f>=ROUNDDOWN({0},0)</f>
      </c>
      <c r="AB1890" s="5">
        <v>13</v>
      </c>
      <c r="AC1890" s="2" t="s">
        <v>1142</v>
      </c>
      <c r="AD1890" s="4">
        <v>150</v>
      </c>
      <c r="AE1890" s="4">
        <v>330</v>
      </c>
      <c r="AF1890" s="6">
        <v>65</v>
      </c>
      <c r="AG1890" s="6"/>
      <c r="AH1890" s="7">
        <v>0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 t="s">
        <v>100</v>
      </c>
      <c r="AW1890" s="8" t="s">
        <v>100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/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/>
      <c r="BJ1890" s="4"/>
      <c r="BK1890" s="8"/>
      <c r="BL1890" s="2" t="s">
        <v>100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171</v>
      </c>
      <c r="BV1890" s="2" t="s">
        <v>97</v>
      </c>
      <c r="BW1890" s="2" t="s">
        <v>100</v>
      </c>
      <c r="BX1890" s="2" t="s">
        <v>100</v>
      </c>
      <c r="BY1890" s="2" t="s">
        <v>112</v>
      </c>
      <c r="BZ1890" s="2" t="s">
        <v>100</v>
      </c>
    </row>
    <row r="1891">
      <c r="A1891" s="2" t="s">
        <v>6570</v>
      </c>
      <c r="B1891" s="2" t="s">
        <v>5155</v>
      </c>
      <c r="C1891" s="2" t="s">
        <v>2357</v>
      </c>
      <c r="D1891" s="2" t="s">
        <v>89</v>
      </c>
      <c r="E1891" s="2" t="s">
        <v>90</v>
      </c>
      <c r="F1891" s="2" t="s">
        <v>6531</v>
      </c>
      <c r="G1891" s="2" t="s">
        <v>6531</v>
      </c>
      <c r="H1891" s="2" t="s">
        <v>6531</v>
      </c>
      <c r="I1891" s="2" t="s">
        <v>6532</v>
      </c>
      <c r="J1891" s="2" t="s">
        <v>114</v>
      </c>
      <c r="K1891" s="2" t="s">
        <v>6568</v>
      </c>
      <c r="L1891" s="3">
        <v>63.11</v>
      </c>
      <c r="M1891" s="3">
        <v>66.27</v>
      </c>
      <c r="N1891" s="3">
        <v>132.99</v>
      </c>
      <c r="O1891" s="2" t="s">
        <v>97</v>
      </c>
      <c r="P1891" s="2" t="s">
        <v>98</v>
      </c>
      <c r="Q1891" s="2" t="s">
        <v>99</v>
      </c>
      <c r="R1891" s="2" t="s">
        <v>100</v>
      </c>
      <c r="S1891" s="2" t="s">
        <v>6569</v>
      </c>
      <c r="T1891" s="2" t="s">
        <v>5327</v>
      </c>
      <c r="U1891" s="2" t="s">
        <v>1228</v>
      </c>
      <c r="V1891" s="2" t="s">
        <v>269</v>
      </c>
      <c r="W1891" s="2" t="s">
        <v>270</v>
      </c>
      <c r="X1891" s="2" t="s">
        <v>525</v>
      </c>
      <c r="Y1891" s="2" t="s">
        <v>4393</v>
      </c>
      <c r="Z1891" s="4">
        <v>1</v>
      </c>
      <c r="AA1891" s="4">
        <f>=ROUNDDOWN(0.0833333333333333,0)</f>
      </c>
      <c r="AB1891" s="5">
        <v>12</v>
      </c>
      <c r="AC1891" s="2" t="s">
        <v>1142</v>
      </c>
      <c r="AD1891" s="4">
        <v>140</v>
      </c>
      <c r="AE1891" s="4">
        <v>320</v>
      </c>
      <c r="AF1891" s="6">
        <v>65</v>
      </c>
      <c r="AG1891" s="6"/>
      <c r="AH1891" s="7">
        <v>0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 t="s">
        <v>100</v>
      </c>
      <c r="AW1891" s="8" t="s">
        <v>100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/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/>
      <c r="BJ1891" s="4"/>
      <c r="BK1891" s="8"/>
      <c r="BL1891" s="2" t="s">
        <v>100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171</v>
      </c>
      <c r="BV1891" s="2" t="s">
        <v>97</v>
      </c>
      <c r="BW1891" s="2" t="s">
        <v>100</v>
      </c>
      <c r="BX1891" s="2" t="s">
        <v>100</v>
      </c>
      <c r="BY1891" s="2" t="s">
        <v>112</v>
      </c>
      <c r="BZ1891" s="2" t="s">
        <v>100</v>
      </c>
    </row>
    <row r="1892">
      <c r="A1892" s="2" t="s">
        <v>6571</v>
      </c>
      <c r="B1892" s="2" t="s">
        <v>5155</v>
      </c>
      <c r="C1892" s="2" t="s">
        <v>2357</v>
      </c>
      <c r="D1892" s="2" t="s">
        <v>89</v>
      </c>
      <c r="E1892" s="2" t="s">
        <v>90</v>
      </c>
      <c r="F1892" s="2" t="s">
        <v>6531</v>
      </c>
      <c r="G1892" s="2" t="s">
        <v>6531</v>
      </c>
      <c r="H1892" s="2" t="s">
        <v>6531</v>
      </c>
      <c r="I1892" s="2" t="s">
        <v>6532</v>
      </c>
      <c r="J1892" s="2" t="s">
        <v>522</v>
      </c>
      <c r="K1892" s="2" t="s">
        <v>6572</v>
      </c>
      <c r="L1892" s="3">
        <v>56.45</v>
      </c>
      <c r="M1892" s="3">
        <v>59.27</v>
      </c>
      <c r="N1892" s="3">
        <v>118.99</v>
      </c>
      <c r="O1892" s="2" t="s">
        <v>97</v>
      </c>
      <c r="P1892" s="2" t="s">
        <v>98</v>
      </c>
      <c r="Q1892" s="2" t="s">
        <v>99</v>
      </c>
      <c r="R1892" s="2" t="s">
        <v>100</v>
      </c>
      <c r="S1892" s="2" t="s">
        <v>100</v>
      </c>
      <c r="T1892" s="2" t="s">
        <v>5327</v>
      </c>
      <c r="U1892" s="2" t="s">
        <v>1228</v>
      </c>
      <c r="V1892" s="2" t="s">
        <v>461</v>
      </c>
      <c r="W1892" s="2" t="s">
        <v>270</v>
      </c>
      <c r="X1892" s="2" t="s">
        <v>525</v>
      </c>
      <c r="Y1892" s="2" t="s">
        <v>6553</v>
      </c>
      <c r="Z1892" s="4"/>
      <c r="AA1892" s="4">
        <f>=ROUNDDOWN({0},0)</f>
      </c>
      <c r="AB1892" s="5">
        <v>20</v>
      </c>
      <c r="AC1892" s="2" t="s">
        <v>1142</v>
      </c>
      <c r="AD1892" s="4">
        <v>240</v>
      </c>
      <c r="AE1892" s="4">
        <v>550</v>
      </c>
      <c r="AF1892" s="6">
        <v>65</v>
      </c>
      <c r="AG1892" s="6"/>
      <c r="AH1892" s="7">
        <v>0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 t="s">
        <v>100</v>
      </c>
      <c r="AW1892" s="8" t="s">
        <v>100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/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/>
      <c r="BJ1892" s="4"/>
      <c r="BK1892" s="8"/>
      <c r="BL1892" s="2" t="s">
        <v>100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171</v>
      </c>
      <c r="BV1892" s="2" t="s">
        <v>97</v>
      </c>
      <c r="BW1892" s="2" t="s">
        <v>100</v>
      </c>
      <c r="BX1892" s="2" t="s">
        <v>100</v>
      </c>
      <c r="BY1892" s="2" t="s">
        <v>112</v>
      </c>
      <c r="BZ1892" s="2" t="s">
        <v>100</v>
      </c>
    </row>
    <row r="1893">
      <c r="A1893" s="2" t="s">
        <v>6573</v>
      </c>
      <c r="B1893" s="2" t="s">
        <v>5155</v>
      </c>
      <c r="C1893" s="2" t="s">
        <v>2357</v>
      </c>
      <c r="D1893" s="2" t="s">
        <v>89</v>
      </c>
      <c r="E1893" s="2" t="s">
        <v>90</v>
      </c>
      <c r="F1893" s="2" t="s">
        <v>6531</v>
      </c>
      <c r="G1893" s="2" t="s">
        <v>6531</v>
      </c>
      <c r="H1893" s="2" t="s">
        <v>6531</v>
      </c>
      <c r="I1893" s="2" t="s">
        <v>6532</v>
      </c>
      <c r="J1893" s="2" t="s">
        <v>114</v>
      </c>
      <c r="K1893" s="2" t="s">
        <v>6572</v>
      </c>
      <c r="L1893" s="3">
        <v>63.11</v>
      </c>
      <c r="M1893" s="3">
        <v>66.27</v>
      </c>
      <c r="N1893" s="3">
        <v>132.99</v>
      </c>
      <c r="O1893" s="2" t="s">
        <v>97</v>
      </c>
      <c r="P1893" s="2" t="s">
        <v>98</v>
      </c>
      <c r="Q1893" s="2" t="s">
        <v>99</v>
      </c>
      <c r="R1893" s="2" t="s">
        <v>100</v>
      </c>
      <c r="S1893" s="2" t="s">
        <v>100</v>
      </c>
      <c r="T1893" s="2" t="s">
        <v>5327</v>
      </c>
      <c r="U1893" s="2" t="s">
        <v>1228</v>
      </c>
      <c r="V1893" s="2" t="s">
        <v>461</v>
      </c>
      <c r="W1893" s="2" t="s">
        <v>270</v>
      </c>
      <c r="X1893" s="2" t="s">
        <v>525</v>
      </c>
      <c r="Y1893" s="2" t="s">
        <v>6553</v>
      </c>
      <c r="Z1893" s="4">
        <v>1</v>
      </c>
      <c r="AA1893" s="4">
        <f>=ROUNDDOWN(0.037037037037037,0)</f>
      </c>
      <c r="AB1893" s="5">
        <v>27</v>
      </c>
      <c r="AC1893" s="2" t="s">
        <v>1142</v>
      </c>
      <c r="AD1893" s="4">
        <v>330</v>
      </c>
      <c r="AE1893" s="4">
        <v>780</v>
      </c>
      <c r="AF1893" s="6">
        <v>65</v>
      </c>
      <c r="AG1893" s="6"/>
      <c r="AH1893" s="7">
        <v>0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 t="s">
        <v>100</v>
      </c>
      <c r="AW1893" s="8" t="s">
        <v>100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/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/>
      <c r="BJ1893" s="4"/>
      <c r="BK1893" s="8"/>
      <c r="BL1893" s="2" t="s">
        <v>100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171</v>
      </c>
      <c r="BV1893" s="2" t="s">
        <v>97</v>
      </c>
      <c r="BW1893" s="2" t="s">
        <v>100</v>
      </c>
      <c r="BX1893" s="2" t="s">
        <v>100</v>
      </c>
      <c r="BY1893" s="2" t="s">
        <v>112</v>
      </c>
      <c r="BZ1893" s="2" t="s">
        <v>100</v>
      </c>
    </row>
    <row r="1894">
      <c r="A1894" s="2" t="s">
        <v>6574</v>
      </c>
      <c r="B1894" s="2" t="s">
        <v>5155</v>
      </c>
      <c r="C1894" s="2" t="s">
        <v>2357</v>
      </c>
      <c r="D1894" s="2" t="s">
        <v>963</v>
      </c>
      <c r="E1894" s="2" t="s">
        <v>1046</v>
      </c>
      <c r="F1894" s="2" t="s">
        <v>6575</v>
      </c>
      <c r="G1894" s="2" t="s">
        <v>6575</v>
      </c>
      <c r="H1894" s="2" t="s">
        <v>6575</v>
      </c>
      <c r="I1894" s="2" t="s">
        <v>6576</v>
      </c>
      <c r="J1894" s="2" t="s">
        <v>522</v>
      </c>
      <c r="K1894" s="2" t="s">
        <v>6577</v>
      </c>
      <c r="L1894" s="3">
        <v>42.85</v>
      </c>
      <c r="M1894" s="3">
        <v>44.99</v>
      </c>
      <c r="N1894" s="3">
        <v>89.99</v>
      </c>
      <c r="O1894" s="2" t="s">
        <v>97</v>
      </c>
      <c r="P1894" s="2" t="s">
        <v>98</v>
      </c>
      <c r="Q1894" s="2" t="s">
        <v>99</v>
      </c>
      <c r="R1894" s="2" t="s">
        <v>100</v>
      </c>
      <c r="S1894" s="2" t="s">
        <v>6578</v>
      </c>
      <c r="T1894" s="2" t="s">
        <v>4296</v>
      </c>
      <c r="U1894" s="2" t="s">
        <v>901</v>
      </c>
      <c r="V1894" s="2" t="s">
        <v>1009</v>
      </c>
      <c r="W1894" s="2" t="s">
        <v>642</v>
      </c>
      <c r="X1894" s="2" t="s">
        <v>525</v>
      </c>
      <c r="Y1894" s="2" t="s">
        <v>6026</v>
      </c>
      <c r="Z1894" s="4">
        <v>424</v>
      </c>
      <c r="AA1894" s="4">
        <f>=ROUNDDOWN(7.85185185185185,0)</f>
      </c>
      <c r="AB1894" s="5">
        <v>54</v>
      </c>
      <c r="AC1894" s="2" t="s">
        <v>3200</v>
      </c>
      <c r="AD1894" s="4">
        <v>300</v>
      </c>
      <c r="AE1894" s="4">
        <v>500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 t="s">
        <v>100</v>
      </c>
      <c r="AW1894" s="8" t="s">
        <v>100</v>
      </c>
      <c r="AX1894" s="4" t="s">
        <v>100</v>
      </c>
      <c r="AY1894" s="8" t="s">
        <v>100</v>
      </c>
      <c r="AZ1894" s="7" t="s">
        <v>100</v>
      </c>
      <c r="BA1894" s="7" t="s">
        <v>100</v>
      </c>
      <c r="BB1894" s="7"/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/>
      <c r="BJ1894" s="4">
        <v>91</v>
      </c>
      <c r="BK1894" s="8">
        <v>4342.23</v>
      </c>
      <c r="BL1894" s="2" t="s">
        <v>624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171</v>
      </c>
      <c r="BV1894" s="2" t="s">
        <v>97</v>
      </c>
      <c r="BW1894" s="2" t="s">
        <v>100</v>
      </c>
      <c r="BX1894" s="2" t="s">
        <v>100</v>
      </c>
      <c r="BY1894" s="2" t="s">
        <v>112</v>
      </c>
      <c r="BZ1894" s="2" t="s">
        <v>100</v>
      </c>
    </row>
    <row r="1895">
      <c r="A1895" s="2" t="s">
        <v>6579</v>
      </c>
      <c r="B1895" s="2" t="s">
        <v>5155</v>
      </c>
      <c r="C1895" s="2" t="s">
        <v>2357</v>
      </c>
      <c r="D1895" s="2" t="s">
        <v>963</v>
      </c>
      <c r="E1895" s="2" t="s">
        <v>1046</v>
      </c>
      <c r="F1895" s="2" t="s">
        <v>6575</v>
      </c>
      <c r="G1895" s="2" t="s">
        <v>6575</v>
      </c>
      <c r="H1895" s="2" t="s">
        <v>6575</v>
      </c>
      <c r="I1895" s="2" t="s">
        <v>6576</v>
      </c>
      <c r="J1895" s="2" t="s">
        <v>529</v>
      </c>
      <c r="K1895" s="2" t="s">
        <v>6577</v>
      </c>
      <c r="L1895" s="3">
        <v>47.61</v>
      </c>
      <c r="M1895" s="3">
        <v>49.99</v>
      </c>
      <c r="N1895" s="3">
        <v>99.99</v>
      </c>
      <c r="O1895" s="2" t="s">
        <v>97</v>
      </c>
      <c r="P1895" s="2" t="s">
        <v>98</v>
      </c>
      <c r="Q1895" s="2" t="s">
        <v>99</v>
      </c>
      <c r="R1895" s="2" t="s">
        <v>100</v>
      </c>
      <c r="S1895" s="2" t="s">
        <v>6578</v>
      </c>
      <c r="T1895" s="2" t="s">
        <v>4296</v>
      </c>
      <c r="U1895" s="2" t="s">
        <v>901</v>
      </c>
      <c r="V1895" s="2" t="s">
        <v>1009</v>
      </c>
      <c r="W1895" s="2" t="s">
        <v>642</v>
      </c>
      <c r="X1895" s="2" t="s">
        <v>525</v>
      </c>
      <c r="Y1895" s="2" t="s">
        <v>6026</v>
      </c>
      <c r="Z1895" s="4">
        <v>334</v>
      </c>
      <c r="AA1895" s="4">
        <f>=ROUNDDOWN(2.98214285714286,0)</f>
      </c>
      <c r="AB1895" s="5">
        <v>112</v>
      </c>
      <c r="AC1895" s="2" t="s">
        <v>3200</v>
      </c>
      <c r="AD1895" s="4">
        <v>560</v>
      </c>
      <c r="AE1895" s="4">
        <v>1510</v>
      </c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 t="s">
        <v>100</v>
      </c>
      <c r="AW1895" s="8" t="s">
        <v>100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/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/>
      <c r="BJ1895" s="4">
        <v>180</v>
      </c>
      <c r="BK1895" s="8">
        <v>9619.74</v>
      </c>
      <c r="BL1895" s="2" t="s">
        <v>6580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171</v>
      </c>
      <c r="BV1895" s="2" t="s">
        <v>97</v>
      </c>
      <c r="BW1895" s="2" t="s">
        <v>100</v>
      </c>
      <c r="BX1895" s="2" t="s">
        <v>100</v>
      </c>
      <c r="BY1895" s="2" t="s">
        <v>112</v>
      </c>
      <c r="BZ1895" s="2" t="s">
        <v>100</v>
      </c>
    </row>
    <row r="1896">
      <c r="A1896" s="2" t="s">
        <v>6581</v>
      </c>
      <c r="B1896" s="2" t="s">
        <v>5155</v>
      </c>
      <c r="C1896" s="2" t="s">
        <v>2357</v>
      </c>
      <c r="D1896" s="2" t="s">
        <v>1771</v>
      </c>
      <c r="E1896" s="2" t="s">
        <v>5398</v>
      </c>
      <c r="F1896" s="2" t="s">
        <v>6582</v>
      </c>
      <c r="G1896" s="2" t="s">
        <v>6582</v>
      </c>
      <c r="H1896" s="2" t="s">
        <v>6582</v>
      </c>
      <c r="I1896" s="2" t="s">
        <v>6583</v>
      </c>
      <c r="J1896" s="2" t="s">
        <v>5894</v>
      </c>
      <c r="K1896" s="2" t="s">
        <v>179</v>
      </c>
      <c r="L1896" s="3">
        <v>20.14</v>
      </c>
      <c r="M1896" s="3">
        <v>21.15</v>
      </c>
      <c r="N1896" s="3">
        <v>44.99</v>
      </c>
      <c r="O1896" s="2" t="s">
        <v>97</v>
      </c>
      <c r="P1896" s="2" t="s">
        <v>98</v>
      </c>
      <c r="Q1896" s="2" t="s">
        <v>99</v>
      </c>
      <c r="R1896" s="2" t="s">
        <v>100</v>
      </c>
      <c r="S1896" s="2" t="s">
        <v>6584</v>
      </c>
      <c r="T1896" s="2" t="s">
        <v>5327</v>
      </c>
      <c r="U1896" s="2" t="s">
        <v>1776</v>
      </c>
      <c r="V1896" s="2" t="s">
        <v>269</v>
      </c>
      <c r="W1896" s="2" t="s">
        <v>270</v>
      </c>
      <c r="X1896" s="2" t="s">
        <v>104</v>
      </c>
      <c r="Y1896" s="2" t="s">
        <v>1488</v>
      </c>
      <c r="Z1896" s="4">
        <v>590</v>
      </c>
      <c r="AA1896" s="4">
        <f>=ROUNDDOWN(65.5555555555556,0)</f>
      </c>
      <c r="AB1896" s="5">
        <v>9</v>
      </c>
      <c r="AC1896" s="2" t="s">
        <v>100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/>
      <c r="BJ1896" s="4">
        <v>10</v>
      </c>
      <c r="BK1896" s="8">
        <v>229.29</v>
      </c>
      <c r="BL1896" s="2" t="s">
        <v>6585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171</v>
      </c>
      <c r="BV1896" s="2" t="s">
        <v>97</v>
      </c>
      <c r="BW1896" s="2" t="s">
        <v>100</v>
      </c>
      <c r="BX1896" s="2" t="s">
        <v>100</v>
      </c>
      <c r="BY1896" s="2" t="s">
        <v>112</v>
      </c>
      <c r="BZ1896" s="2" t="s">
        <v>100</v>
      </c>
    </row>
    <row r="1897">
      <c r="A1897" s="2" t="s">
        <v>6586</v>
      </c>
      <c r="B1897" s="2" t="s">
        <v>5155</v>
      </c>
      <c r="C1897" s="2" t="s">
        <v>2357</v>
      </c>
      <c r="D1897" s="2" t="s">
        <v>1771</v>
      </c>
      <c r="E1897" s="2" t="s">
        <v>5398</v>
      </c>
      <c r="F1897" s="2" t="s">
        <v>6582</v>
      </c>
      <c r="G1897" s="2" t="s">
        <v>6582</v>
      </c>
      <c r="H1897" s="2" t="s">
        <v>6582</v>
      </c>
      <c r="I1897" s="2" t="s">
        <v>6583</v>
      </c>
      <c r="J1897" s="2" t="s">
        <v>5894</v>
      </c>
      <c r="K1897" s="2" t="s">
        <v>446</v>
      </c>
      <c r="L1897" s="3">
        <v>20.14</v>
      </c>
      <c r="M1897" s="3">
        <v>21.15</v>
      </c>
      <c r="N1897" s="3">
        <v>44.99</v>
      </c>
      <c r="O1897" s="2" t="s">
        <v>97</v>
      </c>
      <c r="P1897" s="2" t="s">
        <v>98</v>
      </c>
      <c r="Q1897" s="2" t="s">
        <v>99</v>
      </c>
      <c r="R1897" s="2" t="s">
        <v>100</v>
      </c>
      <c r="S1897" s="2" t="s">
        <v>6587</v>
      </c>
      <c r="T1897" s="2" t="s">
        <v>5327</v>
      </c>
      <c r="U1897" s="2" t="s">
        <v>1776</v>
      </c>
      <c r="V1897" s="2" t="s">
        <v>269</v>
      </c>
      <c r="W1897" s="2" t="s">
        <v>270</v>
      </c>
      <c r="X1897" s="2" t="s">
        <v>104</v>
      </c>
      <c r="Y1897" s="2" t="s">
        <v>1488</v>
      </c>
      <c r="Z1897" s="4">
        <v>465</v>
      </c>
      <c r="AA1897" s="4">
        <f>=ROUNDDOWN(64.5833333333333,0)</f>
      </c>
      <c r="AB1897" s="5">
        <v>7.2</v>
      </c>
      <c r="AC1897" s="2" t="s">
        <v>100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 t="s">
        <v>100</v>
      </c>
      <c r="BD1897" s="8" t="s">
        <v>100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/>
      <c r="BJ1897" s="4">
        <v>30</v>
      </c>
      <c r="BK1897" s="8">
        <v>703.86</v>
      </c>
      <c r="BL1897" s="2" t="s">
        <v>3178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171</v>
      </c>
      <c r="BV1897" s="2" t="s">
        <v>97</v>
      </c>
      <c r="BW1897" s="2" t="s">
        <v>100</v>
      </c>
      <c r="BX1897" s="2" t="s">
        <v>100</v>
      </c>
      <c r="BY1897" s="2" t="s">
        <v>112</v>
      </c>
      <c r="BZ1897" s="2" t="s">
        <v>100</v>
      </c>
    </row>
    <row r="1898">
      <c r="A1898" s="2" t="s">
        <v>6588</v>
      </c>
      <c r="B1898" s="2" t="s">
        <v>5155</v>
      </c>
      <c r="C1898" s="2" t="s">
        <v>2357</v>
      </c>
      <c r="D1898" s="2" t="s">
        <v>1771</v>
      </c>
      <c r="E1898" s="2" t="s">
        <v>5398</v>
      </c>
      <c r="F1898" s="2" t="s">
        <v>6582</v>
      </c>
      <c r="G1898" s="2" t="s">
        <v>6582</v>
      </c>
      <c r="H1898" s="2" t="s">
        <v>6582</v>
      </c>
      <c r="I1898" s="2" t="s">
        <v>6583</v>
      </c>
      <c r="J1898" s="2" t="s">
        <v>5894</v>
      </c>
      <c r="K1898" s="2" t="s">
        <v>236</v>
      </c>
      <c r="L1898" s="3">
        <v>20.14</v>
      </c>
      <c r="M1898" s="3">
        <v>21.15</v>
      </c>
      <c r="N1898" s="3">
        <v>44.99</v>
      </c>
      <c r="O1898" s="2" t="s">
        <v>97</v>
      </c>
      <c r="P1898" s="2" t="s">
        <v>98</v>
      </c>
      <c r="Q1898" s="2" t="s">
        <v>99</v>
      </c>
      <c r="R1898" s="2" t="s">
        <v>100</v>
      </c>
      <c r="S1898" s="2" t="s">
        <v>6589</v>
      </c>
      <c r="T1898" s="2" t="s">
        <v>5327</v>
      </c>
      <c r="U1898" s="2" t="s">
        <v>1776</v>
      </c>
      <c r="V1898" s="2" t="s">
        <v>269</v>
      </c>
      <c r="W1898" s="2" t="s">
        <v>270</v>
      </c>
      <c r="X1898" s="2" t="s">
        <v>104</v>
      </c>
      <c r="Y1898" s="2" t="s">
        <v>1488</v>
      </c>
      <c r="Z1898" s="4">
        <v>539</v>
      </c>
      <c r="AA1898" s="4">
        <f>=ROUNDDOWN(67.375,0)</f>
      </c>
      <c r="AB1898" s="5">
        <v>8</v>
      </c>
      <c r="AC1898" s="2" t="s">
        <v>100</v>
      </c>
      <c r="AD1898" s="4"/>
      <c r="AE1898" s="4"/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/>
      <c r="BJ1898" s="4">
        <v>3</v>
      </c>
      <c r="BK1898" s="8">
        <v>67.56</v>
      </c>
      <c r="BL1898" s="2" t="s">
        <v>6590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171</v>
      </c>
      <c r="BV1898" s="2" t="s">
        <v>97</v>
      </c>
      <c r="BW1898" s="2" t="s">
        <v>100</v>
      </c>
      <c r="BX1898" s="2" t="s">
        <v>100</v>
      </c>
      <c r="BY1898" s="2" t="s">
        <v>112</v>
      </c>
      <c r="BZ1898" s="2" t="s">
        <v>100</v>
      </c>
    </row>
    <row r="1899">
      <c r="A1899" s="2" t="s">
        <v>6591</v>
      </c>
      <c r="B1899" s="2" t="s">
        <v>5155</v>
      </c>
      <c r="C1899" s="2" t="s">
        <v>2357</v>
      </c>
      <c r="D1899" s="2" t="s">
        <v>1771</v>
      </c>
      <c r="E1899" s="2" t="s">
        <v>5398</v>
      </c>
      <c r="F1899" s="2" t="s">
        <v>6582</v>
      </c>
      <c r="G1899" s="2" t="s">
        <v>6582</v>
      </c>
      <c r="H1899" s="2" t="s">
        <v>6582</v>
      </c>
      <c r="I1899" s="2" t="s">
        <v>6583</v>
      </c>
      <c r="J1899" s="2" t="s">
        <v>5894</v>
      </c>
      <c r="K1899" s="2" t="s">
        <v>523</v>
      </c>
      <c r="L1899" s="3">
        <v>20.14</v>
      </c>
      <c r="M1899" s="3">
        <v>21.15</v>
      </c>
      <c r="N1899" s="3">
        <v>44.99</v>
      </c>
      <c r="O1899" s="2" t="s">
        <v>97</v>
      </c>
      <c r="P1899" s="2" t="s">
        <v>98</v>
      </c>
      <c r="Q1899" s="2" t="s">
        <v>99</v>
      </c>
      <c r="R1899" s="2" t="s">
        <v>100</v>
      </c>
      <c r="S1899" s="2" t="s">
        <v>6592</v>
      </c>
      <c r="T1899" s="2" t="s">
        <v>5327</v>
      </c>
      <c r="U1899" s="2" t="s">
        <v>1776</v>
      </c>
      <c r="V1899" s="2" t="s">
        <v>269</v>
      </c>
      <c r="W1899" s="2" t="s">
        <v>270</v>
      </c>
      <c r="X1899" s="2" t="s">
        <v>104</v>
      </c>
      <c r="Y1899" s="2" t="s">
        <v>1488</v>
      </c>
      <c r="Z1899" s="4">
        <v>551</v>
      </c>
      <c r="AA1899" s="4">
        <f>=ROUNDDOWN(78.7142857142857,0)</f>
      </c>
      <c r="AB1899" s="5">
        <v>7</v>
      </c>
      <c r="AC1899" s="2" t="s">
        <v>100</v>
      </c>
      <c r="AD1899" s="4"/>
      <c r="AE1899" s="4"/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/>
      <c r="BJ1899" s="4">
        <v>32</v>
      </c>
      <c r="BK1899" s="8">
        <v>715.92</v>
      </c>
      <c r="BL1899" s="2" t="s">
        <v>2454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171</v>
      </c>
      <c r="BV1899" s="2" t="s">
        <v>97</v>
      </c>
      <c r="BW1899" s="2" t="s">
        <v>100</v>
      </c>
      <c r="BX1899" s="2" t="s">
        <v>100</v>
      </c>
      <c r="BY1899" s="2" t="s">
        <v>112</v>
      </c>
      <c r="BZ1899" s="2" t="s">
        <v>100</v>
      </c>
    </row>
    <row r="1900">
      <c r="A1900" s="2" t="s">
        <v>6593</v>
      </c>
      <c r="B1900" s="2" t="s">
        <v>5155</v>
      </c>
      <c r="C1900" s="2" t="s">
        <v>1797</v>
      </c>
      <c r="D1900" s="2" t="s">
        <v>89</v>
      </c>
      <c r="E1900" s="2" t="s">
        <v>887</v>
      </c>
      <c r="F1900" s="2" t="s">
        <v>6594</v>
      </c>
      <c r="G1900" s="2" t="s">
        <v>6595</v>
      </c>
      <c r="H1900" s="2" t="s">
        <v>6595</v>
      </c>
      <c r="I1900" s="2" t="s">
        <v>6596</v>
      </c>
      <c r="J1900" s="2" t="s">
        <v>352</v>
      </c>
      <c r="K1900" s="2" t="s">
        <v>96</v>
      </c>
      <c r="L1900" s="3">
        <v>19.6</v>
      </c>
      <c r="M1900" s="3">
        <v>20.58</v>
      </c>
      <c r="N1900" s="3">
        <v>39.99</v>
      </c>
      <c r="O1900" s="2" t="s">
        <v>97</v>
      </c>
      <c r="P1900" s="2" t="s">
        <v>156</v>
      </c>
      <c r="Q1900" s="2" t="s">
        <v>99</v>
      </c>
      <c r="R1900" s="2" t="s">
        <v>100</v>
      </c>
      <c r="S1900" s="2" t="s">
        <v>6597</v>
      </c>
      <c r="T1900" s="2" t="s">
        <v>438</v>
      </c>
      <c r="U1900" s="2" t="s">
        <v>894</v>
      </c>
      <c r="V1900" s="2" t="s">
        <v>269</v>
      </c>
      <c r="W1900" s="2" t="s">
        <v>270</v>
      </c>
      <c r="X1900" s="2" t="s">
        <v>100</v>
      </c>
      <c r="Y1900" s="2" t="s">
        <v>4146</v>
      </c>
      <c r="Z1900" s="4">
        <v>620</v>
      </c>
      <c r="AA1900" s="4">
        <f>=ROUNDDOWN(15.5,0)</f>
      </c>
      <c r="AB1900" s="5">
        <v>40</v>
      </c>
      <c r="AC1900" s="2" t="s">
        <v>875</v>
      </c>
      <c r="AD1900" s="4">
        <v>230</v>
      </c>
      <c r="AE1900" s="4">
        <v>740</v>
      </c>
      <c r="AF1900" s="6">
        <v>65</v>
      </c>
      <c r="AG1900" s="6">
        <v>48</v>
      </c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6</v>
      </c>
      <c r="AQ1900" s="8">
        <v>114.3</v>
      </c>
      <c r="AR1900" s="4"/>
      <c r="AS1900" s="8"/>
      <c r="AT1900" s="7"/>
      <c r="AU1900" s="7"/>
      <c r="AV1900" s="4">
        <v>6</v>
      </c>
      <c r="AW1900" s="8">
        <v>114.3</v>
      </c>
      <c r="AX1900" s="4"/>
      <c r="AY1900" s="8"/>
      <c r="AZ1900" s="7"/>
      <c r="BA1900" s="7"/>
      <c r="BB1900" s="7">
        <v>1</v>
      </c>
      <c r="BC1900" s="4">
        <v>6</v>
      </c>
      <c r="BD1900" s="8">
        <v>114.3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>
        <v>1</v>
      </c>
      <c r="BJ1900" s="4">
        <v>49</v>
      </c>
      <c r="BK1900" s="8">
        <v>949.04</v>
      </c>
      <c r="BL1900" s="2" t="s">
        <v>6598</v>
      </c>
      <c r="BM1900" s="7">
        <v>0.1224</v>
      </c>
      <c r="BN1900" s="7">
        <v>0.1204</v>
      </c>
      <c r="BO1900" s="4">
        <v>6</v>
      </c>
      <c r="BP1900" s="8">
        <v>114.3</v>
      </c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4146</v>
      </c>
      <c r="BX1900" s="2" t="s">
        <v>6599</v>
      </c>
      <c r="BY1900" s="2" t="s">
        <v>112</v>
      </c>
      <c r="BZ1900" s="2" t="s">
        <v>100</v>
      </c>
    </row>
    <row r="1901">
      <c r="A1901" s="2" t="s">
        <v>6600</v>
      </c>
      <c r="B1901" s="2" t="s">
        <v>5155</v>
      </c>
      <c r="C1901" s="2" t="s">
        <v>1797</v>
      </c>
      <c r="D1901" s="2" t="s">
        <v>89</v>
      </c>
      <c r="E1901" s="2" t="s">
        <v>887</v>
      </c>
      <c r="F1901" s="2" t="s">
        <v>6594</v>
      </c>
      <c r="G1901" s="2" t="s">
        <v>6595</v>
      </c>
      <c r="H1901" s="2" t="s">
        <v>6595</v>
      </c>
      <c r="I1901" s="2" t="s">
        <v>6596</v>
      </c>
      <c r="J1901" s="2" t="s">
        <v>352</v>
      </c>
      <c r="K1901" s="2" t="s">
        <v>138</v>
      </c>
      <c r="L1901" s="3">
        <v>19.6</v>
      </c>
      <c r="M1901" s="3">
        <v>20.58</v>
      </c>
      <c r="N1901" s="3">
        <v>39.99</v>
      </c>
      <c r="O1901" s="2" t="s">
        <v>97</v>
      </c>
      <c r="P1901" s="2" t="s">
        <v>98</v>
      </c>
      <c r="Q1901" s="2" t="s">
        <v>99</v>
      </c>
      <c r="R1901" s="2" t="s">
        <v>100</v>
      </c>
      <c r="S1901" s="2" t="s">
        <v>6601</v>
      </c>
      <c r="T1901" s="2" t="s">
        <v>438</v>
      </c>
      <c r="U1901" s="2" t="s">
        <v>894</v>
      </c>
      <c r="V1901" s="2" t="s">
        <v>269</v>
      </c>
      <c r="W1901" s="2" t="s">
        <v>270</v>
      </c>
      <c r="X1901" s="2" t="s">
        <v>100</v>
      </c>
      <c r="Y1901" s="2" t="s">
        <v>6602</v>
      </c>
      <c r="Z1901" s="4">
        <v>270</v>
      </c>
      <c r="AA1901" s="4">
        <f>=ROUNDDOWN(27,0)</f>
      </c>
      <c r="AB1901" s="5">
        <v>10</v>
      </c>
      <c r="AC1901" s="2" t="s">
        <v>1142</v>
      </c>
      <c r="AD1901" s="4">
        <v>170</v>
      </c>
      <c r="AE1901" s="4">
        <v>300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 t="s">
        <v>100</v>
      </c>
      <c r="AW1901" s="8" t="s">
        <v>100</v>
      </c>
      <c r="AX1901" s="4" t="s">
        <v>100</v>
      </c>
      <c r="AY1901" s="8" t="s">
        <v>100</v>
      </c>
      <c r="AZ1901" s="7" t="s">
        <v>100</v>
      </c>
      <c r="BA1901" s="7" t="s">
        <v>100</v>
      </c>
      <c r="BB1901" s="7"/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 t="s">
        <v>100</v>
      </c>
      <c r="BJ1901" s="4">
        <v>11</v>
      </c>
      <c r="BK1901" s="8">
        <v>230.64</v>
      </c>
      <c r="BL1901" s="2" t="s">
        <v>6603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171</v>
      </c>
      <c r="BV1901" s="2" t="s">
        <v>97</v>
      </c>
      <c r="BW1901" s="2" t="s">
        <v>100</v>
      </c>
      <c r="BX1901" s="2" t="s">
        <v>100</v>
      </c>
      <c r="BY1901" s="2" t="s">
        <v>112</v>
      </c>
      <c r="BZ1901" s="2" t="s">
        <v>100</v>
      </c>
    </row>
    <row r="1902">
      <c r="A1902" s="2" t="s">
        <v>6604</v>
      </c>
      <c r="B1902" s="2" t="s">
        <v>5155</v>
      </c>
      <c r="C1902" s="2" t="s">
        <v>1797</v>
      </c>
      <c r="D1902" s="2" t="s">
        <v>89</v>
      </c>
      <c r="E1902" s="2" t="s">
        <v>887</v>
      </c>
      <c r="F1902" s="2" t="s">
        <v>6594</v>
      </c>
      <c r="G1902" s="2" t="s">
        <v>6595</v>
      </c>
      <c r="H1902" s="2" t="s">
        <v>6595</v>
      </c>
      <c r="I1902" s="2" t="s">
        <v>6596</v>
      </c>
      <c r="J1902" s="2" t="s">
        <v>522</v>
      </c>
      <c r="K1902" s="2" t="s">
        <v>138</v>
      </c>
      <c r="L1902" s="3">
        <v>25</v>
      </c>
      <c r="M1902" s="3">
        <v>26.25</v>
      </c>
      <c r="N1902" s="3">
        <v>49.99</v>
      </c>
      <c r="O1902" s="2" t="s">
        <v>97</v>
      </c>
      <c r="P1902" s="2" t="s">
        <v>98</v>
      </c>
      <c r="Q1902" s="2" t="s">
        <v>99</v>
      </c>
      <c r="R1902" s="2" t="s">
        <v>100</v>
      </c>
      <c r="S1902" s="2" t="s">
        <v>6601</v>
      </c>
      <c r="T1902" s="2" t="s">
        <v>438</v>
      </c>
      <c r="U1902" s="2" t="s">
        <v>901</v>
      </c>
      <c r="V1902" s="2" t="s">
        <v>269</v>
      </c>
      <c r="W1902" s="2" t="s">
        <v>270</v>
      </c>
      <c r="X1902" s="2" t="s">
        <v>100</v>
      </c>
      <c r="Y1902" s="2" t="s">
        <v>6602</v>
      </c>
      <c r="Z1902" s="4">
        <v>385</v>
      </c>
      <c r="AA1902" s="4">
        <f>=ROUNDDOWN(18.3333333333333,0)</f>
      </c>
      <c r="AB1902" s="5">
        <v>21</v>
      </c>
      <c r="AC1902" s="2" t="s">
        <v>3082</v>
      </c>
      <c r="AD1902" s="4">
        <v>350</v>
      </c>
      <c r="AE1902" s="4">
        <v>350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 t="s">
        <v>100</v>
      </c>
      <c r="AW1902" s="8" t="s">
        <v>100</v>
      </c>
      <c r="AX1902" s="4" t="s">
        <v>100</v>
      </c>
      <c r="AY1902" s="8" t="s">
        <v>100</v>
      </c>
      <c r="AZ1902" s="7" t="s">
        <v>100</v>
      </c>
      <c r="BA1902" s="7" t="s">
        <v>100</v>
      </c>
      <c r="BB1902" s="7"/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 t="s">
        <v>100</v>
      </c>
      <c r="BJ1902" s="4">
        <v>85</v>
      </c>
      <c r="BK1902" s="8">
        <v>2161.41</v>
      </c>
      <c r="BL1902" s="2" t="s">
        <v>6605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171</v>
      </c>
      <c r="BV1902" s="2" t="s">
        <v>97</v>
      </c>
      <c r="BW1902" s="2" t="s">
        <v>100</v>
      </c>
      <c r="BX1902" s="2" t="s">
        <v>100</v>
      </c>
      <c r="BY1902" s="2" t="s">
        <v>112</v>
      </c>
      <c r="BZ1902" s="2" t="s">
        <v>100</v>
      </c>
    </row>
    <row r="1903">
      <c r="A1903" s="2" t="s">
        <v>6606</v>
      </c>
      <c r="B1903" s="2" t="s">
        <v>5155</v>
      </c>
      <c r="C1903" s="2" t="s">
        <v>1797</v>
      </c>
      <c r="D1903" s="2" t="s">
        <v>89</v>
      </c>
      <c r="E1903" s="2" t="s">
        <v>887</v>
      </c>
      <c r="F1903" s="2" t="s">
        <v>6594</v>
      </c>
      <c r="G1903" s="2" t="s">
        <v>6595</v>
      </c>
      <c r="H1903" s="2" t="s">
        <v>6595</v>
      </c>
      <c r="I1903" s="2" t="s">
        <v>6596</v>
      </c>
      <c r="J1903" s="2" t="s">
        <v>529</v>
      </c>
      <c r="K1903" s="2" t="s">
        <v>138</v>
      </c>
      <c r="L1903" s="3">
        <v>30</v>
      </c>
      <c r="M1903" s="3">
        <v>31.5</v>
      </c>
      <c r="N1903" s="3">
        <v>59.99</v>
      </c>
      <c r="O1903" s="2" t="s">
        <v>97</v>
      </c>
      <c r="P1903" s="2" t="s">
        <v>98</v>
      </c>
      <c r="Q1903" s="2" t="s">
        <v>99</v>
      </c>
      <c r="R1903" s="2" t="s">
        <v>100</v>
      </c>
      <c r="S1903" s="2" t="s">
        <v>6601</v>
      </c>
      <c r="T1903" s="2" t="s">
        <v>438</v>
      </c>
      <c r="U1903" s="2" t="s">
        <v>901</v>
      </c>
      <c r="V1903" s="2" t="s">
        <v>269</v>
      </c>
      <c r="W1903" s="2" t="s">
        <v>270</v>
      </c>
      <c r="X1903" s="2" t="s">
        <v>100</v>
      </c>
      <c r="Y1903" s="2" t="s">
        <v>6602</v>
      </c>
      <c r="Z1903" s="4">
        <v>193</v>
      </c>
      <c r="AA1903" s="4">
        <f>=ROUNDDOWN(27.5714285714286,0)</f>
      </c>
      <c r="AB1903" s="5">
        <v>7</v>
      </c>
      <c r="AC1903" s="2" t="s">
        <v>1142</v>
      </c>
      <c r="AD1903" s="4">
        <v>40</v>
      </c>
      <c r="AE1903" s="4">
        <v>150</v>
      </c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 t="s">
        <v>100</v>
      </c>
      <c r="AW1903" s="8" t="s">
        <v>100</v>
      </c>
      <c r="AX1903" s="4" t="s">
        <v>100</v>
      </c>
      <c r="AY1903" s="8" t="s">
        <v>100</v>
      </c>
      <c r="AZ1903" s="7" t="s">
        <v>100</v>
      </c>
      <c r="BA1903" s="7" t="s">
        <v>100</v>
      </c>
      <c r="BB1903" s="7"/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 t="s">
        <v>100</v>
      </c>
      <c r="BJ1903" s="4">
        <v>17</v>
      </c>
      <c r="BK1903" s="8">
        <v>533.32</v>
      </c>
      <c r="BL1903" s="2" t="s">
        <v>5056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171</v>
      </c>
      <c r="BV1903" s="2" t="s">
        <v>97</v>
      </c>
      <c r="BW1903" s="2" t="s">
        <v>100</v>
      </c>
      <c r="BX1903" s="2" t="s">
        <v>100</v>
      </c>
      <c r="BY1903" s="2" t="s">
        <v>112</v>
      </c>
      <c r="BZ1903" s="2" t="s">
        <v>100</v>
      </c>
    </row>
    <row r="1904">
      <c r="A1904" s="2" t="s">
        <v>6607</v>
      </c>
      <c r="B1904" s="2" t="s">
        <v>5155</v>
      </c>
      <c r="C1904" s="2" t="s">
        <v>1797</v>
      </c>
      <c r="D1904" s="2" t="s">
        <v>89</v>
      </c>
      <c r="E1904" s="2" t="s">
        <v>887</v>
      </c>
      <c r="F1904" s="2" t="s">
        <v>6594</v>
      </c>
      <c r="G1904" s="2" t="s">
        <v>6595</v>
      </c>
      <c r="H1904" s="2" t="s">
        <v>6595</v>
      </c>
      <c r="I1904" s="2" t="s">
        <v>6596</v>
      </c>
      <c r="J1904" s="2" t="s">
        <v>352</v>
      </c>
      <c r="K1904" s="2" t="s">
        <v>236</v>
      </c>
      <c r="L1904" s="3">
        <v>19.6</v>
      </c>
      <c r="M1904" s="3">
        <v>20.58</v>
      </c>
      <c r="N1904" s="3">
        <v>39.99</v>
      </c>
      <c r="O1904" s="2" t="s">
        <v>97</v>
      </c>
      <c r="P1904" s="2" t="s">
        <v>98</v>
      </c>
      <c r="Q1904" s="2" t="s">
        <v>99</v>
      </c>
      <c r="R1904" s="2" t="s">
        <v>100</v>
      </c>
      <c r="S1904" s="2" t="s">
        <v>6608</v>
      </c>
      <c r="T1904" s="2" t="s">
        <v>438</v>
      </c>
      <c r="U1904" s="2" t="s">
        <v>894</v>
      </c>
      <c r="V1904" s="2" t="s">
        <v>269</v>
      </c>
      <c r="W1904" s="2" t="s">
        <v>270</v>
      </c>
      <c r="X1904" s="2" t="s">
        <v>100</v>
      </c>
      <c r="Y1904" s="2" t="s">
        <v>6602</v>
      </c>
      <c r="Z1904" s="4">
        <v>277</v>
      </c>
      <c r="AA1904" s="4">
        <f>=ROUNDDOWN(16.2941176470588,0)</f>
      </c>
      <c r="AB1904" s="5">
        <v>17</v>
      </c>
      <c r="AC1904" s="2" t="s">
        <v>725</v>
      </c>
      <c r="AD1904" s="4">
        <v>280</v>
      </c>
      <c r="AE1904" s="4">
        <v>620</v>
      </c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 t="s">
        <v>100</v>
      </c>
      <c r="AW1904" s="8" t="s">
        <v>100</v>
      </c>
      <c r="AX1904" s="4" t="s">
        <v>100</v>
      </c>
      <c r="AY1904" s="8" t="s">
        <v>100</v>
      </c>
      <c r="AZ1904" s="7" t="s">
        <v>100</v>
      </c>
      <c r="BA1904" s="7" t="s">
        <v>100</v>
      </c>
      <c r="BB1904" s="7"/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 t="s">
        <v>100</v>
      </c>
      <c r="BJ1904" s="4">
        <v>84</v>
      </c>
      <c r="BK1904" s="8">
        <v>1790.91</v>
      </c>
      <c r="BL1904" s="2" t="s">
        <v>6609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171</v>
      </c>
      <c r="BV1904" s="2" t="s">
        <v>97</v>
      </c>
      <c r="BW1904" s="2" t="s">
        <v>100</v>
      </c>
      <c r="BX1904" s="2" t="s">
        <v>100</v>
      </c>
      <c r="BY1904" s="2" t="s">
        <v>112</v>
      </c>
      <c r="BZ1904" s="2" t="s">
        <v>100</v>
      </c>
    </row>
    <row r="1905">
      <c r="A1905" s="2" t="s">
        <v>6610</v>
      </c>
      <c r="B1905" s="2" t="s">
        <v>5155</v>
      </c>
      <c r="C1905" s="2" t="s">
        <v>1797</v>
      </c>
      <c r="D1905" s="2" t="s">
        <v>89</v>
      </c>
      <c r="E1905" s="2" t="s">
        <v>887</v>
      </c>
      <c r="F1905" s="2" t="s">
        <v>6594</v>
      </c>
      <c r="G1905" s="2" t="s">
        <v>6595</v>
      </c>
      <c r="H1905" s="2" t="s">
        <v>6595</v>
      </c>
      <c r="I1905" s="2" t="s">
        <v>6596</v>
      </c>
      <c r="J1905" s="2" t="s">
        <v>522</v>
      </c>
      <c r="K1905" s="2" t="s">
        <v>236</v>
      </c>
      <c r="L1905" s="3">
        <v>25</v>
      </c>
      <c r="M1905" s="3">
        <v>26.25</v>
      </c>
      <c r="N1905" s="3">
        <v>49.99</v>
      </c>
      <c r="O1905" s="2" t="s">
        <v>97</v>
      </c>
      <c r="P1905" s="2" t="s">
        <v>98</v>
      </c>
      <c r="Q1905" s="2" t="s">
        <v>99</v>
      </c>
      <c r="R1905" s="2" t="s">
        <v>100</v>
      </c>
      <c r="S1905" s="2" t="s">
        <v>6608</v>
      </c>
      <c r="T1905" s="2" t="s">
        <v>438</v>
      </c>
      <c r="U1905" s="2" t="s">
        <v>901</v>
      </c>
      <c r="V1905" s="2" t="s">
        <v>269</v>
      </c>
      <c r="W1905" s="2" t="s">
        <v>270</v>
      </c>
      <c r="X1905" s="2" t="s">
        <v>100</v>
      </c>
      <c r="Y1905" s="2" t="s">
        <v>6602</v>
      </c>
      <c r="Z1905" s="4">
        <v>276</v>
      </c>
      <c r="AA1905" s="4">
        <f>=ROUNDDOWN(12.5454545454545,0)</f>
      </c>
      <c r="AB1905" s="5">
        <v>22</v>
      </c>
      <c r="AC1905" s="2" t="s">
        <v>725</v>
      </c>
      <c r="AD1905" s="4">
        <v>260</v>
      </c>
      <c r="AE1905" s="4">
        <v>720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 t="s">
        <v>100</v>
      </c>
      <c r="AW1905" s="8" t="s">
        <v>100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/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 t="s">
        <v>100</v>
      </c>
      <c r="BJ1905" s="4">
        <v>35</v>
      </c>
      <c r="BK1905" s="8">
        <v>926.93</v>
      </c>
      <c r="BL1905" s="2" t="s">
        <v>6611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171</v>
      </c>
      <c r="BV1905" s="2" t="s">
        <v>97</v>
      </c>
      <c r="BW1905" s="2" t="s">
        <v>100</v>
      </c>
      <c r="BX1905" s="2" t="s">
        <v>100</v>
      </c>
      <c r="BY1905" s="2" t="s">
        <v>112</v>
      </c>
      <c r="BZ1905" s="2" t="s">
        <v>100</v>
      </c>
    </row>
    <row r="1906">
      <c r="A1906" s="2" t="s">
        <v>6612</v>
      </c>
      <c r="B1906" s="2" t="s">
        <v>5155</v>
      </c>
      <c r="C1906" s="2" t="s">
        <v>1797</v>
      </c>
      <c r="D1906" s="2" t="s">
        <v>89</v>
      </c>
      <c r="E1906" s="2" t="s">
        <v>887</v>
      </c>
      <c r="F1906" s="2" t="s">
        <v>6594</v>
      </c>
      <c r="G1906" s="2" t="s">
        <v>6595</v>
      </c>
      <c r="H1906" s="2" t="s">
        <v>6595</v>
      </c>
      <c r="I1906" s="2" t="s">
        <v>6596</v>
      </c>
      <c r="J1906" s="2" t="s">
        <v>529</v>
      </c>
      <c r="K1906" s="2" t="s">
        <v>236</v>
      </c>
      <c r="L1906" s="3">
        <v>30</v>
      </c>
      <c r="M1906" s="3">
        <v>31.5</v>
      </c>
      <c r="N1906" s="3">
        <v>59.99</v>
      </c>
      <c r="O1906" s="2" t="s">
        <v>97</v>
      </c>
      <c r="P1906" s="2" t="s">
        <v>98</v>
      </c>
      <c r="Q1906" s="2" t="s">
        <v>99</v>
      </c>
      <c r="R1906" s="2" t="s">
        <v>100</v>
      </c>
      <c r="S1906" s="2" t="s">
        <v>6608</v>
      </c>
      <c r="T1906" s="2" t="s">
        <v>438</v>
      </c>
      <c r="U1906" s="2" t="s">
        <v>901</v>
      </c>
      <c r="V1906" s="2" t="s">
        <v>269</v>
      </c>
      <c r="W1906" s="2" t="s">
        <v>270</v>
      </c>
      <c r="X1906" s="2" t="s">
        <v>100</v>
      </c>
      <c r="Y1906" s="2" t="s">
        <v>6602</v>
      </c>
      <c r="Z1906" s="4">
        <v>159</v>
      </c>
      <c r="AA1906" s="4">
        <f>=ROUNDDOWN(31.8,0)</f>
      </c>
      <c r="AB1906" s="5">
        <v>5</v>
      </c>
      <c r="AC1906" s="2" t="s">
        <v>100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 t="s">
        <v>100</v>
      </c>
      <c r="AW1906" s="8" t="s">
        <v>100</v>
      </c>
      <c r="AX1906" s="4" t="s">
        <v>100</v>
      </c>
      <c r="AY1906" s="8" t="s">
        <v>100</v>
      </c>
      <c r="AZ1906" s="7" t="s">
        <v>100</v>
      </c>
      <c r="BA1906" s="7" t="s">
        <v>100</v>
      </c>
      <c r="BB1906" s="7"/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 t="s">
        <v>100</v>
      </c>
      <c r="BJ1906" s="4">
        <v>11</v>
      </c>
      <c r="BK1906" s="8">
        <v>344.74</v>
      </c>
      <c r="BL1906" s="2" t="s">
        <v>5056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171</v>
      </c>
      <c r="BV1906" s="2" t="s">
        <v>97</v>
      </c>
      <c r="BW1906" s="2" t="s">
        <v>100</v>
      </c>
      <c r="BX1906" s="2" t="s">
        <v>100</v>
      </c>
      <c r="BY1906" s="2" t="s">
        <v>112</v>
      </c>
      <c r="BZ1906" s="2" t="s">
        <v>100</v>
      </c>
    </row>
    <row r="1907">
      <c r="A1907" s="2" t="s">
        <v>6613</v>
      </c>
      <c r="B1907" s="2" t="s">
        <v>5155</v>
      </c>
      <c r="C1907" s="2" t="s">
        <v>1797</v>
      </c>
      <c r="D1907" s="2" t="s">
        <v>89</v>
      </c>
      <c r="E1907" s="2" t="s">
        <v>887</v>
      </c>
      <c r="F1907" s="2" t="s">
        <v>6614</v>
      </c>
      <c r="G1907" s="2" t="s">
        <v>6615</v>
      </c>
      <c r="H1907" s="2" t="s">
        <v>6615</v>
      </c>
      <c r="I1907" s="2" t="s">
        <v>6616</v>
      </c>
      <c r="J1907" s="2" t="s">
        <v>352</v>
      </c>
      <c r="K1907" s="2" t="s">
        <v>6617</v>
      </c>
      <c r="L1907" s="3">
        <v>19.46</v>
      </c>
      <c r="M1907" s="3">
        <v>20.43</v>
      </c>
      <c r="N1907" s="3">
        <v>39.99</v>
      </c>
      <c r="O1907" s="2" t="s">
        <v>97</v>
      </c>
      <c r="P1907" s="2" t="s">
        <v>98</v>
      </c>
      <c r="Q1907" s="2" t="s">
        <v>99</v>
      </c>
      <c r="R1907" s="2" t="s">
        <v>100</v>
      </c>
      <c r="S1907" s="2" t="s">
        <v>6618</v>
      </c>
      <c r="T1907" s="2" t="s">
        <v>438</v>
      </c>
      <c r="U1907" s="2" t="s">
        <v>100</v>
      </c>
      <c r="V1907" s="2" t="s">
        <v>461</v>
      </c>
      <c r="W1907" s="2" t="s">
        <v>609</v>
      </c>
      <c r="X1907" s="2" t="s">
        <v>100</v>
      </c>
      <c r="Y1907" s="2" t="s">
        <v>4616</v>
      </c>
      <c r="Z1907" s="4">
        <v>271</v>
      </c>
      <c r="AA1907" s="4">
        <f>=ROUNDDOWN(16.9375,0)</f>
      </c>
      <c r="AB1907" s="5">
        <v>16</v>
      </c>
      <c r="AC1907" s="2" t="s">
        <v>312</v>
      </c>
      <c r="AD1907" s="4">
        <v>150</v>
      </c>
      <c r="AE1907" s="4">
        <v>388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>
        <v>1</v>
      </c>
      <c r="AW1907" s="8">
        <v>27.72</v>
      </c>
      <c r="AX1907" s="4" t="s">
        <v>100</v>
      </c>
      <c r="AY1907" s="8" t="s">
        <v>100</v>
      </c>
      <c r="AZ1907" s="7" t="s">
        <v>100</v>
      </c>
      <c r="BA1907" s="7" t="s">
        <v>100</v>
      </c>
      <c r="BB1907" s="7"/>
      <c r="BC1907" s="4">
        <v>1</v>
      </c>
      <c r="BD1907" s="8">
        <v>27.72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>
        <v>1</v>
      </c>
      <c r="BJ1907" s="4">
        <v>49</v>
      </c>
      <c r="BK1907" s="8">
        <v>1027.15</v>
      </c>
      <c r="BL1907" s="2" t="s">
        <v>4165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109</v>
      </c>
      <c r="BV1907" s="2" t="s">
        <v>97</v>
      </c>
      <c r="BW1907" s="2" t="s">
        <v>127</v>
      </c>
      <c r="BX1907" s="2" t="s">
        <v>227</v>
      </c>
      <c r="BY1907" s="2" t="s">
        <v>112</v>
      </c>
      <c r="BZ1907" s="2" t="s">
        <v>100</v>
      </c>
    </row>
    <row r="1908">
      <c r="A1908" s="2" t="s">
        <v>6619</v>
      </c>
      <c r="B1908" s="2" t="s">
        <v>5155</v>
      </c>
      <c r="C1908" s="2" t="s">
        <v>1797</v>
      </c>
      <c r="D1908" s="2" t="s">
        <v>89</v>
      </c>
      <c r="E1908" s="2" t="s">
        <v>887</v>
      </c>
      <c r="F1908" s="2" t="s">
        <v>6614</v>
      </c>
      <c r="G1908" s="2" t="s">
        <v>6615</v>
      </c>
      <c r="H1908" s="2" t="s">
        <v>6615</v>
      </c>
      <c r="I1908" s="2" t="s">
        <v>6616</v>
      </c>
      <c r="J1908" s="2" t="s">
        <v>522</v>
      </c>
      <c r="K1908" s="2" t="s">
        <v>6617</v>
      </c>
      <c r="L1908" s="3">
        <v>25.7</v>
      </c>
      <c r="M1908" s="3">
        <v>26.98</v>
      </c>
      <c r="N1908" s="3">
        <v>51.99</v>
      </c>
      <c r="O1908" s="2" t="s">
        <v>97</v>
      </c>
      <c r="P1908" s="2" t="s">
        <v>98</v>
      </c>
      <c r="Q1908" s="2" t="s">
        <v>99</v>
      </c>
      <c r="R1908" s="2" t="s">
        <v>100</v>
      </c>
      <c r="S1908" s="2" t="s">
        <v>6618</v>
      </c>
      <c r="T1908" s="2" t="s">
        <v>438</v>
      </c>
      <c r="U1908" s="2" t="s">
        <v>100</v>
      </c>
      <c r="V1908" s="2" t="s">
        <v>461</v>
      </c>
      <c r="W1908" s="2" t="s">
        <v>609</v>
      </c>
      <c r="X1908" s="2" t="s">
        <v>100</v>
      </c>
      <c r="Y1908" s="2" t="s">
        <v>4616</v>
      </c>
      <c r="Z1908" s="4">
        <v>323</v>
      </c>
      <c r="AA1908" s="4">
        <f>=ROUNDDOWN(9.22857142857143,0)</f>
      </c>
      <c r="AB1908" s="5">
        <v>35</v>
      </c>
      <c r="AC1908" s="2" t="s">
        <v>312</v>
      </c>
      <c r="AD1908" s="4">
        <v>150</v>
      </c>
      <c r="AE1908" s="4">
        <v>357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 t="s">
        <v>100</v>
      </c>
      <c r="AW1908" s="8" t="s">
        <v>100</v>
      </c>
      <c r="AX1908" s="4" t="s">
        <v>100</v>
      </c>
      <c r="AY1908" s="8" t="s">
        <v>100</v>
      </c>
      <c r="AZ1908" s="7" t="s">
        <v>100</v>
      </c>
      <c r="BA1908" s="7" t="s">
        <v>100</v>
      </c>
      <c r="BB1908" s="7"/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 t="s">
        <v>100</v>
      </c>
      <c r="BJ1908" s="4">
        <v>171</v>
      </c>
      <c r="BK1908" s="8">
        <v>4792.74</v>
      </c>
      <c r="BL1908" s="2" t="s">
        <v>6620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109</v>
      </c>
      <c r="BV1908" s="2" t="s">
        <v>97</v>
      </c>
      <c r="BW1908" s="2" t="s">
        <v>127</v>
      </c>
      <c r="BX1908" s="2" t="s">
        <v>5475</v>
      </c>
      <c r="BY1908" s="2" t="s">
        <v>112</v>
      </c>
      <c r="BZ1908" s="2" t="s">
        <v>100</v>
      </c>
    </row>
    <row r="1909">
      <c r="A1909" s="2" t="s">
        <v>6621</v>
      </c>
      <c r="B1909" s="2" t="s">
        <v>5155</v>
      </c>
      <c r="C1909" s="2" t="s">
        <v>1797</v>
      </c>
      <c r="D1909" s="2" t="s">
        <v>89</v>
      </c>
      <c r="E1909" s="2" t="s">
        <v>887</v>
      </c>
      <c r="F1909" s="2" t="s">
        <v>6614</v>
      </c>
      <c r="G1909" s="2" t="s">
        <v>6615</v>
      </c>
      <c r="H1909" s="2" t="s">
        <v>6615</v>
      </c>
      <c r="I1909" s="2" t="s">
        <v>6616</v>
      </c>
      <c r="J1909" s="2" t="s">
        <v>114</v>
      </c>
      <c r="K1909" s="2" t="s">
        <v>6617</v>
      </c>
      <c r="L1909" s="3">
        <v>30.65</v>
      </c>
      <c r="M1909" s="3">
        <v>32.18</v>
      </c>
      <c r="N1909" s="3">
        <v>62.99</v>
      </c>
      <c r="O1909" s="2" t="s">
        <v>97</v>
      </c>
      <c r="P1909" s="2" t="s">
        <v>98</v>
      </c>
      <c r="Q1909" s="2" t="s">
        <v>99</v>
      </c>
      <c r="R1909" s="2" t="s">
        <v>100</v>
      </c>
      <c r="S1909" s="2" t="s">
        <v>6618</v>
      </c>
      <c r="T1909" s="2" t="s">
        <v>438</v>
      </c>
      <c r="U1909" s="2" t="s">
        <v>100</v>
      </c>
      <c r="V1909" s="2" t="s">
        <v>461</v>
      </c>
      <c r="W1909" s="2" t="s">
        <v>609</v>
      </c>
      <c r="X1909" s="2" t="s">
        <v>100</v>
      </c>
      <c r="Y1909" s="2" t="s">
        <v>4616</v>
      </c>
      <c r="Z1909" s="4">
        <v>170</v>
      </c>
      <c r="AA1909" s="4">
        <f>=ROUNDDOWN(7.39130434782609,0)</f>
      </c>
      <c r="AB1909" s="5">
        <v>23</v>
      </c>
      <c r="AC1909" s="2" t="s">
        <v>312</v>
      </c>
      <c r="AD1909" s="4">
        <v>90</v>
      </c>
      <c r="AE1909" s="4">
        <v>317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1</v>
      </c>
      <c r="AQ1909" s="8">
        <v>27.72</v>
      </c>
      <c r="AR1909" s="4"/>
      <c r="AS1909" s="8"/>
      <c r="AT1909" s="7"/>
      <c r="AU1909" s="7"/>
      <c r="AV1909" s="4" t="s">
        <v>100</v>
      </c>
      <c r="AW1909" s="8" t="s">
        <v>100</v>
      </c>
      <c r="AX1909" s="4" t="s">
        <v>100</v>
      </c>
      <c r="AY1909" s="8" t="s">
        <v>100</v>
      </c>
      <c r="AZ1909" s="7" t="s">
        <v>100</v>
      </c>
      <c r="BA1909" s="7" t="s">
        <v>100</v>
      </c>
      <c r="BB1909" s="7">
        <v>1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 t="s">
        <v>100</v>
      </c>
      <c r="BJ1909" s="4">
        <v>101</v>
      </c>
      <c r="BK1909" s="8">
        <v>3361.9</v>
      </c>
      <c r="BL1909" s="2" t="s">
        <v>5031</v>
      </c>
      <c r="BM1909" s="7">
        <v>0.0099</v>
      </c>
      <c r="BN1909" s="7">
        <v>0.0082</v>
      </c>
      <c r="BO1909" s="4">
        <v>1</v>
      </c>
      <c r="BP1909" s="8">
        <v>27.72</v>
      </c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127</v>
      </c>
      <c r="BX1909" s="2" t="s">
        <v>6622</v>
      </c>
      <c r="BY1909" s="2" t="s">
        <v>112</v>
      </c>
      <c r="BZ1909" s="2" t="s">
        <v>100</v>
      </c>
    </row>
    <row r="1910">
      <c r="A1910" s="2" t="s">
        <v>6623</v>
      </c>
      <c r="B1910" s="2" t="s">
        <v>5155</v>
      </c>
      <c r="C1910" s="2" t="s">
        <v>1797</v>
      </c>
      <c r="D1910" s="2" t="s">
        <v>89</v>
      </c>
      <c r="E1910" s="2" t="s">
        <v>887</v>
      </c>
      <c r="F1910" s="2" t="s">
        <v>6614</v>
      </c>
      <c r="G1910" s="2" t="s">
        <v>6615</v>
      </c>
      <c r="H1910" s="2" t="s">
        <v>6615</v>
      </c>
      <c r="I1910" s="2" t="s">
        <v>6616</v>
      </c>
      <c r="J1910" s="2" t="s">
        <v>352</v>
      </c>
      <c r="K1910" s="2" t="s">
        <v>6624</v>
      </c>
      <c r="L1910" s="3">
        <v>19.46</v>
      </c>
      <c r="M1910" s="3">
        <v>20.43</v>
      </c>
      <c r="N1910" s="3">
        <v>39.99</v>
      </c>
      <c r="O1910" s="2" t="s">
        <v>97</v>
      </c>
      <c r="P1910" s="2" t="s">
        <v>98</v>
      </c>
      <c r="Q1910" s="2" t="s">
        <v>99</v>
      </c>
      <c r="R1910" s="2" t="s">
        <v>100</v>
      </c>
      <c r="S1910" s="2" t="s">
        <v>6625</v>
      </c>
      <c r="T1910" s="2" t="s">
        <v>438</v>
      </c>
      <c r="U1910" s="2" t="s">
        <v>100</v>
      </c>
      <c r="V1910" s="2" t="s">
        <v>461</v>
      </c>
      <c r="W1910" s="2" t="s">
        <v>609</v>
      </c>
      <c r="X1910" s="2" t="s">
        <v>100</v>
      </c>
      <c r="Y1910" s="2" t="s">
        <v>144</v>
      </c>
      <c r="Z1910" s="4">
        <v>379</v>
      </c>
      <c r="AA1910" s="4">
        <f>=ROUNDDOWN(42.1111111111111,0)</f>
      </c>
      <c r="AB1910" s="5">
        <v>9</v>
      </c>
      <c r="AC1910" s="2" t="s">
        <v>312</v>
      </c>
      <c r="AD1910" s="4">
        <v>280</v>
      </c>
      <c r="AE1910" s="4">
        <v>280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 t="s">
        <v>100</v>
      </c>
      <c r="AW1910" s="8" t="s">
        <v>100</v>
      </c>
      <c r="AX1910" s="4" t="s">
        <v>100</v>
      </c>
      <c r="AY1910" s="8" t="s">
        <v>100</v>
      </c>
      <c r="AZ1910" s="7" t="s">
        <v>100</v>
      </c>
      <c r="BA1910" s="7" t="s">
        <v>100</v>
      </c>
      <c r="BB1910" s="7"/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 t="s">
        <v>100</v>
      </c>
      <c r="BJ1910" s="4">
        <v>15</v>
      </c>
      <c r="BK1910" s="8">
        <v>311.5</v>
      </c>
      <c r="BL1910" s="2" t="s">
        <v>6626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109</v>
      </c>
      <c r="BV1910" s="2" t="s">
        <v>97</v>
      </c>
      <c r="BW1910" s="2" t="s">
        <v>159</v>
      </c>
      <c r="BX1910" s="2" t="s">
        <v>5163</v>
      </c>
      <c r="BY1910" s="2" t="s">
        <v>112</v>
      </c>
      <c r="BZ1910" s="2" t="s">
        <v>100</v>
      </c>
    </row>
    <row r="1911">
      <c r="A1911" s="2" t="s">
        <v>6627</v>
      </c>
      <c r="B1911" s="2" t="s">
        <v>5155</v>
      </c>
      <c r="C1911" s="2" t="s">
        <v>1797</v>
      </c>
      <c r="D1911" s="2" t="s">
        <v>89</v>
      </c>
      <c r="E1911" s="2" t="s">
        <v>887</v>
      </c>
      <c r="F1911" s="2" t="s">
        <v>6614</v>
      </c>
      <c r="G1911" s="2" t="s">
        <v>6615</v>
      </c>
      <c r="H1911" s="2" t="s">
        <v>6615</v>
      </c>
      <c r="I1911" s="2" t="s">
        <v>6616</v>
      </c>
      <c r="J1911" s="2" t="s">
        <v>522</v>
      </c>
      <c r="K1911" s="2" t="s">
        <v>6624</v>
      </c>
      <c r="L1911" s="3">
        <v>25.7</v>
      </c>
      <c r="M1911" s="3">
        <v>26.98</v>
      </c>
      <c r="N1911" s="3">
        <v>51.99</v>
      </c>
      <c r="O1911" s="2" t="s">
        <v>97</v>
      </c>
      <c r="P1911" s="2" t="s">
        <v>98</v>
      </c>
      <c r="Q1911" s="2" t="s">
        <v>99</v>
      </c>
      <c r="R1911" s="2" t="s">
        <v>100</v>
      </c>
      <c r="S1911" s="2" t="s">
        <v>6625</v>
      </c>
      <c r="T1911" s="2" t="s">
        <v>438</v>
      </c>
      <c r="U1911" s="2" t="s">
        <v>100</v>
      </c>
      <c r="V1911" s="2" t="s">
        <v>461</v>
      </c>
      <c r="W1911" s="2" t="s">
        <v>609</v>
      </c>
      <c r="X1911" s="2" t="s">
        <v>100</v>
      </c>
      <c r="Y1911" s="2" t="s">
        <v>1695</v>
      </c>
      <c r="Z1911" s="4">
        <v>646</v>
      </c>
      <c r="AA1911" s="4">
        <f>=ROUNDDOWN(16.272040302267,0)</f>
      </c>
      <c r="AB1911" s="5">
        <v>39.7</v>
      </c>
      <c r="AC1911" s="2" t="s">
        <v>145</v>
      </c>
      <c r="AD1911" s="4">
        <v>50</v>
      </c>
      <c r="AE1911" s="4">
        <v>270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 t="s">
        <v>100</v>
      </c>
      <c r="AW1911" s="8" t="s">
        <v>100</v>
      </c>
      <c r="AX1911" s="4" t="s">
        <v>100</v>
      </c>
      <c r="AY1911" s="8" t="s">
        <v>100</v>
      </c>
      <c r="AZ1911" s="7" t="s">
        <v>100</v>
      </c>
      <c r="BA1911" s="7" t="s">
        <v>100</v>
      </c>
      <c r="BB1911" s="7"/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 t="s">
        <v>100</v>
      </c>
      <c r="BJ1911" s="4">
        <v>124</v>
      </c>
      <c r="BK1911" s="8">
        <v>3441.35</v>
      </c>
      <c r="BL1911" s="2" t="s">
        <v>6628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109</v>
      </c>
      <c r="BV1911" s="2" t="s">
        <v>97</v>
      </c>
      <c r="BW1911" s="2" t="s">
        <v>159</v>
      </c>
      <c r="BX1911" s="2" t="s">
        <v>4231</v>
      </c>
      <c r="BY1911" s="2" t="s">
        <v>112</v>
      </c>
      <c r="BZ1911" s="2" t="s">
        <v>100</v>
      </c>
    </row>
    <row r="1912">
      <c r="A1912" s="2" t="s">
        <v>6629</v>
      </c>
      <c r="B1912" s="2" t="s">
        <v>5155</v>
      </c>
      <c r="C1912" s="2" t="s">
        <v>1797</v>
      </c>
      <c r="D1912" s="2" t="s">
        <v>89</v>
      </c>
      <c r="E1912" s="2" t="s">
        <v>887</v>
      </c>
      <c r="F1912" s="2" t="s">
        <v>6614</v>
      </c>
      <c r="G1912" s="2" t="s">
        <v>6615</v>
      </c>
      <c r="H1912" s="2" t="s">
        <v>6615</v>
      </c>
      <c r="I1912" s="2" t="s">
        <v>6616</v>
      </c>
      <c r="J1912" s="2" t="s">
        <v>114</v>
      </c>
      <c r="K1912" s="2" t="s">
        <v>6624</v>
      </c>
      <c r="L1912" s="3">
        <v>30.65</v>
      </c>
      <c r="M1912" s="3">
        <v>32.18</v>
      </c>
      <c r="N1912" s="3">
        <v>62.99</v>
      </c>
      <c r="O1912" s="2" t="s">
        <v>97</v>
      </c>
      <c r="P1912" s="2" t="s">
        <v>98</v>
      </c>
      <c r="Q1912" s="2" t="s">
        <v>99</v>
      </c>
      <c r="R1912" s="2" t="s">
        <v>100</v>
      </c>
      <c r="S1912" s="2" t="s">
        <v>6625</v>
      </c>
      <c r="T1912" s="2" t="s">
        <v>438</v>
      </c>
      <c r="U1912" s="2" t="s">
        <v>100</v>
      </c>
      <c r="V1912" s="2" t="s">
        <v>461</v>
      </c>
      <c r="W1912" s="2" t="s">
        <v>609</v>
      </c>
      <c r="X1912" s="2" t="s">
        <v>100</v>
      </c>
      <c r="Y1912" s="2" t="s">
        <v>144</v>
      </c>
      <c r="Z1912" s="4">
        <v>310</v>
      </c>
      <c r="AA1912" s="4">
        <f>=ROUNDDOWN(16.3157894736842,0)</f>
      </c>
      <c r="AB1912" s="5">
        <v>19</v>
      </c>
      <c r="AC1912" s="2" t="s">
        <v>312</v>
      </c>
      <c r="AD1912" s="4">
        <v>100</v>
      </c>
      <c r="AE1912" s="4">
        <v>100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 t="s">
        <v>100</v>
      </c>
      <c r="AW1912" s="8" t="s">
        <v>100</v>
      </c>
      <c r="AX1912" s="4" t="s">
        <v>100</v>
      </c>
      <c r="AY1912" s="8" t="s">
        <v>100</v>
      </c>
      <c r="AZ1912" s="7" t="s">
        <v>100</v>
      </c>
      <c r="BA1912" s="7" t="s">
        <v>100</v>
      </c>
      <c r="BB1912" s="7"/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 t="s">
        <v>100</v>
      </c>
      <c r="BJ1912" s="4">
        <v>72</v>
      </c>
      <c r="BK1912" s="8">
        <v>2381.15</v>
      </c>
      <c r="BL1912" s="2" t="s">
        <v>6630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159</v>
      </c>
      <c r="BX1912" s="2" t="s">
        <v>1283</v>
      </c>
      <c r="BY1912" s="2" t="s">
        <v>112</v>
      </c>
      <c r="BZ1912" s="2" t="s">
        <v>100</v>
      </c>
    </row>
    <row r="1913">
      <c r="A1913" s="2" t="s">
        <v>6631</v>
      </c>
      <c r="B1913" s="2" t="s">
        <v>5155</v>
      </c>
      <c r="C1913" s="2" t="s">
        <v>1797</v>
      </c>
      <c r="D1913" s="2" t="s">
        <v>89</v>
      </c>
      <c r="E1913" s="2" t="s">
        <v>887</v>
      </c>
      <c r="F1913" s="2" t="s">
        <v>6614</v>
      </c>
      <c r="G1913" s="2" t="s">
        <v>6615</v>
      </c>
      <c r="H1913" s="2" t="s">
        <v>6615</v>
      </c>
      <c r="I1913" s="2" t="s">
        <v>6616</v>
      </c>
      <c r="J1913" s="2" t="s">
        <v>352</v>
      </c>
      <c r="K1913" s="2" t="s">
        <v>5085</v>
      </c>
      <c r="L1913" s="3">
        <v>19.46</v>
      </c>
      <c r="M1913" s="3">
        <v>20.43</v>
      </c>
      <c r="N1913" s="3">
        <v>39.99</v>
      </c>
      <c r="O1913" s="2" t="s">
        <v>97</v>
      </c>
      <c r="P1913" s="2" t="s">
        <v>98</v>
      </c>
      <c r="Q1913" s="2" t="s">
        <v>99</v>
      </c>
      <c r="R1913" s="2" t="s">
        <v>100</v>
      </c>
      <c r="S1913" s="2" t="s">
        <v>6632</v>
      </c>
      <c r="T1913" s="2" t="s">
        <v>438</v>
      </c>
      <c r="U1913" s="2" t="s">
        <v>100</v>
      </c>
      <c r="V1913" s="2" t="s">
        <v>461</v>
      </c>
      <c r="W1913" s="2" t="s">
        <v>609</v>
      </c>
      <c r="X1913" s="2" t="s">
        <v>100</v>
      </c>
      <c r="Y1913" s="2" t="s">
        <v>144</v>
      </c>
      <c r="Z1913" s="4">
        <v>429</v>
      </c>
      <c r="AA1913" s="4">
        <f>=ROUNDDOWN(28.6,0)</f>
      </c>
      <c r="AB1913" s="5">
        <v>15</v>
      </c>
      <c r="AC1913" s="2" t="s">
        <v>312</v>
      </c>
      <c r="AD1913" s="4">
        <v>200</v>
      </c>
      <c r="AE1913" s="4">
        <v>200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 t="s">
        <v>100</v>
      </c>
      <c r="AW1913" s="8" t="s">
        <v>100</v>
      </c>
      <c r="AX1913" s="4" t="s">
        <v>100</v>
      </c>
      <c r="AY1913" s="8" t="s">
        <v>100</v>
      </c>
      <c r="AZ1913" s="7" t="s">
        <v>100</v>
      </c>
      <c r="BA1913" s="7" t="s">
        <v>100</v>
      </c>
      <c r="BB1913" s="7"/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 t="s">
        <v>100</v>
      </c>
      <c r="BJ1913" s="4">
        <v>37</v>
      </c>
      <c r="BK1913" s="8">
        <v>752.28</v>
      </c>
      <c r="BL1913" s="2" t="s">
        <v>6633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159</v>
      </c>
      <c r="BX1913" s="2" t="s">
        <v>259</v>
      </c>
      <c r="BY1913" s="2" t="s">
        <v>112</v>
      </c>
      <c r="BZ1913" s="2" t="s">
        <v>100</v>
      </c>
    </row>
    <row r="1914">
      <c r="A1914" s="2" t="s">
        <v>6634</v>
      </c>
      <c r="B1914" s="2" t="s">
        <v>5155</v>
      </c>
      <c r="C1914" s="2" t="s">
        <v>1797</v>
      </c>
      <c r="D1914" s="2" t="s">
        <v>89</v>
      </c>
      <c r="E1914" s="2" t="s">
        <v>887</v>
      </c>
      <c r="F1914" s="2" t="s">
        <v>6614</v>
      </c>
      <c r="G1914" s="2" t="s">
        <v>6615</v>
      </c>
      <c r="H1914" s="2" t="s">
        <v>6615</v>
      </c>
      <c r="I1914" s="2" t="s">
        <v>6616</v>
      </c>
      <c r="J1914" s="2" t="s">
        <v>522</v>
      </c>
      <c r="K1914" s="2" t="s">
        <v>5085</v>
      </c>
      <c r="L1914" s="3">
        <v>25.7</v>
      </c>
      <c r="M1914" s="3">
        <v>26.98</v>
      </c>
      <c r="N1914" s="3">
        <v>51.99</v>
      </c>
      <c r="O1914" s="2" t="s">
        <v>97</v>
      </c>
      <c r="P1914" s="2" t="s">
        <v>98</v>
      </c>
      <c r="Q1914" s="2" t="s">
        <v>99</v>
      </c>
      <c r="R1914" s="2" t="s">
        <v>100</v>
      </c>
      <c r="S1914" s="2" t="s">
        <v>6632</v>
      </c>
      <c r="T1914" s="2" t="s">
        <v>438</v>
      </c>
      <c r="U1914" s="2" t="s">
        <v>100</v>
      </c>
      <c r="V1914" s="2" t="s">
        <v>461</v>
      </c>
      <c r="W1914" s="2" t="s">
        <v>609</v>
      </c>
      <c r="X1914" s="2" t="s">
        <v>100</v>
      </c>
      <c r="Y1914" s="2" t="s">
        <v>144</v>
      </c>
      <c r="Z1914" s="4">
        <v>548</v>
      </c>
      <c r="AA1914" s="4">
        <f>=ROUNDDOWN(16.5558912386707,0)</f>
      </c>
      <c r="AB1914" s="5">
        <v>33.1</v>
      </c>
      <c r="AC1914" s="2" t="s">
        <v>312</v>
      </c>
      <c r="AD1914" s="4">
        <v>130</v>
      </c>
      <c r="AE1914" s="4">
        <v>130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 t="s">
        <v>100</v>
      </c>
      <c r="AW1914" s="8" t="s">
        <v>100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/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 t="s">
        <v>100</v>
      </c>
      <c r="BJ1914" s="4">
        <v>107</v>
      </c>
      <c r="BK1914" s="8">
        <v>2936.92</v>
      </c>
      <c r="BL1914" s="2" t="s">
        <v>1421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159</v>
      </c>
      <c r="BX1914" s="2" t="s">
        <v>6635</v>
      </c>
      <c r="BY1914" s="2" t="s">
        <v>112</v>
      </c>
      <c r="BZ1914" s="2" t="s">
        <v>100</v>
      </c>
    </row>
    <row r="1915">
      <c r="A1915" s="2" t="s">
        <v>6636</v>
      </c>
      <c r="B1915" s="2" t="s">
        <v>5155</v>
      </c>
      <c r="C1915" s="2" t="s">
        <v>1797</v>
      </c>
      <c r="D1915" s="2" t="s">
        <v>89</v>
      </c>
      <c r="E1915" s="2" t="s">
        <v>887</v>
      </c>
      <c r="F1915" s="2" t="s">
        <v>6614</v>
      </c>
      <c r="G1915" s="2" t="s">
        <v>6615</v>
      </c>
      <c r="H1915" s="2" t="s">
        <v>6615</v>
      </c>
      <c r="I1915" s="2" t="s">
        <v>6616</v>
      </c>
      <c r="J1915" s="2" t="s">
        <v>114</v>
      </c>
      <c r="K1915" s="2" t="s">
        <v>5085</v>
      </c>
      <c r="L1915" s="3">
        <v>30.65</v>
      </c>
      <c r="M1915" s="3">
        <v>32.18</v>
      </c>
      <c r="N1915" s="3">
        <v>62.99</v>
      </c>
      <c r="O1915" s="2" t="s">
        <v>97</v>
      </c>
      <c r="P1915" s="2" t="s">
        <v>98</v>
      </c>
      <c r="Q1915" s="2" t="s">
        <v>99</v>
      </c>
      <c r="R1915" s="2" t="s">
        <v>100</v>
      </c>
      <c r="S1915" s="2" t="s">
        <v>6632</v>
      </c>
      <c r="T1915" s="2" t="s">
        <v>438</v>
      </c>
      <c r="U1915" s="2" t="s">
        <v>100</v>
      </c>
      <c r="V1915" s="2" t="s">
        <v>461</v>
      </c>
      <c r="W1915" s="2" t="s">
        <v>609</v>
      </c>
      <c r="X1915" s="2" t="s">
        <v>100</v>
      </c>
      <c r="Y1915" s="2" t="s">
        <v>144</v>
      </c>
      <c r="Z1915" s="4">
        <v>188</v>
      </c>
      <c r="AA1915" s="4">
        <f>=ROUNDDOWN(13.4285714285714,0)</f>
      </c>
      <c r="AB1915" s="5">
        <v>14</v>
      </c>
      <c r="AC1915" s="2" t="s">
        <v>312</v>
      </c>
      <c r="AD1915" s="4">
        <v>50</v>
      </c>
      <c r="AE1915" s="4">
        <v>50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 t="s">
        <v>100</v>
      </c>
      <c r="AW1915" s="8" t="s">
        <v>100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/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 t="s">
        <v>100</v>
      </c>
      <c r="BJ1915" s="4">
        <v>52</v>
      </c>
      <c r="BK1915" s="8">
        <v>1675.33</v>
      </c>
      <c r="BL1915" s="2" t="s">
        <v>6637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159</v>
      </c>
      <c r="BX1915" s="2" t="s">
        <v>6638</v>
      </c>
      <c r="BY1915" s="2" t="s">
        <v>112</v>
      </c>
      <c r="BZ1915" s="2" t="s">
        <v>100</v>
      </c>
    </row>
    <row r="1916">
      <c r="A1916" s="2" t="s">
        <v>6639</v>
      </c>
      <c r="B1916" s="2" t="s">
        <v>5155</v>
      </c>
      <c r="C1916" s="2" t="s">
        <v>2517</v>
      </c>
      <c r="D1916" s="2" t="s">
        <v>4216</v>
      </c>
      <c r="E1916" s="2" t="s">
        <v>5235</v>
      </c>
      <c r="F1916" s="2" t="s">
        <v>6640</v>
      </c>
      <c r="G1916" s="2" t="s">
        <v>6640</v>
      </c>
      <c r="H1916" s="2" t="s">
        <v>6640</v>
      </c>
      <c r="I1916" s="2" t="s">
        <v>6641</v>
      </c>
      <c r="J1916" s="2" t="s">
        <v>522</v>
      </c>
      <c r="K1916" s="2" t="s">
        <v>179</v>
      </c>
      <c r="L1916" s="3">
        <v>27.6</v>
      </c>
      <c r="M1916" s="3">
        <v>28.98</v>
      </c>
      <c r="N1916" s="3">
        <v>59.99</v>
      </c>
      <c r="O1916" s="2" t="s">
        <v>97</v>
      </c>
      <c r="P1916" s="2" t="s">
        <v>98</v>
      </c>
      <c r="Q1916" s="2" t="s">
        <v>99</v>
      </c>
      <c r="R1916" s="2" t="s">
        <v>100</v>
      </c>
      <c r="S1916" s="2" t="s">
        <v>6642</v>
      </c>
      <c r="T1916" s="2" t="s">
        <v>190</v>
      </c>
      <c r="U1916" s="2" t="s">
        <v>1776</v>
      </c>
      <c r="V1916" s="2" t="s">
        <v>461</v>
      </c>
      <c r="W1916" s="2" t="s">
        <v>609</v>
      </c>
      <c r="X1916" s="2" t="s">
        <v>717</v>
      </c>
      <c r="Y1916" s="2" t="s">
        <v>6643</v>
      </c>
      <c r="Z1916" s="4">
        <v>540</v>
      </c>
      <c r="AA1916" s="4">
        <f>=ROUNDDOWN(77.1428571428571,0)</f>
      </c>
      <c r="AB1916" s="5">
        <v>7</v>
      </c>
      <c r="AC1916" s="2" t="s">
        <v>1094</v>
      </c>
      <c r="AD1916" s="4">
        <v>100</v>
      </c>
      <c r="AE1916" s="4">
        <v>307</v>
      </c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 t="s">
        <v>100</v>
      </c>
      <c r="AW1916" s="8" t="s">
        <v>100</v>
      </c>
      <c r="AX1916" s="4" t="s">
        <v>100</v>
      </c>
      <c r="AY1916" s="8" t="s">
        <v>100</v>
      </c>
      <c r="AZ1916" s="7" t="s">
        <v>100</v>
      </c>
      <c r="BA1916" s="7" t="s">
        <v>100</v>
      </c>
      <c r="BB1916" s="7"/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/>
      <c r="BJ1916" s="4">
        <v>28</v>
      </c>
      <c r="BK1916" s="8">
        <v>886.72</v>
      </c>
      <c r="BL1916" s="2" t="s">
        <v>6644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2526</v>
      </c>
      <c r="BV1916" s="2" t="s">
        <v>97</v>
      </c>
      <c r="BW1916" s="2" t="s">
        <v>100</v>
      </c>
      <c r="BX1916" s="2" t="s">
        <v>100</v>
      </c>
      <c r="BY1916" s="2" t="s">
        <v>112</v>
      </c>
      <c r="BZ1916" s="2" t="s">
        <v>100</v>
      </c>
    </row>
    <row r="1917">
      <c r="A1917" s="2" t="s">
        <v>6645</v>
      </c>
      <c r="B1917" s="2" t="s">
        <v>5155</v>
      </c>
      <c r="C1917" s="2" t="s">
        <v>2517</v>
      </c>
      <c r="D1917" s="2" t="s">
        <v>4216</v>
      </c>
      <c r="E1917" s="2" t="s">
        <v>5235</v>
      </c>
      <c r="F1917" s="2" t="s">
        <v>6640</v>
      </c>
      <c r="G1917" s="2" t="s">
        <v>6640</v>
      </c>
      <c r="H1917" s="2" t="s">
        <v>6640</v>
      </c>
      <c r="I1917" s="2" t="s">
        <v>6641</v>
      </c>
      <c r="J1917" s="2" t="s">
        <v>114</v>
      </c>
      <c r="K1917" s="2" t="s">
        <v>179</v>
      </c>
      <c r="L1917" s="3">
        <v>32.9</v>
      </c>
      <c r="M1917" s="3">
        <v>34.54</v>
      </c>
      <c r="N1917" s="3">
        <v>69.99</v>
      </c>
      <c r="O1917" s="2" t="s">
        <v>97</v>
      </c>
      <c r="P1917" s="2" t="s">
        <v>98</v>
      </c>
      <c r="Q1917" s="2" t="s">
        <v>99</v>
      </c>
      <c r="R1917" s="2" t="s">
        <v>100</v>
      </c>
      <c r="S1917" s="2" t="s">
        <v>6642</v>
      </c>
      <c r="T1917" s="2" t="s">
        <v>190</v>
      </c>
      <c r="U1917" s="2" t="s">
        <v>1776</v>
      </c>
      <c r="V1917" s="2" t="s">
        <v>461</v>
      </c>
      <c r="W1917" s="2" t="s">
        <v>609</v>
      </c>
      <c r="X1917" s="2" t="s">
        <v>717</v>
      </c>
      <c r="Y1917" s="2" t="s">
        <v>6643</v>
      </c>
      <c r="Z1917" s="4">
        <v>294</v>
      </c>
      <c r="AA1917" s="4">
        <f>=ROUNDDOWN(21,0)</f>
      </c>
      <c r="AB1917" s="5">
        <v>14</v>
      </c>
      <c r="AC1917" s="2" t="s">
        <v>1094</v>
      </c>
      <c r="AD1917" s="4">
        <v>250</v>
      </c>
      <c r="AE1917" s="4">
        <v>483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 t="s">
        <v>100</v>
      </c>
      <c r="AW1917" s="8" t="s">
        <v>100</v>
      </c>
      <c r="AX1917" s="4" t="s">
        <v>100</v>
      </c>
      <c r="AY1917" s="8" t="s">
        <v>100</v>
      </c>
      <c r="AZ1917" s="7" t="s">
        <v>100</v>
      </c>
      <c r="BA1917" s="7" t="s">
        <v>100</v>
      </c>
      <c r="BB1917" s="7"/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/>
      <c r="BJ1917" s="4">
        <v>82</v>
      </c>
      <c r="BK1917" s="8">
        <v>3003.56</v>
      </c>
      <c r="BL1917" s="2" t="s">
        <v>6646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2526</v>
      </c>
      <c r="BV1917" s="2" t="s">
        <v>97</v>
      </c>
      <c r="BW1917" s="2" t="s">
        <v>100</v>
      </c>
      <c r="BX1917" s="2" t="s">
        <v>100</v>
      </c>
      <c r="BY1917" s="2" t="s">
        <v>112</v>
      </c>
      <c r="BZ1917" s="2" t="s">
        <v>100</v>
      </c>
    </row>
    <row r="1918">
      <c r="A1918" s="2" t="s">
        <v>6647</v>
      </c>
      <c r="B1918" s="2" t="s">
        <v>5155</v>
      </c>
      <c r="C1918" s="2" t="s">
        <v>2517</v>
      </c>
      <c r="D1918" s="2" t="s">
        <v>4216</v>
      </c>
      <c r="E1918" s="2" t="s">
        <v>5235</v>
      </c>
      <c r="F1918" s="2" t="s">
        <v>6640</v>
      </c>
      <c r="G1918" s="2" t="s">
        <v>6640</v>
      </c>
      <c r="H1918" s="2" t="s">
        <v>6640</v>
      </c>
      <c r="I1918" s="2" t="s">
        <v>6641</v>
      </c>
      <c r="J1918" s="2" t="s">
        <v>522</v>
      </c>
      <c r="K1918" s="2" t="s">
        <v>4362</v>
      </c>
      <c r="L1918" s="3">
        <v>27.6</v>
      </c>
      <c r="M1918" s="3">
        <v>28.98</v>
      </c>
      <c r="N1918" s="3">
        <v>59.99</v>
      </c>
      <c r="O1918" s="2" t="s">
        <v>97</v>
      </c>
      <c r="P1918" s="2" t="s">
        <v>98</v>
      </c>
      <c r="Q1918" s="2" t="s">
        <v>99</v>
      </c>
      <c r="R1918" s="2" t="s">
        <v>100</v>
      </c>
      <c r="S1918" s="2" t="s">
        <v>6648</v>
      </c>
      <c r="T1918" s="2" t="s">
        <v>190</v>
      </c>
      <c r="U1918" s="2" t="s">
        <v>1776</v>
      </c>
      <c r="V1918" s="2" t="s">
        <v>461</v>
      </c>
      <c r="W1918" s="2" t="s">
        <v>609</v>
      </c>
      <c r="X1918" s="2" t="s">
        <v>717</v>
      </c>
      <c r="Y1918" s="2" t="s">
        <v>6643</v>
      </c>
      <c r="Z1918" s="4">
        <v>562</v>
      </c>
      <c r="AA1918" s="4">
        <f>=ROUNDDOWN(80.2857142857143,0)</f>
      </c>
      <c r="AB1918" s="5">
        <v>7</v>
      </c>
      <c r="AC1918" s="2" t="s">
        <v>100</v>
      </c>
      <c r="AD1918" s="4"/>
      <c r="AE1918" s="4"/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 t="s">
        <v>100</v>
      </c>
      <c r="AW1918" s="8" t="s">
        <v>100</v>
      </c>
      <c r="AX1918" s="4" t="s">
        <v>100</v>
      </c>
      <c r="AY1918" s="8" t="s">
        <v>100</v>
      </c>
      <c r="AZ1918" s="7" t="s">
        <v>100</v>
      </c>
      <c r="BA1918" s="7" t="s">
        <v>100</v>
      </c>
      <c r="BB1918" s="7"/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/>
      <c r="BJ1918" s="4">
        <v>53</v>
      </c>
      <c r="BK1918" s="8">
        <v>1597.3</v>
      </c>
      <c r="BL1918" s="2" t="s">
        <v>6649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2526</v>
      </c>
      <c r="BV1918" s="2" t="s">
        <v>97</v>
      </c>
      <c r="BW1918" s="2" t="s">
        <v>100</v>
      </c>
      <c r="BX1918" s="2" t="s">
        <v>100</v>
      </c>
      <c r="BY1918" s="2" t="s">
        <v>112</v>
      </c>
      <c r="BZ1918" s="2" t="s">
        <v>100</v>
      </c>
    </row>
    <row r="1919">
      <c r="A1919" s="2" t="s">
        <v>6650</v>
      </c>
      <c r="B1919" s="2" t="s">
        <v>5155</v>
      </c>
      <c r="C1919" s="2" t="s">
        <v>2517</v>
      </c>
      <c r="D1919" s="2" t="s">
        <v>4216</v>
      </c>
      <c r="E1919" s="2" t="s">
        <v>5235</v>
      </c>
      <c r="F1919" s="2" t="s">
        <v>6640</v>
      </c>
      <c r="G1919" s="2" t="s">
        <v>6640</v>
      </c>
      <c r="H1919" s="2" t="s">
        <v>6640</v>
      </c>
      <c r="I1919" s="2" t="s">
        <v>6641</v>
      </c>
      <c r="J1919" s="2" t="s">
        <v>114</v>
      </c>
      <c r="K1919" s="2" t="s">
        <v>4362</v>
      </c>
      <c r="L1919" s="3">
        <v>32.9</v>
      </c>
      <c r="M1919" s="3">
        <v>34.54</v>
      </c>
      <c r="N1919" s="3">
        <v>69.99</v>
      </c>
      <c r="O1919" s="2" t="s">
        <v>97</v>
      </c>
      <c r="P1919" s="2" t="s">
        <v>98</v>
      </c>
      <c r="Q1919" s="2" t="s">
        <v>99</v>
      </c>
      <c r="R1919" s="2" t="s">
        <v>100</v>
      </c>
      <c r="S1919" s="2" t="s">
        <v>6648</v>
      </c>
      <c r="T1919" s="2" t="s">
        <v>190</v>
      </c>
      <c r="U1919" s="2" t="s">
        <v>1776</v>
      </c>
      <c r="V1919" s="2" t="s">
        <v>461</v>
      </c>
      <c r="W1919" s="2" t="s">
        <v>609</v>
      </c>
      <c r="X1919" s="2" t="s">
        <v>717</v>
      </c>
      <c r="Y1919" s="2" t="s">
        <v>6643</v>
      </c>
      <c r="Z1919" s="4">
        <v>465</v>
      </c>
      <c r="AA1919" s="4">
        <f>=ROUNDDOWN(53.448275862069,0)</f>
      </c>
      <c r="AB1919" s="5">
        <v>8.7</v>
      </c>
      <c r="AC1919" s="2" t="s">
        <v>100</v>
      </c>
      <c r="AD1919" s="4"/>
      <c r="AE1919" s="4"/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 t="s">
        <v>100</v>
      </c>
      <c r="AW1919" s="8" t="s">
        <v>100</v>
      </c>
      <c r="AX1919" s="4" t="s">
        <v>100</v>
      </c>
      <c r="AY1919" s="8" t="s">
        <v>100</v>
      </c>
      <c r="AZ1919" s="7" t="s">
        <v>100</v>
      </c>
      <c r="BA1919" s="7" t="s">
        <v>100</v>
      </c>
      <c r="BB1919" s="7"/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/>
      <c r="BJ1919" s="4">
        <v>47</v>
      </c>
      <c r="BK1919" s="8">
        <v>1677.78</v>
      </c>
      <c r="BL1919" s="2" t="s">
        <v>5731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2526</v>
      </c>
      <c r="BV1919" s="2" t="s">
        <v>97</v>
      </c>
      <c r="BW1919" s="2" t="s">
        <v>100</v>
      </c>
      <c r="BX1919" s="2" t="s">
        <v>100</v>
      </c>
      <c r="BY1919" s="2" t="s">
        <v>112</v>
      </c>
      <c r="BZ1919" s="2" t="s">
        <v>100</v>
      </c>
    </row>
    <row r="1920">
      <c r="A1920" s="2" t="s">
        <v>6651</v>
      </c>
      <c r="B1920" s="2" t="s">
        <v>5155</v>
      </c>
      <c r="C1920" s="2" t="s">
        <v>2517</v>
      </c>
      <c r="D1920" s="2" t="s">
        <v>4216</v>
      </c>
      <c r="E1920" s="2" t="s">
        <v>5235</v>
      </c>
      <c r="F1920" s="2" t="s">
        <v>6640</v>
      </c>
      <c r="G1920" s="2" t="s">
        <v>6640</v>
      </c>
      <c r="H1920" s="2" t="s">
        <v>6640</v>
      </c>
      <c r="I1920" s="2" t="s">
        <v>6641</v>
      </c>
      <c r="J1920" s="2" t="s">
        <v>522</v>
      </c>
      <c r="K1920" s="2" t="s">
        <v>458</v>
      </c>
      <c r="L1920" s="3">
        <v>27.6</v>
      </c>
      <c r="M1920" s="3">
        <v>28.98</v>
      </c>
      <c r="N1920" s="3">
        <v>59.99</v>
      </c>
      <c r="O1920" s="2" t="s">
        <v>97</v>
      </c>
      <c r="P1920" s="2" t="s">
        <v>98</v>
      </c>
      <c r="Q1920" s="2" t="s">
        <v>99</v>
      </c>
      <c r="R1920" s="2" t="s">
        <v>100</v>
      </c>
      <c r="S1920" s="2" t="s">
        <v>6652</v>
      </c>
      <c r="T1920" s="2" t="s">
        <v>190</v>
      </c>
      <c r="U1920" s="2" t="s">
        <v>1776</v>
      </c>
      <c r="V1920" s="2" t="s">
        <v>461</v>
      </c>
      <c r="W1920" s="2" t="s">
        <v>609</v>
      </c>
      <c r="X1920" s="2" t="s">
        <v>717</v>
      </c>
      <c r="Y1920" s="2" t="s">
        <v>6643</v>
      </c>
      <c r="Z1920" s="4">
        <v>343</v>
      </c>
      <c r="AA1920" s="4">
        <f>=ROUNDDOWN(42.875,0)</f>
      </c>
      <c r="AB1920" s="5">
        <v>8</v>
      </c>
      <c r="AC1920" s="2" t="s">
        <v>1094</v>
      </c>
      <c r="AD1920" s="4">
        <v>326</v>
      </c>
      <c r="AE1920" s="4">
        <v>326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 t="s">
        <v>100</v>
      </c>
      <c r="AW1920" s="8" t="s">
        <v>100</v>
      </c>
      <c r="AX1920" s="4" t="s">
        <v>100</v>
      </c>
      <c r="AY1920" s="8" t="s">
        <v>100</v>
      </c>
      <c r="AZ1920" s="7" t="s">
        <v>100</v>
      </c>
      <c r="BA1920" s="7" t="s">
        <v>100</v>
      </c>
      <c r="BB1920" s="7"/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/>
      <c r="BJ1920" s="4">
        <v>49</v>
      </c>
      <c r="BK1920" s="8">
        <v>1470.3</v>
      </c>
      <c r="BL1920" s="2" t="s">
        <v>6653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2526</v>
      </c>
      <c r="BV1920" s="2" t="s">
        <v>97</v>
      </c>
      <c r="BW1920" s="2" t="s">
        <v>100</v>
      </c>
      <c r="BX1920" s="2" t="s">
        <v>100</v>
      </c>
      <c r="BY1920" s="2" t="s">
        <v>112</v>
      </c>
      <c r="BZ1920" s="2" t="s">
        <v>100</v>
      </c>
    </row>
    <row r="1921">
      <c r="A1921" s="2" t="s">
        <v>6654</v>
      </c>
      <c r="B1921" s="2" t="s">
        <v>5155</v>
      </c>
      <c r="C1921" s="2" t="s">
        <v>2517</v>
      </c>
      <c r="D1921" s="2" t="s">
        <v>4216</v>
      </c>
      <c r="E1921" s="2" t="s">
        <v>5235</v>
      </c>
      <c r="F1921" s="2" t="s">
        <v>6640</v>
      </c>
      <c r="G1921" s="2" t="s">
        <v>6640</v>
      </c>
      <c r="H1921" s="2" t="s">
        <v>6640</v>
      </c>
      <c r="I1921" s="2" t="s">
        <v>6641</v>
      </c>
      <c r="J1921" s="2" t="s">
        <v>114</v>
      </c>
      <c r="K1921" s="2" t="s">
        <v>458</v>
      </c>
      <c r="L1921" s="3">
        <v>32.9</v>
      </c>
      <c r="M1921" s="3">
        <v>34.54</v>
      </c>
      <c r="N1921" s="3">
        <v>69.99</v>
      </c>
      <c r="O1921" s="2" t="s">
        <v>97</v>
      </c>
      <c r="P1921" s="2" t="s">
        <v>98</v>
      </c>
      <c r="Q1921" s="2" t="s">
        <v>99</v>
      </c>
      <c r="R1921" s="2" t="s">
        <v>100</v>
      </c>
      <c r="S1921" s="2" t="s">
        <v>6652</v>
      </c>
      <c r="T1921" s="2" t="s">
        <v>190</v>
      </c>
      <c r="U1921" s="2" t="s">
        <v>1776</v>
      </c>
      <c r="V1921" s="2" t="s">
        <v>461</v>
      </c>
      <c r="W1921" s="2" t="s">
        <v>609</v>
      </c>
      <c r="X1921" s="2" t="s">
        <v>717</v>
      </c>
      <c r="Y1921" s="2" t="s">
        <v>6643</v>
      </c>
      <c r="Z1921" s="4">
        <v>546</v>
      </c>
      <c r="AA1921" s="4">
        <f>=ROUNDDOWN(49.6363636363636,0)</f>
      </c>
      <c r="AB1921" s="5">
        <v>11</v>
      </c>
      <c r="AC1921" s="2" t="s">
        <v>1094</v>
      </c>
      <c r="AD1921" s="4">
        <v>503</v>
      </c>
      <c r="AE1921" s="4">
        <v>503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 t="s">
        <v>100</v>
      </c>
      <c r="AW1921" s="8" t="s">
        <v>100</v>
      </c>
      <c r="AX1921" s="4" t="s">
        <v>100</v>
      </c>
      <c r="AY1921" s="8" t="s">
        <v>100</v>
      </c>
      <c r="AZ1921" s="7" t="s">
        <v>100</v>
      </c>
      <c r="BA1921" s="7" t="s">
        <v>100</v>
      </c>
      <c r="BB1921" s="7"/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/>
      <c r="BJ1921" s="4">
        <v>52</v>
      </c>
      <c r="BK1921" s="8">
        <v>1846.27</v>
      </c>
      <c r="BL1921" s="2" t="s">
        <v>6655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2526</v>
      </c>
      <c r="BV1921" s="2" t="s">
        <v>97</v>
      </c>
      <c r="BW1921" s="2" t="s">
        <v>100</v>
      </c>
      <c r="BX1921" s="2" t="s">
        <v>100</v>
      </c>
      <c r="BY1921" s="2" t="s">
        <v>112</v>
      </c>
      <c r="BZ1921" s="2" t="s">
        <v>100</v>
      </c>
    </row>
    <row r="1922">
      <c r="A1922" s="2" t="s">
        <v>6656</v>
      </c>
      <c r="B1922" s="2" t="s">
        <v>5155</v>
      </c>
      <c r="C1922" s="2" t="s">
        <v>2831</v>
      </c>
      <c r="D1922" s="2" t="s">
        <v>4216</v>
      </c>
      <c r="E1922" s="2" t="s">
        <v>5235</v>
      </c>
      <c r="F1922" s="2" t="s">
        <v>6657</v>
      </c>
      <c r="G1922" s="2" t="s">
        <v>6657</v>
      </c>
      <c r="H1922" s="2" t="s">
        <v>6657</v>
      </c>
      <c r="I1922" s="2" t="s">
        <v>5235</v>
      </c>
      <c r="J1922" s="2" t="s">
        <v>1443</v>
      </c>
      <c r="K1922" s="2" t="s">
        <v>96</v>
      </c>
      <c r="L1922" s="3">
        <v>30.35</v>
      </c>
      <c r="M1922" s="3">
        <v>31.87</v>
      </c>
      <c r="N1922" s="3">
        <v>65.99</v>
      </c>
      <c r="O1922" s="2" t="s">
        <v>97</v>
      </c>
      <c r="P1922" s="2" t="s">
        <v>98</v>
      </c>
      <c r="Q1922" s="2" t="s">
        <v>99</v>
      </c>
      <c r="R1922" s="2" t="s">
        <v>100</v>
      </c>
      <c r="S1922" s="2" t="s">
        <v>6658</v>
      </c>
      <c r="T1922" s="2" t="s">
        <v>5936</v>
      </c>
      <c r="U1922" s="2" t="s">
        <v>1776</v>
      </c>
      <c r="V1922" s="2" t="s">
        <v>461</v>
      </c>
      <c r="W1922" s="2" t="s">
        <v>609</v>
      </c>
      <c r="X1922" s="2" t="s">
        <v>525</v>
      </c>
      <c r="Y1922" s="2" t="s">
        <v>6659</v>
      </c>
      <c r="Z1922" s="4">
        <v>119</v>
      </c>
      <c r="AA1922" s="4">
        <f>=ROUNDDOWN(39.6666666666667,0)</f>
      </c>
      <c r="AB1922" s="5">
        <v>3</v>
      </c>
      <c r="AC1922" s="2" t="s">
        <v>330</v>
      </c>
      <c r="AD1922" s="4">
        <v>76</v>
      </c>
      <c r="AE1922" s="4">
        <v>76</v>
      </c>
      <c r="AF1922" s="6">
        <v>64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 t="s">
        <v>100</v>
      </c>
      <c r="AW1922" s="8" t="s">
        <v>100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/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/>
      <c r="BJ1922" s="4">
        <v>14</v>
      </c>
      <c r="BK1922" s="8">
        <v>475.32</v>
      </c>
      <c r="BL1922" s="2" t="s">
        <v>1811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2551</v>
      </c>
      <c r="BV1922" s="2" t="s">
        <v>97</v>
      </c>
      <c r="BW1922" s="2" t="s">
        <v>100</v>
      </c>
      <c r="BX1922" s="2" t="s">
        <v>100</v>
      </c>
      <c r="BY1922" s="2" t="s">
        <v>112</v>
      </c>
      <c r="BZ1922" s="2" t="s">
        <v>100</v>
      </c>
    </row>
    <row r="1923">
      <c r="A1923" s="2" t="s">
        <v>6660</v>
      </c>
      <c r="B1923" s="2" t="s">
        <v>5155</v>
      </c>
      <c r="C1923" s="2" t="s">
        <v>2831</v>
      </c>
      <c r="D1923" s="2" t="s">
        <v>4216</v>
      </c>
      <c r="E1923" s="2" t="s">
        <v>5235</v>
      </c>
      <c r="F1923" s="2" t="s">
        <v>6657</v>
      </c>
      <c r="G1923" s="2" t="s">
        <v>6657</v>
      </c>
      <c r="H1923" s="2" t="s">
        <v>6657</v>
      </c>
      <c r="I1923" s="2" t="s">
        <v>5235</v>
      </c>
      <c r="J1923" s="2" t="s">
        <v>522</v>
      </c>
      <c r="K1923" s="2" t="s">
        <v>96</v>
      </c>
      <c r="L1923" s="3">
        <v>36.18</v>
      </c>
      <c r="M1923" s="3">
        <v>37.99</v>
      </c>
      <c r="N1923" s="3">
        <v>76.99</v>
      </c>
      <c r="O1923" s="2" t="s">
        <v>97</v>
      </c>
      <c r="P1923" s="2" t="s">
        <v>98</v>
      </c>
      <c r="Q1923" s="2" t="s">
        <v>99</v>
      </c>
      <c r="R1923" s="2" t="s">
        <v>100</v>
      </c>
      <c r="S1923" s="2" t="s">
        <v>6658</v>
      </c>
      <c r="T1923" s="2" t="s">
        <v>5936</v>
      </c>
      <c r="U1923" s="2" t="s">
        <v>1776</v>
      </c>
      <c r="V1923" s="2" t="s">
        <v>461</v>
      </c>
      <c r="W1923" s="2" t="s">
        <v>609</v>
      </c>
      <c r="X1923" s="2" t="s">
        <v>525</v>
      </c>
      <c r="Y1923" s="2" t="s">
        <v>6659</v>
      </c>
      <c r="Z1923" s="4">
        <v>218</v>
      </c>
      <c r="AA1923" s="4">
        <f>=ROUNDDOWN(27.25,0)</f>
      </c>
      <c r="AB1923" s="5">
        <v>8</v>
      </c>
      <c r="AC1923" s="2" t="s">
        <v>330</v>
      </c>
      <c r="AD1923" s="4">
        <v>296</v>
      </c>
      <c r="AE1923" s="4">
        <v>296</v>
      </c>
      <c r="AF1923" s="6">
        <v>64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 t="s">
        <v>100</v>
      </c>
      <c r="AW1923" s="8" t="s">
        <v>100</v>
      </c>
      <c r="AX1923" s="4" t="s">
        <v>100</v>
      </c>
      <c r="AY1923" s="8" t="s">
        <v>100</v>
      </c>
      <c r="AZ1923" s="7" t="s">
        <v>100</v>
      </c>
      <c r="BA1923" s="7" t="s">
        <v>100</v>
      </c>
      <c r="BB1923" s="7"/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/>
      <c r="BJ1923" s="4">
        <v>15</v>
      </c>
      <c r="BK1923" s="8">
        <v>608.52</v>
      </c>
      <c r="BL1923" s="2" t="s">
        <v>1109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2551</v>
      </c>
      <c r="BV1923" s="2" t="s">
        <v>97</v>
      </c>
      <c r="BW1923" s="2" t="s">
        <v>100</v>
      </c>
      <c r="BX1923" s="2" t="s">
        <v>100</v>
      </c>
      <c r="BY1923" s="2" t="s">
        <v>112</v>
      </c>
      <c r="BZ1923" s="2" t="s">
        <v>100</v>
      </c>
    </row>
    <row r="1924">
      <c r="A1924" s="2" t="s">
        <v>6661</v>
      </c>
      <c r="B1924" s="2" t="s">
        <v>5155</v>
      </c>
      <c r="C1924" s="2" t="s">
        <v>2831</v>
      </c>
      <c r="D1924" s="2" t="s">
        <v>4216</v>
      </c>
      <c r="E1924" s="2" t="s">
        <v>5235</v>
      </c>
      <c r="F1924" s="2" t="s">
        <v>6657</v>
      </c>
      <c r="G1924" s="2" t="s">
        <v>6657</v>
      </c>
      <c r="H1924" s="2" t="s">
        <v>6657</v>
      </c>
      <c r="I1924" s="2" t="s">
        <v>5235</v>
      </c>
      <c r="J1924" s="2" t="s">
        <v>114</v>
      </c>
      <c r="K1924" s="2" t="s">
        <v>96</v>
      </c>
      <c r="L1924" s="3">
        <v>42.4</v>
      </c>
      <c r="M1924" s="3">
        <v>44.52</v>
      </c>
      <c r="N1924" s="3">
        <v>89.99</v>
      </c>
      <c r="O1924" s="2" t="s">
        <v>97</v>
      </c>
      <c r="P1924" s="2" t="s">
        <v>98</v>
      </c>
      <c r="Q1924" s="2" t="s">
        <v>99</v>
      </c>
      <c r="R1924" s="2" t="s">
        <v>100</v>
      </c>
      <c r="S1924" s="2" t="s">
        <v>6658</v>
      </c>
      <c r="T1924" s="2" t="s">
        <v>5936</v>
      </c>
      <c r="U1924" s="2" t="s">
        <v>1776</v>
      </c>
      <c r="V1924" s="2" t="s">
        <v>461</v>
      </c>
      <c r="W1924" s="2" t="s">
        <v>609</v>
      </c>
      <c r="X1924" s="2" t="s">
        <v>525</v>
      </c>
      <c r="Y1924" s="2" t="s">
        <v>6659</v>
      </c>
      <c r="Z1924" s="4">
        <v>192</v>
      </c>
      <c r="AA1924" s="4">
        <f>=ROUNDDOWN(17.7777777777778,0)</f>
      </c>
      <c r="AB1924" s="5">
        <v>10.8</v>
      </c>
      <c r="AC1924" s="2" t="s">
        <v>330</v>
      </c>
      <c r="AD1924" s="4">
        <v>340</v>
      </c>
      <c r="AE1924" s="4">
        <v>340</v>
      </c>
      <c r="AF1924" s="6">
        <v>64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 t="s">
        <v>100</v>
      </c>
      <c r="AW1924" s="8" t="s">
        <v>100</v>
      </c>
      <c r="AX1924" s="4" t="s">
        <v>100</v>
      </c>
      <c r="AY1924" s="8" t="s">
        <v>100</v>
      </c>
      <c r="AZ1924" s="7" t="s">
        <v>100</v>
      </c>
      <c r="BA1924" s="7" t="s">
        <v>100</v>
      </c>
      <c r="BB1924" s="7"/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/>
      <c r="BJ1924" s="4">
        <v>24</v>
      </c>
      <c r="BK1924" s="8">
        <v>1114.88</v>
      </c>
      <c r="BL1924" s="2" t="s">
        <v>6662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2551</v>
      </c>
      <c r="BV1924" s="2" t="s">
        <v>97</v>
      </c>
      <c r="BW1924" s="2" t="s">
        <v>100</v>
      </c>
      <c r="BX1924" s="2" t="s">
        <v>100</v>
      </c>
      <c r="BY1924" s="2" t="s">
        <v>112</v>
      </c>
      <c r="BZ1924" s="2" t="s">
        <v>100</v>
      </c>
    </row>
    <row r="1925">
      <c r="A1925" s="2" t="s">
        <v>6663</v>
      </c>
      <c r="B1925" s="2" t="s">
        <v>5155</v>
      </c>
      <c r="C1925" s="2" t="s">
        <v>2831</v>
      </c>
      <c r="D1925" s="2" t="s">
        <v>4216</v>
      </c>
      <c r="E1925" s="2" t="s">
        <v>5235</v>
      </c>
      <c r="F1925" s="2" t="s">
        <v>6657</v>
      </c>
      <c r="G1925" s="2" t="s">
        <v>6657</v>
      </c>
      <c r="H1925" s="2" t="s">
        <v>6657</v>
      </c>
      <c r="I1925" s="2" t="s">
        <v>5235</v>
      </c>
      <c r="J1925" s="2" t="s">
        <v>1443</v>
      </c>
      <c r="K1925" s="2" t="s">
        <v>1384</v>
      </c>
      <c r="L1925" s="3">
        <v>30.35</v>
      </c>
      <c r="M1925" s="3">
        <v>31.87</v>
      </c>
      <c r="N1925" s="3">
        <v>65.99</v>
      </c>
      <c r="O1925" s="2" t="s">
        <v>97</v>
      </c>
      <c r="P1925" s="2" t="s">
        <v>98</v>
      </c>
      <c r="Q1925" s="2" t="s">
        <v>99</v>
      </c>
      <c r="R1925" s="2" t="s">
        <v>100</v>
      </c>
      <c r="S1925" s="2" t="s">
        <v>6664</v>
      </c>
      <c r="T1925" s="2" t="s">
        <v>5936</v>
      </c>
      <c r="U1925" s="2" t="s">
        <v>1776</v>
      </c>
      <c r="V1925" s="2" t="s">
        <v>461</v>
      </c>
      <c r="W1925" s="2" t="s">
        <v>609</v>
      </c>
      <c r="X1925" s="2" t="s">
        <v>525</v>
      </c>
      <c r="Y1925" s="2" t="s">
        <v>6659</v>
      </c>
      <c r="Z1925" s="4">
        <v>62</v>
      </c>
      <c r="AA1925" s="4">
        <f>=ROUNDDOWN(12.4,0)</f>
      </c>
      <c r="AB1925" s="5">
        <v>5</v>
      </c>
      <c r="AC1925" s="2" t="s">
        <v>312</v>
      </c>
      <c r="AD1925" s="4">
        <v>50</v>
      </c>
      <c r="AE1925" s="4">
        <v>180</v>
      </c>
      <c r="AF1925" s="6">
        <v>64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 t="s">
        <v>100</v>
      </c>
      <c r="AW1925" s="8" t="s">
        <v>100</v>
      </c>
      <c r="AX1925" s="4" t="s">
        <v>100</v>
      </c>
      <c r="AY1925" s="8" t="s">
        <v>100</v>
      </c>
      <c r="AZ1925" s="7" t="s">
        <v>100</v>
      </c>
      <c r="BA1925" s="7" t="s">
        <v>100</v>
      </c>
      <c r="BB1925" s="7"/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/>
      <c r="BJ1925" s="4">
        <v>13</v>
      </c>
      <c r="BK1925" s="8">
        <v>430.58</v>
      </c>
      <c r="BL1925" s="2" t="s">
        <v>6665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2551</v>
      </c>
      <c r="BV1925" s="2" t="s">
        <v>97</v>
      </c>
      <c r="BW1925" s="2" t="s">
        <v>100</v>
      </c>
      <c r="BX1925" s="2" t="s">
        <v>100</v>
      </c>
      <c r="BY1925" s="2" t="s">
        <v>112</v>
      </c>
      <c r="BZ1925" s="2" t="s">
        <v>100</v>
      </c>
    </row>
    <row r="1926">
      <c r="A1926" s="2" t="s">
        <v>6666</v>
      </c>
      <c r="B1926" s="2" t="s">
        <v>5155</v>
      </c>
      <c r="C1926" s="2" t="s">
        <v>2831</v>
      </c>
      <c r="D1926" s="2" t="s">
        <v>4216</v>
      </c>
      <c r="E1926" s="2" t="s">
        <v>5235</v>
      </c>
      <c r="F1926" s="2" t="s">
        <v>6657</v>
      </c>
      <c r="G1926" s="2" t="s">
        <v>6657</v>
      </c>
      <c r="H1926" s="2" t="s">
        <v>6657</v>
      </c>
      <c r="I1926" s="2" t="s">
        <v>5235</v>
      </c>
      <c r="J1926" s="2" t="s">
        <v>522</v>
      </c>
      <c r="K1926" s="2" t="s">
        <v>1384</v>
      </c>
      <c r="L1926" s="3">
        <v>36.18</v>
      </c>
      <c r="M1926" s="3">
        <v>37.99</v>
      </c>
      <c r="N1926" s="3">
        <v>76.99</v>
      </c>
      <c r="O1926" s="2" t="s">
        <v>97</v>
      </c>
      <c r="P1926" s="2" t="s">
        <v>98</v>
      </c>
      <c r="Q1926" s="2" t="s">
        <v>99</v>
      </c>
      <c r="R1926" s="2" t="s">
        <v>100</v>
      </c>
      <c r="S1926" s="2" t="s">
        <v>6664</v>
      </c>
      <c r="T1926" s="2" t="s">
        <v>5936</v>
      </c>
      <c r="U1926" s="2" t="s">
        <v>1776</v>
      </c>
      <c r="V1926" s="2" t="s">
        <v>461</v>
      </c>
      <c r="W1926" s="2" t="s">
        <v>609</v>
      </c>
      <c r="X1926" s="2" t="s">
        <v>525</v>
      </c>
      <c r="Y1926" s="2" t="s">
        <v>6659</v>
      </c>
      <c r="Z1926" s="4">
        <v>166</v>
      </c>
      <c r="AA1926" s="4">
        <f>=ROUNDDOWN(13.8333333333333,0)</f>
      </c>
      <c r="AB1926" s="5">
        <v>12</v>
      </c>
      <c r="AC1926" s="2" t="s">
        <v>312</v>
      </c>
      <c r="AD1926" s="4">
        <v>140</v>
      </c>
      <c r="AE1926" s="4">
        <v>270</v>
      </c>
      <c r="AF1926" s="6">
        <v>64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 t="s">
        <v>100</v>
      </c>
      <c r="AW1926" s="8" t="s">
        <v>100</v>
      </c>
      <c r="AX1926" s="4" t="s">
        <v>100</v>
      </c>
      <c r="AY1926" s="8" t="s">
        <v>100</v>
      </c>
      <c r="AZ1926" s="7" t="s">
        <v>100</v>
      </c>
      <c r="BA1926" s="7" t="s">
        <v>100</v>
      </c>
      <c r="BB1926" s="7"/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/>
      <c r="BJ1926" s="4">
        <v>19</v>
      </c>
      <c r="BK1926" s="8">
        <v>778.11</v>
      </c>
      <c r="BL1926" s="2" t="s">
        <v>6667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2551</v>
      </c>
      <c r="BV1926" s="2" t="s">
        <v>97</v>
      </c>
      <c r="BW1926" s="2" t="s">
        <v>100</v>
      </c>
      <c r="BX1926" s="2" t="s">
        <v>100</v>
      </c>
      <c r="BY1926" s="2" t="s">
        <v>112</v>
      </c>
      <c r="BZ1926" s="2" t="s">
        <v>100</v>
      </c>
    </row>
    <row r="1927">
      <c r="A1927" s="2" t="s">
        <v>6668</v>
      </c>
      <c r="B1927" s="2" t="s">
        <v>5155</v>
      </c>
      <c r="C1927" s="2" t="s">
        <v>2831</v>
      </c>
      <c r="D1927" s="2" t="s">
        <v>4216</v>
      </c>
      <c r="E1927" s="2" t="s">
        <v>5235</v>
      </c>
      <c r="F1927" s="2" t="s">
        <v>6657</v>
      </c>
      <c r="G1927" s="2" t="s">
        <v>6657</v>
      </c>
      <c r="H1927" s="2" t="s">
        <v>6657</v>
      </c>
      <c r="I1927" s="2" t="s">
        <v>5235</v>
      </c>
      <c r="J1927" s="2" t="s">
        <v>114</v>
      </c>
      <c r="K1927" s="2" t="s">
        <v>1384</v>
      </c>
      <c r="L1927" s="3">
        <v>42.4</v>
      </c>
      <c r="M1927" s="3">
        <v>44.52</v>
      </c>
      <c r="N1927" s="3">
        <v>89.99</v>
      </c>
      <c r="O1927" s="2" t="s">
        <v>97</v>
      </c>
      <c r="P1927" s="2" t="s">
        <v>98</v>
      </c>
      <c r="Q1927" s="2" t="s">
        <v>99</v>
      </c>
      <c r="R1927" s="2" t="s">
        <v>100</v>
      </c>
      <c r="S1927" s="2" t="s">
        <v>6664</v>
      </c>
      <c r="T1927" s="2" t="s">
        <v>5936</v>
      </c>
      <c r="U1927" s="2" t="s">
        <v>1776</v>
      </c>
      <c r="V1927" s="2" t="s">
        <v>461</v>
      </c>
      <c r="W1927" s="2" t="s">
        <v>609</v>
      </c>
      <c r="X1927" s="2" t="s">
        <v>525</v>
      </c>
      <c r="Y1927" s="2" t="s">
        <v>2759</v>
      </c>
      <c r="Z1927" s="4">
        <v>129</v>
      </c>
      <c r="AA1927" s="4">
        <f>=ROUNDDOWN(8.0625,0)</f>
      </c>
      <c r="AB1927" s="5">
        <v>16</v>
      </c>
      <c r="AC1927" s="2" t="s">
        <v>312</v>
      </c>
      <c r="AD1927" s="4">
        <v>210</v>
      </c>
      <c r="AE1927" s="4">
        <v>370</v>
      </c>
      <c r="AF1927" s="6">
        <v>64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100</v>
      </c>
      <c r="AW1927" s="8" t="s">
        <v>100</v>
      </c>
      <c r="AX1927" s="4" t="s">
        <v>100</v>
      </c>
      <c r="AY1927" s="8" t="s">
        <v>100</v>
      </c>
      <c r="AZ1927" s="7" t="s">
        <v>100</v>
      </c>
      <c r="BA1927" s="7" t="s">
        <v>100</v>
      </c>
      <c r="BB1927" s="7"/>
      <c r="BC1927" s="4" t="s">
        <v>100</v>
      </c>
      <c r="BD1927" s="8" t="s">
        <v>100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/>
      <c r="BJ1927" s="4">
        <v>46</v>
      </c>
      <c r="BK1927" s="8">
        <v>2170.77</v>
      </c>
      <c r="BL1927" s="2" t="s">
        <v>6669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2551</v>
      </c>
      <c r="BV1927" s="2" t="s">
        <v>97</v>
      </c>
      <c r="BW1927" s="2" t="s">
        <v>100</v>
      </c>
      <c r="BX1927" s="2" t="s">
        <v>100</v>
      </c>
      <c r="BY1927" s="2" t="s">
        <v>112</v>
      </c>
      <c r="BZ1927" s="2" t="s">
        <v>100</v>
      </c>
    </row>
    <row r="1928">
      <c r="A1928" s="2" t="s">
        <v>6670</v>
      </c>
      <c r="B1928" s="2" t="s">
        <v>5155</v>
      </c>
      <c r="C1928" s="2" t="s">
        <v>2831</v>
      </c>
      <c r="D1928" s="2" t="s">
        <v>4216</v>
      </c>
      <c r="E1928" s="2" t="s">
        <v>5235</v>
      </c>
      <c r="F1928" s="2" t="s">
        <v>6657</v>
      </c>
      <c r="G1928" s="2" t="s">
        <v>6657</v>
      </c>
      <c r="H1928" s="2" t="s">
        <v>6657</v>
      </c>
      <c r="I1928" s="2" t="s">
        <v>5235</v>
      </c>
      <c r="J1928" s="2" t="s">
        <v>1443</v>
      </c>
      <c r="K1928" s="2" t="s">
        <v>1373</v>
      </c>
      <c r="L1928" s="3">
        <v>30.35</v>
      </c>
      <c r="M1928" s="3">
        <v>31.87</v>
      </c>
      <c r="N1928" s="3">
        <v>65.99</v>
      </c>
      <c r="O1928" s="2" t="s">
        <v>97</v>
      </c>
      <c r="P1928" s="2" t="s">
        <v>98</v>
      </c>
      <c r="Q1928" s="2" t="s">
        <v>99</v>
      </c>
      <c r="R1928" s="2" t="s">
        <v>100</v>
      </c>
      <c r="S1928" s="2" t="s">
        <v>6671</v>
      </c>
      <c r="T1928" s="2" t="s">
        <v>5936</v>
      </c>
      <c r="U1928" s="2" t="s">
        <v>100</v>
      </c>
      <c r="V1928" s="2" t="s">
        <v>461</v>
      </c>
      <c r="W1928" s="2" t="s">
        <v>609</v>
      </c>
      <c r="X1928" s="2" t="s">
        <v>525</v>
      </c>
      <c r="Y1928" s="2" t="s">
        <v>144</v>
      </c>
      <c r="Z1928" s="4">
        <v>211</v>
      </c>
      <c r="AA1928" s="4">
        <f>=ROUNDDOWN(35.1666666666667,0)</f>
      </c>
      <c r="AB1928" s="5">
        <v>6</v>
      </c>
      <c r="AC1928" s="2" t="s">
        <v>1860</v>
      </c>
      <c r="AD1928" s="4">
        <v>50</v>
      </c>
      <c r="AE1928" s="4">
        <v>50</v>
      </c>
      <c r="AF1928" s="6">
        <v>64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 t="s">
        <v>100</v>
      </c>
      <c r="AW1928" s="8" t="s">
        <v>100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/>
      <c r="BC1928" s="4" t="s">
        <v>100</v>
      </c>
      <c r="BD1928" s="8" t="s">
        <v>100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/>
      <c r="BJ1928" s="4">
        <v>16</v>
      </c>
      <c r="BK1928" s="8">
        <v>538.36</v>
      </c>
      <c r="BL1928" s="2" t="s">
        <v>392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2551</v>
      </c>
      <c r="BV1928" s="2" t="s">
        <v>97</v>
      </c>
      <c r="BW1928" s="2" t="s">
        <v>100</v>
      </c>
      <c r="BX1928" s="2" t="s">
        <v>100</v>
      </c>
      <c r="BY1928" s="2" t="s">
        <v>112</v>
      </c>
      <c r="BZ1928" s="2" t="s">
        <v>100</v>
      </c>
    </row>
    <row r="1929">
      <c r="A1929" s="2" t="s">
        <v>6672</v>
      </c>
      <c r="B1929" s="2" t="s">
        <v>5155</v>
      </c>
      <c r="C1929" s="2" t="s">
        <v>2831</v>
      </c>
      <c r="D1929" s="2" t="s">
        <v>4216</v>
      </c>
      <c r="E1929" s="2" t="s">
        <v>5235</v>
      </c>
      <c r="F1929" s="2" t="s">
        <v>6657</v>
      </c>
      <c r="G1929" s="2" t="s">
        <v>6657</v>
      </c>
      <c r="H1929" s="2" t="s">
        <v>6657</v>
      </c>
      <c r="I1929" s="2" t="s">
        <v>5235</v>
      </c>
      <c r="J1929" s="2" t="s">
        <v>522</v>
      </c>
      <c r="K1929" s="2" t="s">
        <v>1373</v>
      </c>
      <c r="L1929" s="3">
        <v>36.18</v>
      </c>
      <c r="M1929" s="3">
        <v>37.99</v>
      </c>
      <c r="N1929" s="3">
        <v>76.99</v>
      </c>
      <c r="O1929" s="2" t="s">
        <v>97</v>
      </c>
      <c r="P1929" s="2" t="s">
        <v>98</v>
      </c>
      <c r="Q1929" s="2" t="s">
        <v>99</v>
      </c>
      <c r="R1929" s="2" t="s">
        <v>100</v>
      </c>
      <c r="S1929" s="2" t="s">
        <v>6671</v>
      </c>
      <c r="T1929" s="2" t="s">
        <v>5936</v>
      </c>
      <c r="U1929" s="2" t="s">
        <v>100</v>
      </c>
      <c r="V1929" s="2" t="s">
        <v>461</v>
      </c>
      <c r="W1929" s="2" t="s">
        <v>609</v>
      </c>
      <c r="X1929" s="2" t="s">
        <v>525</v>
      </c>
      <c r="Y1929" s="2" t="s">
        <v>144</v>
      </c>
      <c r="Z1929" s="4">
        <v>254</v>
      </c>
      <c r="AA1929" s="4">
        <f>=ROUNDDOWN(25.4,0)</f>
      </c>
      <c r="AB1929" s="5">
        <v>10</v>
      </c>
      <c r="AC1929" s="2" t="s">
        <v>1860</v>
      </c>
      <c r="AD1929" s="4">
        <v>200</v>
      </c>
      <c r="AE1929" s="4">
        <v>200</v>
      </c>
      <c r="AF1929" s="6">
        <v>64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 t="s">
        <v>100</v>
      </c>
      <c r="AW1929" s="8" t="s">
        <v>100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/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/>
      <c r="BJ1929" s="4">
        <v>30</v>
      </c>
      <c r="BK1929" s="8">
        <v>1203.5</v>
      </c>
      <c r="BL1929" s="2" t="s">
        <v>6673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2551</v>
      </c>
      <c r="BV1929" s="2" t="s">
        <v>97</v>
      </c>
      <c r="BW1929" s="2" t="s">
        <v>100</v>
      </c>
      <c r="BX1929" s="2" t="s">
        <v>100</v>
      </c>
      <c r="BY1929" s="2" t="s">
        <v>112</v>
      </c>
      <c r="BZ1929" s="2" t="s">
        <v>100</v>
      </c>
    </row>
    <row r="1930">
      <c r="A1930" s="2" t="s">
        <v>6674</v>
      </c>
      <c r="B1930" s="2" t="s">
        <v>5155</v>
      </c>
      <c r="C1930" s="2" t="s">
        <v>2831</v>
      </c>
      <c r="D1930" s="2" t="s">
        <v>4216</v>
      </c>
      <c r="E1930" s="2" t="s">
        <v>5235</v>
      </c>
      <c r="F1930" s="2" t="s">
        <v>6657</v>
      </c>
      <c r="G1930" s="2" t="s">
        <v>6657</v>
      </c>
      <c r="H1930" s="2" t="s">
        <v>6657</v>
      </c>
      <c r="I1930" s="2" t="s">
        <v>5235</v>
      </c>
      <c r="J1930" s="2" t="s">
        <v>114</v>
      </c>
      <c r="K1930" s="2" t="s">
        <v>1373</v>
      </c>
      <c r="L1930" s="3">
        <v>42.4</v>
      </c>
      <c r="M1930" s="3">
        <v>44.52</v>
      </c>
      <c r="N1930" s="3">
        <v>89.99</v>
      </c>
      <c r="O1930" s="2" t="s">
        <v>97</v>
      </c>
      <c r="P1930" s="2" t="s">
        <v>98</v>
      </c>
      <c r="Q1930" s="2" t="s">
        <v>99</v>
      </c>
      <c r="R1930" s="2" t="s">
        <v>100</v>
      </c>
      <c r="S1930" s="2" t="s">
        <v>6671</v>
      </c>
      <c r="T1930" s="2" t="s">
        <v>5936</v>
      </c>
      <c r="U1930" s="2" t="s">
        <v>100</v>
      </c>
      <c r="V1930" s="2" t="s">
        <v>461</v>
      </c>
      <c r="W1930" s="2" t="s">
        <v>609</v>
      </c>
      <c r="X1930" s="2" t="s">
        <v>525</v>
      </c>
      <c r="Y1930" s="2" t="s">
        <v>144</v>
      </c>
      <c r="Z1930" s="4">
        <v>260</v>
      </c>
      <c r="AA1930" s="4">
        <f>=ROUNDDOWN(17.3333333333333,0)</f>
      </c>
      <c r="AB1930" s="5">
        <v>15</v>
      </c>
      <c r="AC1930" s="2" t="s">
        <v>1860</v>
      </c>
      <c r="AD1930" s="4">
        <v>300</v>
      </c>
      <c r="AE1930" s="4">
        <v>300</v>
      </c>
      <c r="AF1930" s="6">
        <v>64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 t="s">
        <v>100</v>
      </c>
      <c r="AW1930" s="8" t="s">
        <v>100</v>
      </c>
      <c r="AX1930" s="4" t="s">
        <v>100</v>
      </c>
      <c r="AY1930" s="8" t="s">
        <v>100</v>
      </c>
      <c r="AZ1930" s="7" t="s">
        <v>100</v>
      </c>
      <c r="BA1930" s="7" t="s">
        <v>100</v>
      </c>
      <c r="BB1930" s="7"/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/>
      <c r="BJ1930" s="4">
        <v>44</v>
      </c>
      <c r="BK1930" s="8">
        <v>2091.87</v>
      </c>
      <c r="BL1930" s="2" t="s">
        <v>6673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2551</v>
      </c>
      <c r="BV1930" s="2" t="s">
        <v>97</v>
      </c>
      <c r="BW1930" s="2" t="s">
        <v>100</v>
      </c>
      <c r="BX1930" s="2" t="s">
        <v>100</v>
      </c>
      <c r="BY1930" s="2" t="s">
        <v>112</v>
      </c>
      <c r="BZ1930" s="2" t="s">
        <v>100</v>
      </c>
    </row>
    <row r="1931">
      <c r="A1931" s="2" t="s">
        <v>6675</v>
      </c>
      <c r="B1931" s="2" t="s">
        <v>5155</v>
      </c>
      <c r="C1931" s="2" t="s">
        <v>2831</v>
      </c>
      <c r="D1931" s="2" t="s">
        <v>4216</v>
      </c>
      <c r="E1931" s="2" t="s">
        <v>5235</v>
      </c>
      <c r="F1931" s="2" t="s">
        <v>6657</v>
      </c>
      <c r="G1931" s="2" t="s">
        <v>6657</v>
      </c>
      <c r="H1931" s="2" t="s">
        <v>6657</v>
      </c>
      <c r="I1931" s="2" t="s">
        <v>5235</v>
      </c>
      <c r="J1931" s="2" t="s">
        <v>1443</v>
      </c>
      <c r="K1931" s="2" t="s">
        <v>5681</v>
      </c>
      <c r="L1931" s="3">
        <v>30.35</v>
      </c>
      <c r="M1931" s="3">
        <v>31.87</v>
      </c>
      <c r="N1931" s="3">
        <v>65.99</v>
      </c>
      <c r="O1931" s="2" t="s">
        <v>97</v>
      </c>
      <c r="P1931" s="2" t="s">
        <v>98</v>
      </c>
      <c r="Q1931" s="2" t="s">
        <v>99</v>
      </c>
      <c r="R1931" s="2" t="s">
        <v>100</v>
      </c>
      <c r="S1931" s="2" t="s">
        <v>6676</v>
      </c>
      <c r="T1931" s="2" t="s">
        <v>5936</v>
      </c>
      <c r="U1931" s="2" t="s">
        <v>1776</v>
      </c>
      <c r="V1931" s="2" t="s">
        <v>461</v>
      </c>
      <c r="W1931" s="2" t="s">
        <v>609</v>
      </c>
      <c r="X1931" s="2" t="s">
        <v>525</v>
      </c>
      <c r="Y1931" s="2" t="s">
        <v>6677</v>
      </c>
      <c r="Z1931" s="4">
        <v>89</v>
      </c>
      <c r="AA1931" s="4">
        <f>=ROUNDDOWN(29.6666666666667,0)</f>
      </c>
      <c r="AB1931" s="5">
        <v>3</v>
      </c>
      <c r="AC1931" s="2" t="s">
        <v>1860</v>
      </c>
      <c r="AD1931" s="4">
        <v>100</v>
      </c>
      <c r="AE1931" s="4">
        <v>100</v>
      </c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 t="s">
        <v>100</v>
      </c>
      <c r="AW1931" s="8" t="s">
        <v>100</v>
      </c>
      <c r="AX1931" s="4" t="s">
        <v>100</v>
      </c>
      <c r="AY1931" s="8" t="s">
        <v>100</v>
      </c>
      <c r="AZ1931" s="7" t="s">
        <v>100</v>
      </c>
      <c r="BA1931" s="7" t="s">
        <v>100</v>
      </c>
      <c r="BB1931" s="7"/>
      <c r="BC1931" s="4" t="s">
        <v>100</v>
      </c>
      <c r="BD1931" s="8" t="s">
        <v>100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/>
      <c r="BJ1931" s="4">
        <v>10</v>
      </c>
      <c r="BK1931" s="8">
        <v>323.75</v>
      </c>
      <c r="BL1931" s="2" t="s">
        <v>2209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2551</v>
      </c>
      <c r="BV1931" s="2" t="s">
        <v>97</v>
      </c>
      <c r="BW1931" s="2" t="s">
        <v>100</v>
      </c>
      <c r="BX1931" s="2" t="s">
        <v>100</v>
      </c>
      <c r="BY1931" s="2" t="s">
        <v>112</v>
      </c>
      <c r="BZ1931" s="2" t="s">
        <v>100</v>
      </c>
    </row>
    <row r="1932">
      <c r="A1932" s="2" t="s">
        <v>6678</v>
      </c>
      <c r="B1932" s="2" t="s">
        <v>5155</v>
      </c>
      <c r="C1932" s="2" t="s">
        <v>2831</v>
      </c>
      <c r="D1932" s="2" t="s">
        <v>4216</v>
      </c>
      <c r="E1932" s="2" t="s">
        <v>5235</v>
      </c>
      <c r="F1932" s="2" t="s">
        <v>6657</v>
      </c>
      <c r="G1932" s="2" t="s">
        <v>6657</v>
      </c>
      <c r="H1932" s="2" t="s">
        <v>6657</v>
      </c>
      <c r="I1932" s="2" t="s">
        <v>5235</v>
      </c>
      <c r="J1932" s="2" t="s">
        <v>522</v>
      </c>
      <c r="K1932" s="2" t="s">
        <v>5681</v>
      </c>
      <c r="L1932" s="3">
        <v>36.18</v>
      </c>
      <c r="M1932" s="3">
        <v>37.99</v>
      </c>
      <c r="N1932" s="3">
        <v>76.99</v>
      </c>
      <c r="O1932" s="2" t="s">
        <v>97</v>
      </c>
      <c r="P1932" s="2" t="s">
        <v>98</v>
      </c>
      <c r="Q1932" s="2" t="s">
        <v>99</v>
      </c>
      <c r="R1932" s="2" t="s">
        <v>100</v>
      </c>
      <c r="S1932" s="2" t="s">
        <v>6676</v>
      </c>
      <c r="T1932" s="2" t="s">
        <v>5936</v>
      </c>
      <c r="U1932" s="2" t="s">
        <v>1776</v>
      </c>
      <c r="V1932" s="2" t="s">
        <v>461</v>
      </c>
      <c r="W1932" s="2" t="s">
        <v>609</v>
      </c>
      <c r="X1932" s="2" t="s">
        <v>525</v>
      </c>
      <c r="Y1932" s="2" t="s">
        <v>6677</v>
      </c>
      <c r="Z1932" s="4">
        <v>242</v>
      </c>
      <c r="AA1932" s="4">
        <f>=ROUNDDOWN(40.3333333333333,0)</f>
      </c>
      <c r="AB1932" s="5">
        <v>6</v>
      </c>
      <c r="AC1932" s="2" t="s">
        <v>1860</v>
      </c>
      <c r="AD1932" s="4">
        <v>150</v>
      </c>
      <c r="AE1932" s="4">
        <v>150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 t="s">
        <v>100</v>
      </c>
      <c r="AW1932" s="8" t="s">
        <v>100</v>
      </c>
      <c r="AX1932" s="4" t="s">
        <v>100</v>
      </c>
      <c r="AY1932" s="8" t="s">
        <v>100</v>
      </c>
      <c r="AZ1932" s="7" t="s">
        <v>100</v>
      </c>
      <c r="BA1932" s="7" t="s">
        <v>100</v>
      </c>
      <c r="BB1932" s="7"/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/>
      <c r="BJ1932" s="4">
        <v>11</v>
      </c>
      <c r="BK1932" s="8">
        <v>423.5</v>
      </c>
      <c r="BL1932" s="2" t="s">
        <v>1694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2551</v>
      </c>
      <c r="BV1932" s="2" t="s">
        <v>97</v>
      </c>
      <c r="BW1932" s="2" t="s">
        <v>100</v>
      </c>
      <c r="BX1932" s="2" t="s">
        <v>100</v>
      </c>
      <c r="BY1932" s="2" t="s">
        <v>112</v>
      </c>
      <c r="BZ1932" s="2" t="s">
        <v>100</v>
      </c>
    </row>
    <row r="1933">
      <c r="A1933" s="2" t="s">
        <v>6679</v>
      </c>
      <c r="B1933" s="2" t="s">
        <v>5155</v>
      </c>
      <c r="C1933" s="2" t="s">
        <v>2831</v>
      </c>
      <c r="D1933" s="2" t="s">
        <v>4216</v>
      </c>
      <c r="E1933" s="2" t="s">
        <v>5235</v>
      </c>
      <c r="F1933" s="2" t="s">
        <v>6657</v>
      </c>
      <c r="G1933" s="2" t="s">
        <v>6657</v>
      </c>
      <c r="H1933" s="2" t="s">
        <v>6657</v>
      </c>
      <c r="I1933" s="2" t="s">
        <v>5235</v>
      </c>
      <c r="J1933" s="2" t="s">
        <v>114</v>
      </c>
      <c r="K1933" s="2" t="s">
        <v>5681</v>
      </c>
      <c r="L1933" s="3">
        <v>42.4</v>
      </c>
      <c r="M1933" s="3">
        <v>44.52</v>
      </c>
      <c r="N1933" s="3">
        <v>89.99</v>
      </c>
      <c r="O1933" s="2" t="s">
        <v>97</v>
      </c>
      <c r="P1933" s="2" t="s">
        <v>98</v>
      </c>
      <c r="Q1933" s="2" t="s">
        <v>99</v>
      </c>
      <c r="R1933" s="2" t="s">
        <v>100</v>
      </c>
      <c r="S1933" s="2" t="s">
        <v>6676</v>
      </c>
      <c r="T1933" s="2" t="s">
        <v>5936</v>
      </c>
      <c r="U1933" s="2" t="s">
        <v>1776</v>
      </c>
      <c r="V1933" s="2" t="s">
        <v>461</v>
      </c>
      <c r="W1933" s="2" t="s">
        <v>609</v>
      </c>
      <c r="X1933" s="2" t="s">
        <v>525</v>
      </c>
      <c r="Y1933" s="2" t="s">
        <v>6677</v>
      </c>
      <c r="Z1933" s="4">
        <v>270</v>
      </c>
      <c r="AA1933" s="4">
        <f>=ROUNDDOWN(45,0)</f>
      </c>
      <c r="AB1933" s="5">
        <v>6</v>
      </c>
      <c r="AC1933" s="2" t="s">
        <v>1860</v>
      </c>
      <c r="AD1933" s="4">
        <v>50</v>
      </c>
      <c r="AE1933" s="4">
        <v>50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 t="s">
        <v>100</v>
      </c>
      <c r="AW1933" s="8" t="s">
        <v>100</v>
      </c>
      <c r="AX1933" s="4" t="s">
        <v>100</v>
      </c>
      <c r="AY1933" s="8" t="s">
        <v>100</v>
      </c>
      <c r="AZ1933" s="7" t="s">
        <v>100</v>
      </c>
      <c r="BA1933" s="7" t="s">
        <v>100</v>
      </c>
      <c r="BB1933" s="7"/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/>
      <c r="BJ1933" s="4">
        <v>11</v>
      </c>
      <c r="BK1933" s="8">
        <v>503.23</v>
      </c>
      <c r="BL1933" s="2" t="s">
        <v>2209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2551</v>
      </c>
      <c r="BV1933" s="2" t="s">
        <v>97</v>
      </c>
      <c r="BW1933" s="2" t="s">
        <v>100</v>
      </c>
      <c r="BX1933" s="2" t="s">
        <v>100</v>
      </c>
      <c r="BY1933" s="2" t="s">
        <v>112</v>
      </c>
      <c r="BZ1933" s="2" t="s">
        <v>100</v>
      </c>
    </row>
    <row r="1934">
      <c r="A1934" s="2" t="s">
        <v>6680</v>
      </c>
      <c r="B1934" s="2" t="s">
        <v>5155</v>
      </c>
      <c r="C1934" s="2" t="s">
        <v>2831</v>
      </c>
      <c r="D1934" s="2" t="s">
        <v>4459</v>
      </c>
      <c r="E1934" s="2" t="s">
        <v>6681</v>
      </c>
      <c r="F1934" s="2" t="s">
        <v>6657</v>
      </c>
      <c r="G1934" s="2" t="s">
        <v>6657</v>
      </c>
      <c r="H1934" s="2" t="s">
        <v>6657</v>
      </c>
      <c r="I1934" s="2" t="s">
        <v>6682</v>
      </c>
      <c r="J1934" s="2" t="s">
        <v>2514</v>
      </c>
      <c r="K1934" s="2" t="s">
        <v>96</v>
      </c>
      <c r="L1934" s="3">
        <v>10.58</v>
      </c>
      <c r="M1934" s="3">
        <v>11.11</v>
      </c>
      <c r="N1934" s="3">
        <v>22.99</v>
      </c>
      <c r="O1934" s="2" t="s">
        <v>97</v>
      </c>
      <c r="P1934" s="2" t="s">
        <v>98</v>
      </c>
      <c r="Q1934" s="2" t="s">
        <v>99</v>
      </c>
      <c r="R1934" s="2" t="s">
        <v>100</v>
      </c>
      <c r="S1934" s="2" t="s">
        <v>6658</v>
      </c>
      <c r="T1934" s="2" t="s">
        <v>5936</v>
      </c>
      <c r="U1934" s="2" t="s">
        <v>1776</v>
      </c>
      <c r="V1934" s="2" t="s">
        <v>461</v>
      </c>
      <c r="W1934" s="2" t="s">
        <v>609</v>
      </c>
      <c r="X1934" s="2" t="s">
        <v>525</v>
      </c>
      <c r="Y1934" s="2" t="s">
        <v>6659</v>
      </c>
      <c r="Z1934" s="4">
        <v>230</v>
      </c>
      <c r="AA1934" s="4">
        <f>=ROUNDDOWN(46,0)</f>
      </c>
      <c r="AB1934" s="5">
        <v>5</v>
      </c>
      <c r="AC1934" s="2" t="s">
        <v>1468</v>
      </c>
      <c r="AD1934" s="4">
        <v>112</v>
      </c>
      <c r="AE1934" s="4">
        <v>112</v>
      </c>
      <c r="AF1934" s="6">
        <v>64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 t="s">
        <v>100</v>
      </c>
      <c r="AW1934" s="8" t="s">
        <v>100</v>
      </c>
      <c r="AX1934" s="4" t="s">
        <v>100</v>
      </c>
      <c r="AY1934" s="8" t="s">
        <v>100</v>
      </c>
      <c r="AZ1934" s="7" t="s">
        <v>100</v>
      </c>
      <c r="BA1934" s="7" t="s">
        <v>100</v>
      </c>
      <c r="BB1934" s="7"/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/>
      <c r="BJ1934" s="4">
        <v>10</v>
      </c>
      <c r="BK1934" s="8">
        <v>114.08</v>
      </c>
      <c r="BL1934" s="2" t="s">
        <v>6683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2551</v>
      </c>
      <c r="BV1934" s="2" t="s">
        <v>97</v>
      </c>
      <c r="BW1934" s="2" t="s">
        <v>100</v>
      </c>
      <c r="BX1934" s="2" t="s">
        <v>100</v>
      </c>
      <c r="BY1934" s="2" t="s">
        <v>112</v>
      </c>
      <c r="BZ1934" s="2" t="s">
        <v>100</v>
      </c>
    </row>
    <row r="1935">
      <c r="A1935" s="2" t="s">
        <v>6684</v>
      </c>
      <c r="B1935" s="2" t="s">
        <v>5155</v>
      </c>
      <c r="C1935" s="2" t="s">
        <v>2831</v>
      </c>
      <c r="D1935" s="2" t="s">
        <v>4459</v>
      </c>
      <c r="E1935" s="2" t="s">
        <v>6681</v>
      </c>
      <c r="F1935" s="2" t="s">
        <v>6657</v>
      </c>
      <c r="G1935" s="2" t="s">
        <v>6657</v>
      </c>
      <c r="H1935" s="2" t="s">
        <v>6657</v>
      </c>
      <c r="I1935" s="2" t="s">
        <v>6685</v>
      </c>
      <c r="J1935" s="2" t="s">
        <v>3172</v>
      </c>
      <c r="K1935" s="2" t="s">
        <v>96</v>
      </c>
      <c r="L1935" s="3">
        <v>12.96</v>
      </c>
      <c r="M1935" s="3">
        <v>13.61</v>
      </c>
      <c r="N1935" s="3">
        <v>26.99</v>
      </c>
      <c r="O1935" s="2" t="s">
        <v>97</v>
      </c>
      <c r="P1935" s="2" t="s">
        <v>98</v>
      </c>
      <c r="Q1935" s="2" t="s">
        <v>99</v>
      </c>
      <c r="R1935" s="2" t="s">
        <v>100</v>
      </c>
      <c r="S1935" s="2" t="s">
        <v>6658</v>
      </c>
      <c r="T1935" s="2" t="s">
        <v>5936</v>
      </c>
      <c r="U1935" s="2" t="s">
        <v>1776</v>
      </c>
      <c r="V1935" s="2" t="s">
        <v>461</v>
      </c>
      <c r="W1935" s="2" t="s">
        <v>609</v>
      </c>
      <c r="X1935" s="2" t="s">
        <v>525</v>
      </c>
      <c r="Y1935" s="2" t="s">
        <v>2759</v>
      </c>
      <c r="Z1935" s="4">
        <v>163</v>
      </c>
      <c r="AA1935" s="4">
        <f>=ROUNDDOWN(40.75,0)</f>
      </c>
      <c r="AB1935" s="5">
        <v>4</v>
      </c>
      <c r="AC1935" s="2" t="s">
        <v>1468</v>
      </c>
      <c r="AD1935" s="4">
        <v>136</v>
      </c>
      <c r="AE1935" s="4">
        <v>136</v>
      </c>
      <c r="AF1935" s="6">
        <v>64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 t="s">
        <v>100</v>
      </c>
      <c r="AW1935" s="8" t="s">
        <v>100</v>
      </c>
      <c r="AX1935" s="4" t="s">
        <v>100</v>
      </c>
      <c r="AY1935" s="8" t="s">
        <v>100</v>
      </c>
      <c r="AZ1935" s="7" t="s">
        <v>100</v>
      </c>
      <c r="BA1935" s="7" t="s">
        <v>100</v>
      </c>
      <c r="BB1935" s="7"/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/>
      <c r="BJ1935" s="4">
        <v>5</v>
      </c>
      <c r="BK1935" s="8">
        <v>69.79</v>
      </c>
      <c r="BL1935" s="2" t="s">
        <v>6686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2551</v>
      </c>
      <c r="BV1935" s="2" t="s">
        <v>97</v>
      </c>
      <c r="BW1935" s="2" t="s">
        <v>100</v>
      </c>
      <c r="BX1935" s="2" t="s">
        <v>100</v>
      </c>
      <c r="BY1935" s="2" t="s">
        <v>112</v>
      </c>
      <c r="BZ1935" s="2" t="s">
        <v>100</v>
      </c>
    </row>
    <row r="1936">
      <c r="A1936" s="2" t="s">
        <v>6687</v>
      </c>
      <c r="B1936" s="2" t="s">
        <v>5155</v>
      </c>
      <c r="C1936" s="2" t="s">
        <v>2831</v>
      </c>
      <c r="D1936" s="2" t="s">
        <v>4459</v>
      </c>
      <c r="E1936" s="2" t="s">
        <v>6681</v>
      </c>
      <c r="F1936" s="2" t="s">
        <v>6657</v>
      </c>
      <c r="G1936" s="2" t="s">
        <v>6657</v>
      </c>
      <c r="H1936" s="2" t="s">
        <v>6657</v>
      </c>
      <c r="I1936" s="2" t="s">
        <v>6688</v>
      </c>
      <c r="J1936" s="2" t="s">
        <v>3315</v>
      </c>
      <c r="K1936" s="2" t="s">
        <v>96</v>
      </c>
      <c r="L1936" s="3">
        <v>18.4</v>
      </c>
      <c r="M1936" s="3">
        <v>19.32</v>
      </c>
      <c r="N1936" s="3">
        <v>39.99</v>
      </c>
      <c r="O1936" s="2" t="s">
        <v>97</v>
      </c>
      <c r="P1936" s="2" t="s">
        <v>98</v>
      </c>
      <c r="Q1936" s="2" t="s">
        <v>99</v>
      </c>
      <c r="R1936" s="2" t="s">
        <v>100</v>
      </c>
      <c r="S1936" s="2" t="s">
        <v>6658</v>
      </c>
      <c r="T1936" s="2" t="s">
        <v>5936</v>
      </c>
      <c r="U1936" s="2" t="s">
        <v>1776</v>
      </c>
      <c r="V1936" s="2" t="s">
        <v>461</v>
      </c>
      <c r="W1936" s="2" t="s">
        <v>609</v>
      </c>
      <c r="X1936" s="2" t="s">
        <v>525</v>
      </c>
      <c r="Y1936" s="2" t="s">
        <v>2759</v>
      </c>
      <c r="Z1936" s="4">
        <v>216</v>
      </c>
      <c r="AA1936" s="4">
        <f>=ROUNDDOWN(43.2,0)</f>
      </c>
      <c r="AB1936" s="5">
        <v>5</v>
      </c>
      <c r="AC1936" s="2" t="s">
        <v>1468</v>
      </c>
      <c r="AD1936" s="4">
        <v>136</v>
      </c>
      <c r="AE1936" s="4">
        <v>136</v>
      </c>
      <c r="AF1936" s="6">
        <v>64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 t="s">
        <v>100</v>
      </c>
      <c r="AW1936" s="8" t="s">
        <v>100</v>
      </c>
      <c r="AX1936" s="4" t="s">
        <v>100</v>
      </c>
      <c r="AY1936" s="8" t="s">
        <v>100</v>
      </c>
      <c r="AZ1936" s="7" t="s">
        <v>100</v>
      </c>
      <c r="BA1936" s="7" t="s">
        <v>100</v>
      </c>
      <c r="BB1936" s="7"/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/>
      <c r="BJ1936" s="4">
        <v>4</v>
      </c>
      <c r="BK1936" s="8">
        <v>78.25</v>
      </c>
      <c r="BL1936" s="2" t="s">
        <v>2619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2551</v>
      </c>
      <c r="BV1936" s="2" t="s">
        <v>97</v>
      </c>
      <c r="BW1936" s="2" t="s">
        <v>100</v>
      </c>
      <c r="BX1936" s="2" t="s">
        <v>100</v>
      </c>
      <c r="BY1936" s="2" t="s">
        <v>112</v>
      </c>
      <c r="BZ1936" s="2" t="s">
        <v>100</v>
      </c>
    </row>
    <row r="1937">
      <c r="A1937" s="2" t="s">
        <v>6689</v>
      </c>
      <c r="B1937" s="2" t="s">
        <v>5155</v>
      </c>
      <c r="C1937" s="2" t="s">
        <v>2831</v>
      </c>
      <c r="D1937" s="2" t="s">
        <v>4459</v>
      </c>
      <c r="E1937" s="2" t="s">
        <v>6681</v>
      </c>
      <c r="F1937" s="2" t="s">
        <v>6657</v>
      </c>
      <c r="G1937" s="2" t="s">
        <v>6657</v>
      </c>
      <c r="H1937" s="2" t="s">
        <v>6657</v>
      </c>
      <c r="I1937" s="2" t="s">
        <v>6682</v>
      </c>
      <c r="J1937" s="2" t="s">
        <v>2514</v>
      </c>
      <c r="K1937" s="2" t="s">
        <v>1384</v>
      </c>
      <c r="L1937" s="3">
        <v>10.58</v>
      </c>
      <c r="M1937" s="3">
        <v>11.11</v>
      </c>
      <c r="N1937" s="3">
        <v>22.99</v>
      </c>
      <c r="O1937" s="2" t="s">
        <v>97</v>
      </c>
      <c r="P1937" s="2" t="s">
        <v>98</v>
      </c>
      <c r="Q1937" s="2" t="s">
        <v>99</v>
      </c>
      <c r="R1937" s="2" t="s">
        <v>100</v>
      </c>
      <c r="S1937" s="2" t="s">
        <v>6664</v>
      </c>
      <c r="T1937" s="2" t="s">
        <v>5936</v>
      </c>
      <c r="U1937" s="2" t="s">
        <v>1776</v>
      </c>
      <c r="V1937" s="2" t="s">
        <v>461</v>
      </c>
      <c r="W1937" s="2" t="s">
        <v>609</v>
      </c>
      <c r="X1937" s="2" t="s">
        <v>525</v>
      </c>
      <c r="Y1937" s="2" t="s">
        <v>6659</v>
      </c>
      <c r="Z1937" s="4">
        <v>203</v>
      </c>
      <c r="AA1937" s="4">
        <f>=ROUNDDOWN(40.6,0)</f>
      </c>
      <c r="AB1937" s="5">
        <v>5</v>
      </c>
      <c r="AC1937" s="2" t="s">
        <v>312</v>
      </c>
      <c r="AD1937" s="4">
        <v>224</v>
      </c>
      <c r="AE1937" s="4">
        <v>224</v>
      </c>
      <c r="AF1937" s="6">
        <v>64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 t="s">
        <v>100</v>
      </c>
      <c r="AW1937" s="8" t="s">
        <v>100</v>
      </c>
      <c r="AX1937" s="4" t="s">
        <v>100</v>
      </c>
      <c r="AY1937" s="8" t="s">
        <v>100</v>
      </c>
      <c r="AZ1937" s="7" t="s">
        <v>100</v>
      </c>
      <c r="BA1937" s="7" t="s">
        <v>100</v>
      </c>
      <c r="BB1937" s="7"/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/>
      <c r="BJ1937" s="4">
        <v>19</v>
      </c>
      <c r="BK1937" s="8">
        <v>200.21</v>
      </c>
      <c r="BL1937" s="2" t="s">
        <v>1811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2551</v>
      </c>
      <c r="BV1937" s="2" t="s">
        <v>97</v>
      </c>
      <c r="BW1937" s="2" t="s">
        <v>100</v>
      </c>
      <c r="BX1937" s="2" t="s">
        <v>100</v>
      </c>
      <c r="BY1937" s="2" t="s">
        <v>112</v>
      </c>
      <c r="BZ1937" s="2" t="s">
        <v>100</v>
      </c>
    </row>
    <row r="1938">
      <c r="A1938" s="2" t="s">
        <v>6690</v>
      </c>
      <c r="B1938" s="2" t="s">
        <v>5155</v>
      </c>
      <c r="C1938" s="2" t="s">
        <v>2831</v>
      </c>
      <c r="D1938" s="2" t="s">
        <v>4459</v>
      </c>
      <c r="E1938" s="2" t="s">
        <v>6681</v>
      </c>
      <c r="F1938" s="2" t="s">
        <v>6657</v>
      </c>
      <c r="G1938" s="2" t="s">
        <v>6657</v>
      </c>
      <c r="H1938" s="2" t="s">
        <v>6657</v>
      </c>
      <c r="I1938" s="2" t="s">
        <v>6685</v>
      </c>
      <c r="J1938" s="2" t="s">
        <v>3172</v>
      </c>
      <c r="K1938" s="2" t="s">
        <v>1384</v>
      </c>
      <c r="L1938" s="3">
        <v>12.96</v>
      </c>
      <c r="M1938" s="3">
        <v>13.61</v>
      </c>
      <c r="N1938" s="3">
        <v>26.99</v>
      </c>
      <c r="O1938" s="2" t="s">
        <v>97</v>
      </c>
      <c r="P1938" s="2" t="s">
        <v>98</v>
      </c>
      <c r="Q1938" s="2" t="s">
        <v>99</v>
      </c>
      <c r="R1938" s="2" t="s">
        <v>100</v>
      </c>
      <c r="S1938" s="2" t="s">
        <v>6664</v>
      </c>
      <c r="T1938" s="2" t="s">
        <v>5936</v>
      </c>
      <c r="U1938" s="2" t="s">
        <v>1776</v>
      </c>
      <c r="V1938" s="2" t="s">
        <v>461</v>
      </c>
      <c r="W1938" s="2" t="s">
        <v>609</v>
      </c>
      <c r="X1938" s="2" t="s">
        <v>525</v>
      </c>
      <c r="Y1938" s="2" t="s">
        <v>2759</v>
      </c>
      <c r="Z1938" s="4">
        <v>300</v>
      </c>
      <c r="AA1938" s="4">
        <f>=ROUNDDOWN(75,0)</f>
      </c>
      <c r="AB1938" s="5">
        <v>4</v>
      </c>
      <c r="AC1938" s="2" t="s">
        <v>100</v>
      </c>
      <c r="AD1938" s="4"/>
      <c r="AE1938" s="4"/>
      <c r="AF1938" s="6">
        <v>64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 t="s">
        <v>100</v>
      </c>
      <c r="AW1938" s="8" t="s">
        <v>100</v>
      </c>
      <c r="AX1938" s="4" t="s">
        <v>100</v>
      </c>
      <c r="AY1938" s="8" t="s">
        <v>100</v>
      </c>
      <c r="AZ1938" s="7" t="s">
        <v>100</v>
      </c>
      <c r="BA1938" s="7" t="s">
        <v>100</v>
      </c>
      <c r="BB1938" s="7"/>
      <c r="BC1938" s="4" t="s">
        <v>100</v>
      </c>
      <c r="BD1938" s="8" t="s">
        <v>100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/>
      <c r="BJ1938" s="4">
        <v>17</v>
      </c>
      <c r="BK1938" s="8">
        <v>244.97</v>
      </c>
      <c r="BL1938" s="2" t="s">
        <v>1347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2551</v>
      </c>
      <c r="BV1938" s="2" t="s">
        <v>97</v>
      </c>
      <c r="BW1938" s="2" t="s">
        <v>100</v>
      </c>
      <c r="BX1938" s="2" t="s">
        <v>100</v>
      </c>
      <c r="BY1938" s="2" t="s">
        <v>112</v>
      </c>
      <c r="BZ1938" s="2" t="s">
        <v>100</v>
      </c>
    </row>
    <row r="1939">
      <c r="A1939" s="2" t="s">
        <v>6691</v>
      </c>
      <c r="B1939" s="2" t="s">
        <v>5155</v>
      </c>
      <c r="C1939" s="2" t="s">
        <v>2831</v>
      </c>
      <c r="D1939" s="2" t="s">
        <v>4459</v>
      </c>
      <c r="E1939" s="2" t="s">
        <v>6681</v>
      </c>
      <c r="F1939" s="2" t="s">
        <v>6657</v>
      </c>
      <c r="G1939" s="2" t="s">
        <v>6657</v>
      </c>
      <c r="H1939" s="2" t="s">
        <v>6657</v>
      </c>
      <c r="I1939" s="2" t="s">
        <v>6688</v>
      </c>
      <c r="J1939" s="2" t="s">
        <v>3315</v>
      </c>
      <c r="K1939" s="2" t="s">
        <v>1384</v>
      </c>
      <c r="L1939" s="3">
        <v>18.4</v>
      </c>
      <c r="M1939" s="3">
        <v>19.32</v>
      </c>
      <c r="N1939" s="3">
        <v>39.99</v>
      </c>
      <c r="O1939" s="2" t="s">
        <v>97</v>
      </c>
      <c r="P1939" s="2" t="s">
        <v>98</v>
      </c>
      <c r="Q1939" s="2" t="s">
        <v>99</v>
      </c>
      <c r="R1939" s="2" t="s">
        <v>100</v>
      </c>
      <c r="S1939" s="2" t="s">
        <v>6664</v>
      </c>
      <c r="T1939" s="2" t="s">
        <v>5936</v>
      </c>
      <c r="U1939" s="2" t="s">
        <v>1776</v>
      </c>
      <c r="V1939" s="2" t="s">
        <v>461</v>
      </c>
      <c r="W1939" s="2" t="s">
        <v>609</v>
      </c>
      <c r="X1939" s="2" t="s">
        <v>525</v>
      </c>
      <c r="Y1939" s="2" t="s">
        <v>6659</v>
      </c>
      <c r="Z1939" s="4">
        <v>155</v>
      </c>
      <c r="AA1939" s="4">
        <f>=ROUNDDOWN(31,0)</f>
      </c>
      <c r="AB1939" s="5">
        <v>5</v>
      </c>
      <c r="AC1939" s="2" t="s">
        <v>312</v>
      </c>
      <c r="AD1939" s="4">
        <v>184</v>
      </c>
      <c r="AE1939" s="4">
        <v>184</v>
      </c>
      <c r="AF1939" s="6">
        <v>64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 t="s">
        <v>100</v>
      </c>
      <c r="AW1939" s="8" t="s">
        <v>100</v>
      </c>
      <c r="AX1939" s="4" t="s">
        <v>100</v>
      </c>
      <c r="AY1939" s="8" t="s">
        <v>100</v>
      </c>
      <c r="AZ1939" s="7" t="s">
        <v>100</v>
      </c>
      <c r="BA1939" s="7" t="s">
        <v>100</v>
      </c>
      <c r="BB1939" s="7"/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/>
      <c r="BJ1939" s="4">
        <v>20</v>
      </c>
      <c r="BK1939" s="8">
        <v>373.21</v>
      </c>
      <c r="BL1939" s="2" t="s">
        <v>1823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2551</v>
      </c>
      <c r="BV1939" s="2" t="s">
        <v>97</v>
      </c>
      <c r="BW1939" s="2" t="s">
        <v>100</v>
      </c>
      <c r="BX1939" s="2" t="s">
        <v>100</v>
      </c>
      <c r="BY1939" s="2" t="s">
        <v>112</v>
      </c>
      <c r="BZ1939" s="2" t="s">
        <v>100</v>
      </c>
    </row>
    <row r="1940">
      <c r="A1940" s="2" t="s">
        <v>6692</v>
      </c>
      <c r="B1940" s="2" t="s">
        <v>5155</v>
      </c>
      <c r="C1940" s="2" t="s">
        <v>2831</v>
      </c>
      <c r="D1940" s="2" t="s">
        <v>4459</v>
      </c>
      <c r="E1940" s="2" t="s">
        <v>6681</v>
      </c>
      <c r="F1940" s="2" t="s">
        <v>6657</v>
      </c>
      <c r="G1940" s="2" t="s">
        <v>6657</v>
      </c>
      <c r="H1940" s="2" t="s">
        <v>6657</v>
      </c>
      <c r="I1940" s="2" t="s">
        <v>6682</v>
      </c>
      <c r="J1940" s="2" t="s">
        <v>2514</v>
      </c>
      <c r="K1940" s="2" t="s">
        <v>1373</v>
      </c>
      <c r="L1940" s="3">
        <v>10.58</v>
      </c>
      <c r="M1940" s="3">
        <v>11.11</v>
      </c>
      <c r="N1940" s="3">
        <v>22.99</v>
      </c>
      <c r="O1940" s="2" t="s">
        <v>97</v>
      </c>
      <c r="P1940" s="2" t="s">
        <v>98</v>
      </c>
      <c r="Q1940" s="2" t="s">
        <v>99</v>
      </c>
      <c r="R1940" s="2" t="s">
        <v>100</v>
      </c>
      <c r="S1940" s="2" t="s">
        <v>6671</v>
      </c>
      <c r="T1940" s="2" t="s">
        <v>5936</v>
      </c>
      <c r="U1940" s="2" t="s">
        <v>100</v>
      </c>
      <c r="V1940" s="2" t="s">
        <v>461</v>
      </c>
      <c r="W1940" s="2" t="s">
        <v>609</v>
      </c>
      <c r="X1940" s="2" t="s">
        <v>525</v>
      </c>
      <c r="Y1940" s="2" t="s">
        <v>144</v>
      </c>
      <c r="Z1940" s="4">
        <v>285</v>
      </c>
      <c r="AA1940" s="4">
        <f>=ROUNDDOWN(10.9615384615385,0)</f>
      </c>
      <c r="AB1940" s="5">
        <v>26</v>
      </c>
      <c r="AC1940" s="2" t="s">
        <v>130</v>
      </c>
      <c r="AD1940" s="4">
        <v>352</v>
      </c>
      <c r="AE1940" s="4">
        <v>872</v>
      </c>
      <c r="AF1940" s="6">
        <v>64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 t="s">
        <v>100</v>
      </c>
      <c r="AW1940" s="8" t="s">
        <v>100</v>
      </c>
      <c r="AX1940" s="4" t="s">
        <v>100</v>
      </c>
      <c r="AY1940" s="8" t="s">
        <v>100</v>
      </c>
      <c r="AZ1940" s="7" t="s">
        <v>100</v>
      </c>
      <c r="BA1940" s="7" t="s">
        <v>100</v>
      </c>
      <c r="BB1940" s="7"/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/>
      <c r="BJ1940" s="4">
        <v>63</v>
      </c>
      <c r="BK1940" s="8">
        <v>714.87</v>
      </c>
      <c r="BL1940" s="2" t="s">
        <v>1082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2551</v>
      </c>
      <c r="BV1940" s="2" t="s">
        <v>97</v>
      </c>
      <c r="BW1940" s="2" t="s">
        <v>100</v>
      </c>
      <c r="BX1940" s="2" t="s">
        <v>100</v>
      </c>
      <c r="BY1940" s="2" t="s">
        <v>112</v>
      </c>
      <c r="BZ1940" s="2" t="s">
        <v>100</v>
      </c>
    </row>
    <row r="1941">
      <c r="A1941" s="2" t="s">
        <v>6693</v>
      </c>
      <c r="B1941" s="2" t="s">
        <v>5155</v>
      </c>
      <c r="C1941" s="2" t="s">
        <v>2831</v>
      </c>
      <c r="D1941" s="2" t="s">
        <v>4459</v>
      </c>
      <c r="E1941" s="2" t="s">
        <v>6681</v>
      </c>
      <c r="F1941" s="2" t="s">
        <v>6657</v>
      </c>
      <c r="G1941" s="2" t="s">
        <v>6657</v>
      </c>
      <c r="H1941" s="2" t="s">
        <v>6657</v>
      </c>
      <c r="I1941" s="2" t="s">
        <v>6685</v>
      </c>
      <c r="J1941" s="2" t="s">
        <v>3172</v>
      </c>
      <c r="K1941" s="2" t="s">
        <v>1373</v>
      </c>
      <c r="L1941" s="3">
        <v>12.96</v>
      </c>
      <c r="M1941" s="3">
        <v>13.61</v>
      </c>
      <c r="N1941" s="3">
        <v>26.99</v>
      </c>
      <c r="O1941" s="2" t="s">
        <v>97</v>
      </c>
      <c r="P1941" s="2" t="s">
        <v>98</v>
      </c>
      <c r="Q1941" s="2" t="s">
        <v>99</v>
      </c>
      <c r="R1941" s="2" t="s">
        <v>100</v>
      </c>
      <c r="S1941" s="2" t="s">
        <v>6671</v>
      </c>
      <c r="T1941" s="2" t="s">
        <v>5936</v>
      </c>
      <c r="U1941" s="2" t="s">
        <v>100</v>
      </c>
      <c r="V1941" s="2" t="s">
        <v>461</v>
      </c>
      <c r="W1941" s="2" t="s">
        <v>609</v>
      </c>
      <c r="X1941" s="2" t="s">
        <v>525</v>
      </c>
      <c r="Y1941" s="2" t="s">
        <v>144</v>
      </c>
      <c r="Z1941" s="4">
        <v>188</v>
      </c>
      <c r="AA1941" s="4">
        <f>=ROUNDDOWN(6.83636363636364,0)</f>
      </c>
      <c r="AB1941" s="5">
        <v>27.5</v>
      </c>
      <c r="AC1941" s="2" t="s">
        <v>130</v>
      </c>
      <c r="AD1941" s="4">
        <v>320</v>
      </c>
      <c r="AE1941" s="4">
        <v>720</v>
      </c>
      <c r="AF1941" s="6">
        <v>64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 t="s">
        <v>100</v>
      </c>
      <c r="AW1941" s="8" t="s">
        <v>100</v>
      </c>
      <c r="AX1941" s="4" t="s">
        <v>100</v>
      </c>
      <c r="AY1941" s="8" t="s">
        <v>100</v>
      </c>
      <c r="AZ1941" s="7" t="s">
        <v>100</v>
      </c>
      <c r="BA1941" s="7" t="s">
        <v>100</v>
      </c>
      <c r="BB1941" s="7"/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/>
      <c r="BJ1941" s="4">
        <v>52</v>
      </c>
      <c r="BK1941" s="8">
        <v>722.12</v>
      </c>
      <c r="BL1941" s="2" t="s">
        <v>5927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2551</v>
      </c>
      <c r="BV1941" s="2" t="s">
        <v>97</v>
      </c>
      <c r="BW1941" s="2" t="s">
        <v>100</v>
      </c>
      <c r="BX1941" s="2" t="s">
        <v>100</v>
      </c>
      <c r="BY1941" s="2" t="s">
        <v>112</v>
      </c>
      <c r="BZ1941" s="2" t="s">
        <v>100</v>
      </c>
    </row>
    <row r="1942">
      <c r="A1942" s="2" t="s">
        <v>6694</v>
      </c>
      <c r="B1942" s="2" t="s">
        <v>5155</v>
      </c>
      <c r="C1942" s="2" t="s">
        <v>2831</v>
      </c>
      <c r="D1942" s="2" t="s">
        <v>4459</v>
      </c>
      <c r="E1942" s="2" t="s">
        <v>6681</v>
      </c>
      <c r="F1942" s="2" t="s">
        <v>6657</v>
      </c>
      <c r="G1942" s="2" t="s">
        <v>6657</v>
      </c>
      <c r="H1942" s="2" t="s">
        <v>6657</v>
      </c>
      <c r="I1942" s="2" t="s">
        <v>6688</v>
      </c>
      <c r="J1942" s="2" t="s">
        <v>3315</v>
      </c>
      <c r="K1942" s="2" t="s">
        <v>1373</v>
      </c>
      <c r="L1942" s="3">
        <v>18.4</v>
      </c>
      <c r="M1942" s="3">
        <v>19.32</v>
      </c>
      <c r="N1942" s="3">
        <v>39.99</v>
      </c>
      <c r="O1942" s="2" t="s">
        <v>97</v>
      </c>
      <c r="P1942" s="2" t="s">
        <v>98</v>
      </c>
      <c r="Q1942" s="2" t="s">
        <v>99</v>
      </c>
      <c r="R1942" s="2" t="s">
        <v>100</v>
      </c>
      <c r="S1942" s="2" t="s">
        <v>6671</v>
      </c>
      <c r="T1942" s="2" t="s">
        <v>5936</v>
      </c>
      <c r="U1942" s="2" t="s">
        <v>1776</v>
      </c>
      <c r="V1942" s="2" t="s">
        <v>461</v>
      </c>
      <c r="W1942" s="2" t="s">
        <v>609</v>
      </c>
      <c r="X1942" s="2" t="s">
        <v>525</v>
      </c>
      <c r="Y1942" s="2" t="s">
        <v>144</v>
      </c>
      <c r="Z1942" s="4">
        <v>287</v>
      </c>
      <c r="AA1942" s="4">
        <f>=ROUNDDOWN(57.4,0)</f>
      </c>
      <c r="AB1942" s="5">
        <v>5</v>
      </c>
      <c r="AC1942" s="2" t="s">
        <v>130</v>
      </c>
      <c r="AD1942" s="4">
        <v>280</v>
      </c>
      <c r="AE1942" s="4">
        <v>280</v>
      </c>
      <c r="AF1942" s="6">
        <v>64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 t="s">
        <v>100</v>
      </c>
      <c r="AW1942" s="8" t="s">
        <v>100</v>
      </c>
      <c r="AX1942" s="4" t="s">
        <v>100</v>
      </c>
      <c r="AY1942" s="8" t="s">
        <v>100</v>
      </c>
      <c r="AZ1942" s="7" t="s">
        <v>100</v>
      </c>
      <c r="BA1942" s="7" t="s">
        <v>100</v>
      </c>
      <c r="BB1942" s="7"/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/>
      <c r="BJ1942" s="4">
        <v>8</v>
      </c>
      <c r="BK1942" s="8">
        <v>157.49</v>
      </c>
      <c r="BL1942" s="2" t="s">
        <v>2605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2551</v>
      </c>
      <c r="BV1942" s="2" t="s">
        <v>97</v>
      </c>
      <c r="BW1942" s="2" t="s">
        <v>100</v>
      </c>
      <c r="BX1942" s="2" t="s">
        <v>100</v>
      </c>
      <c r="BY1942" s="2" t="s">
        <v>112</v>
      </c>
      <c r="BZ1942" s="2" t="s">
        <v>100</v>
      </c>
    </row>
    <row r="1943">
      <c r="A1943" s="2" t="s">
        <v>6695</v>
      </c>
      <c r="B1943" s="2" t="s">
        <v>5155</v>
      </c>
      <c r="C1943" s="2" t="s">
        <v>2831</v>
      </c>
      <c r="D1943" s="2" t="s">
        <v>1771</v>
      </c>
      <c r="E1943" s="2" t="s">
        <v>5398</v>
      </c>
      <c r="F1943" s="2" t="s">
        <v>6657</v>
      </c>
      <c r="G1943" s="2" t="s">
        <v>6657</v>
      </c>
      <c r="H1943" s="2" t="s">
        <v>6657</v>
      </c>
      <c r="I1943" s="2" t="s">
        <v>5398</v>
      </c>
      <c r="J1943" s="2" t="s">
        <v>5894</v>
      </c>
      <c r="K1943" s="2" t="s">
        <v>96</v>
      </c>
      <c r="L1943" s="3">
        <v>18.09</v>
      </c>
      <c r="M1943" s="3">
        <v>18.99</v>
      </c>
      <c r="N1943" s="3">
        <v>38.99</v>
      </c>
      <c r="O1943" s="2" t="s">
        <v>97</v>
      </c>
      <c r="P1943" s="2" t="s">
        <v>98</v>
      </c>
      <c r="Q1943" s="2" t="s">
        <v>99</v>
      </c>
      <c r="R1943" s="2" t="s">
        <v>100</v>
      </c>
      <c r="S1943" s="2" t="s">
        <v>6658</v>
      </c>
      <c r="T1943" s="2" t="s">
        <v>5936</v>
      </c>
      <c r="U1943" s="2" t="s">
        <v>1776</v>
      </c>
      <c r="V1943" s="2" t="s">
        <v>461</v>
      </c>
      <c r="W1943" s="2" t="s">
        <v>609</v>
      </c>
      <c r="X1943" s="2" t="s">
        <v>525</v>
      </c>
      <c r="Y1943" s="2" t="s">
        <v>2759</v>
      </c>
      <c r="Z1943" s="4">
        <v>201</v>
      </c>
      <c r="AA1943" s="4">
        <f>=ROUNDDOWN(15.4615384615385,0)</f>
      </c>
      <c r="AB1943" s="5">
        <v>13</v>
      </c>
      <c r="AC1943" s="2" t="s">
        <v>1468</v>
      </c>
      <c r="AD1943" s="4">
        <v>300</v>
      </c>
      <c r="AE1943" s="4">
        <v>300</v>
      </c>
      <c r="AF1943" s="6">
        <v>64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100</v>
      </c>
      <c r="BD1943" s="8" t="s">
        <v>100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/>
      <c r="BJ1943" s="4">
        <v>34</v>
      </c>
      <c r="BK1943" s="8">
        <v>683.78</v>
      </c>
      <c r="BL1943" s="2" t="s">
        <v>2404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2551</v>
      </c>
      <c r="BV1943" s="2" t="s">
        <v>97</v>
      </c>
      <c r="BW1943" s="2" t="s">
        <v>100</v>
      </c>
      <c r="BX1943" s="2" t="s">
        <v>100</v>
      </c>
      <c r="BY1943" s="2" t="s">
        <v>112</v>
      </c>
      <c r="BZ1943" s="2" t="s">
        <v>100</v>
      </c>
    </row>
    <row r="1944">
      <c r="A1944" s="2" t="s">
        <v>6696</v>
      </c>
      <c r="B1944" s="2" t="s">
        <v>5155</v>
      </c>
      <c r="C1944" s="2" t="s">
        <v>2831</v>
      </c>
      <c r="D1944" s="2" t="s">
        <v>1771</v>
      </c>
      <c r="E1944" s="2" t="s">
        <v>5398</v>
      </c>
      <c r="F1944" s="2" t="s">
        <v>6657</v>
      </c>
      <c r="G1944" s="2" t="s">
        <v>6657</v>
      </c>
      <c r="H1944" s="2" t="s">
        <v>6657</v>
      </c>
      <c r="I1944" s="2" t="s">
        <v>5398</v>
      </c>
      <c r="J1944" s="2" t="s">
        <v>5894</v>
      </c>
      <c r="K1944" s="2" t="s">
        <v>1384</v>
      </c>
      <c r="L1944" s="3">
        <v>18.09</v>
      </c>
      <c r="M1944" s="3">
        <v>18.99</v>
      </c>
      <c r="N1944" s="3">
        <v>38.99</v>
      </c>
      <c r="O1944" s="2" t="s">
        <v>97</v>
      </c>
      <c r="P1944" s="2" t="s">
        <v>98</v>
      </c>
      <c r="Q1944" s="2" t="s">
        <v>99</v>
      </c>
      <c r="R1944" s="2" t="s">
        <v>100</v>
      </c>
      <c r="S1944" s="2" t="s">
        <v>6664</v>
      </c>
      <c r="T1944" s="2" t="s">
        <v>5936</v>
      </c>
      <c r="U1944" s="2" t="s">
        <v>1776</v>
      </c>
      <c r="V1944" s="2" t="s">
        <v>461</v>
      </c>
      <c r="W1944" s="2" t="s">
        <v>609</v>
      </c>
      <c r="X1944" s="2" t="s">
        <v>525</v>
      </c>
      <c r="Y1944" s="2" t="s">
        <v>2759</v>
      </c>
      <c r="Z1944" s="4">
        <v>156</v>
      </c>
      <c r="AA1944" s="4">
        <f>=ROUNDDOWN(8.21052631578947,0)</f>
      </c>
      <c r="AB1944" s="5">
        <v>19</v>
      </c>
      <c r="AC1944" s="2" t="s">
        <v>312</v>
      </c>
      <c r="AD1944" s="4">
        <v>300</v>
      </c>
      <c r="AE1944" s="4">
        <v>800</v>
      </c>
      <c r="AF1944" s="6">
        <v>64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/>
      <c r="BJ1944" s="4">
        <v>82</v>
      </c>
      <c r="BK1944" s="8">
        <v>1671.69</v>
      </c>
      <c r="BL1944" s="2" t="s">
        <v>3127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2551</v>
      </c>
      <c r="BV1944" s="2" t="s">
        <v>97</v>
      </c>
      <c r="BW1944" s="2" t="s">
        <v>100</v>
      </c>
      <c r="BX1944" s="2" t="s">
        <v>100</v>
      </c>
      <c r="BY1944" s="2" t="s">
        <v>112</v>
      </c>
      <c r="BZ1944" s="2" t="s">
        <v>100</v>
      </c>
    </row>
    <row r="1945">
      <c r="A1945" s="2" t="s">
        <v>6697</v>
      </c>
      <c r="B1945" s="2" t="s">
        <v>5155</v>
      </c>
      <c r="C1945" s="2" t="s">
        <v>2831</v>
      </c>
      <c r="D1945" s="2" t="s">
        <v>1771</v>
      </c>
      <c r="E1945" s="2" t="s">
        <v>5398</v>
      </c>
      <c r="F1945" s="2" t="s">
        <v>6657</v>
      </c>
      <c r="G1945" s="2" t="s">
        <v>6657</v>
      </c>
      <c r="H1945" s="2" t="s">
        <v>6657</v>
      </c>
      <c r="I1945" s="2" t="s">
        <v>5398</v>
      </c>
      <c r="J1945" s="2" t="s">
        <v>5894</v>
      </c>
      <c r="K1945" s="2" t="s">
        <v>1373</v>
      </c>
      <c r="L1945" s="3">
        <v>18.09</v>
      </c>
      <c r="M1945" s="3">
        <v>18.99</v>
      </c>
      <c r="N1945" s="3">
        <v>38.99</v>
      </c>
      <c r="O1945" s="2" t="s">
        <v>97</v>
      </c>
      <c r="P1945" s="2" t="s">
        <v>98</v>
      </c>
      <c r="Q1945" s="2" t="s">
        <v>99</v>
      </c>
      <c r="R1945" s="2" t="s">
        <v>100</v>
      </c>
      <c r="S1945" s="2" t="s">
        <v>6671</v>
      </c>
      <c r="T1945" s="2" t="s">
        <v>5936</v>
      </c>
      <c r="U1945" s="2" t="s">
        <v>100</v>
      </c>
      <c r="V1945" s="2" t="s">
        <v>461</v>
      </c>
      <c r="W1945" s="2" t="s">
        <v>609</v>
      </c>
      <c r="X1945" s="2" t="s">
        <v>525</v>
      </c>
      <c r="Y1945" s="2" t="s">
        <v>144</v>
      </c>
      <c r="Z1945" s="4">
        <v>374</v>
      </c>
      <c r="AA1945" s="4">
        <f>=ROUNDDOWN(20.7777777777778,0)</f>
      </c>
      <c r="AB1945" s="5">
        <v>18</v>
      </c>
      <c r="AC1945" s="2" t="s">
        <v>1468</v>
      </c>
      <c r="AD1945" s="4">
        <v>250</v>
      </c>
      <c r="AE1945" s="4">
        <v>250</v>
      </c>
      <c r="AF1945" s="6">
        <v>64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/>
      <c r="BJ1945" s="4">
        <v>56</v>
      </c>
      <c r="BK1945" s="8">
        <v>1094.1</v>
      </c>
      <c r="BL1945" s="2" t="s">
        <v>2461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2551</v>
      </c>
      <c r="BV1945" s="2" t="s">
        <v>97</v>
      </c>
      <c r="BW1945" s="2" t="s">
        <v>100</v>
      </c>
      <c r="BX1945" s="2" t="s">
        <v>100</v>
      </c>
      <c r="BY1945" s="2" t="s">
        <v>112</v>
      </c>
      <c r="BZ1945" s="2" t="s">
        <v>100</v>
      </c>
    </row>
    <row r="1946">
      <c r="A1946" s="2" t="s">
        <v>6698</v>
      </c>
      <c r="B1946" s="2" t="s">
        <v>5155</v>
      </c>
      <c r="C1946" s="2" t="s">
        <v>2831</v>
      </c>
      <c r="D1946" s="2" t="s">
        <v>1771</v>
      </c>
      <c r="E1946" s="2" t="s">
        <v>5398</v>
      </c>
      <c r="F1946" s="2" t="s">
        <v>6699</v>
      </c>
      <c r="G1946" s="2" t="s">
        <v>6700</v>
      </c>
      <c r="H1946" s="2" t="s">
        <v>100</v>
      </c>
      <c r="I1946" s="2" t="s">
        <v>6701</v>
      </c>
      <c r="J1946" s="2" t="s">
        <v>5894</v>
      </c>
      <c r="K1946" s="2" t="s">
        <v>471</v>
      </c>
      <c r="L1946" s="3">
        <v>19.22</v>
      </c>
      <c r="M1946" s="3">
        <v>20.18</v>
      </c>
      <c r="N1946" s="3">
        <v>41.99</v>
      </c>
      <c r="O1946" s="2" t="s">
        <v>97</v>
      </c>
      <c r="P1946" s="2" t="s">
        <v>98</v>
      </c>
      <c r="Q1946" s="2" t="s">
        <v>99</v>
      </c>
      <c r="R1946" s="2" t="s">
        <v>100</v>
      </c>
      <c r="S1946" s="2" t="s">
        <v>6702</v>
      </c>
      <c r="T1946" s="2" t="s">
        <v>5936</v>
      </c>
      <c r="U1946" s="2" t="s">
        <v>100</v>
      </c>
      <c r="V1946" s="2" t="s">
        <v>4845</v>
      </c>
      <c r="W1946" s="2" t="s">
        <v>2835</v>
      </c>
      <c r="X1946" s="2" t="s">
        <v>493</v>
      </c>
      <c r="Y1946" s="2" t="s">
        <v>144</v>
      </c>
      <c r="Z1946" s="4">
        <v>383</v>
      </c>
      <c r="AA1946" s="4">
        <f>=ROUNDDOWN(25.5333333333333,0)</f>
      </c>
      <c r="AB1946" s="5">
        <v>15</v>
      </c>
      <c r="AC1946" s="2" t="s">
        <v>824</v>
      </c>
      <c r="AD1946" s="4">
        <v>200</v>
      </c>
      <c r="AE1946" s="4">
        <v>500</v>
      </c>
      <c r="AF1946" s="6">
        <v>64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 t="s">
        <v>100</v>
      </c>
      <c r="BD1946" s="8" t="s">
        <v>100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/>
      <c r="BJ1946" s="4">
        <v>31</v>
      </c>
      <c r="BK1946" s="8">
        <v>633.98</v>
      </c>
      <c r="BL1946" s="2" t="s">
        <v>6703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2551</v>
      </c>
      <c r="BV1946" s="2" t="s">
        <v>97</v>
      </c>
      <c r="BW1946" s="2" t="s">
        <v>100</v>
      </c>
      <c r="BX1946" s="2" t="s">
        <v>100</v>
      </c>
      <c r="BY1946" s="2" t="s">
        <v>112</v>
      </c>
      <c r="BZ1946" s="2" t="s">
        <v>100</v>
      </c>
    </row>
    <row r="1947">
      <c r="A1947" s="2" t="s">
        <v>6704</v>
      </c>
      <c r="B1947" s="2" t="s">
        <v>5155</v>
      </c>
      <c r="C1947" s="2" t="s">
        <v>2831</v>
      </c>
      <c r="D1947" s="2" t="s">
        <v>1771</v>
      </c>
      <c r="E1947" s="2" t="s">
        <v>5398</v>
      </c>
      <c r="F1947" s="2" t="s">
        <v>6699</v>
      </c>
      <c r="G1947" s="2" t="s">
        <v>6700</v>
      </c>
      <c r="H1947" s="2" t="s">
        <v>100</v>
      </c>
      <c r="I1947" s="2" t="s">
        <v>6701</v>
      </c>
      <c r="J1947" s="2" t="s">
        <v>5894</v>
      </c>
      <c r="K1947" s="2" t="s">
        <v>96</v>
      </c>
      <c r="L1947" s="3">
        <v>19.22</v>
      </c>
      <c r="M1947" s="3">
        <v>20.18</v>
      </c>
      <c r="N1947" s="3">
        <v>41.99</v>
      </c>
      <c r="O1947" s="2" t="s">
        <v>97</v>
      </c>
      <c r="P1947" s="2" t="s">
        <v>98</v>
      </c>
      <c r="Q1947" s="2" t="s">
        <v>99</v>
      </c>
      <c r="R1947" s="2" t="s">
        <v>100</v>
      </c>
      <c r="S1947" s="2" t="s">
        <v>6705</v>
      </c>
      <c r="T1947" s="2" t="s">
        <v>5936</v>
      </c>
      <c r="U1947" s="2" t="s">
        <v>1776</v>
      </c>
      <c r="V1947" s="2" t="s">
        <v>4845</v>
      </c>
      <c r="W1947" s="2" t="s">
        <v>2835</v>
      </c>
      <c r="X1947" s="2" t="s">
        <v>493</v>
      </c>
      <c r="Y1947" s="2" t="s">
        <v>6706</v>
      </c>
      <c r="Z1947" s="4">
        <v>295</v>
      </c>
      <c r="AA1947" s="4">
        <f>=ROUNDDOWN(19.6666666666667,0)</f>
      </c>
      <c r="AB1947" s="5">
        <v>15</v>
      </c>
      <c r="AC1947" s="2" t="s">
        <v>107</v>
      </c>
      <c r="AD1947" s="4">
        <v>200</v>
      </c>
      <c r="AE1947" s="4">
        <v>200</v>
      </c>
      <c r="AF1947" s="6">
        <v>64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/>
      <c r="BJ1947" s="4">
        <v>33</v>
      </c>
      <c r="BK1947" s="8">
        <v>661.12</v>
      </c>
      <c r="BL1947" s="2" t="s">
        <v>2656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2551</v>
      </c>
      <c r="BV1947" s="2" t="s">
        <v>97</v>
      </c>
      <c r="BW1947" s="2" t="s">
        <v>100</v>
      </c>
      <c r="BX1947" s="2" t="s">
        <v>100</v>
      </c>
      <c r="BY1947" s="2" t="s">
        <v>112</v>
      </c>
      <c r="BZ1947" s="2" t="s">
        <v>100</v>
      </c>
    </row>
    <row r="1948">
      <c r="A1948" s="2" t="s">
        <v>6707</v>
      </c>
      <c r="B1948" s="2" t="s">
        <v>5155</v>
      </c>
      <c r="C1948" s="2" t="s">
        <v>2831</v>
      </c>
      <c r="D1948" s="2" t="s">
        <v>1771</v>
      </c>
      <c r="E1948" s="2" t="s">
        <v>5398</v>
      </c>
      <c r="F1948" s="2" t="s">
        <v>6699</v>
      </c>
      <c r="G1948" s="2" t="s">
        <v>6700</v>
      </c>
      <c r="H1948" s="2" t="s">
        <v>100</v>
      </c>
      <c r="I1948" s="2" t="s">
        <v>6701</v>
      </c>
      <c r="J1948" s="2" t="s">
        <v>5894</v>
      </c>
      <c r="K1948" s="2" t="s">
        <v>223</v>
      </c>
      <c r="L1948" s="3">
        <v>19.22</v>
      </c>
      <c r="M1948" s="3">
        <v>20.18</v>
      </c>
      <c r="N1948" s="3">
        <v>41.99</v>
      </c>
      <c r="O1948" s="2" t="s">
        <v>97</v>
      </c>
      <c r="P1948" s="2" t="s">
        <v>98</v>
      </c>
      <c r="Q1948" s="2" t="s">
        <v>99</v>
      </c>
      <c r="R1948" s="2" t="s">
        <v>100</v>
      </c>
      <c r="S1948" s="2" t="s">
        <v>6705</v>
      </c>
      <c r="T1948" s="2" t="s">
        <v>100</v>
      </c>
      <c r="U1948" s="2" t="s">
        <v>1776</v>
      </c>
      <c r="V1948" s="2" t="s">
        <v>4845</v>
      </c>
      <c r="W1948" s="2" t="s">
        <v>2835</v>
      </c>
      <c r="X1948" s="2" t="s">
        <v>493</v>
      </c>
      <c r="Y1948" s="2" t="s">
        <v>6706</v>
      </c>
      <c r="Z1948" s="4">
        <v>251</v>
      </c>
      <c r="AA1948" s="4">
        <f>=ROUNDDOWN(20.9166666666667,0)</f>
      </c>
      <c r="AB1948" s="5">
        <v>12</v>
      </c>
      <c r="AC1948" s="2" t="s">
        <v>107</v>
      </c>
      <c r="AD1948" s="4">
        <v>250</v>
      </c>
      <c r="AE1948" s="4">
        <v>250</v>
      </c>
      <c r="AF1948" s="6">
        <v>64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 t="s">
        <v>100</v>
      </c>
      <c r="BD1948" s="8" t="s">
        <v>100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/>
      <c r="BJ1948" s="4">
        <v>33</v>
      </c>
      <c r="BK1948" s="8">
        <v>694.75</v>
      </c>
      <c r="BL1948" s="2" t="s">
        <v>6708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2551</v>
      </c>
      <c r="BV1948" s="2" t="s">
        <v>97</v>
      </c>
      <c r="BW1948" s="2" t="s">
        <v>100</v>
      </c>
      <c r="BX1948" s="2" t="s">
        <v>100</v>
      </c>
      <c r="BY1948" s="2" t="s">
        <v>112</v>
      </c>
      <c r="BZ1948" s="2" t="s">
        <v>100</v>
      </c>
    </row>
    <row r="1949">
      <c r="A1949" s="2" t="s">
        <v>6709</v>
      </c>
      <c r="B1949" s="2" t="s">
        <v>5155</v>
      </c>
      <c r="C1949" s="2" t="s">
        <v>2831</v>
      </c>
      <c r="D1949" s="2" t="s">
        <v>1771</v>
      </c>
      <c r="E1949" s="2" t="s">
        <v>5398</v>
      </c>
      <c r="F1949" s="2" t="s">
        <v>6699</v>
      </c>
      <c r="G1949" s="2" t="s">
        <v>6700</v>
      </c>
      <c r="H1949" s="2" t="s">
        <v>100</v>
      </c>
      <c r="I1949" s="2" t="s">
        <v>6701</v>
      </c>
      <c r="J1949" s="2" t="s">
        <v>5894</v>
      </c>
      <c r="K1949" s="2" t="s">
        <v>673</v>
      </c>
      <c r="L1949" s="3">
        <v>19.22</v>
      </c>
      <c r="M1949" s="3">
        <v>20.18</v>
      </c>
      <c r="N1949" s="3">
        <v>41.99</v>
      </c>
      <c r="O1949" s="2" t="s">
        <v>97</v>
      </c>
      <c r="P1949" s="2" t="s">
        <v>98</v>
      </c>
      <c r="Q1949" s="2" t="s">
        <v>99</v>
      </c>
      <c r="R1949" s="2" t="s">
        <v>100</v>
      </c>
      <c r="S1949" s="2" t="s">
        <v>6710</v>
      </c>
      <c r="T1949" s="2" t="s">
        <v>5936</v>
      </c>
      <c r="U1949" s="2" t="s">
        <v>100</v>
      </c>
      <c r="V1949" s="2" t="s">
        <v>4845</v>
      </c>
      <c r="W1949" s="2" t="s">
        <v>2835</v>
      </c>
      <c r="X1949" s="2" t="s">
        <v>493</v>
      </c>
      <c r="Y1949" s="2" t="s">
        <v>144</v>
      </c>
      <c r="Z1949" s="4">
        <v>287</v>
      </c>
      <c r="AA1949" s="4">
        <f>=ROUNDDOWN(17.9375,0)</f>
      </c>
      <c r="AB1949" s="5">
        <v>16</v>
      </c>
      <c r="AC1949" s="2" t="s">
        <v>107</v>
      </c>
      <c r="AD1949" s="4">
        <v>150</v>
      </c>
      <c r="AE1949" s="4">
        <v>650</v>
      </c>
      <c r="AF1949" s="6">
        <v>64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/>
      <c r="BJ1949" s="4">
        <v>34</v>
      </c>
      <c r="BK1949" s="8">
        <v>685.6</v>
      </c>
      <c r="BL1949" s="2" t="s">
        <v>6711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2551</v>
      </c>
      <c r="BV1949" s="2" t="s">
        <v>97</v>
      </c>
      <c r="BW1949" s="2" t="s">
        <v>100</v>
      </c>
      <c r="BX1949" s="2" t="s">
        <v>100</v>
      </c>
      <c r="BY1949" s="2" t="s">
        <v>112</v>
      </c>
      <c r="BZ1949" s="2" t="s">
        <v>100</v>
      </c>
    </row>
    <row r="1950">
      <c r="A1950" s="2" t="s">
        <v>6712</v>
      </c>
      <c r="B1950" s="2" t="s">
        <v>5155</v>
      </c>
      <c r="C1950" s="2" t="s">
        <v>2831</v>
      </c>
      <c r="D1950" s="2" t="s">
        <v>1771</v>
      </c>
      <c r="E1950" s="2" t="s">
        <v>5398</v>
      </c>
      <c r="F1950" s="2" t="s">
        <v>6699</v>
      </c>
      <c r="G1950" s="2" t="s">
        <v>6700</v>
      </c>
      <c r="H1950" s="2" t="s">
        <v>100</v>
      </c>
      <c r="I1950" s="2" t="s">
        <v>6701</v>
      </c>
      <c r="J1950" s="2" t="s">
        <v>5894</v>
      </c>
      <c r="K1950" s="2" t="s">
        <v>626</v>
      </c>
      <c r="L1950" s="3">
        <v>19.22</v>
      </c>
      <c r="M1950" s="3">
        <v>20.18</v>
      </c>
      <c r="N1950" s="3">
        <v>41.99</v>
      </c>
      <c r="O1950" s="2" t="s">
        <v>97</v>
      </c>
      <c r="P1950" s="2" t="s">
        <v>98</v>
      </c>
      <c r="Q1950" s="2" t="s">
        <v>99</v>
      </c>
      <c r="R1950" s="2" t="s">
        <v>100</v>
      </c>
      <c r="S1950" s="2" t="s">
        <v>6713</v>
      </c>
      <c r="T1950" s="2" t="s">
        <v>5936</v>
      </c>
      <c r="U1950" s="2" t="s">
        <v>100</v>
      </c>
      <c r="V1950" s="2" t="s">
        <v>4845</v>
      </c>
      <c r="W1950" s="2" t="s">
        <v>2835</v>
      </c>
      <c r="X1950" s="2" t="s">
        <v>493</v>
      </c>
      <c r="Y1950" s="2" t="s">
        <v>144</v>
      </c>
      <c r="Z1950" s="4">
        <v>711</v>
      </c>
      <c r="AA1950" s="4">
        <f>=ROUNDDOWN(39.5,0)</f>
      </c>
      <c r="AB1950" s="5">
        <v>18</v>
      </c>
      <c r="AC1950" s="2" t="s">
        <v>100</v>
      </c>
      <c r="AD1950" s="4"/>
      <c r="AE1950" s="4"/>
      <c r="AF1950" s="6">
        <v>64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/>
      <c r="BJ1950" s="4">
        <v>64</v>
      </c>
      <c r="BK1950" s="8">
        <v>1283.71</v>
      </c>
      <c r="BL1950" s="2" t="s">
        <v>6714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2551</v>
      </c>
      <c r="BV1950" s="2" t="s">
        <v>97</v>
      </c>
      <c r="BW1950" s="2" t="s">
        <v>100</v>
      </c>
      <c r="BX1950" s="2" t="s">
        <v>100</v>
      </c>
      <c r="BY1950" s="2" t="s">
        <v>112</v>
      </c>
      <c r="BZ1950" s="2" t="s">
        <v>100</v>
      </c>
    </row>
    <row r="1951">
      <c r="A1951" s="2" t="s">
        <v>6715</v>
      </c>
      <c r="B1951" s="2" t="s">
        <v>5155</v>
      </c>
      <c r="C1951" s="2" t="s">
        <v>4466</v>
      </c>
      <c r="D1951" s="2" t="s">
        <v>5156</v>
      </c>
      <c r="E1951" s="2" t="s">
        <v>5157</v>
      </c>
      <c r="F1951" s="2" t="s">
        <v>6716</v>
      </c>
      <c r="G1951" s="2" t="s">
        <v>6716</v>
      </c>
      <c r="H1951" s="2" t="s">
        <v>6716</v>
      </c>
      <c r="I1951" s="2" t="s">
        <v>5159</v>
      </c>
      <c r="J1951" s="2" t="s">
        <v>1443</v>
      </c>
      <c r="K1951" s="2" t="s">
        <v>179</v>
      </c>
      <c r="L1951" s="3">
        <v>45.23</v>
      </c>
      <c r="M1951" s="3">
        <v>47.49</v>
      </c>
      <c r="N1951" s="3">
        <v>94.99</v>
      </c>
      <c r="O1951" s="2" t="s">
        <v>97</v>
      </c>
      <c r="P1951" s="2" t="s">
        <v>98</v>
      </c>
      <c r="Q1951" s="2" t="s">
        <v>99</v>
      </c>
      <c r="R1951" s="2" t="s">
        <v>100</v>
      </c>
      <c r="S1951" s="2" t="s">
        <v>6717</v>
      </c>
      <c r="T1951" s="2" t="s">
        <v>5327</v>
      </c>
      <c r="U1951" s="2" t="s">
        <v>1776</v>
      </c>
      <c r="V1951" s="2" t="s">
        <v>461</v>
      </c>
      <c r="W1951" s="2" t="s">
        <v>609</v>
      </c>
      <c r="X1951" s="2" t="s">
        <v>270</v>
      </c>
      <c r="Y1951" s="2" t="s">
        <v>4089</v>
      </c>
      <c r="Z1951" s="4">
        <v>210</v>
      </c>
      <c r="AA1951" s="4">
        <f>=ROUNDDOWN(30,0)</f>
      </c>
      <c r="AB1951" s="5">
        <v>7</v>
      </c>
      <c r="AC1951" s="2" t="s">
        <v>100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 t="s">
        <v>100</v>
      </c>
      <c r="AW1951" s="8" t="s">
        <v>100</v>
      </c>
      <c r="AX1951" s="4" t="s">
        <v>100</v>
      </c>
      <c r="AY1951" s="8" t="s">
        <v>100</v>
      </c>
      <c r="AZ1951" s="7" t="s">
        <v>100</v>
      </c>
      <c r="BA1951" s="7" t="s">
        <v>100</v>
      </c>
      <c r="BB1951" s="7"/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/>
      <c r="BJ1951" s="4">
        <v>3</v>
      </c>
      <c r="BK1951" s="8">
        <v>153.87</v>
      </c>
      <c r="BL1951" s="2" t="s">
        <v>6718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171</v>
      </c>
      <c r="BV1951" s="2" t="s">
        <v>97</v>
      </c>
      <c r="BW1951" s="2" t="s">
        <v>100</v>
      </c>
      <c r="BX1951" s="2" t="s">
        <v>100</v>
      </c>
      <c r="BY1951" s="2" t="s">
        <v>112</v>
      </c>
      <c r="BZ1951" s="2" t="s">
        <v>100</v>
      </c>
    </row>
    <row r="1952">
      <c r="A1952" s="2" t="s">
        <v>6719</v>
      </c>
      <c r="B1952" s="2" t="s">
        <v>5155</v>
      </c>
      <c r="C1952" s="2" t="s">
        <v>4466</v>
      </c>
      <c r="D1952" s="2" t="s">
        <v>5156</v>
      </c>
      <c r="E1952" s="2" t="s">
        <v>5157</v>
      </c>
      <c r="F1952" s="2" t="s">
        <v>6716</v>
      </c>
      <c r="G1952" s="2" t="s">
        <v>6716</v>
      </c>
      <c r="H1952" s="2" t="s">
        <v>6716</v>
      </c>
      <c r="I1952" s="2" t="s">
        <v>5159</v>
      </c>
      <c r="J1952" s="2" t="s">
        <v>490</v>
      </c>
      <c r="K1952" s="2" t="s">
        <v>179</v>
      </c>
      <c r="L1952" s="3">
        <v>50</v>
      </c>
      <c r="M1952" s="3">
        <v>52.5</v>
      </c>
      <c r="N1952" s="3">
        <v>104.99</v>
      </c>
      <c r="O1952" s="2" t="s">
        <v>97</v>
      </c>
      <c r="P1952" s="2" t="s">
        <v>98</v>
      </c>
      <c r="Q1952" s="2" t="s">
        <v>99</v>
      </c>
      <c r="R1952" s="2" t="s">
        <v>100</v>
      </c>
      <c r="S1952" s="2" t="s">
        <v>6717</v>
      </c>
      <c r="T1952" s="2" t="s">
        <v>5327</v>
      </c>
      <c r="U1952" s="2" t="s">
        <v>1776</v>
      </c>
      <c r="V1952" s="2" t="s">
        <v>461</v>
      </c>
      <c r="W1952" s="2" t="s">
        <v>609</v>
      </c>
      <c r="X1952" s="2" t="s">
        <v>270</v>
      </c>
      <c r="Y1952" s="2" t="s">
        <v>6243</v>
      </c>
      <c r="Z1952" s="4">
        <v>187</v>
      </c>
      <c r="AA1952" s="4">
        <f>=ROUNDDOWN(20.7777777777778,0)</f>
      </c>
      <c r="AB1952" s="5">
        <v>9</v>
      </c>
      <c r="AC1952" s="2" t="s">
        <v>100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 t="s">
        <v>100</v>
      </c>
      <c r="AW1952" s="8" t="s">
        <v>100</v>
      </c>
      <c r="AX1952" s="4" t="s">
        <v>100</v>
      </c>
      <c r="AY1952" s="8" t="s">
        <v>100</v>
      </c>
      <c r="AZ1952" s="7" t="s">
        <v>100</v>
      </c>
      <c r="BA1952" s="7" t="s">
        <v>100</v>
      </c>
      <c r="BB1952" s="7"/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/>
      <c r="BJ1952" s="4">
        <v>1</v>
      </c>
      <c r="BK1952" s="8">
        <v>56.7</v>
      </c>
      <c r="BL1952" s="2" t="s">
        <v>1655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171</v>
      </c>
      <c r="BV1952" s="2" t="s">
        <v>97</v>
      </c>
      <c r="BW1952" s="2" t="s">
        <v>100</v>
      </c>
      <c r="BX1952" s="2" t="s">
        <v>100</v>
      </c>
      <c r="BY1952" s="2" t="s">
        <v>112</v>
      </c>
      <c r="BZ1952" s="2" t="s">
        <v>100</v>
      </c>
    </row>
    <row r="1953">
      <c r="A1953" s="2" t="s">
        <v>6720</v>
      </c>
      <c r="B1953" s="2" t="s">
        <v>5155</v>
      </c>
      <c r="C1953" s="2" t="s">
        <v>4466</v>
      </c>
      <c r="D1953" s="2" t="s">
        <v>5156</v>
      </c>
      <c r="E1953" s="2" t="s">
        <v>5157</v>
      </c>
      <c r="F1953" s="2" t="s">
        <v>6716</v>
      </c>
      <c r="G1953" s="2" t="s">
        <v>6716</v>
      </c>
      <c r="H1953" s="2" t="s">
        <v>6716</v>
      </c>
      <c r="I1953" s="2" t="s">
        <v>5159</v>
      </c>
      <c r="J1953" s="2" t="s">
        <v>95</v>
      </c>
      <c r="K1953" s="2" t="s">
        <v>179</v>
      </c>
      <c r="L1953" s="3">
        <v>69.04</v>
      </c>
      <c r="M1953" s="3">
        <v>72.49</v>
      </c>
      <c r="N1953" s="3">
        <v>144.99</v>
      </c>
      <c r="O1953" s="2" t="s">
        <v>97</v>
      </c>
      <c r="P1953" s="2" t="s">
        <v>98</v>
      </c>
      <c r="Q1953" s="2" t="s">
        <v>99</v>
      </c>
      <c r="R1953" s="2" t="s">
        <v>100</v>
      </c>
      <c r="S1953" s="2" t="s">
        <v>6717</v>
      </c>
      <c r="T1953" s="2" t="s">
        <v>5327</v>
      </c>
      <c r="U1953" s="2" t="s">
        <v>1776</v>
      </c>
      <c r="V1953" s="2" t="s">
        <v>461</v>
      </c>
      <c r="W1953" s="2" t="s">
        <v>609</v>
      </c>
      <c r="X1953" s="2" t="s">
        <v>270</v>
      </c>
      <c r="Y1953" s="2" t="s">
        <v>6243</v>
      </c>
      <c r="Z1953" s="4">
        <v>97</v>
      </c>
      <c r="AA1953" s="4">
        <f>=ROUNDDOWN(6.92857142857143,0)</f>
      </c>
      <c r="AB1953" s="5">
        <v>14</v>
      </c>
      <c r="AC1953" s="2" t="s">
        <v>173</v>
      </c>
      <c r="AD1953" s="4">
        <v>190</v>
      </c>
      <c r="AE1953" s="4">
        <v>190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 t="s">
        <v>100</v>
      </c>
      <c r="AW1953" s="8" t="s">
        <v>100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/>
      <c r="BC1953" s="4" t="s">
        <v>100</v>
      </c>
      <c r="BD1953" s="8" t="s">
        <v>100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/>
      <c r="BJ1953" s="4">
        <v>5</v>
      </c>
      <c r="BK1953" s="8">
        <v>387.11</v>
      </c>
      <c r="BL1953" s="2" t="s">
        <v>6721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171</v>
      </c>
      <c r="BV1953" s="2" t="s">
        <v>97</v>
      </c>
      <c r="BW1953" s="2" t="s">
        <v>100</v>
      </c>
      <c r="BX1953" s="2" t="s">
        <v>100</v>
      </c>
      <c r="BY1953" s="2" t="s">
        <v>112</v>
      </c>
      <c r="BZ1953" s="2" t="s">
        <v>100</v>
      </c>
    </row>
    <row r="1954">
      <c r="A1954" s="2" t="s">
        <v>6722</v>
      </c>
      <c r="B1954" s="2" t="s">
        <v>5155</v>
      </c>
      <c r="C1954" s="2" t="s">
        <v>4466</v>
      </c>
      <c r="D1954" s="2" t="s">
        <v>5156</v>
      </c>
      <c r="E1954" s="2" t="s">
        <v>5157</v>
      </c>
      <c r="F1954" s="2" t="s">
        <v>6716</v>
      </c>
      <c r="G1954" s="2" t="s">
        <v>6716</v>
      </c>
      <c r="H1954" s="2" t="s">
        <v>6716</v>
      </c>
      <c r="I1954" s="2" t="s">
        <v>5159</v>
      </c>
      <c r="J1954" s="2" t="s">
        <v>114</v>
      </c>
      <c r="K1954" s="2" t="s">
        <v>179</v>
      </c>
      <c r="L1954" s="3">
        <v>78.57</v>
      </c>
      <c r="M1954" s="3">
        <v>82.5</v>
      </c>
      <c r="N1954" s="3">
        <v>164.99</v>
      </c>
      <c r="O1954" s="2" t="s">
        <v>97</v>
      </c>
      <c r="P1954" s="2" t="s">
        <v>98</v>
      </c>
      <c r="Q1954" s="2" t="s">
        <v>99</v>
      </c>
      <c r="R1954" s="2" t="s">
        <v>100</v>
      </c>
      <c r="S1954" s="2" t="s">
        <v>6717</v>
      </c>
      <c r="T1954" s="2" t="s">
        <v>5327</v>
      </c>
      <c r="U1954" s="2" t="s">
        <v>1776</v>
      </c>
      <c r="V1954" s="2" t="s">
        <v>461</v>
      </c>
      <c r="W1954" s="2" t="s">
        <v>609</v>
      </c>
      <c r="X1954" s="2" t="s">
        <v>270</v>
      </c>
      <c r="Y1954" s="2" t="s">
        <v>6243</v>
      </c>
      <c r="Z1954" s="4">
        <v>135</v>
      </c>
      <c r="AA1954" s="4">
        <f>=ROUNDDOWN(10.3846153846154,0)</f>
      </c>
      <c r="AB1954" s="5">
        <v>13</v>
      </c>
      <c r="AC1954" s="2" t="s">
        <v>173</v>
      </c>
      <c r="AD1954" s="4">
        <v>160</v>
      </c>
      <c r="AE1954" s="4">
        <v>160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 t="s">
        <v>100</v>
      </c>
      <c r="AW1954" s="8" t="s">
        <v>100</v>
      </c>
      <c r="AX1954" s="4" t="s">
        <v>100</v>
      </c>
      <c r="AY1954" s="8" t="s">
        <v>100</v>
      </c>
      <c r="AZ1954" s="7" t="s">
        <v>100</v>
      </c>
      <c r="BA1954" s="7" t="s">
        <v>100</v>
      </c>
      <c r="BB1954" s="7"/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/>
      <c r="BJ1954" s="4">
        <v>7</v>
      </c>
      <c r="BK1954" s="8">
        <v>598.12</v>
      </c>
      <c r="BL1954" s="2" t="s">
        <v>1636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171</v>
      </c>
      <c r="BV1954" s="2" t="s">
        <v>97</v>
      </c>
      <c r="BW1954" s="2" t="s">
        <v>100</v>
      </c>
      <c r="BX1954" s="2" t="s">
        <v>100</v>
      </c>
      <c r="BY1954" s="2" t="s">
        <v>112</v>
      </c>
      <c r="BZ1954" s="2" t="s">
        <v>100</v>
      </c>
    </row>
    <row r="1955">
      <c r="A1955" s="2" t="s">
        <v>6723</v>
      </c>
      <c r="B1955" s="2" t="s">
        <v>5155</v>
      </c>
      <c r="C1955" s="2" t="s">
        <v>4466</v>
      </c>
      <c r="D1955" s="2" t="s">
        <v>5156</v>
      </c>
      <c r="E1955" s="2" t="s">
        <v>5157</v>
      </c>
      <c r="F1955" s="2" t="s">
        <v>6716</v>
      </c>
      <c r="G1955" s="2" t="s">
        <v>6716</v>
      </c>
      <c r="H1955" s="2" t="s">
        <v>6716</v>
      </c>
      <c r="I1955" s="2" t="s">
        <v>5159</v>
      </c>
      <c r="J1955" s="2" t="s">
        <v>1443</v>
      </c>
      <c r="K1955" s="2" t="s">
        <v>138</v>
      </c>
      <c r="L1955" s="3">
        <v>45.23</v>
      </c>
      <c r="M1955" s="3">
        <v>47.49</v>
      </c>
      <c r="N1955" s="3">
        <v>94.99</v>
      </c>
      <c r="O1955" s="2" t="s">
        <v>97</v>
      </c>
      <c r="P1955" s="2" t="s">
        <v>98</v>
      </c>
      <c r="Q1955" s="2" t="s">
        <v>99</v>
      </c>
      <c r="R1955" s="2" t="s">
        <v>100</v>
      </c>
      <c r="S1955" s="2" t="s">
        <v>6724</v>
      </c>
      <c r="T1955" s="2" t="s">
        <v>5327</v>
      </c>
      <c r="U1955" s="2" t="s">
        <v>1776</v>
      </c>
      <c r="V1955" s="2" t="s">
        <v>461</v>
      </c>
      <c r="W1955" s="2" t="s">
        <v>609</v>
      </c>
      <c r="X1955" s="2" t="s">
        <v>270</v>
      </c>
      <c r="Y1955" s="2" t="s">
        <v>6243</v>
      </c>
      <c r="Z1955" s="4">
        <v>240</v>
      </c>
      <c r="AA1955" s="4">
        <f>=ROUNDDOWN(24,0)</f>
      </c>
      <c r="AB1955" s="5">
        <v>10</v>
      </c>
      <c r="AC1955" s="2" t="s">
        <v>100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 t="s">
        <v>100</v>
      </c>
      <c r="AW1955" s="8" t="s">
        <v>100</v>
      </c>
      <c r="AX1955" s="4" t="s">
        <v>100</v>
      </c>
      <c r="AY1955" s="8" t="s">
        <v>100</v>
      </c>
      <c r="AZ1955" s="7" t="s">
        <v>100</v>
      </c>
      <c r="BA1955" s="7" t="s">
        <v>100</v>
      </c>
      <c r="BB1955" s="7"/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/>
      <c r="BJ1955" s="4">
        <v>4</v>
      </c>
      <c r="BK1955" s="8">
        <v>205.16</v>
      </c>
      <c r="BL1955" s="2" t="s">
        <v>6336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171</v>
      </c>
      <c r="BV1955" s="2" t="s">
        <v>97</v>
      </c>
      <c r="BW1955" s="2" t="s">
        <v>100</v>
      </c>
      <c r="BX1955" s="2" t="s">
        <v>100</v>
      </c>
      <c r="BY1955" s="2" t="s">
        <v>112</v>
      </c>
      <c r="BZ1955" s="2" t="s">
        <v>100</v>
      </c>
    </row>
    <row r="1956">
      <c r="A1956" s="2" t="s">
        <v>6725</v>
      </c>
      <c r="B1956" s="2" t="s">
        <v>5155</v>
      </c>
      <c r="C1956" s="2" t="s">
        <v>4466</v>
      </c>
      <c r="D1956" s="2" t="s">
        <v>5156</v>
      </c>
      <c r="E1956" s="2" t="s">
        <v>5157</v>
      </c>
      <c r="F1956" s="2" t="s">
        <v>6716</v>
      </c>
      <c r="G1956" s="2" t="s">
        <v>6716</v>
      </c>
      <c r="H1956" s="2" t="s">
        <v>6716</v>
      </c>
      <c r="I1956" s="2" t="s">
        <v>5159</v>
      </c>
      <c r="J1956" s="2" t="s">
        <v>490</v>
      </c>
      <c r="K1956" s="2" t="s">
        <v>138</v>
      </c>
      <c r="L1956" s="3">
        <v>50</v>
      </c>
      <c r="M1956" s="3">
        <v>52.5</v>
      </c>
      <c r="N1956" s="3">
        <v>104.99</v>
      </c>
      <c r="O1956" s="2" t="s">
        <v>97</v>
      </c>
      <c r="P1956" s="2" t="s">
        <v>98</v>
      </c>
      <c r="Q1956" s="2" t="s">
        <v>99</v>
      </c>
      <c r="R1956" s="2" t="s">
        <v>100</v>
      </c>
      <c r="S1956" s="2" t="s">
        <v>6724</v>
      </c>
      <c r="T1956" s="2" t="s">
        <v>5327</v>
      </c>
      <c r="U1956" s="2" t="s">
        <v>1776</v>
      </c>
      <c r="V1956" s="2" t="s">
        <v>461</v>
      </c>
      <c r="W1956" s="2" t="s">
        <v>609</v>
      </c>
      <c r="X1956" s="2" t="s">
        <v>270</v>
      </c>
      <c r="Y1956" s="2" t="s">
        <v>6243</v>
      </c>
      <c r="Z1956" s="4">
        <v>224</v>
      </c>
      <c r="AA1956" s="4">
        <f>=ROUNDDOWN(32,0)</f>
      </c>
      <c r="AB1956" s="5">
        <v>7</v>
      </c>
      <c r="AC1956" s="2" t="s">
        <v>100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 t="s">
        <v>100</v>
      </c>
      <c r="AW1956" s="8" t="s">
        <v>100</v>
      </c>
      <c r="AX1956" s="4" t="s">
        <v>100</v>
      </c>
      <c r="AY1956" s="8" t="s">
        <v>100</v>
      </c>
      <c r="AZ1956" s="7" t="s">
        <v>100</v>
      </c>
      <c r="BA1956" s="7" t="s">
        <v>100</v>
      </c>
      <c r="BB1956" s="7"/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/>
      <c r="BJ1956" s="4">
        <v>4</v>
      </c>
      <c r="BK1956" s="8">
        <v>225.22</v>
      </c>
      <c r="BL1956" s="2" t="s">
        <v>4269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171</v>
      </c>
      <c r="BV1956" s="2" t="s">
        <v>97</v>
      </c>
      <c r="BW1956" s="2" t="s">
        <v>100</v>
      </c>
      <c r="BX1956" s="2" t="s">
        <v>100</v>
      </c>
      <c r="BY1956" s="2" t="s">
        <v>112</v>
      </c>
      <c r="BZ1956" s="2" t="s">
        <v>100</v>
      </c>
    </row>
    <row r="1957">
      <c r="A1957" s="2" t="s">
        <v>6726</v>
      </c>
      <c r="B1957" s="2" t="s">
        <v>5155</v>
      </c>
      <c r="C1957" s="2" t="s">
        <v>4466</v>
      </c>
      <c r="D1957" s="2" t="s">
        <v>5156</v>
      </c>
      <c r="E1957" s="2" t="s">
        <v>5157</v>
      </c>
      <c r="F1957" s="2" t="s">
        <v>6716</v>
      </c>
      <c r="G1957" s="2" t="s">
        <v>6716</v>
      </c>
      <c r="H1957" s="2" t="s">
        <v>6716</v>
      </c>
      <c r="I1957" s="2" t="s">
        <v>5159</v>
      </c>
      <c r="J1957" s="2" t="s">
        <v>95</v>
      </c>
      <c r="K1957" s="2" t="s">
        <v>138</v>
      </c>
      <c r="L1957" s="3">
        <v>69.04</v>
      </c>
      <c r="M1957" s="3">
        <v>72.49</v>
      </c>
      <c r="N1957" s="3">
        <v>144.99</v>
      </c>
      <c r="O1957" s="2" t="s">
        <v>97</v>
      </c>
      <c r="P1957" s="2" t="s">
        <v>98</v>
      </c>
      <c r="Q1957" s="2" t="s">
        <v>99</v>
      </c>
      <c r="R1957" s="2" t="s">
        <v>100</v>
      </c>
      <c r="S1957" s="2" t="s">
        <v>6724</v>
      </c>
      <c r="T1957" s="2" t="s">
        <v>5327</v>
      </c>
      <c r="U1957" s="2" t="s">
        <v>1776</v>
      </c>
      <c r="V1957" s="2" t="s">
        <v>461</v>
      </c>
      <c r="W1957" s="2" t="s">
        <v>609</v>
      </c>
      <c r="X1957" s="2" t="s">
        <v>270</v>
      </c>
      <c r="Y1957" s="2" t="s">
        <v>6243</v>
      </c>
      <c r="Z1957" s="4">
        <v>204</v>
      </c>
      <c r="AA1957" s="4">
        <f>=ROUNDDOWN(29.1428571428571,0)</f>
      </c>
      <c r="AB1957" s="5">
        <v>7</v>
      </c>
      <c r="AC1957" s="2" t="s">
        <v>100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100</v>
      </c>
      <c r="AW1957" s="8" t="s">
        <v>100</v>
      </c>
      <c r="AX1957" s="4" t="s">
        <v>100</v>
      </c>
      <c r="AY1957" s="8" t="s">
        <v>100</v>
      </c>
      <c r="AZ1957" s="7" t="s">
        <v>100</v>
      </c>
      <c r="BA1957" s="7" t="s">
        <v>100</v>
      </c>
      <c r="BB1957" s="7"/>
      <c r="BC1957" s="4" t="s">
        <v>100</v>
      </c>
      <c r="BD1957" s="8" t="s">
        <v>100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/>
      <c r="BJ1957" s="4">
        <v>4</v>
      </c>
      <c r="BK1957" s="8">
        <v>306.65</v>
      </c>
      <c r="BL1957" s="2" t="s">
        <v>6727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171</v>
      </c>
      <c r="BV1957" s="2" t="s">
        <v>97</v>
      </c>
      <c r="BW1957" s="2" t="s">
        <v>100</v>
      </c>
      <c r="BX1957" s="2" t="s">
        <v>100</v>
      </c>
      <c r="BY1957" s="2" t="s">
        <v>112</v>
      </c>
      <c r="BZ1957" s="2" t="s">
        <v>100</v>
      </c>
    </row>
    <row r="1958">
      <c r="A1958" s="2" t="s">
        <v>6728</v>
      </c>
      <c r="B1958" s="2" t="s">
        <v>5155</v>
      </c>
      <c r="C1958" s="2" t="s">
        <v>4466</v>
      </c>
      <c r="D1958" s="2" t="s">
        <v>5156</v>
      </c>
      <c r="E1958" s="2" t="s">
        <v>5157</v>
      </c>
      <c r="F1958" s="2" t="s">
        <v>6716</v>
      </c>
      <c r="G1958" s="2" t="s">
        <v>6716</v>
      </c>
      <c r="H1958" s="2" t="s">
        <v>6716</v>
      </c>
      <c r="I1958" s="2" t="s">
        <v>5159</v>
      </c>
      <c r="J1958" s="2" t="s">
        <v>114</v>
      </c>
      <c r="K1958" s="2" t="s">
        <v>138</v>
      </c>
      <c r="L1958" s="3">
        <v>78.57</v>
      </c>
      <c r="M1958" s="3">
        <v>82.5</v>
      </c>
      <c r="N1958" s="3">
        <v>164.99</v>
      </c>
      <c r="O1958" s="2" t="s">
        <v>97</v>
      </c>
      <c r="P1958" s="2" t="s">
        <v>98</v>
      </c>
      <c r="Q1958" s="2" t="s">
        <v>99</v>
      </c>
      <c r="R1958" s="2" t="s">
        <v>100</v>
      </c>
      <c r="S1958" s="2" t="s">
        <v>6724</v>
      </c>
      <c r="T1958" s="2" t="s">
        <v>5327</v>
      </c>
      <c r="U1958" s="2" t="s">
        <v>1776</v>
      </c>
      <c r="V1958" s="2" t="s">
        <v>461</v>
      </c>
      <c r="W1958" s="2" t="s">
        <v>609</v>
      </c>
      <c r="X1958" s="2" t="s">
        <v>270</v>
      </c>
      <c r="Y1958" s="2" t="s">
        <v>6243</v>
      </c>
      <c r="Z1958" s="4">
        <v>281</v>
      </c>
      <c r="AA1958" s="4">
        <f>=ROUNDDOWN(40.1428571428571,0)</f>
      </c>
      <c r="AB1958" s="5">
        <v>7</v>
      </c>
      <c r="AC1958" s="2" t="s">
        <v>100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100</v>
      </c>
      <c r="AW1958" s="8" t="s">
        <v>100</v>
      </c>
      <c r="AX1958" s="4" t="s">
        <v>100</v>
      </c>
      <c r="AY1958" s="8" t="s">
        <v>100</v>
      </c>
      <c r="AZ1958" s="7" t="s">
        <v>100</v>
      </c>
      <c r="BA1958" s="7" t="s">
        <v>100</v>
      </c>
      <c r="BB1958" s="7"/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/>
      <c r="BJ1958" s="4">
        <v>6</v>
      </c>
      <c r="BK1958" s="8">
        <v>523.04</v>
      </c>
      <c r="BL1958" s="2" t="s">
        <v>1756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171</v>
      </c>
      <c r="BV1958" s="2" t="s">
        <v>97</v>
      </c>
      <c r="BW1958" s="2" t="s">
        <v>100</v>
      </c>
      <c r="BX1958" s="2" t="s">
        <v>100</v>
      </c>
      <c r="BY1958" s="2" t="s">
        <v>112</v>
      </c>
      <c r="BZ1958" s="2" t="s">
        <v>100</v>
      </c>
    </row>
    <row r="1959">
      <c r="A1959" s="2" t="s">
        <v>6729</v>
      </c>
      <c r="B1959" s="2" t="s">
        <v>5155</v>
      </c>
      <c r="C1959" s="2" t="s">
        <v>4466</v>
      </c>
      <c r="D1959" s="2" t="s">
        <v>5156</v>
      </c>
      <c r="E1959" s="2" t="s">
        <v>5157</v>
      </c>
      <c r="F1959" s="2" t="s">
        <v>6716</v>
      </c>
      <c r="G1959" s="2" t="s">
        <v>6716</v>
      </c>
      <c r="H1959" s="2" t="s">
        <v>6716</v>
      </c>
      <c r="I1959" s="2" t="s">
        <v>5159</v>
      </c>
      <c r="J1959" s="2" t="s">
        <v>1443</v>
      </c>
      <c r="K1959" s="2" t="s">
        <v>96</v>
      </c>
      <c r="L1959" s="3">
        <v>45.23</v>
      </c>
      <c r="M1959" s="3">
        <v>47.49</v>
      </c>
      <c r="N1959" s="3">
        <v>94.99</v>
      </c>
      <c r="O1959" s="2" t="s">
        <v>97</v>
      </c>
      <c r="P1959" s="2" t="s">
        <v>98</v>
      </c>
      <c r="Q1959" s="2" t="s">
        <v>99</v>
      </c>
      <c r="R1959" s="2" t="s">
        <v>100</v>
      </c>
      <c r="S1959" s="2" t="s">
        <v>6730</v>
      </c>
      <c r="T1959" s="2" t="s">
        <v>5327</v>
      </c>
      <c r="U1959" s="2" t="s">
        <v>1776</v>
      </c>
      <c r="V1959" s="2" t="s">
        <v>461</v>
      </c>
      <c r="W1959" s="2" t="s">
        <v>609</v>
      </c>
      <c r="X1959" s="2" t="s">
        <v>270</v>
      </c>
      <c r="Y1959" s="2" t="s">
        <v>6243</v>
      </c>
      <c r="Z1959" s="4">
        <v>196</v>
      </c>
      <c r="AA1959" s="4">
        <f>=ROUNDDOWN(15.0769230769231,0)</f>
      </c>
      <c r="AB1959" s="5">
        <v>13</v>
      </c>
      <c r="AC1959" s="2" t="s">
        <v>100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 t="s">
        <v>100</v>
      </c>
      <c r="AW1959" s="8" t="s">
        <v>100</v>
      </c>
      <c r="AX1959" s="4" t="s">
        <v>100</v>
      </c>
      <c r="AY1959" s="8" t="s">
        <v>100</v>
      </c>
      <c r="AZ1959" s="7" t="s">
        <v>100</v>
      </c>
      <c r="BA1959" s="7" t="s">
        <v>100</v>
      </c>
      <c r="BB1959" s="7"/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/>
      <c r="BJ1959" s="4">
        <v>4</v>
      </c>
      <c r="BK1959" s="8">
        <v>203.74</v>
      </c>
      <c r="BL1959" s="2" t="s">
        <v>4449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171</v>
      </c>
      <c r="BV1959" s="2" t="s">
        <v>97</v>
      </c>
      <c r="BW1959" s="2" t="s">
        <v>100</v>
      </c>
      <c r="BX1959" s="2" t="s">
        <v>100</v>
      </c>
      <c r="BY1959" s="2" t="s">
        <v>112</v>
      </c>
      <c r="BZ1959" s="2" t="s">
        <v>100</v>
      </c>
    </row>
    <row r="1960">
      <c r="A1960" s="2" t="s">
        <v>6731</v>
      </c>
      <c r="B1960" s="2" t="s">
        <v>5155</v>
      </c>
      <c r="C1960" s="2" t="s">
        <v>4466</v>
      </c>
      <c r="D1960" s="2" t="s">
        <v>5156</v>
      </c>
      <c r="E1960" s="2" t="s">
        <v>5157</v>
      </c>
      <c r="F1960" s="2" t="s">
        <v>6716</v>
      </c>
      <c r="G1960" s="2" t="s">
        <v>6716</v>
      </c>
      <c r="H1960" s="2" t="s">
        <v>6716</v>
      </c>
      <c r="I1960" s="2" t="s">
        <v>5159</v>
      </c>
      <c r="J1960" s="2" t="s">
        <v>490</v>
      </c>
      <c r="K1960" s="2" t="s">
        <v>96</v>
      </c>
      <c r="L1960" s="3">
        <v>50</v>
      </c>
      <c r="M1960" s="3">
        <v>52.5</v>
      </c>
      <c r="N1960" s="3">
        <v>104.99</v>
      </c>
      <c r="O1960" s="2" t="s">
        <v>97</v>
      </c>
      <c r="P1960" s="2" t="s">
        <v>98</v>
      </c>
      <c r="Q1960" s="2" t="s">
        <v>99</v>
      </c>
      <c r="R1960" s="2" t="s">
        <v>100</v>
      </c>
      <c r="S1960" s="2" t="s">
        <v>6730</v>
      </c>
      <c r="T1960" s="2" t="s">
        <v>5327</v>
      </c>
      <c r="U1960" s="2" t="s">
        <v>1776</v>
      </c>
      <c r="V1960" s="2" t="s">
        <v>461</v>
      </c>
      <c r="W1960" s="2" t="s">
        <v>609</v>
      </c>
      <c r="X1960" s="2" t="s">
        <v>270</v>
      </c>
      <c r="Y1960" s="2" t="s">
        <v>6243</v>
      </c>
      <c r="Z1960" s="4">
        <v>148</v>
      </c>
      <c r="AA1960" s="4">
        <f>=ROUNDDOWN(12.3333333333333,0)</f>
      </c>
      <c r="AB1960" s="5">
        <v>12</v>
      </c>
      <c r="AC1960" s="2" t="s">
        <v>173</v>
      </c>
      <c r="AD1960" s="4">
        <v>150</v>
      </c>
      <c r="AE1960" s="4">
        <v>150</v>
      </c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 t="s">
        <v>100</v>
      </c>
      <c r="AW1960" s="8" t="s">
        <v>100</v>
      </c>
      <c r="AX1960" s="4" t="s">
        <v>100</v>
      </c>
      <c r="AY1960" s="8" t="s">
        <v>100</v>
      </c>
      <c r="AZ1960" s="7" t="s">
        <v>100</v>
      </c>
      <c r="BA1960" s="7" t="s">
        <v>100</v>
      </c>
      <c r="BB1960" s="7"/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/>
      <c r="BJ1960" s="4">
        <v>2</v>
      </c>
      <c r="BK1960" s="8">
        <v>113.4</v>
      </c>
      <c r="BL1960" s="2" t="s">
        <v>6718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171</v>
      </c>
      <c r="BV1960" s="2" t="s">
        <v>97</v>
      </c>
      <c r="BW1960" s="2" t="s">
        <v>100</v>
      </c>
      <c r="BX1960" s="2" t="s">
        <v>100</v>
      </c>
      <c r="BY1960" s="2" t="s">
        <v>112</v>
      </c>
      <c r="BZ1960" s="2" t="s">
        <v>100</v>
      </c>
    </row>
    <row r="1961">
      <c r="A1961" s="2" t="s">
        <v>6732</v>
      </c>
      <c r="B1961" s="2" t="s">
        <v>5155</v>
      </c>
      <c r="C1961" s="2" t="s">
        <v>4466</v>
      </c>
      <c r="D1961" s="2" t="s">
        <v>5156</v>
      </c>
      <c r="E1961" s="2" t="s">
        <v>5157</v>
      </c>
      <c r="F1961" s="2" t="s">
        <v>6716</v>
      </c>
      <c r="G1961" s="2" t="s">
        <v>6716</v>
      </c>
      <c r="H1961" s="2" t="s">
        <v>6716</v>
      </c>
      <c r="I1961" s="2" t="s">
        <v>5159</v>
      </c>
      <c r="J1961" s="2" t="s">
        <v>95</v>
      </c>
      <c r="K1961" s="2" t="s">
        <v>96</v>
      </c>
      <c r="L1961" s="3">
        <v>69.04</v>
      </c>
      <c r="M1961" s="3">
        <v>72.49</v>
      </c>
      <c r="N1961" s="3">
        <v>144.99</v>
      </c>
      <c r="O1961" s="2" t="s">
        <v>97</v>
      </c>
      <c r="P1961" s="2" t="s">
        <v>98</v>
      </c>
      <c r="Q1961" s="2" t="s">
        <v>99</v>
      </c>
      <c r="R1961" s="2" t="s">
        <v>100</v>
      </c>
      <c r="S1961" s="2" t="s">
        <v>6730</v>
      </c>
      <c r="T1961" s="2" t="s">
        <v>5327</v>
      </c>
      <c r="U1961" s="2" t="s">
        <v>1776</v>
      </c>
      <c r="V1961" s="2" t="s">
        <v>461</v>
      </c>
      <c r="W1961" s="2" t="s">
        <v>609</v>
      </c>
      <c r="X1961" s="2" t="s">
        <v>270</v>
      </c>
      <c r="Y1961" s="2" t="s">
        <v>4089</v>
      </c>
      <c r="Z1961" s="4">
        <v>121</v>
      </c>
      <c r="AA1961" s="4">
        <f>=ROUNDDOWN(8.64285714285714,0)</f>
      </c>
      <c r="AB1961" s="5">
        <v>14</v>
      </c>
      <c r="AC1961" s="2" t="s">
        <v>173</v>
      </c>
      <c r="AD1961" s="4">
        <v>150</v>
      </c>
      <c r="AE1961" s="4">
        <v>150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 t="s">
        <v>100</v>
      </c>
      <c r="AW1961" s="8" t="s">
        <v>100</v>
      </c>
      <c r="AX1961" s="4" t="s">
        <v>100</v>
      </c>
      <c r="AY1961" s="8" t="s">
        <v>100</v>
      </c>
      <c r="AZ1961" s="7" t="s">
        <v>100</v>
      </c>
      <c r="BA1961" s="7" t="s">
        <v>100</v>
      </c>
      <c r="BB1961" s="7"/>
      <c r="BC1961" s="4" t="s">
        <v>100</v>
      </c>
      <c r="BD1961" s="8" t="s">
        <v>100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/>
      <c r="BJ1961" s="4">
        <v>8</v>
      </c>
      <c r="BK1961" s="8">
        <v>614.01</v>
      </c>
      <c r="BL1961" s="2" t="s">
        <v>1690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171</v>
      </c>
      <c r="BV1961" s="2" t="s">
        <v>97</v>
      </c>
      <c r="BW1961" s="2" t="s">
        <v>100</v>
      </c>
      <c r="BX1961" s="2" t="s">
        <v>100</v>
      </c>
      <c r="BY1961" s="2" t="s">
        <v>112</v>
      </c>
      <c r="BZ1961" s="2" t="s">
        <v>100</v>
      </c>
    </row>
    <row r="1962">
      <c r="A1962" s="2" t="s">
        <v>6733</v>
      </c>
      <c r="B1962" s="2" t="s">
        <v>5155</v>
      </c>
      <c r="C1962" s="2" t="s">
        <v>4466</v>
      </c>
      <c r="D1962" s="2" t="s">
        <v>5156</v>
      </c>
      <c r="E1962" s="2" t="s">
        <v>5157</v>
      </c>
      <c r="F1962" s="2" t="s">
        <v>6716</v>
      </c>
      <c r="G1962" s="2" t="s">
        <v>6716</v>
      </c>
      <c r="H1962" s="2" t="s">
        <v>6716</v>
      </c>
      <c r="I1962" s="2" t="s">
        <v>5159</v>
      </c>
      <c r="J1962" s="2" t="s">
        <v>114</v>
      </c>
      <c r="K1962" s="2" t="s">
        <v>96</v>
      </c>
      <c r="L1962" s="3">
        <v>78.57</v>
      </c>
      <c r="M1962" s="3">
        <v>82.5</v>
      </c>
      <c r="N1962" s="3">
        <v>164.99</v>
      </c>
      <c r="O1962" s="2" t="s">
        <v>97</v>
      </c>
      <c r="P1962" s="2" t="s">
        <v>98</v>
      </c>
      <c r="Q1962" s="2" t="s">
        <v>99</v>
      </c>
      <c r="R1962" s="2" t="s">
        <v>100</v>
      </c>
      <c r="S1962" s="2" t="s">
        <v>6730</v>
      </c>
      <c r="T1962" s="2" t="s">
        <v>5327</v>
      </c>
      <c r="U1962" s="2" t="s">
        <v>1776</v>
      </c>
      <c r="V1962" s="2" t="s">
        <v>461</v>
      </c>
      <c r="W1962" s="2" t="s">
        <v>609</v>
      </c>
      <c r="X1962" s="2" t="s">
        <v>270</v>
      </c>
      <c r="Y1962" s="2" t="s">
        <v>6243</v>
      </c>
      <c r="Z1962" s="4">
        <v>245</v>
      </c>
      <c r="AA1962" s="4">
        <f>=ROUNDDOWN(13.6111111111111,0)</f>
      </c>
      <c r="AB1962" s="5">
        <v>18</v>
      </c>
      <c r="AC1962" s="2" t="s">
        <v>100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 t="s">
        <v>100</v>
      </c>
      <c r="AW1962" s="8" t="s">
        <v>100</v>
      </c>
      <c r="AX1962" s="4" t="s">
        <v>100</v>
      </c>
      <c r="AY1962" s="8" t="s">
        <v>100</v>
      </c>
      <c r="AZ1962" s="7" t="s">
        <v>100</v>
      </c>
      <c r="BA1962" s="7" t="s">
        <v>100</v>
      </c>
      <c r="BB1962" s="7"/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/>
      <c r="BJ1962" s="4">
        <v>4</v>
      </c>
      <c r="BK1962" s="8">
        <v>353.92</v>
      </c>
      <c r="BL1962" s="2" t="s">
        <v>4485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171</v>
      </c>
      <c r="BV1962" s="2" t="s">
        <v>97</v>
      </c>
      <c r="BW1962" s="2" t="s">
        <v>100</v>
      </c>
      <c r="BX1962" s="2" t="s">
        <v>100</v>
      </c>
      <c r="BY1962" s="2" t="s">
        <v>112</v>
      </c>
      <c r="BZ1962" s="2" t="s">
        <v>100</v>
      </c>
    </row>
    <row r="1963">
      <c r="A1963" s="2" t="s">
        <v>6734</v>
      </c>
      <c r="B1963" s="2" t="s">
        <v>5155</v>
      </c>
      <c r="C1963" s="2" t="s">
        <v>4466</v>
      </c>
      <c r="D1963" s="2" t="s">
        <v>5156</v>
      </c>
      <c r="E1963" s="2" t="s">
        <v>5157</v>
      </c>
      <c r="F1963" s="2" t="s">
        <v>6716</v>
      </c>
      <c r="G1963" s="2" t="s">
        <v>6716</v>
      </c>
      <c r="H1963" s="2" t="s">
        <v>6716</v>
      </c>
      <c r="I1963" s="2" t="s">
        <v>5159</v>
      </c>
      <c r="J1963" s="2" t="s">
        <v>1443</v>
      </c>
      <c r="K1963" s="2" t="s">
        <v>1373</v>
      </c>
      <c r="L1963" s="3">
        <v>45.23</v>
      </c>
      <c r="M1963" s="3">
        <v>47.49</v>
      </c>
      <c r="N1963" s="3">
        <v>94.99</v>
      </c>
      <c r="O1963" s="2" t="s">
        <v>97</v>
      </c>
      <c r="P1963" s="2" t="s">
        <v>98</v>
      </c>
      <c r="Q1963" s="2" t="s">
        <v>99</v>
      </c>
      <c r="R1963" s="2" t="s">
        <v>100</v>
      </c>
      <c r="S1963" s="2" t="s">
        <v>6735</v>
      </c>
      <c r="T1963" s="2" t="s">
        <v>5327</v>
      </c>
      <c r="U1963" s="2" t="s">
        <v>1776</v>
      </c>
      <c r="V1963" s="2" t="s">
        <v>461</v>
      </c>
      <c r="W1963" s="2" t="s">
        <v>609</v>
      </c>
      <c r="X1963" s="2" t="s">
        <v>270</v>
      </c>
      <c r="Y1963" s="2" t="s">
        <v>6243</v>
      </c>
      <c r="Z1963" s="4">
        <v>200</v>
      </c>
      <c r="AA1963" s="4">
        <f>=ROUNDDOWN(25,0)</f>
      </c>
      <c r="AB1963" s="5">
        <v>8</v>
      </c>
      <c r="AC1963" s="2" t="s">
        <v>100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100</v>
      </c>
      <c r="AW1963" s="8" t="s">
        <v>100</v>
      </c>
      <c r="AX1963" s="4" t="s">
        <v>100</v>
      </c>
      <c r="AY1963" s="8" t="s">
        <v>100</v>
      </c>
      <c r="AZ1963" s="7" t="s">
        <v>100</v>
      </c>
      <c r="BA1963" s="7" t="s">
        <v>100</v>
      </c>
      <c r="BB1963" s="7"/>
      <c r="BC1963" s="4" t="s">
        <v>100</v>
      </c>
      <c r="BD1963" s="8" t="s">
        <v>100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/>
      <c r="BJ1963" s="4">
        <v>4</v>
      </c>
      <c r="BK1963" s="8">
        <v>200.9</v>
      </c>
      <c r="BL1963" s="2" t="s">
        <v>2465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171</v>
      </c>
      <c r="BV1963" s="2" t="s">
        <v>97</v>
      </c>
      <c r="BW1963" s="2" t="s">
        <v>100</v>
      </c>
      <c r="BX1963" s="2" t="s">
        <v>100</v>
      </c>
      <c r="BY1963" s="2" t="s">
        <v>112</v>
      </c>
      <c r="BZ1963" s="2" t="s">
        <v>100</v>
      </c>
    </row>
    <row r="1964">
      <c r="A1964" s="2" t="s">
        <v>6736</v>
      </c>
      <c r="B1964" s="2" t="s">
        <v>5155</v>
      </c>
      <c r="C1964" s="2" t="s">
        <v>4466</v>
      </c>
      <c r="D1964" s="2" t="s">
        <v>5156</v>
      </c>
      <c r="E1964" s="2" t="s">
        <v>5157</v>
      </c>
      <c r="F1964" s="2" t="s">
        <v>6716</v>
      </c>
      <c r="G1964" s="2" t="s">
        <v>6716</v>
      </c>
      <c r="H1964" s="2" t="s">
        <v>6716</v>
      </c>
      <c r="I1964" s="2" t="s">
        <v>5159</v>
      </c>
      <c r="J1964" s="2" t="s">
        <v>490</v>
      </c>
      <c r="K1964" s="2" t="s">
        <v>1373</v>
      </c>
      <c r="L1964" s="3">
        <v>50</v>
      </c>
      <c r="M1964" s="3">
        <v>52.5</v>
      </c>
      <c r="N1964" s="3">
        <v>104.99</v>
      </c>
      <c r="O1964" s="2" t="s">
        <v>97</v>
      </c>
      <c r="P1964" s="2" t="s">
        <v>98</v>
      </c>
      <c r="Q1964" s="2" t="s">
        <v>99</v>
      </c>
      <c r="R1964" s="2" t="s">
        <v>100</v>
      </c>
      <c r="S1964" s="2" t="s">
        <v>6735</v>
      </c>
      <c r="T1964" s="2" t="s">
        <v>5327</v>
      </c>
      <c r="U1964" s="2" t="s">
        <v>1776</v>
      </c>
      <c r="V1964" s="2" t="s">
        <v>461</v>
      </c>
      <c r="W1964" s="2" t="s">
        <v>609</v>
      </c>
      <c r="X1964" s="2" t="s">
        <v>270</v>
      </c>
      <c r="Y1964" s="2" t="s">
        <v>4089</v>
      </c>
      <c r="Z1964" s="4">
        <v>169</v>
      </c>
      <c r="AA1964" s="4">
        <f>=ROUNDDOWN(16.9,0)</f>
      </c>
      <c r="AB1964" s="5">
        <v>10</v>
      </c>
      <c r="AC1964" s="2" t="s">
        <v>100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100</v>
      </c>
      <c r="AW1964" s="8" t="s">
        <v>100</v>
      </c>
      <c r="AX1964" s="4" t="s">
        <v>100</v>
      </c>
      <c r="AY1964" s="8" t="s">
        <v>100</v>
      </c>
      <c r="AZ1964" s="7" t="s">
        <v>100</v>
      </c>
      <c r="BA1964" s="7" t="s">
        <v>100</v>
      </c>
      <c r="BB1964" s="7"/>
      <c r="BC1964" s="4" t="s">
        <v>100</v>
      </c>
      <c r="BD1964" s="8" t="s">
        <v>100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/>
      <c r="BJ1964" s="4">
        <v>7</v>
      </c>
      <c r="BK1964" s="8">
        <v>392.16</v>
      </c>
      <c r="BL1964" s="2" t="s">
        <v>4485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171</v>
      </c>
      <c r="BV1964" s="2" t="s">
        <v>97</v>
      </c>
      <c r="BW1964" s="2" t="s">
        <v>100</v>
      </c>
      <c r="BX1964" s="2" t="s">
        <v>100</v>
      </c>
      <c r="BY1964" s="2" t="s">
        <v>112</v>
      </c>
      <c r="BZ1964" s="2" t="s">
        <v>100</v>
      </c>
    </row>
    <row r="1965">
      <c r="A1965" s="2" t="s">
        <v>6737</v>
      </c>
      <c r="B1965" s="2" t="s">
        <v>5155</v>
      </c>
      <c r="C1965" s="2" t="s">
        <v>4466</v>
      </c>
      <c r="D1965" s="2" t="s">
        <v>5156</v>
      </c>
      <c r="E1965" s="2" t="s">
        <v>5157</v>
      </c>
      <c r="F1965" s="2" t="s">
        <v>6716</v>
      </c>
      <c r="G1965" s="2" t="s">
        <v>6716</v>
      </c>
      <c r="H1965" s="2" t="s">
        <v>6716</v>
      </c>
      <c r="I1965" s="2" t="s">
        <v>5159</v>
      </c>
      <c r="J1965" s="2" t="s">
        <v>95</v>
      </c>
      <c r="K1965" s="2" t="s">
        <v>1373</v>
      </c>
      <c r="L1965" s="3">
        <v>69.04</v>
      </c>
      <c r="M1965" s="3">
        <v>72.49</v>
      </c>
      <c r="N1965" s="3">
        <v>144.99</v>
      </c>
      <c r="O1965" s="2" t="s">
        <v>97</v>
      </c>
      <c r="P1965" s="2" t="s">
        <v>98</v>
      </c>
      <c r="Q1965" s="2" t="s">
        <v>99</v>
      </c>
      <c r="R1965" s="2" t="s">
        <v>100</v>
      </c>
      <c r="S1965" s="2" t="s">
        <v>6735</v>
      </c>
      <c r="T1965" s="2" t="s">
        <v>5327</v>
      </c>
      <c r="U1965" s="2" t="s">
        <v>1776</v>
      </c>
      <c r="V1965" s="2" t="s">
        <v>461</v>
      </c>
      <c r="W1965" s="2" t="s">
        <v>609</v>
      </c>
      <c r="X1965" s="2" t="s">
        <v>270</v>
      </c>
      <c r="Y1965" s="2" t="s">
        <v>6243</v>
      </c>
      <c r="Z1965" s="4">
        <v>124</v>
      </c>
      <c r="AA1965" s="4">
        <f>=ROUNDDOWN(9.53846153846154,0)</f>
      </c>
      <c r="AB1965" s="5">
        <v>13</v>
      </c>
      <c r="AC1965" s="2" t="s">
        <v>173</v>
      </c>
      <c r="AD1965" s="4">
        <v>150</v>
      </c>
      <c r="AE1965" s="4">
        <v>150</v>
      </c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100</v>
      </c>
      <c r="AW1965" s="8" t="s">
        <v>100</v>
      </c>
      <c r="AX1965" s="4" t="s">
        <v>100</v>
      </c>
      <c r="AY1965" s="8" t="s">
        <v>100</v>
      </c>
      <c r="AZ1965" s="7" t="s">
        <v>100</v>
      </c>
      <c r="BA1965" s="7" t="s">
        <v>100</v>
      </c>
      <c r="BB1965" s="7"/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/>
      <c r="BJ1965" s="4">
        <v>4</v>
      </c>
      <c r="BK1965" s="8">
        <v>290.69</v>
      </c>
      <c r="BL1965" s="2" t="s">
        <v>1636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171</v>
      </c>
      <c r="BV1965" s="2" t="s">
        <v>97</v>
      </c>
      <c r="BW1965" s="2" t="s">
        <v>100</v>
      </c>
      <c r="BX1965" s="2" t="s">
        <v>100</v>
      </c>
      <c r="BY1965" s="2" t="s">
        <v>112</v>
      </c>
      <c r="BZ1965" s="2" t="s">
        <v>100</v>
      </c>
    </row>
    <row r="1966">
      <c r="A1966" s="2" t="s">
        <v>6738</v>
      </c>
      <c r="B1966" s="2" t="s">
        <v>5155</v>
      </c>
      <c r="C1966" s="2" t="s">
        <v>4466</v>
      </c>
      <c r="D1966" s="2" t="s">
        <v>5156</v>
      </c>
      <c r="E1966" s="2" t="s">
        <v>5157</v>
      </c>
      <c r="F1966" s="2" t="s">
        <v>6716</v>
      </c>
      <c r="G1966" s="2" t="s">
        <v>6716</v>
      </c>
      <c r="H1966" s="2" t="s">
        <v>6716</v>
      </c>
      <c r="I1966" s="2" t="s">
        <v>5159</v>
      </c>
      <c r="J1966" s="2" t="s">
        <v>114</v>
      </c>
      <c r="K1966" s="2" t="s">
        <v>1373</v>
      </c>
      <c r="L1966" s="3">
        <v>78.57</v>
      </c>
      <c r="M1966" s="3">
        <v>82.5</v>
      </c>
      <c r="N1966" s="3">
        <v>164.99</v>
      </c>
      <c r="O1966" s="2" t="s">
        <v>97</v>
      </c>
      <c r="P1966" s="2" t="s">
        <v>98</v>
      </c>
      <c r="Q1966" s="2" t="s">
        <v>99</v>
      </c>
      <c r="R1966" s="2" t="s">
        <v>100</v>
      </c>
      <c r="S1966" s="2" t="s">
        <v>6735</v>
      </c>
      <c r="T1966" s="2" t="s">
        <v>5327</v>
      </c>
      <c r="U1966" s="2" t="s">
        <v>1776</v>
      </c>
      <c r="V1966" s="2" t="s">
        <v>461</v>
      </c>
      <c r="W1966" s="2" t="s">
        <v>609</v>
      </c>
      <c r="X1966" s="2" t="s">
        <v>270</v>
      </c>
      <c r="Y1966" s="2" t="s">
        <v>6243</v>
      </c>
      <c r="Z1966" s="4">
        <v>263</v>
      </c>
      <c r="AA1966" s="4">
        <f>=ROUNDDOWN(26.3,0)</f>
      </c>
      <c r="AB1966" s="5">
        <v>10</v>
      </c>
      <c r="AC1966" s="2" t="s">
        <v>100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 t="s">
        <v>100</v>
      </c>
      <c r="AW1966" s="8" t="s">
        <v>100</v>
      </c>
      <c r="AX1966" s="4" t="s">
        <v>100</v>
      </c>
      <c r="AY1966" s="8" t="s">
        <v>100</v>
      </c>
      <c r="AZ1966" s="7" t="s">
        <v>100</v>
      </c>
      <c r="BA1966" s="7" t="s">
        <v>100</v>
      </c>
      <c r="BB1966" s="7"/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/>
      <c r="BJ1966" s="4">
        <v>7</v>
      </c>
      <c r="BK1966" s="8">
        <v>616.26</v>
      </c>
      <c r="BL1966" s="2" t="s">
        <v>4252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171</v>
      </c>
      <c r="BV1966" s="2" t="s">
        <v>97</v>
      </c>
      <c r="BW1966" s="2" t="s">
        <v>100</v>
      </c>
      <c r="BX1966" s="2" t="s">
        <v>100</v>
      </c>
      <c r="BY1966" s="2" t="s">
        <v>112</v>
      </c>
      <c r="BZ1966" s="2" t="s">
        <v>100</v>
      </c>
    </row>
    <row r="1967">
      <c r="A1967" s="2" t="s">
        <v>6739</v>
      </c>
      <c r="B1967" s="2" t="s">
        <v>5155</v>
      </c>
      <c r="C1967" s="2" t="s">
        <v>4466</v>
      </c>
      <c r="D1967" s="2" t="s">
        <v>5156</v>
      </c>
      <c r="E1967" s="2" t="s">
        <v>5396</v>
      </c>
      <c r="F1967" s="2" t="s">
        <v>6740</v>
      </c>
      <c r="G1967" s="2" t="s">
        <v>6740</v>
      </c>
      <c r="H1967" s="2" t="s">
        <v>6740</v>
      </c>
      <c r="I1967" s="2" t="s">
        <v>6301</v>
      </c>
      <c r="J1967" s="2" t="s">
        <v>5894</v>
      </c>
      <c r="K1967" s="2" t="s">
        <v>179</v>
      </c>
      <c r="L1967" s="3">
        <v>30.95</v>
      </c>
      <c r="M1967" s="3">
        <v>32.5</v>
      </c>
      <c r="N1967" s="3">
        <v>64.99</v>
      </c>
      <c r="O1967" s="2" t="s">
        <v>97</v>
      </c>
      <c r="P1967" s="2" t="s">
        <v>98</v>
      </c>
      <c r="Q1967" s="2" t="s">
        <v>99</v>
      </c>
      <c r="R1967" s="2" t="s">
        <v>100</v>
      </c>
      <c r="S1967" s="2" t="s">
        <v>6741</v>
      </c>
      <c r="T1967" s="2" t="s">
        <v>5327</v>
      </c>
      <c r="U1967" s="2" t="s">
        <v>1776</v>
      </c>
      <c r="V1967" s="2" t="s">
        <v>461</v>
      </c>
      <c r="W1967" s="2" t="s">
        <v>609</v>
      </c>
      <c r="X1967" s="2" t="s">
        <v>100</v>
      </c>
      <c r="Y1967" s="2" t="s">
        <v>5385</v>
      </c>
      <c r="Z1967" s="4">
        <v>338</v>
      </c>
      <c r="AA1967" s="4">
        <f>=ROUNDDOWN(8.89473684210526,0)</f>
      </c>
      <c r="AB1967" s="5">
        <v>38</v>
      </c>
      <c r="AC1967" s="2" t="s">
        <v>3277</v>
      </c>
      <c r="AD1967" s="4">
        <v>700</v>
      </c>
      <c r="AE1967" s="4">
        <v>700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 t="s">
        <v>100</v>
      </c>
      <c r="BD1967" s="8" t="s">
        <v>100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/>
      <c r="BJ1967" s="4">
        <v>13</v>
      </c>
      <c r="BK1967" s="8">
        <v>451.4</v>
      </c>
      <c r="BL1967" s="2" t="s">
        <v>710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171</v>
      </c>
      <c r="BV1967" s="2" t="s">
        <v>97</v>
      </c>
      <c r="BW1967" s="2" t="s">
        <v>100</v>
      </c>
      <c r="BX1967" s="2" t="s">
        <v>100</v>
      </c>
      <c r="BY1967" s="2" t="s">
        <v>112</v>
      </c>
      <c r="BZ1967" s="2" t="s">
        <v>100</v>
      </c>
    </row>
    <row r="1968">
      <c r="A1968" s="2" t="s">
        <v>6742</v>
      </c>
      <c r="B1968" s="2" t="s">
        <v>5155</v>
      </c>
      <c r="C1968" s="2" t="s">
        <v>4466</v>
      </c>
      <c r="D1968" s="2" t="s">
        <v>5156</v>
      </c>
      <c r="E1968" s="2" t="s">
        <v>5396</v>
      </c>
      <c r="F1968" s="2" t="s">
        <v>6740</v>
      </c>
      <c r="G1968" s="2" t="s">
        <v>6740</v>
      </c>
      <c r="H1968" s="2" t="s">
        <v>6740</v>
      </c>
      <c r="I1968" s="2" t="s">
        <v>6301</v>
      </c>
      <c r="J1968" s="2" t="s">
        <v>5894</v>
      </c>
      <c r="K1968" s="2" t="s">
        <v>138</v>
      </c>
      <c r="L1968" s="3">
        <v>30.95</v>
      </c>
      <c r="M1968" s="3">
        <v>32.5</v>
      </c>
      <c r="N1968" s="3">
        <v>64.99</v>
      </c>
      <c r="O1968" s="2" t="s">
        <v>97</v>
      </c>
      <c r="P1968" s="2" t="s">
        <v>98</v>
      </c>
      <c r="Q1968" s="2" t="s">
        <v>99</v>
      </c>
      <c r="R1968" s="2" t="s">
        <v>100</v>
      </c>
      <c r="S1968" s="2" t="s">
        <v>6743</v>
      </c>
      <c r="T1968" s="2" t="s">
        <v>5327</v>
      </c>
      <c r="U1968" s="2" t="s">
        <v>1776</v>
      </c>
      <c r="V1968" s="2" t="s">
        <v>461</v>
      </c>
      <c r="W1968" s="2" t="s">
        <v>609</v>
      </c>
      <c r="X1968" s="2" t="s">
        <v>100</v>
      </c>
      <c r="Y1968" s="2" t="s">
        <v>5385</v>
      </c>
      <c r="Z1968" s="4">
        <v>374</v>
      </c>
      <c r="AA1968" s="4">
        <f>=ROUNDDOWN(15.5833333333333,0)</f>
      </c>
      <c r="AB1968" s="5">
        <v>24</v>
      </c>
      <c r="AC1968" s="2" t="s">
        <v>3277</v>
      </c>
      <c r="AD1968" s="4">
        <v>710</v>
      </c>
      <c r="AE1968" s="4">
        <v>710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/>
      <c r="BJ1968" s="4">
        <v>6</v>
      </c>
      <c r="BK1968" s="8">
        <v>205.7</v>
      </c>
      <c r="BL1968" s="2" t="s">
        <v>3101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171</v>
      </c>
      <c r="BV1968" s="2" t="s">
        <v>97</v>
      </c>
      <c r="BW1968" s="2" t="s">
        <v>100</v>
      </c>
      <c r="BX1968" s="2" t="s">
        <v>100</v>
      </c>
      <c r="BY1968" s="2" t="s">
        <v>112</v>
      </c>
      <c r="BZ1968" s="2" t="s">
        <v>100</v>
      </c>
    </row>
    <row r="1969">
      <c r="A1969" s="2" t="s">
        <v>6744</v>
      </c>
      <c r="B1969" s="2" t="s">
        <v>5155</v>
      </c>
      <c r="C1969" s="2" t="s">
        <v>4466</v>
      </c>
      <c r="D1969" s="2" t="s">
        <v>5156</v>
      </c>
      <c r="E1969" s="2" t="s">
        <v>5396</v>
      </c>
      <c r="F1969" s="2" t="s">
        <v>6740</v>
      </c>
      <c r="G1969" s="2" t="s">
        <v>6740</v>
      </c>
      <c r="H1969" s="2" t="s">
        <v>6740</v>
      </c>
      <c r="I1969" s="2" t="s">
        <v>6301</v>
      </c>
      <c r="J1969" s="2" t="s">
        <v>5894</v>
      </c>
      <c r="K1969" s="2" t="s">
        <v>96</v>
      </c>
      <c r="L1969" s="3">
        <v>30.95</v>
      </c>
      <c r="M1969" s="3">
        <v>32.5</v>
      </c>
      <c r="N1969" s="3">
        <v>64.99</v>
      </c>
      <c r="O1969" s="2" t="s">
        <v>97</v>
      </c>
      <c r="P1969" s="2" t="s">
        <v>98</v>
      </c>
      <c r="Q1969" s="2" t="s">
        <v>99</v>
      </c>
      <c r="R1969" s="2" t="s">
        <v>100</v>
      </c>
      <c r="S1969" s="2" t="s">
        <v>6745</v>
      </c>
      <c r="T1969" s="2" t="s">
        <v>5327</v>
      </c>
      <c r="U1969" s="2" t="s">
        <v>1776</v>
      </c>
      <c r="V1969" s="2" t="s">
        <v>461</v>
      </c>
      <c r="W1969" s="2" t="s">
        <v>609</v>
      </c>
      <c r="X1969" s="2" t="s">
        <v>100</v>
      </c>
      <c r="Y1969" s="2" t="s">
        <v>5385</v>
      </c>
      <c r="Z1969" s="4">
        <v>487</v>
      </c>
      <c r="AA1969" s="4">
        <f>=ROUNDDOWN(8.25423728813559,0)</f>
      </c>
      <c r="AB1969" s="5">
        <v>59</v>
      </c>
      <c r="AC1969" s="2" t="s">
        <v>3277</v>
      </c>
      <c r="AD1969" s="4">
        <v>540</v>
      </c>
      <c r="AE1969" s="4">
        <v>540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/>
      <c r="BJ1969" s="4">
        <v>14</v>
      </c>
      <c r="BK1969" s="8">
        <v>489.44</v>
      </c>
      <c r="BL1969" s="2" t="s">
        <v>4412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171</v>
      </c>
      <c r="BV1969" s="2" t="s">
        <v>97</v>
      </c>
      <c r="BW1969" s="2" t="s">
        <v>100</v>
      </c>
      <c r="BX1969" s="2" t="s">
        <v>100</v>
      </c>
      <c r="BY1969" s="2" t="s">
        <v>112</v>
      </c>
      <c r="BZ1969" s="2" t="s">
        <v>100</v>
      </c>
    </row>
    <row r="1970">
      <c r="A1970" s="2" t="s">
        <v>6746</v>
      </c>
      <c r="B1970" s="2" t="s">
        <v>6747</v>
      </c>
      <c r="C1970" s="2" t="s">
        <v>2831</v>
      </c>
      <c r="D1970" s="2" t="s">
        <v>6748</v>
      </c>
      <c r="E1970" s="2" t="s">
        <v>6749</v>
      </c>
      <c r="F1970" s="2" t="s">
        <v>6750</v>
      </c>
      <c r="G1970" s="2" t="s">
        <v>6750</v>
      </c>
      <c r="H1970" s="2" t="s">
        <v>6750</v>
      </c>
      <c r="I1970" s="2" t="s">
        <v>6751</v>
      </c>
      <c r="J1970" s="2" t="s">
        <v>3385</v>
      </c>
      <c r="K1970" s="2" t="s">
        <v>6752</v>
      </c>
      <c r="L1970" s="3">
        <v>100.3</v>
      </c>
      <c r="M1970" s="3">
        <v>105.32</v>
      </c>
      <c r="N1970" s="3">
        <v>219</v>
      </c>
      <c r="O1970" s="2" t="s">
        <v>97</v>
      </c>
      <c r="P1970" s="2" t="s">
        <v>707</v>
      </c>
      <c r="Q1970" s="2" t="s">
        <v>99</v>
      </c>
      <c r="R1970" s="2" t="s">
        <v>100</v>
      </c>
      <c r="S1970" s="2" t="s">
        <v>100</v>
      </c>
      <c r="T1970" s="2" t="s">
        <v>100</v>
      </c>
      <c r="U1970" s="2" t="s">
        <v>100</v>
      </c>
      <c r="V1970" s="2" t="s">
        <v>3412</v>
      </c>
      <c r="W1970" s="2" t="s">
        <v>2835</v>
      </c>
      <c r="X1970" s="2" t="s">
        <v>100</v>
      </c>
      <c r="Y1970" s="2" t="s">
        <v>2366</v>
      </c>
      <c r="Z1970" s="4">
        <v>83</v>
      </c>
      <c r="AA1970" s="4">
        <f>=ROUNDDOWN(20.75,0)</f>
      </c>
      <c r="AB1970" s="5">
        <v>4</v>
      </c>
      <c r="AC1970" s="2" t="s">
        <v>6753</v>
      </c>
      <c r="AD1970" s="4">
        <v>100</v>
      </c>
      <c r="AE1970" s="4">
        <v>100</v>
      </c>
      <c r="AF1970" s="6">
        <v>74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/>
      <c r="BD1970" s="8"/>
      <c r="BE1970" s="4"/>
      <c r="BF1970" s="8"/>
      <c r="BG1970" s="7"/>
      <c r="BH1970" s="7"/>
      <c r="BI1970" s="7"/>
      <c r="BJ1970" s="4">
        <v>14</v>
      </c>
      <c r="BK1970" s="8">
        <v>1454.12</v>
      </c>
      <c r="BL1970" s="2" t="s">
        <v>6754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2526</v>
      </c>
      <c r="BV1970" s="2" t="s">
        <v>97</v>
      </c>
      <c r="BW1970" s="2" t="s">
        <v>100</v>
      </c>
      <c r="BX1970" s="2" t="s">
        <v>100</v>
      </c>
      <c r="BY1970" s="2" t="s">
        <v>112</v>
      </c>
      <c r="BZ1970" s="2" t="s">
        <v>100</v>
      </c>
    </row>
    <row r="1971">
      <c r="A1971" s="2" t="s">
        <v>6755</v>
      </c>
      <c r="B1971" s="2" t="s">
        <v>6747</v>
      </c>
      <c r="C1971" s="2" t="s">
        <v>2831</v>
      </c>
      <c r="D1971" s="2" t="s">
        <v>6748</v>
      </c>
      <c r="E1971" s="2" t="s">
        <v>6749</v>
      </c>
      <c r="F1971" s="2" t="s">
        <v>6756</v>
      </c>
      <c r="G1971" s="2" t="s">
        <v>6756</v>
      </c>
      <c r="H1971" s="2" t="s">
        <v>6756</v>
      </c>
      <c r="I1971" s="2" t="s">
        <v>6757</v>
      </c>
      <c r="J1971" s="2" t="s">
        <v>3385</v>
      </c>
      <c r="K1971" s="2" t="s">
        <v>6758</v>
      </c>
      <c r="L1971" s="3">
        <v>155</v>
      </c>
      <c r="M1971" s="3">
        <v>162.75</v>
      </c>
      <c r="N1971" s="3">
        <v>319</v>
      </c>
      <c r="O1971" s="2" t="s">
        <v>97</v>
      </c>
      <c r="P1971" s="2" t="s">
        <v>98</v>
      </c>
      <c r="Q1971" s="2" t="s">
        <v>99</v>
      </c>
      <c r="R1971" s="2" t="s">
        <v>100</v>
      </c>
      <c r="S1971" s="2" t="s">
        <v>100</v>
      </c>
      <c r="T1971" s="2" t="s">
        <v>100</v>
      </c>
      <c r="U1971" s="2" t="s">
        <v>1776</v>
      </c>
      <c r="V1971" s="2" t="s">
        <v>3412</v>
      </c>
      <c r="W1971" s="2" t="s">
        <v>2835</v>
      </c>
      <c r="X1971" s="2" t="s">
        <v>493</v>
      </c>
      <c r="Y1971" s="2" t="s">
        <v>3641</v>
      </c>
      <c r="Z1971" s="4"/>
      <c r="AA1971" s="4">
        <f>=ROUNDDOWN({0},0)</f>
      </c>
      <c r="AB1971" s="5">
        <v>12</v>
      </c>
      <c r="AC1971" s="2" t="s">
        <v>1094</v>
      </c>
      <c r="AD1971" s="4">
        <v>65</v>
      </c>
      <c r="AE1971" s="4">
        <v>350</v>
      </c>
      <c r="AF1971" s="6">
        <v>65</v>
      </c>
      <c r="AG1971" s="6"/>
      <c r="AH1971" s="7">
        <v>0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/>
      <c r="AW1971" s="8"/>
      <c r="AX1971" s="4"/>
      <c r="AY1971" s="8"/>
      <c r="AZ1971" s="7"/>
      <c r="BA1971" s="7"/>
      <c r="BB1971" s="7"/>
      <c r="BC1971" s="4"/>
      <c r="BD1971" s="8"/>
      <c r="BE1971" s="4"/>
      <c r="BF1971" s="8"/>
      <c r="BG1971" s="7"/>
      <c r="BH1971" s="7"/>
      <c r="BI1971" s="7"/>
      <c r="BJ1971" s="4"/>
      <c r="BK1971" s="8"/>
      <c r="BL1971" s="2" t="s">
        <v>100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2551</v>
      </c>
      <c r="BV1971" s="2" t="s">
        <v>97</v>
      </c>
      <c r="BW1971" s="2" t="s">
        <v>100</v>
      </c>
      <c r="BX1971" s="2" t="s">
        <v>100</v>
      </c>
      <c r="BY1971" s="2" t="s">
        <v>112</v>
      </c>
      <c r="BZ1971" s="2" t="s">
        <v>100</v>
      </c>
    </row>
    <row r="1972">
      <c r="A1972" s="2" t="s">
        <v>6759</v>
      </c>
      <c r="B1972" s="2" t="s">
        <v>6747</v>
      </c>
      <c r="C1972" s="2" t="s">
        <v>2831</v>
      </c>
      <c r="D1972" s="2" t="s">
        <v>6748</v>
      </c>
      <c r="E1972" s="2" t="s">
        <v>6749</v>
      </c>
      <c r="F1972" s="2" t="s">
        <v>6760</v>
      </c>
      <c r="G1972" s="2" t="s">
        <v>6760</v>
      </c>
      <c r="H1972" s="2" t="s">
        <v>6760</v>
      </c>
      <c r="I1972" s="2" t="s">
        <v>6761</v>
      </c>
      <c r="J1972" s="2" t="s">
        <v>3385</v>
      </c>
      <c r="K1972" s="2" t="s">
        <v>179</v>
      </c>
      <c r="L1972" s="3">
        <v>108</v>
      </c>
      <c r="M1972" s="3">
        <v>113.4</v>
      </c>
      <c r="N1972" s="3">
        <v>229</v>
      </c>
      <c r="O1972" s="2" t="s">
        <v>97</v>
      </c>
      <c r="P1972" s="2" t="s">
        <v>98</v>
      </c>
      <c r="Q1972" s="2" t="s">
        <v>99</v>
      </c>
      <c r="R1972" s="2" t="s">
        <v>100</v>
      </c>
      <c r="S1972" s="2" t="s">
        <v>100</v>
      </c>
      <c r="T1972" s="2" t="s">
        <v>100</v>
      </c>
      <c r="U1972" s="2" t="s">
        <v>100</v>
      </c>
      <c r="V1972" s="2" t="s">
        <v>3412</v>
      </c>
      <c r="W1972" s="2" t="s">
        <v>609</v>
      </c>
      <c r="X1972" s="2" t="s">
        <v>100</v>
      </c>
      <c r="Y1972" s="2" t="s">
        <v>6762</v>
      </c>
      <c r="Z1972" s="4">
        <v>166</v>
      </c>
      <c r="AA1972" s="4">
        <f>=ROUNDDOWN(27.6666666666667,0)</f>
      </c>
      <c r="AB1972" s="5">
        <v>6</v>
      </c>
      <c r="AC1972" s="2" t="s">
        <v>262</v>
      </c>
      <c r="AD1972" s="4">
        <v>97</v>
      </c>
      <c r="AE1972" s="4">
        <v>97</v>
      </c>
      <c r="AF1972" s="6">
        <v>76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21</v>
      </c>
      <c r="BK1972" s="8">
        <v>2219.67</v>
      </c>
      <c r="BL1972" s="2" t="s">
        <v>6763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2551</v>
      </c>
      <c r="BV1972" s="2" t="s">
        <v>97</v>
      </c>
      <c r="BW1972" s="2" t="s">
        <v>100</v>
      </c>
      <c r="BX1972" s="2" t="s">
        <v>100</v>
      </c>
      <c r="BY1972" s="2" t="s">
        <v>112</v>
      </c>
      <c r="BZ1972" s="2" t="s">
        <v>100</v>
      </c>
    </row>
    <row r="1973">
      <c r="A1973" s="2" t="s">
        <v>6764</v>
      </c>
      <c r="B1973" s="2" t="s">
        <v>6747</v>
      </c>
      <c r="C1973" s="2" t="s">
        <v>2831</v>
      </c>
      <c r="D1973" s="2" t="s">
        <v>6748</v>
      </c>
      <c r="E1973" s="2" t="s">
        <v>6765</v>
      </c>
      <c r="F1973" s="2" t="s">
        <v>6766</v>
      </c>
      <c r="G1973" s="2" t="s">
        <v>6766</v>
      </c>
      <c r="H1973" s="2" t="s">
        <v>6766</v>
      </c>
      <c r="I1973" s="2" t="s">
        <v>6767</v>
      </c>
      <c r="J1973" s="2" t="s">
        <v>3385</v>
      </c>
      <c r="K1973" s="2" t="s">
        <v>673</v>
      </c>
      <c r="L1973" s="3">
        <v>117</v>
      </c>
      <c r="M1973" s="3">
        <v>122.85</v>
      </c>
      <c r="N1973" s="3">
        <v>249</v>
      </c>
      <c r="O1973" s="2" t="s">
        <v>97</v>
      </c>
      <c r="P1973" s="2" t="s">
        <v>123</v>
      </c>
      <c r="Q1973" s="2" t="s">
        <v>99</v>
      </c>
      <c r="R1973" s="2" t="s">
        <v>100</v>
      </c>
      <c r="S1973" s="2" t="s">
        <v>100</v>
      </c>
      <c r="T1973" s="2" t="s">
        <v>100</v>
      </c>
      <c r="U1973" s="2" t="s">
        <v>1776</v>
      </c>
      <c r="V1973" s="2" t="s">
        <v>3412</v>
      </c>
      <c r="W1973" s="2" t="s">
        <v>609</v>
      </c>
      <c r="X1973" s="2" t="s">
        <v>100</v>
      </c>
      <c r="Y1973" s="2" t="s">
        <v>6768</v>
      </c>
      <c r="Z1973" s="4">
        <v>46</v>
      </c>
      <c r="AA1973" s="4">
        <f>=ROUNDDOWN(1.58620689655172,0)</f>
      </c>
      <c r="AB1973" s="5">
        <v>29</v>
      </c>
      <c r="AC1973" s="2" t="s">
        <v>2604</v>
      </c>
      <c r="AD1973" s="4">
        <v>100</v>
      </c>
      <c r="AE1973" s="4">
        <v>1185</v>
      </c>
      <c r="AF1973" s="6">
        <v>66</v>
      </c>
      <c r="AG1973" s="6"/>
      <c r="AH1973" s="7">
        <v>0.8387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/>
      <c r="BD1973" s="8"/>
      <c r="BE1973" s="4"/>
      <c r="BF1973" s="8"/>
      <c r="BG1973" s="7"/>
      <c r="BH1973" s="7"/>
      <c r="BI1973" s="7"/>
      <c r="BJ1973" s="4">
        <v>82</v>
      </c>
      <c r="BK1973" s="8">
        <v>10402.53</v>
      </c>
      <c r="BL1973" s="2" t="s">
        <v>6769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2551</v>
      </c>
      <c r="BV1973" s="2" t="s">
        <v>97</v>
      </c>
      <c r="BW1973" s="2" t="s">
        <v>100</v>
      </c>
      <c r="BX1973" s="2" t="s">
        <v>100</v>
      </c>
      <c r="BY1973" s="2" t="s">
        <v>112</v>
      </c>
      <c r="BZ1973" s="2" t="s">
        <v>100</v>
      </c>
    </row>
    <row r="1974">
      <c r="A1974" s="2" t="s">
        <v>6770</v>
      </c>
      <c r="B1974" s="2" t="s">
        <v>6747</v>
      </c>
      <c r="C1974" s="2" t="s">
        <v>2831</v>
      </c>
      <c r="D1974" s="2" t="s">
        <v>6748</v>
      </c>
      <c r="E1974" s="2" t="s">
        <v>6765</v>
      </c>
      <c r="F1974" s="2" t="s">
        <v>6771</v>
      </c>
      <c r="G1974" s="2" t="s">
        <v>100</v>
      </c>
      <c r="H1974" s="2" t="s">
        <v>100</v>
      </c>
      <c r="I1974" s="2" t="s">
        <v>6749</v>
      </c>
      <c r="J1974" s="2" t="s">
        <v>3385</v>
      </c>
      <c r="K1974" s="2" t="s">
        <v>6772</v>
      </c>
      <c r="L1974" s="3">
        <v>193.5</v>
      </c>
      <c r="M1974" s="3">
        <v>203.18</v>
      </c>
      <c r="N1974" s="3">
        <v>399</v>
      </c>
      <c r="O1974" s="2" t="s">
        <v>97</v>
      </c>
      <c r="P1974" s="2" t="s">
        <v>707</v>
      </c>
      <c r="Q1974" s="2" t="s">
        <v>99</v>
      </c>
      <c r="R1974" s="2" t="s">
        <v>100</v>
      </c>
      <c r="S1974" s="2" t="s">
        <v>6773</v>
      </c>
      <c r="T1974" s="2" t="s">
        <v>100</v>
      </c>
      <c r="U1974" s="2" t="s">
        <v>100</v>
      </c>
      <c r="V1974" s="2" t="s">
        <v>461</v>
      </c>
      <c r="W1974" s="2" t="s">
        <v>609</v>
      </c>
      <c r="X1974" s="2" t="s">
        <v>100</v>
      </c>
      <c r="Y1974" s="2" t="s">
        <v>147</v>
      </c>
      <c r="Z1974" s="4">
        <v>20</v>
      </c>
      <c r="AA1974" s="4">
        <f>=ROUNDDOWN(5,0)</f>
      </c>
      <c r="AB1974" s="5">
        <v>4</v>
      </c>
      <c r="AC1974" s="2" t="s">
        <v>2772</v>
      </c>
      <c r="AD1974" s="4">
        <v>100</v>
      </c>
      <c r="AE1974" s="4">
        <v>100</v>
      </c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/>
      <c r="BD1974" s="8"/>
      <c r="BE1974" s="4"/>
      <c r="BF1974" s="8"/>
      <c r="BG1974" s="7"/>
      <c r="BH1974" s="7"/>
      <c r="BI1974" s="7"/>
      <c r="BJ1974" s="4">
        <v>11</v>
      </c>
      <c r="BK1974" s="8">
        <v>2283.25</v>
      </c>
      <c r="BL1974" s="2" t="s">
        <v>3146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2526</v>
      </c>
      <c r="BV1974" s="2" t="s">
        <v>97</v>
      </c>
      <c r="BW1974" s="2" t="s">
        <v>100</v>
      </c>
      <c r="BX1974" s="2" t="s">
        <v>100</v>
      </c>
      <c r="BY1974" s="2" t="s">
        <v>112</v>
      </c>
      <c r="BZ1974" s="2" t="s">
        <v>100</v>
      </c>
    </row>
    <row r="1975">
      <c r="A1975" s="2" t="s">
        <v>6774</v>
      </c>
      <c r="B1975" s="2" t="s">
        <v>6747</v>
      </c>
      <c r="C1975" s="2" t="s">
        <v>2831</v>
      </c>
      <c r="D1975" s="2" t="s">
        <v>6748</v>
      </c>
      <c r="E1975" s="2" t="s">
        <v>6765</v>
      </c>
      <c r="F1975" s="2" t="s">
        <v>533</v>
      </c>
      <c r="G1975" s="2" t="s">
        <v>533</v>
      </c>
      <c r="H1975" s="2" t="s">
        <v>533</v>
      </c>
      <c r="I1975" s="2" t="s">
        <v>6751</v>
      </c>
      <c r="J1975" s="2" t="s">
        <v>3385</v>
      </c>
      <c r="K1975" s="2" t="s">
        <v>523</v>
      </c>
      <c r="L1975" s="3">
        <v>118.8</v>
      </c>
      <c r="M1975" s="3">
        <v>124.74</v>
      </c>
      <c r="N1975" s="3">
        <v>249</v>
      </c>
      <c r="O1975" s="2" t="s">
        <v>97</v>
      </c>
      <c r="P1975" s="2" t="s">
        <v>98</v>
      </c>
      <c r="Q1975" s="2" t="s">
        <v>99</v>
      </c>
      <c r="R1975" s="2" t="s">
        <v>100</v>
      </c>
      <c r="S1975" s="2" t="s">
        <v>100</v>
      </c>
      <c r="T1975" s="2" t="s">
        <v>100</v>
      </c>
      <c r="U1975" s="2" t="s">
        <v>1776</v>
      </c>
      <c r="V1975" s="2" t="s">
        <v>461</v>
      </c>
      <c r="W1975" s="2" t="s">
        <v>142</v>
      </c>
      <c r="X1975" s="2" t="s">
        <v>1136</v>
      </c>
      <c r="Y1975" s="2" t="s">
        <v>5309</v>
      </c>
      <c r="Z1975" s="4">
        <v>96</v>
      </c>
      <c r="AA1975" s="4">
        <f>=ROUNDDOWN(13.7142857142857,0)</f>
      </c>
      <c r="AB1975" s="5">
        <v>7</v>
      </c>
      <c r="AC1975" s="2" t="s">
        <v>1452</v>
      </c>
      <c r="AD1975" s="4">
        <v>28</v>
      </c>
      <c r="AE1975" s="4">
        <v>95</v>
      </c>
      <c r="AF1975" s="6">
        <v>66</v>
      </c>
      <c r="AG1975" s="6">
        <v>49</v>
      </c>
      <c r="AH1975" s="7">
        <v>0.129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/>
      <c r="BD1975" s="8"/>
      <c r="BE1975" s="4"/>
      <c r="BF1975" s="8"/>
      <c r="BG1975" s="7"/>
      <c r="BH1975" s="7"/>
      <c r="BI1975" s="7"/>
      <c r="BJ1975" s="4">
        <v>15</v>
      </c>
      <c r="BK1975" s="8">
        <v>1956.49</v>
      </c>
      <c r="BL1975" s="2" t="s">
        <v>6775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2551</v>
      </c>
      <c r="BV1975" s="2" t="s">
        <v>97</v>
      </c>
      <c r="BW1975" s="2" t="s">
        <v>100</v>
      </c>
      <c r="BX1975" s="2" t="s">
        <v>100</v>
      </c>
      <c r="BY1975" s="2" t="s">
        <v>112</v>
      </c>
      <c r="BZ1975" s="2" t="s">
        <v>100</v>
      </c>
    </row>
    <row r="1976">
      <c r="A1976" s="2" t="s">
        <v>6776</v>
      </c>
      <c r="B1976" s="2" t="s">
        <v>6747</v>
      </c>
      <c r="C1976" s="2" t="s">
        <v>2831</v>
      </c>
      <c r="D1976" s="2" t="s">
        <v>6748</v>
      </c>
      <c r="E1976" s="2" t="s">
        <v>6765</v>
      </c>
      <c r="F1976" s="2" t="s">
        <v>6777</v>
      </c>
      <c r="G1976" s="2" t="s">
        <v>6777</v>
      </c>
      <c r="H1976" s="2" t="s">
        <v>6777</v>
      </c>
      <c r="I1976" s="2" t="s">
        <v>6749</v>
      </c>
      <c r="J1976" s="2" t="s">
        <v>3385</v>
      </c>
      <c r="K1976" s="2" t="s">
        <v>138</v>
      </c>
      <c r="L1976" s="3">
        <v>142.2</v>
      </c>
      <c r="M1976" s="3">
        <v>149.31</v>
      </c>
      <c r="N1976" s="3">
        <v>299</v>
      </c>
      <c r="O1976" s="2" t="s">
        <v>97</v>
      </c>
      <c r="P1976" s="2" t="s">
        <v>98</v>
      </c>
      <c r="Q1976" s="2" t="s">
        <v>99</v>
      </c>
      <c r="R1976" s="2" t="s">
        <v>100</v>
      </c>
      <c r="S1976" s="2" t="s">
        <v>6778</v>
      </c>
      <c r="T1976" s="2" t="s">
        <v>100</v>
      </c>
      <c r="U1976" s="2" t="s">
        <v>100</v>
      </c>
      <c r="V1976" s="2" t="s">
        <v>461</v>
      </c>
      <c r="W1976" s="2" t="s">
        <v>3394</v>
      </c>
      <c r="X1976" s="2" t="s">
        <v>100</v>
      </c>
      <c r="Y1976" s="2" t="s">
        <v>6779</v>
      </c>
      <c r="Z1976" s="4">
        <v>891</v>
      </c>
      <c r="AA1976" s="4">
        <f>=ROUNDDOWN(111.375,0)</f>
      </c>
      <c r="AB1976" s="5">
        <v>8</v>
      </c>
      <c r="AC1976" s="2" t="s">
        <v>6780</v>
      </c>
      <c r="AD1976" s="4">
        <v>516</v>
      </c>
      <c r="AE1976" s="4">
        <v>516</v>
      </c>
      <c r="AF1976" s="6">
        <v>76</v>
      </c>
      <c r="AG1976" s="6">
        <v>62</v>
      </c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/>
      <c r="BD1976" s="8"/>
      <c r="BE1976" s="4"/>
      <c r="BF1976" s="8"/>
      <c r="BG1976" s="7"/>
      <c r="BH1976" s="7"/>
      <c r="BI1976" s="7"/>
      <c r="BJ1976" s="4">
        <v>36</v>
      </c>
      <c r="BK1976" s="8">
        <v>5485.54</v>
      </c>
      <c r="BL1976" s="2" t="s">
        <v>6781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2551</v>
      </c>
      <c r="BV1976" s="2" t="s">
        <v>97</v>
      </c>
      <c r="BW1976" s="2" t="s">
        <v>100</v>
      </c>
      <c r="BX1976" s="2" t="s">
        <v>100</v>
      </c>
      <c r="BY1976" s="2" t="s">
        <v>112</v>
      </c>
      <c r="BZ1976" s="2" t="s">
        <v>100</v>
      </c>
    </row>
    <row r="1977">
      <c r="A1977" s="2" t="s">
        <v>6782</v>
      </c>
      <c r="B1977" s="2" t="s">
        <v>6747</v>
      </c>
      <c r="C1977" s="2" t="s">
        <v>2831</v>
      </c>
      <c r="D1977" s="2" t="s">
        <v>6748</v>
      </c>
      <c r="E1977" s="2" t="s">
        <v>6765</v>
      </c>
      <c r="F1977" s="2" t="s">
        <v>6783</v>
      </c>
      <c r="G1977" s="2" t="s">
        <v>6783</v>
      </c>
      <c r="H1977" s="2" t="s">
        <v>6783</v>
      </c>
      <c r="I1977" s="2" t="s">
        <v>6784</v>
      </c>
      <c r="J1977" s="2" t="s">
        <v>6785</v>
      </c>
      <c r="K1977" s="2" t="s">
        <v>1090</v>
      </c>
      <c r="L1977" s="3">
        <v>110</v>
      </c>
      <c r="M1977" s="3">
        <v>115.5</v>
      </c>
      <c r="N1977" s="3">
        <v>229</v>
      </c>
      <c r="O1977" s="2" t="s">
        <v>97</v>
      </c>
      <c r="P1977" s="2" t="s">
        <v>123</v>
      </c>
      <c r="Q1977" s="2" t="s">
        <v>99</v>
      </c>
      <c r="R1977" s="2" t="s">
        <v>100</v>
      </c>
      <c r="S1977" s="2" t="s">
        <v>6786</v>
      </c>
      <c r="T1977" s="2" t="s">
        <v>100</v>
      </c>
      <c r="U1977" s="2" t="s">
        <v>1776</v>
      </c>
      <c r="V1977" s="2" t="s">
        <v>461</v>
      </c>
      <c r="W1977" s="2" t="s">
        <v>609</v>
      </c>
      <c r="X1977" s="2" t="s">
        <v>100</v>
      </c>
      <c r="Y1977" s="2" t="s">
        <v>6787</v>
      </c>
      <c r="Z1977" s="4">
        <v>101</v>
      </c>
      <c r="AA1977" s="4">
        <f>=ROUNDDOWN(4.39130434782609,0)</f>
      </c>
      <c r="AB1977" s="5">
        <v>23</v>
      </c>
      <c r="AC1977" s="2" t="s">
        <v>201</v>
      </c>
      <c r="AD1977" s="4">
        <v>150</v>
      </c>
      <c r="AE1977" s="4">
        <v>635</v>
      </c>
      <c r="AF1977" s="6">
        <v>66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/>
      <c r="BD1977" s="8"/>
      <c r="BE1977" s="4"/>
      <c r="BF1977" s="8"/>
      <c r="BG1977" s="7"/>
      <c r="BH1977" s="7"/>
      <c r="BI1977" s="7"/>
      <c r="BJ1977" s="4">
        <v>71</v>
      </c>
      <c r="BK1977" s="8">
        <v>8452.3</v>
      </c>
      <c r="BL1977" s="2" t="s">
        <v>2765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2551</v>
      </c>
      <c r="BV1977" s="2" t="s">
        <v>97</v>
      </c>
      <c r="BW1977" s="2" t="s">
        <v>100</v>
      </c>
      <c r="BX1977" s="2" t="s">
        <v>100</v>
      </c>
      <c r="BY1977" s="2" t="s">
        <v>112</v>
      </c>
      <c r="BZ1977" s="2" t="s">
        <v>100</v>
      </c>
    </row>
    <row r="1978">
      <c r="A1978" s="2" t="s">
        <v>6788</v>
      </c>
      <c r="B1978" s="2" t="s">
        <v>6747</v>
      </c>
      <c r="C1978" s="2" t="s">
        <v>2831</v>
      </c>
      <c r="D1978" s="2" t="s">
        <v>6789</v>
      </c>
      <c r="E1978" s="2" t="s">
        <v>6790</v>
      </c>
      <c r="F1978" s="2" t="s">
        <v>6791</v>
      </c>
      <c r="G1978" s="2" t="s">
        <v>6791</v>
      </c>
      <c r="H1978" s="2" t="s">
        <v>6791</v>
      </c>
      <c r="I1978" s="2" t="s">
        <v>6792</v>
      </c>
      <c r="J1978" s="2" t="s">
        <v>3385</v>
      </c>
      <c r="K1978" s="2" t="s">
        <v>138</v>
      </c>
      <c r="L1978" s="3">
        <v>133.24</v>
      </c>
      <c r="M1978" s="3">
        <v>139.9</v>
      </c>
      <c r="N1978" s="3">
        <v>279</v>
      </c>
      <c r="O1978" s="2" t="s">
        <v>97</v>
      </c>
      <c r="P1978" s="2" t="s">
        <v>707</v>
      </c>
      <c r="Q1978" s="2" t="s">
        <v>99</v>
      </c>
      <c r="R1978" s="2" t="s">
        <v>100</v>
      </c>
      <c r="S1978" s="2" t="s">
        <v>100</v>
      </c>
      <c r="T1978" s="2" t="s">
        <v>100</v>
      </c>
      <c r="U1978" s="2" t="s">
        <v>1776</v>
      </c>
      <c r="V1978" s="2" t="s">
        <v>3412</v>
      </c>
      <c r="W1978" s="2" t="s">
        <v>609</v>
      </c>
      <c r="X1978" s="2" t="s">
        <v>2835</v>
      </c>
      <c r="Y1978" s="2" t="s">
        <v>6793</v>
      </c>
      <c r="Z1978" s="4">
        <v>97</v>
      </c>
      <c r="AA1978" s="4">
        <f>=ROUNDDOWN(97,0)</f>
      </c>
      <c r="AB1978" s="5">
        <v>1</v>
      </c>
      <c r="AC1978" s="2" t="s">
        <v>100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/>
      <c r="BD1978" s="8"/>
      <c r="BE1978" s="4"/>
      <c r="BF1978" s="8"/>
      <c r="BG1978" s="7"/>
      <c r="BH1978" s="7"/>
      <c r="BI1978" s="7"/>
      <c r="BJ1978" s="4">
        <v>2</v>
      </c>
      <c r="BK1978" s="8">
        <v>293.8</v>
      </c>
      <c r="BL1978" s="2" t="s">
        <v>6794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2526</v>
      </c>
      <c r="BV1978" s="2" t="s">
        <v>97</v>
      </c>
      <c r="BW1978" s="2" t="s">
        <v>100</v>
      </c>
      <c r="BX1978" s="2" t="s">
        <v>100</v>
      </c>
      <c r="BY1978" s="2" t="s">
        <v>112</v>
      </c>
      <c r="BZ1978" s="2" t="s">
        <v>100</v>
      </c>
    </row>
    <row r="1979">
      <c r="A1979" s="2" t="s">
        <v>6795</v>
      </c>
      <c r="B1979" s="2" t="s">
        <v>6747</v>
      </c>
      <c r="C1979" s="2" t="s">
        <v>2831</v>
      </c>
      <c r="D1979" s="2" t="s">
        <v>6789</v>
      </c>
      <c r="E1979" s="2" t="s">
        <v>6796</v>
      </c>
      <c r="F1979" s="2" t="s">
        <v>6797</v>
      </c>
      <c r="G1979" s="2" t="s">
        <v>6797</v>
      </c>
      <c r="H1979" s="2" t="s">
        <v>6797</v>
      </c>
      <c r="I1979" s="2" t="s">
        <v>6798</v>
      </c>
      <c r="J1979" s="2" t="s">
        <v>3385</v>
      </c>
      <c r="K1979" s="2" t="s">
        <v>138</v>
      </c>
      <c r="L1979" s="3">
        <v>205.2</v>
      </c>
      <c r="M1979" s="3">
        <v>215.46</v>
      </c>
      <c r="N1979" s="3">
        <v>429</v>
      </c>
      <c r="O1979" s="2" t="s">
        <v>97</v>
      </c>
      <c r="P1979" s="2" t="s">
        <v>707</v>
      </c>
      <c r="Q1979" s="2" t="s">
        <v>99</v>
      </c>
      <c r="R1979" s="2" t="s">
        <v>100</v>
      </c>
      <c r="S1979" s="2" t="s">
        <v>100</v>
      </c>
      <c r="T1979" s="2" t="s">
        <v>100</v>
      </c>
      <c r="U1979" s="2" t="s">
        <v>1776</v>
      </c>
      <c r="V1979" s="2" t="s">
        <v>3412</v>
      </c>
      <c r="W1979" s="2" t="s">
        <v>142</v>
      </c>
      <c r="X1979" s="2" t="s">
        <v>104</v>
      </c>
      <c r="Y1979" s="2" t="s">
        <v>5542</v>
      </c>
      <c r="Z1979" s="4">
        <v>26</v>
      </c>
      <c r="AA1979" s="4">
        <f>=ROUNDDOWN(26,0)</f>
      </c>
      <c r="AB1979" s="5">
        <v>1</v>
      </c>
      <c r="AC1979" s="2" t="s">
        <v>3200</v>
      </c>
      <c r="AD1979" s="4">
        <v>100</v>
      </c>
      <c r="AE1979" s="4">
        <v>100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/>
      <c r="BD1979" s="8"/>
      <c r="BE1979" s="4"/>
      <c r="BF1979" s="8"/>
      <c r="BG1979" s="7"/>
      <c r="BH1979" s="7"/>
      <c r="BI1979" s="7"/>
      <c r="BJ1979" s="4"/>
      <c r="BK1979" s="8"/>
      <c r="BL1979" s="2" t="s">
        <v>100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2526</v>
      </c>
      <c r="BV1979" s="2" t="s">
        <v>97</v>
      </c>
      <c r="BW1979" s="2" t="s">
        <v>100</v>
      </c>
      <c r="BX1979" s="2" t="s">
        <v>100</v>
      </c>
      <c r="BY1979" s="2" t="s">
        <v>112</v>
      </c>
      <c r="BZ1979" s="2" t="s">
        <v>100</v>
      </c>
    </row>
    <row r="1980">
      <c r="A1980" s="2" t="s">
        <v>6799</v>
      </c>
      <c r="B1980" s="2" t="s">
        <v>6747</v>
      </c>
      <c r="C1980" s="2" t="s">
        <v>2831</v>
      </c>
      <c r="D1980" s="2" t="s">
        <v>6789</v>
      </c>
      <c r="E1980" s="2" t="s">
        <v>6800</v>
      </c>
      <c r="F1980" s="2" t="s">
        <v>6771</v>
      </c>
      <c r="G1980" s="2" t="s">
        <v>6771</v>
      </c>
      <c r="H1980" s="2" t="s">
        <v>6771</v>
      </c>
      <c r="I1980" s="2" t="s">
        <v>6790</v>
      </c>
      <c r="J1980" s="2" t="s">
        <v>3385</v>
      </c>
      <c r="K1980" s="2" t="s">
        <v>138</v>
      </c>
      <c r="L1980" s="3">
        <v>225</v>
      </c>
      <c r="M1980" s="3">
        <v>236.25</v>
      </c>
      <c r="N1980" s="3">
        <v>479</v>
      </c>
      <c r="O1980" s="2" t="s">
        <v>97</v>
      </c>
      <c r="P1980" s="2" t="s">
        <v>707</v>
      </c>
      <c r="Q1980" s="2" t="s">
        <v>99</v>
      </c>
      <c r="R1980" s="2" t="s">
        <v>100</v>
      </c>
      <c r="S1980" s="2" t="s">
        <v>6801</v>
      </c>
      <c r="T1980" s="2" t="s">
        <v>100</v>
      </c>
      <c r="U1980" s="2" t="s">
        <v>100</v>
      </c>
      <c r="V1980" s="2" t="s">
        <v>461</v>
      </c>
      <c r="W1980" s="2" t="s">
        <v>3394</v>
      </c>
      <c r="X1980" s="2" t="s">
        <v>100</v>
      </c>
      <c r="Y1980" s="2" t="s">
        <v>110</v>
      </c>
      <c r="Z1980" s="4">
        <v>147</v>
      </c>
      <c r="AA1980" s="4">
        <f>=ROUNDDOWN(49,0)</f>
      </c>
      <c r="AB1980" s="5">
        <v>3</v>
      </c>
      <c r="AC1980" s="2" t="s">
        <v>100</v>
      </c>
      <c r="AD1980" s="4"/>
      <c r="AE1980" s="4"/>
      <c r="AF1980" s="6">
        <v>65</v>
      </c>
      <c r="AG1980" s="6">
        <v>48</v>
      </c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/>
      <c r="BJ1980" s="4">
        <v>10</v>
      </c>
      <c r="BK1980" s="8">
        <v>2228.1</v>
      </c>
      <c r="BL1980" s="2" t="s">
        <v>6802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2526</v>
      </c>
      <c r="BV1980" s="2" t="s">
        <v>97</v>
      </c>
      <c r="BW1980" s="2" t="s">
        <v>100</v>
      </c>
      <c r="BX1980" s="2" t="s">
        <v>100</v>
      </c>
      <c r="BY1980" s="2" t="s">
        <v>112</v>
      </c>
      <c r="BZ1980" s="2" t="s">
        <v>100</v>
      </c>
    </row>
    <row r="1981">
      <c r="A1981" s="2" t="s">
        <v>6803</v>
      </c>
      <c r="B1981" s="2" t="s">
        <v>6747</v>
      </c>
      <c r="C1981" s="2" t="s">
        <v>2831</v>
      </c>
      <c r="D1981" s="2" t="s">
        <v>6789</v>
      </c>
      <c r="E1981" s="2" t="s">
        <v>6800</v>
      </c>
      <c r="F1981" s="2" t="s">
        <v>6771</v>
      </c>
      <c r="G1981" s="2" t="s">
        <v>6771</v>
      </c>
      <c r="H1981" s="2" t="s">
        <v>100</v>
      </c>
      <c r="I1981" s="2" t="s">
        <v>6790</v>
      </c>
      <c r="J1981" s="2" t="s">
        <v>3385</v>
      </c>
      <c r="K1981" s="2" t="s">
        <v>6804</v>
      </c>
      <c r="L1981" s="3">
        <v>225</v>
      </c>
      <c r="M1981" s="3">
        <v>236.25</v>
      </c>
      <c r="N1981" s="3">
        <v>479</v>
      </c>
      <c r="O1981" s="2" t="s">
        <v>97</v>
      </c>
      <c r="P1981" s="2" t="s">
        <v>707</v>
      </c>
      <c r="Q1981" s="2" t="s">
        <v>99</v>
      </c>
      <c r="R1981" s="2" t="s">
        <v>100</v>
      </c>
      <c r="S1981" s="2" t="s">
        <v>6805</v>
      </c>
      <c r="T1981" s="2" t="s">
        <v>100</v>
      </c>
      <c r="U1981" s="2" t="s">
        <v>100</v>
      </c>
      <c r="V1981" s="2" t="s">
        <v>461</v>
      </c>
      <c r="W1981" s="2" t="s">
        <v>2835</v>
      </c>
      <c r="X1981" s="2" t="s">
        <v>100</v>
      </c>
      <c r="Y1981" s="2" t="s">
        <v>144</v>
      </c>
      <c r="Z1981" s="4">
        <v>80</v>
      </c>
      <c r="AA1981" s="4">
        <f>=ROUNDDOWN(26.6666666666667,0)</f>
      </c>
      <c r="AB1981" s="5">
        <v>3</v>
      </c>
      <c r="AC1981" s="2" t="s">
        <v>897</v>
      </c>
      <c r="AD1981" s="4">
        <v>59</v>
      </c>
      <c r="AE1981" s="4">
        <v>59</v>
      </c>
      <c r="AF1981" s="6">
        <v>65</v>
      </c>
      <c r="AG1981" s="6">
        <v>48</v>
      </c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/>
      <c r="BJ1981" s="4">
        <v>9</v>
      </c>
      <c r="BK1981" s="8">
        <v>1940.09</v>
      </c>
      <c r="BL1981" s="2" t="s">
        <v>6806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2526</v>
      </c>
      <c r="BV1981" s="2" t="s">
        <v>97</v>
      </c>
      <c r="BW1981" s="2" t="s">
        <v>100</v>
      </c>
      <c r="BX1981" s="2" t="s">
        <v>100</v>
      </c>
      <c r="BY1981" s="2" t="s">
        <v>112</v>
      </c>
      <c r="BZ1981" s="2" t="s">
        <v>100</v>
      </c>
    </row>
    <row r="1982">
      <c r="A1982" s="2" t="s">
        <v>6807</v>
      </c>
      <c r="B1982" s="2" t="s">
        <v>6747</v>
      </c>
      <c r="C1982" s="2" t="s">
        <v>2831</v>
      </c>
      <c r="D1982" s="2" t="s">
        <v>6789</v>
      </c>
      <c r="E1982" s="2" t="s">
        <v>6800</v>
      </c>
      <c r="F1982" s="2" t="s">
        <v>6808</v>
      </c>
      <c r="G1982" s="2" t="s">
        <v>6808</v>
      </c>
      <c r="H1982" s="2" t="s">
        <v>6808</v>
      </c>
      <c r="I1982" s="2" t="s">
        <v>6790</v>
      </c>
      <c r="J1982" s="2" t="s">
        <v>3385</v>
      </c>
      <c r="K1982" s="2" t="s">
        <v>179</v>
      </c>
      <c r="L1982" s="3">
        <v>261</v>
      </c>
      <c r="M1982" s="3">
        <v>274.05</v>
      </c>
      <c r="N1982" s="3">
        <v>549</v>
      </c>
      <c r="O1982" s="2" t="s">
        <v>97</v>
      </c>
      <c r="P1982" s="2" t="s">
        <v>707</v>
      </c>
      <c r="Q1982" s="2" t="s">
        <v>99</v>
      </c>
      <c r="R1982" s="2" t="s">
        <v>100</v>
      </c>
      <c r="S1982" s="2" t="s">
        <v>6809</v>
      </c>
      <c r="T1982" s="2" t="s">
        <v>100</v>
      </c>
      <c r="U1982" s="2" t="s">
        <v>100</v>
      </c>
      <c r="V1982" s="2" t="s">
        <v>461</v>
      </c>
      <c r="W1982" s="2" t="s">
        <v>2835</v>
      </c>
      <c r="X1982" s="2" t="s">
        <v>100</v>
      </c>
      <c r="Y1982" s="2" t="s">
        <v>5176</v>
      </c>
      <c r="Z1982" s="4">
        <v>144</v>
      </c>
      <c r="AA1982" s="4">
        <f>=ROUNDDOWN(72,0)</f>
      </c>
      <c r="AB1982" s="5">
        <v>2</v>
      </c>
      <c r="AC1982" s="2" t="s">
        <v>100</v>
      </c>
      <c r="AD1982" s="4"/>
      <c r="AE1982" s="4"/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/>
      <c r="AW1982" s="8"/>
      <c r="AX1982" s="4"/>
      <c r="AY1982" s="8"/>
      <c r="AZ1982" s="7"/>
      <c r="BA1982" s="7"/>
      <c r="BB1982" s="7"/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/>
      <c r="BJ1982" s="4">
        <v>5</v>
      </c>
      <c r="BK1982" s="8">
        <v>1182.86</v>
      </c>
      <c r="BL1982" s="2" t="s">
        <v>6810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2526</v>
      </c>
      <c r="BV1982" s="2" t="s">
        <v>97</v>
      </c>
      <c r="BW1982" s="2" t="s">
        <v>100</v>
      </c>
      <c r="BX1982" s="2" t="s">
        <v>100</v>
      </c>
      <c r="BY1982" s="2" t="s">
        <v>112</v>
      </c>
      <c r="BZ1982" s="2" t="s">
        <v>100</v>
      </c>
    </row>
    <row r="1983">
      <c r="A1983" s="2" t="s">
        <v>6811</v>
      </c>
      <c r="B1983" s="2" t="s">
        <v>6747</v>
      </c>
      <c r="C1983" s="2" t="s">
        <v>2831</v>
      </c>
      <c r="D1983" s="2" t="s">
        <v>6789</v>
      </c>
      <c r="E1983" s="2" t="s">
        <v>6800</v>
      </c>
      <c r="F1983" s="2" t="s">
        <v>6808</v>
      </c>
      <c r="G1983" s="2" t="s">
        <v>6808</v>
      </c>
      <c r="H1983" s="2" t="s">
        <v>6808</v>
      </c>
      <c r="I1983" s="2" t="s">
        <v>6790</v>
      </c>
      <c r="J1983" s="2" t="s">
        <v>3385</v>
      </c>
      <c r="K1983" s="2" t="s">
        <v>4488</v>
      </c>
      <c r="L1983" s="3">
        <v>261</v>
      </c>
      <c r="M1983" s="3">
        <v>274.05</v>
      </c>
      <c r="N1983" s="3">
        <v>549</v>
      </c>
      <c r="O1983" s="2" t="s">
        <v>97</v>
      </c>
      <c r="P1983" s="2" t="s">
        <v>98</v>
      </c>
      <c r="Q1983" s="2" t="s">
        <v>99</v>
      </c>
      <c r="R1983" s="2" t="s">
        <v>100</v>
      </c>
      <c r="S1983" s="2" t="s">
        <v>6812</v>
      </c>
      <c r="T1983" s="2" t="s">
        <v>100</v>
      </c>
      <c r="U1983" s="2" t="s">
        <v>100</v>
      </c>
      <c r="V1983" s="2" t="s">
        <v>461</v>
      </c>
      <c r="W1983" s="2" t="s">
        <v>2835</v>
      </c>
      <c r="X1983" s="2" t="s">
        <v>100</v>
      </c>
      <c r="Y1983" s="2" t="s">
        <v>144</v>
      </c>
      <c r="Z1983" s="4">
        <v>232</v>
      </c>
      <c r="AA1983" s="4">
        <f>=ROUNDDOWN(46.4,0)</f>
      </c>
      <c r="AB1983" s="5">
        <v>5</v>
      </c>
      <c r="AC1983" s="2" t="s">
        <v>911</v>
      </c>
      <c r="AD1983" s="4">
        <v>100</v>
      </c>
      <c r="AE1983" s="4">
        <v>100</v>
      </c>
      <c r="AF1983" s="6">
        <v>65</v>
      </c>
      <c r="AG1983" s="6">
        <v>48</v>
      </c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/>
      <c r="AW1983" s="8"/>
      <c r="AX1983" s="4"/>
      <c r="AY1983" s="8"/>
      <c r="AZ1983" s="7"/>
      <c r="BA1983" s="7"/>
      <c r="BB1983" s="7"/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/>
      <c r="BJ1983" s="4">
        <v>17</v>
      </c>
      <c r="BK1983" s="8">
        <v>4051.8</v>
      </c>
      <c r="BL1983" s="2" t="s">
        <v>6813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2551</v>
      </c>
      <c r="BV1983" s="2" t="s">
        <v>97</v>
      </c>
      <c r="BW1983" s="2" t="s">
        <v>100</v>
      </c>
      <c r="BX1983" s="2" t="s">
        <v>100</v>
      </c>
      <c r="BY1983" s="2" t="s">
        <v>112</v>
      </c>
      <c r="BZ1983" s="2" t="s">
        <v>100</v>
      </c>
    </row>
    <row r="1984">
      <c r="A1984" s="2" t="s">
        <v>6814</v>
      </c>
      <c r="B1984" s="2" t="s">
        <v>6747</v>
      </c>
      <c r="C1984" s="2" t="s">
        <v>2831</v>
      </c>
      <c r="D1984" s="2" t="s">
        <v>6789</v>
      </c>
      <c r="E1984" s="2" t="s">
        <v>6800</v>
      </c>
      <c r="F1984" s="2" t="s">
        <v>6808</v>
      </c>
      <c r="G1984" s="2" t="s">
        <v>6808</v>
      </c>
      <c r="H1984" s="2" t="s">
        <v>6808</v>
      </c>
      <c r="I1984" s="2" t="s">
        <v>6790</v>
      </c>
      <c r="J1984" s="2" t="s">
        <v>3385</v>
      </c>
      <c r="K1984" s="2" t="s">
        <v>523</v>
      </c>
      <c r="L1984" s="3">
        <v>261</v>
      </c>
      <c r="M1984" s="3">
        <v>274.05</v>
      </c>
      <c r="N1984" s="3">
        <v>549</v>
      </c>
      <c r="O1984" s="2" t="s">
        <v>97</v>
      </c>
      <c r="P1984" s="2" t="s">
        <v>707</v>
      </c>
      <c r="Q1984" s="2" t="s">
        <v>99</v>
      </c>
      <c r="R1984" s="2" t="s">
        <v>100</v>
      </c>
      <c r="S1984" s="2" t="s">
        <v>6815</v>
      </c>
      <c r="T1984" s="2" t="s">
        <v>100</v>
      </c>
      <c r="U1984" s="2" t="s">
        <v>100</v>
      </c>
      <c r="V1984" s="2" t="s">
        <v>461</v>
      </c>
      <c r="W1984" s="2" t="s">
        <v>2835</v>
      </c>
      <c r="X1984" s="2" t="s">
        <v>100</v>
      </c>
      <c r="Y1984" s="2" t="s">
        <v>1935</v>
      </c>
      <c r="Z1984" s="4">
        <v>88</v>
      </c>
      <c r="AA1984" s="4">
        <f>=ROUNDDOWN(20.952380952381,0)</f>
      </c>
      <c r="AB1984" s="5">
        <v>4.2</v>
      </c>
      <c r="AC1984" s="2" t="s">
        <v>911</v>
      </c>
      <c r="AD1984" s="4">
        <v>100</v>
      </c>
      <c r="AE1984" s="4">
        <v>100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/>
      <c r="BJ1984" s="4">
        <v>19</v>
      </c>
      <c r="BK1984" s="8">
        <v>4426.05</v>
      </c>
      <c r="BL1984" s="2" t="s">
        <v>6816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2526</v>
      </c>
      <c r="BV1984" s="2" t="s">
        <v>97</v>
      </c>
      <c r="BW1984" s="2" t="s">
        <v>100</v>
      </c>
      <c r="BX1984" s="2" t="s">
        <v>100</v>
      </c>
      <c r="BY1984" s="2" t="s">
        <v>112</v>
      </c>
      <c r="BZ1984" s="2" t="s">
        <v>100</v>
      </c>
    </row>
    <row r="1985">
      <c r="A1985" s="2" t="s">
        <v>6817</v>
      </c>
      <c r="B1985" s="2" t="s">
        <v>6747</v>
      </c>
      <c r="C1985" s="2" t="s">
        <v>2831</v>
      </c>
      <c r="D1985" s="2" t="s">
        <v>6789</v>
      </c>
      <c r="E1985" s="2" t="s">
        <v>6800</v>
      </c>
      <c r="F1985" s="2" t="s">
        <v>6818</v>
      </c>
      <c r="G1985" s="2" t="s">
        <v>6818</v>
      </c>
      <c r="H1985" s="2" t="s">
        <v>6818</v>
      </c>
      <c r="I1985" s="2" t="s">
        <v>6819</v>
      </c>
      <c r="J1985" s="2" t="s">
        <v>3385</v>
      </c>
      <c r="K1985" s="2" t="s">
        <v>96</v>
      </c>
      <c r="L1985" s="3">
        <v>261.25</v>
      </c>
      <c r="M1985" s="3">
        <v>274.31</v>
      </c>
      <c r="N1985" s="3">
        <v>549</v>
      </c>
      <c r="O1985" s="2" t="s">
        <v>97</v>
      </c>
      <c r="P1985" s="2" t="s">
        <v>707</v>
      </c>
      <c r="Q1985" s="2" t="s">
        <v>99</v>
      </c>
      <c r="R1985" s="2" t="s">
        <v>100</v>
      </c>
      <c r="S1985" s="2" t="s">
        <v>100</v>
      </c>
      <c r="T1985" s="2" t="s">
        <v>100</v>
      </c>
      <c r="U1985" s="2" t="s">
        <v>1776</v>
      </c>
      <c r="V1985" s="2" t="s">
        <v>461</v>
      </c>
      <c r="W1985" s="2" t="s">
        <v>2835</v>
      </c>
      <c r="X1985" s="2" t="s">
        <v>493</v>
      </c>
      <c r="Y1985" s="2" t="s">
        <v>6820</v>
      </c>
      <c r="Z1985" s="4">
        <v>107</v>
      </c>
      <c r="AA1985" s="4">
        <f>=ROUNDDOWN(53.5,0)</f>
      </c>
      <c r="AB1985" s="5">
        <v>2</v>
      </c>
      <c r="AC1985" s="2" t="s">
        <v>100</v>
      </c>
      <c r="AD1985" s="4"/>
      <c r="AE1985" s="4"/>
      <c r="AF1985" s="6">
        <v>65</v>
      </c>
      <c r="AG1985" s="6">
        <v>48</v>
      </c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/>
      <c r="BJ1985" s="4">
        <v>6</v>
      </c>
      <c r="BK1985" s="8">
        <v>1467.32</v>
      </c>
      <c r="BL1985" s="2" t="s">
        <v>6821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2526</v>
      </c>
      <c r="BV1985" s="2" t="s">
        <v>97</v>
      </c>
      <c r="BW1985" s="2" t="s">
        <v>100</v>
      </c>
      <c r="BX1985" s="2" t="s">
        <v>100</v>
      </c>
      <c r="BY1985" s="2" t="s">
        <v>112</v>
      </c>
      <c r="BZ1985" s="2" t="s">
        <v>100</v>
      </c>
    </row>
    <row r="1986">
      <c r="A1986" s="2" t="s">
        <v>6822</v>
      </c>
      <c r="B1986" s="2" t="s">
        <v>6747</v>
      </c>
      <c r="C1986" s="2" t="s">
        <v>2831</v>
      </c>
      <c r="D1986" s="2" t="s">
        <v>6789</v>
      </c>
      <c r="E1986" s="2" t="s">
        <v>6800</v>
      </c>
      <c r="F1986" s="2" t="s">
        <v>6818</v>
      </c>
      <c r="G1986" s="2" t="s">
        <v>6818</v>
      </c>
      <c r="H1986" s="2" t="s">
        <v>100</v>
      </c>
      <c r="I1986" s="2" t="s">
        <v>6819</v>
      </c>
      <c r="J1986" s="2" t="s">
        <v>3385</v>
      </c>
      <c r="K1986" s="2" t="s">
        <v>6823</v>
      </c>
      <c r="L1986" s="3">
        <v>261.25</v>
      </c>
      <c r="M1986" s="3">
        <v>274.31</v>
      </c>
      <c r="N1986" s="3">
        <v>549</v>
      </c>
      <c r="O1986" s="2" t="s">
        <v>97</v>
      </c>
      <c r="P1986" s="2" t="s">
        <v>98</v>
      </c>
      <c r="Q1986" s="2" t="s">
        <v>99</v>
      </c>
      <c r="R1986" s="2" t="s">
        <v>100</v>
      </c>
      <c r="S1986" s="2" t="s">
        <v>6824</v>
      </c>
      <c r="T1986" s="2" t="s">
        <v>100</v>
      </c>
      <c r="U1986" s="2" t="s">
        <v>100</v>
      </c>
      <c r="V1986" s="2" t="s">
        <v>461</v>
      </c>
      <c r="W1986" s="2" t="s">
        <v>609</v>
      </c>
      <c r="X1986" s="2" t="s">
        <v>100</v>
      </c>
      <c r="Y1986" s="2" t="s">
        <v>144</v>
      </c>
      <c r="Z1986" s="4">
        <v>114</v>
      </c>
      <c r="AA1986" s="4">
        <f>=ROUNDDOWN(11.4,0)</f>
      </c>
      <c r="AB1986" s="5">
        <v>10</v>
      </c>
      <c r="AC1986" s="2" t="s">
        <v>206</v>
      </c>
      <c r="AD1986" s="4">
        <v>55</v>
      </c>
      <c r="AE1986" s="4">
        <v>275</v>
      </c>
      <c r="AF1986" s="6">
        <v>65</v>
      </c>
      <c r="AG1986" s="6">
        <v>48</v>
      </c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/>
      <c r="BJ1986" s="4">
        <v>22</v>
      </c>
      <c r="BK1986" s="8">
        <v>5747.89</v>
      </c>
      <c r="BL1986" s="2" t="s">
        <v>6825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2551</v>
      </c>
      <c r="BV1986" s="2" t="s">
        <v>97</v>
      </c>
      <c r="BW1986" s="2" t="s">
        <v>100</v>
      </c>
      <c r="BX1986" s="2" t="s">
        <v>100</v>
      </c>
      <c r="BY1986" s="2" t="s">
        <v>112</v>
      </c>
      <c r="BZ1986" s="2" t="s">
        <v>100</v>
      </c>
    </row>
    <row r="1987">
      <c r="A1987" s="2" t="s">
        <v>6826</v>
      </c>
      <c r="B1987" s="2" t="s">
        <v>6747</v>
      </c>
      <c r="C1987" s="2" t="s">
        <v>2831</v>
      </c>
      <c r="D1987" s="2" t="s">
        <v>6789</v>
      </c>
      <c r="E1987" s="2" t="s">
        <v>6800</v>
      </c>
      <c r="F1987" s="2" t="s">
        <v>6827</v>
      </c>
      <c r="G1987" s="2" t="s">
        <v>6827</v>
      </c>
      <c r="H1987" s="2" t="s">
        <v>6827</v>
      </c>
      <c r="I1987" s="2" t="s">
        <v>6790</v>
      </c>
      <c r="J1987" s="2" t="s">
        <v>3385</v>
      </c>
      <c r="K1987" s="2" t="s">
        <v>6828</v>
      </c>
      <c r="L1987" s="3">
        <v>172</v>
      </c>
      <c r="M1987" s="3">
        <v>180.6</v>
      </c>
      <c r="N1987" s="3">
        <v>359</v>
      </c>
      <c r="O1987" s="2" t="s">
        <v>97</v>
      </c>
      <c r="P1987" s="2" t="s">
        <v>123</v>
      </c>
      <c r="Q1987" s="2" t="s">
        <v>99</v>
      </c>
      <c r="R1987" s="2" t="s">
        <v>100</v>
      </c>
      <c r="S1987" s="2" t="s">
        <v>100</v>
      </c>
      <c r="T1987" s="2" t="s">
        <v>100</v>
      </c>
      <c r="U1987" s="2" t="s">
        <v>1776</v>
      </c>
      <c r="V1987" s="2" t="s">
        <v>461</v>
      </c>
      <c r="W1987" s="2" t="s">
        <v>609</v>
      </c>
      <c r="X1987" s="2" t="s">
        <v>100</v>
      </c>
      <c r="Y1987" s="2" t="s">
        <v>4857</v>
      </c>
      <c r="Z1987" s="4">
        <v>456</v>
      </c>
      <c r="AA1987" s="4">
        <f>=ROUNDDOWN(32.8057553956834,0)</f>
      </c>
      <c r="AB1987" s="5">
        <v>13.9</v>
      </c>
      <c r="AC1987" s="2" t="s">
        <v>2772</v>
      </c>
      <c r="AD1987" s="4">
        <v>190</v>
      </c>
      <c r="AE1987" s="4">
        <v>190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/>
      <c r="BD1987" s="8"/>
      <c r="BE1987" s="4"/>
      <c r="BF1987" s="8"/>
      <c r="BG1987" s="7"/>
      <c r="BH1987" s="7"/>
      <c r="BI1987" s="7"/>
      <c r="BJ1987" s="4">
        <v>69</v>
      </c>
      <c r="BK1987" s="8">
        <v>12512.15</v>
      </c>
      <c r="BL1987" s="2" t="s">
        <v>6829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2551</v>
      </c>
      <c r="BV1987" s="2" t="s">
        <v>97</v>
      </c>
      <c r="BW1987" s="2" t="s">
        <v>100</v>
      </c>
      <c r="BX1987" s="2" t="s">
        <v>100</v>
      </c>
      <c r="BY1987" s="2" t="s">
        <v>112</v>
      </c>
      <c r="BZ1987" s="2" t="s">
        <v>100</v>
      </c>
    </row>
    <row r="1988">
      <c r="A1988" s="2" t="s">
        <v>6830</v>
      </c>
      <c r="B1988" s="2" t="s">
        <v>6747</v>
      </c>
      <c r="C1988" s="2" t="s">
        <v>2831</v>
      </c>
      <c r="D1988" s="2" t="s">
        <v>6789</v>
      </c>
      <c r="E1988" s="2" t="s">
        <v>6800</v>
      </c>
      <c r="F1988" s="2" t="s">
        <v>6831</v>
      </c>
      <c r="G1988" s="2" t="s">
        <v>6831</v>
      </c>
      <c r="H1988" s="2" t="s">
        <v>6831</v>
      </c>
      <c r="I1988" s="2" t="s">
        <v>6790</v>
      </c>
      <c r="J1988" s="2" t="s">
        <v>3385</v>
      </c>
      <c r="K1988" s="2" t="s">
        <v>96</v>
      </c>
      <c r="L1988" s="3">
        <v>251.75</v>
      </c>
      <c r="M1988" s="3">
        <v>264.34</v>
      </c>
      <c r="N1988" s="3">
        <v>529</v>
      </c>
      <c r="O1988" s="2" t="s">
        <v>97</v>
      </c>
      <c r="P1988" s="2" t="s">
        <v>707</v>
      </c>
      <c r="Q1988" s="2" t="s">
        <v>99</v>
      </c>
      <c r="R1988" s="2" t="s">
        <v>100</v>
      </c>
      <c r="S1988" s="2" t="s">
        <v>100</v>
      </c>
      <c r="T1988" s="2" t="s">
        <v>100</v>
      </c>
      <c r="U1988" s="2" t="s">
        <v>1776</v>
      </c>
      <c r="V1988" s="2" t="s">
        <v>461</v>
      </c>
      <c r="W1988" s="2" t="s">
        <v>2835</v>
      </c>
      <c r="X1988" s="2" t="s">
        <v>100</v>
      </c>
      <c r="Y1988" s="2" t="s">
        <v>6832</v>
      </c>
      <c r="Z1988" s="4">
        <v>9</v>
      </c>
      <c r="AA1988" s="4">
        <f>=ROUNDDOWN(1.95652173913043,0)</f>
      </c>
      <c r="AB1988" s="5">
        <v>4.6</v>
      </c>
      <c r="AC1988" s="2" t="s">
        <v>2604</v>
      </c>
      <c r="AD1988" s="4">
        <v>100</v>
      </c>
      <c r="AE1988" s="4">
        <v>100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/>
      <c r="AW1988" s="8"/>
      <c r="AX1988" s="4"/>
      <c r="AY1988" s="8"/>
      <c r="AZ1988" s="7"/>
      <c r="BA1988" s="7"/>
      <c r="BB1988" s="7"/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/>
      <c r="BJ1988" s="4">
        <v>16</v>
      </c>
      <c r="BK1988" s="8">
        <v>4003.3</v>
      </c>
      <c r="BL1988" s="2" t="s">
        <v>6821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2526</v>
      </c>
      <c r="BV1988" s="2" t="s">
        <v>97</v>
      </c>
      <c r="BW1988" s="2" t="s">
        <v>100</v>
      </c>
      <c r="BX1988" s="2" t="s">
        <v>100</v>
      </c>
      <c r="BY1988" s="2" t="s">
        <v>112</v>
      </c>
      <c r="BZ1988" s="2" t="s">
        <v>100</v>
      </c>
    </row>
    <row r="1989">
      <c r="A1989" s="2" t="s">
        <v>6833</v>
      </c>
      <c r="B1989" s="2" t="s">
        <v>6747</v>
      </c>
      <c r="C1989" s="2" t="s">
        <v>2831</v>
      </c>
      <c r="D1989" s="2" t="s">
        <v>6789</v>
      </c>
      <c r="E1989" s="2" t="s">
        <v>6800</v>
      </c>
      <c r="F1989" s="2" t="s">
        <v>6831</v>
      </c>
      <c r="G1989" s="2" t="s">
        <v>6831</v>
      </c>
      <c r="H1989" s="2" t="s">
        <v>6831</v>
      </c>
      <c r="I1989" s="2" t="s">
        <v>6834</v>
      </c>
      <c r="J1989" s="2" t="s">
        <v>3385</v>
      </c>
      <c r="K1989" s="2" t="s">
        <v>1373</v>
      </c>
      <c r="L1989" s="3">
        <v>251.75</v>
      </c>
      <c r="M1989" s="3">
        <v>264.34</v>
      </c>
      <c r="N1989" s="3">
        <v>529</v>
      </c>
      <c r="O1989" s="2" t="s">
        <v>97</v>
      </c>
      <c r="P1989" s="2" t="s">
        <v>707</v>
      </c>
      <c r="Q1989" s="2" t="s">
        <v>99</v>
      </c>
      <c r="R1989" s="2" t="s">
        <v>100</v>
      </c>
      <c r="S1989" s="2" t="s">
        <v>100</v>
      </c>
      <c r="T1989" s="2" t="s">
        <v>100</v>
      </c>
      <c r="U1989" s="2" t="s">
        <v>1776</v>
      </c>
      <c r="V1989" s="2" t="s">
        <v>461</v>
      </c>
      <c r="W1989" s="2" t="s">
        <v>493</v>
      </c>
      <c r="X1989" s="2" t="s">
        <v>100</v>
      </c>
      <c r="Y1989" s="2" t="s">
        <v>6835</v>
      </c>
      <c r="Z1989" s="4">
        <v>173</v>
      </c>
      <c r="AA1989" s="4">
        <f>=ROUNDDOWN(57.6666666666667,0)</f>
      </c>
      <c r="AB1989" s="5">
        <v>3</v>
      </c>
      <c r="AC1989" s="2" t="s">
        <v>100</v>
      </c>
      <c r="AD1989" s="4"/>
      <c r="AE1989" s="4"/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/>
      <c r="AW1989" s="8"/>
      <c r="AX1989" s="4"/>
      <c r="AY1989" s="8"/>
      <c r="AZ1989" s="7"/>
      <c r="BA1989" s="7"/>
      <c r="BB1989" s="7"/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/>
      <c r="BJ1989" s="4">
        <v>4</v>
      </c>
      <c r="BK1989" s="8">
        <v>997.83</v>
      </c>
      <c r="BL1989" s="2" t="s">
        <v>6836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2526</v>
      </c>
      <c r="BV1989" s="2" t="s">
        <v>97</v>
      </c>
      <c r="BW1989" s="2" t="s">
        <v>100</v>
      </c>
      <c r="BX1989" s="2" t="s">
        <v>100</v>
      </c>
      <c r="BY1989" s="2" t="s">
        <v>112</v>
      </c>
      <c r="BZ1989" s="2" t="s">
        <v>100</v>
      </c>
    </row>
    <row r="1990">
      <c r="A1990" s="2" t="s">
        <v>6837</v>
      </c>
      <c r="B1990" s="2" t="s">
        <v>6747</v>
      </c>
      <c r="C1990" s="2" t="s">
        <v>2831</v>
      </c>
      <c r="D1990" s="2" t="s">
        <v>6789</v>
      </c>
      <c r="E1990" s="2" t="s">
        <v>6800</v>
      </c>
      <c r="F1990" s="2" t="s">
        <v>6838</v>
      </c>
      <c r="G1990" s="2" t="s">
        <v>6838</v>
      </c>
      <c r="H1990" s="2" t="s">
        <v>6838</v>
      </c>
      <c r="I1990" s="2" t="s">
        <v>6790</v>
      </c>
      <c r="J1990" s="2" t="s">
        <v>3385</v>
      </c>
      <c r="K1990" s="2" t="s">
        <v>96</v>
      </c>
      <c r="L1990" s="3">
        <v>209.95</v>
      </c>
      <c r="M1990" s="3">
        <v>220.45</v>
      </c>
      <c r="N1990" s="3">
        <v>439</v>
      </c>
      <c r="O1990" s="2" t="s">
        <v>97</v>
      </c>
      <c r="P1990" s="2" t="s">
        <v>707</v>
      </c>
      <c r="Q1990" s="2" t="s">
        <v>99</v>
      </c>
      <c r="R1990" s="2" t="s">
        <v>100</v>
      </c>
      <c r="S1990" s="2" t="s">
        <v>6839</v>
      </c>
      <c r="T1990" s="2" t="s">
        <v>100</v>
      </c>
      <c r="U1990" s="2" t="s">
        <v>1776</v>
      </c>
      <c r="V1990" s="2" t="s">
        <v>461</v>
      </c>
      <c r="W1990" s="2" t="s">
        <v>609</v>
      </c>
      <c r="X1990" s="2" t="s">
        <v>100</v>
      </c>
      <c r="Y1990" s="2" t="s">
        <v>144</v>
      </c>
      <c r="Z1990" s="4">
        <v>82</v>
      </c>
      <c r="AA1990" s="4">
        <f>=ROUNDDOWN(27.3333333333333,0)</f>
      </c>
      <c r="AB1990" s="5">
        <v>3</v>
      </c>
      <c r="AC1990" s="2" t="s">
        <v>1094</v>
      </c>
      <c r="AD1990" s="4">
        <v>3</v>
      </c>
      <c r="AE1990" s="4">
        <v>103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/>
      <c r="BD1990" s="8"/>
      <c r="BE1990" s="4"/>
      <c r="BF1990" s="8"/>
      <c r="BG1990" s="7"/>
      <c r="BH1990" s="7"/>
      <c r="BI1990" s="7"/>
      <c r="BJ1990" s="4">
        <v>5</v>
      </c>
      <c r="BK1990" s="8">
        <v>1041.89</v>
      </c>
      <c r="BL1990" s="2" t="s">
        <v>6840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2526</v>
      </c>
      <c r="BV1990" s="2" t="s">
        <v>97</v>
      </c>
      <c r="BW1990" s="2" t="s">
        <v>100</v>
      </c>
      <c r="BX1990" s="2" t="s">
        <v>100</v>
      </c>
      <c r="BY1990" s="2" t="s">
        <v>112</v>
      </c>
      <c r="BZ1990" s="2" t="s">
        <v>100</v>
      </c>
    </row>
    <row r="1991">
      <c r="A1991" s="2" t="s">
        <v>6841</v>
      </c>
      <c r="B1991" s="2" t="s">
        <v>6747</v>
      </c>
      <c r="C1991" s="2" t="s">
        <v>2831</v>
      </c>
      <c r="D1991" s="2" t="s">
        <v>6789</v>
      </c>
      <c r="E1991" s="2" t="s">
        <v>6800</v>
      </c>
      <c r="F1991" s="2" t="s">
        <v>6842</v>
      </c>
      <c r="G1991" s="2" t="s">
        <v>6842</v>
      </c>
      <c r="H1991" s="2" t="s">
        <v>6842</v>
      </c>
      <c r="I1991" s="2" t="s">
        <v>6800</v>
      </c>
      <c r="J1991" s="2" t="s">
        <v>3385</v>
      </c>
      <c r="K1991" s="2" t="s">
        <v>3876</v>
      </c>
      <c r="L1991" s="3">
        <v>180.5</v>
      </c>
      <c r="M1991" s="3">
        <v>189.52</v>
      </c>
      <c r="N1991" s="3">
        <v>379</v>
      </c>
      <c r="O1991" s="2" t="s">
        <v>97</v>
      </c>
      <c r="P1991" s="2" t="s">
        <v>98</v>
      </c>
      <c r="Q1991" s="2" t="s">
        <v>99</v>
      </c>
      <c r="R1991" s="2" t="s">
        <v>100</v>
      </c>
      <c r="S1991" s="2" t="s">
        <v>100</v>
      </c>
      <c r="T1991" s="2" t="s">
        <v>100</v>
      </c>
      <c r="U1991" s="2" t="s">
        <v>100</v>
      </c>
      <c r="V1991" s="2" t="s">
        <v>461</v>
      </c>
      <c r="W1991" s="2" t="s">
        <v>2835</v>
      </c>
      <c r="X1991" s="2" t="s">
        <v>100</v>
      </c>
      <c r="Y1991" s="2" t="s">
        <v>6843</v>
      </c>
      <c r="Z1991" s="4">
        <v>83</v>
      </c>
      <c r="AA1991" s="4">
        <f>=ROUNDDOWN(8.3,0)</f>
      </c>
      <c r="AB1991" s="5">
        <v>10</v>
      </c>
      <c r="AC1991" s="2" t="s">
        <v>2604</v>
      </c>
      <c r="AD1991" s="4">
        <v>178</v>
      </c>
      <c r="AE1991" s="4">
        <v>352</v>
      </c>
      <c r="AF1991" s="6">
        <v>74</v>
      </c>
      <c r="AG1991" s="6">
        <v>60</v>
      </c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/>
      <c r="BJ1991" s="4">
        <v>28</v>
      </c>
      <c r="BK1991" s="8">
        <v>5092.18</v>
      </c>
      <c r="BL1991" s="2" t="s">
        <v>6844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2551</v>
      </c>
      <c r="BV1991" s="2" t="s">
        <v>97</v>
      </c>
      <c r="BW1991" s="2" t="s">
        <v>100</v>
      </c>
      <c r="BX1991" s="2" t="s">
        <v>100</v>
      </c>
      <c r="BY1991" s="2" t="s">
        <v>112</v>
      </c>
      <c r="BZ1991" s="2" t="s">
        <v>100</v>
      </c>
    </row>
    <row r="1992">
      <c r="A1992" s="2" t="s">
        <v>6845</v>
      </c>
      <c r="B1992" s="2" t="s">
        <v>6747</v>
      </c>
      <c r="C1992" s="2" t="s">
        <v>2831</v>
      </c>
      <c r="D1992" s="2" t="s">
        <v>6789</v>
      </c>
      <c r="E1992" s="2" t="s">
        <v>6800</v>
      </c>
      <c r="F1992" s="2" t="s">
        <v>6842</v>
      </c>
      <c r="G1992" s="2" t="s">
        <v>6842</v>
      </c>
      <c r="H1992" s="2" t="s">
        <v>6842</v>
      </c>
      <c r="I1992" s="2" t="s">
        <v>6800</v>
      </c>
      <c r="J1992" s="2" t="s">
        <v>3385</v>
      </c>
      <c r="K1992" s="2" t="s">
        <v>179</v>
      </c>
      <c r="L1992" s="3">
        <v>180.5</v>
      </c>
      <c r="M1992" s="3">
        <v>189.52</v>
      </c>
      <c r="N1992" s="3">
        <v>379</v>
      </c>
      <c r="O1992" s="2" t="s">
        <v>97</v>
      </c>
      <c r="P1992" s="2" t="s">
        <v>139</v>
      </c>
      <c r="Q1992" s="2" t="s">
        <v>99</v>
      </c>
      <c r="R1992" s="2" t="s">
        <v>100</v>
      </c>
      <c r="S1992" s="2" t="s">
        <v>6846</v>
      </c>
      <c r="T1992" s="2" t="s">
        <v>100</v>
      </c>
      <c r="U1992" s="2" t="s">
        <v>100</v>
      </c>
      <c r="V1992" s="2" t="s">
        <v>461</v>
      </c>
      <c r="W1992" s="2" t="s">
        <v>2835</v>
      </c>
      <c r="X1992" s="2" t="s">
        <v>100</v>
      </c>
      <c r="Y1992" s="2" t="s">
        <v>4598</v>
      </c>
      <c r="Z1992" s="4">
        <v>329</v>
      </c>
      <c r="AA1992" s="4">
        <f>=ROUNDDOWN(54.8333333333333,0)</f>
      </c>
      <c r="AB1992" s="5">
        <v>6</v>
      </c>
      <c r="AC1992" s="2" t="s">
        <v>832</v>
      </c>
      <c r="AD1992" s="4">
        <v>174</v>
      </c>
      <c r="AE1992" s="4">
        <v>612</v>
      </c>
      <c r="AF1992" s="6">
        <v>74</v>
      </c>
      <c r="AG1992" s="6">
        <v>60</v>
      </c>
      <c r="AH1992" s="7">
        <v>1</v>
      </c>
      <c r="AI1992" s="4"/>
      <c r="AJ1992" s="4">
        <f>=ROUNDDOWN({0},0)</f>
      </c>
      <c r="AK1992" s="5"/>
      <c r="AL1992" s="2" t="s">
        <v>107</v>
      </c>
      <c r="AM1992" s="4">
        <v>94</v>
      </c>
      <c r="AN1992" s="4">
        <v>148</v>
      </c>
      <c r="AO1992" s="7">
        <v>0</v>
      </c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/>
      <c r="BJ1992" s="4">
        <v>119</v>
      </c>
      <c r="BK1992" s="8">
        <v>19991.08</v>
      </c>
      <c r="BL1992" s="2" t="s">
        <v>6847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2551</v>
      </c>
      <c r="BV1992" s="2" t="s">
        <v>97</v>
      </c>
      <c r="BW1992" s="2" t="s">
        <v>100</v>
      </c>
      <c r="BX1992" s="2" t="s">
        <v>100</v>
      </c>
      <c r="BY1992" s="2" t="s">
        <v>112</v>
      </c>
      <c r="BZ1992" s="2" t="s">
        <v>100</v>
      </c>
    </row>
    <row r="1993">
      <c r="A1993" s="2" t="s">
        <v>6848</v>
      </c>
      <c r="B1993" s="2" t="s">
        <v>6747</v>
      </c>
      <c r="C1993" s="2" t="s">
        <v>2831</v>
      </c>
      <c r="D1993" s="2" t="s">
        <v>6789</v>
      </c>
      <c r="E1993" s="2" t="s">
        <v>6800</v>
      </c>
      <c r="F1993" s="2" t="s">
        <v>6842</v>
      </c>
      <c r="G1993" s="2" t="s">
        <v>6842</v>
      </c>
      <c r="H1993" s="2" t="s">
        <v>6842</v>
      </c>
      <c r="I1993" s="2" t="s">
        <v>6800</v>
      </c>
      <c r="J1993" s="2" t="s">
        <v>3385</v>
      </c>
      <c r="K1993" s="2" t="s">
        <v>4362</v>
      </c>
      <c r="L1993" s="3">
        <v>180.5</v>
      </c>
      <c r="M1993" s="3">
        <v>189.52</v>
      </c>
      <c r="N1993" s="3">
        <v>379</v>
      </c>
      <c r="O1993" s="2" t="s">
        <v>97</v>
      </c>
      <c r="P1993" s="2" t="s">
        <v>123</v>
      </c>
      <c r="Q1993" s="2" t="s">
        <v>99</v>
      </c>
      <c r="R1993" s="2" t="s">
        <v>100</v>
      </c>
      <c r="S1993" s="2" t="s">
        <v>100</v>
      </c>
      <c r="T1993" s="2" t="s">
        <v>100</v>
      </c>
      <c r="U1993" s="2" t="s">
        <v>1776</v>
      </c>
      <c r="V1993" s="2" t="s">
        <v>461</v>
      </c>
      <c r="W1993" s="2" t="s">
        <v>2835</v>
      </c>
      <c r="X1993" s="2" t="s">
        <v>100</v>
      </c>
      <c r="Y1993" s="2" t="s">
        <v>6849</v>
      </c>
      <c r="Z1993" s="4">
        <v>33</v>
      </c>
      <c r="AA1993" s="4">
        <f>=ROUNDDOWN(11.7857142857143,0)</f>
      </c>
      <c r="AB1993" s="5">
        <v>2.8</v>
      </c>
      <c r="AC1993" s="2" t="s">
        <v>2604</v>
      </c>
      <c r="AD1993" s="4">
        <v>28</v>
      </c>
      <c r="AE1993" s="4">
        <v>202</v>
      </c>
      <c r="AF1993" s="6">
        <v>74</v>
      </c>
      <c r="AG1993" s="6">
        <v>60</v>
      </c>
      <c r="AH1993" s="7">
        <v>1</v>
      </c>
      <c r="AI1993" s="4"/>
      <c r="AJ1993" s="4">
        <f>=ROUNDDOWN({0},0)</f>
      </c>
      <c r="AK1993" s="5"/>
      <c r="AL1993" s="2" t="s">
        <v>107</v>
      </c>
      <c r="AM1993" s="4">
        <v>94</v>
      </c>
      <c r="AN1993" s="4">
        <v>168</v>
      </c>
      <c r="AO1993" s="7">
        <v>0</v>
      </c>
      <c r="AP1993" s="4"/>
      <c r="AQ1993" s="8"/>
      <c r="AR1993" s="4"/>
      <c r="AS1993" s="8"/>
      <c r="AT1993" s="7"/>
      <c r="AU1993" s="7"/>
      <c r="AV1993" s="4"/>
      <c r="AW1993" s="8"/>
      <c r="AX1993" s="4"/>
      <c r="AY1993" s="8"/>
      <c r="AZ1993" s="7"/>
      <c r="BA1993" s="7"/>
      <c r="BB1993" s="7"/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/>
      <c r="BJ1993" s="4">
        <v>27</v>
      </c>
      <c r="BK1993" s="8">
        <v>4235.48</v>
      </c>
      <c r="BL1993" s="2" t="s">
        <v>6850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2551</v>
      </c>
      <c r="BV1993" s="2" t="s">
        <v>97</v>
      </c>
      <c r="BW1993" s="2" t="s">
        <v>100</v>
      </c>
      <c r="BX1993" s="2" t="s">
        <v>100</v>
      </c>
      <c r="BY1993" s="2" t="s">
        <v>112</v>
      </c>
      <c r="BZ1993" s="2" t="s">
        <v>100</v>
      </c>
    </row>
    <row r="1994">
      <c r="A1994" s="2" t="s">
        <v>6851</v>
      </c>
      <c r="B1994" s="2" t="s">
        <v>6747</v>
      </c>
      <c r="C1994" s="2" t="s">
        <v>2831</v>
      </c>
      <c r="D1994" s="2" t="s">
        <v>6789</v>
      </c>
      <c r="E1994" s="2" t="s">
        <v>6800</v>
      </c>
      <c r="F1994" s="2" t="s">
        <v>6842</v>
      </c>
      <c r="G1994" s="2" t="s">
        <v>6842</v>
      </c>
      <c r="H1994" s="2" t="s">
        <v>6842</v>
      </c>
      <c r="I1994" s="2" t="s">
        <v>6800</v>
      </c>
      <c r="J1994" s="2" t="s">
        <v>3385</v>
      </c>
      <c r="K1994" s="2" t="s">
        <v>5681</v>
      </c>
      <c r="L1994" s="3">
        <v>180.5</v>
      </c>
      <c r="M1994" s="3">
        <v>189.52</v>
      </c>
      <c r="N1994" s="3">
        <v>379</v>
      </c>
      <c r="O1994" s="2" t="s">
        <v>97</v>
      </c>
      <c r="P1994" s="2" t="s">
        <v>98</v>
      </c>
      <c r="Q1994" s="2" t="s">
        <v>99</v>
      </c>
      <c r="R1994" s="2" t="s">
        <v>100</v>
      </c>
      <c r="S1994" s="2" t="s">
        <v>100</v>
      </c>
      <c r="T1994" s="2" t="s">
        <v>100</v>
      </c>
      <c r="U1994" s="2" t="s">
        <v>1776</v>
      </c>
      <c r="V1994" s="2" t="s">
        <v>461</v>
      </c>
      <c r="W1994" s="2" t="s">
        <v>2835</v>
      </c>
      <c r="X1994" s="2" t="s">
        <v>100</v>
      </c>
      <c r="Y1994" s="2" t="s">
        <v>1940</v>
      </c>
      <c r="Z1994" s="4">
        <v>164</v>
      </c>
      <c r="AA1994" s="4">
        <f>=ROUNDDOWN(78.0952380952381,0)</f>
      </c>
      <c r="AB1994" s="5">
        <v>2.1</v>
      </c>
      <c r="AC1994" s="2" t="s">
        <v>4919</v>
      </c>
      <c r="AD1994" s="4">
        <v>40</v>
      </c>
      <c r="AE1994" s="4">
        <v>40</v>
      </c>
      <c r="AF1994" s="6">
        <v>74</v>
      </c>
      <c r="AG1994" s="6">
        <v>60</v>
      </c>
      <c r="AH1994" s="7">
        <v>1</v>
      </c>
      <c r="AI1994" s="4"/>
      <c r="AJ1994" s="4">
        <f>=ROUNDDOWN({0},0)</f>
      </c>
      <c r="AK1994" s="5"/>
      <c r="AL1994" s="2" t="s">
        <v>107</v>
      </c>
      <c r="AM1994" s="4">
        <v>46</v>
      </c>
      <c r="AN1994" s="4">
        <v>46</v>
      </c>
      <c r="AO1994" s="7">
        <v>0</v>
      </c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/>
      <c r="BJ1994" s="4">
        <v>50</v>
      </c>
      <c r="BK1994" s="8">
        <v>7665.03</v>
      </c>
      <c r="BL1994" s="2" t="s">
        <v>6852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2551</v>
      </c>
      <c r="BV1994" s="2" t="s">
        <v>97</v>
      </c>
      <c r="BW1994" s="2" t="s">
        <v>100</v>
      </c>
      <c r="BX1994" s="2" t="s">
        <v>100</v>
      </c>
      <c r="BY1994" s="2" t="s">
        <v>112</v>
      </c>
      <c r="BZ1994" s="2" t="s">
        <v>100</v>
      </c>
    </row>
    <row r="1995">
      <c r="A1995" s="2" t="s">
        <v>6853</v>
      </c>
      <c r="B1995" s="2" t="s">
        <v>6747</v>
      </c>
      <c r="C1995" s="2" t="s">
        <v>2831</v>
      </c>
      <c r="D1995" s="2" t="s">
        <v>6789</v>
      </c>
      <c r="E1995" s="2" t="s">
        <v>6800</v>
      </c>
      <c r="F1995" s="2" t="s">
        <v>6842</v>
      </c>
      <c r="G1995" s="2" t="s">
        <v>6842</v>
      </c>
      <c r="H1995" s="2" t="s">
        <v>6842</v>
      </c>
      <c r="I1995" s="2" t="s">
        <v>6800</v>
      </c>
      <c r="J1995" s="2" t="s">
        <v>3385</v>
      </c>
      <c r="K1995" s="2" t="s">
        <v>4488</v>
      </c>
      <c r="L1995" s="3">
        <v>180.5</v>
      </c>
      <c r="M1995" s="3">
        <v>189.52</v>
      </c>
      <c r="N1995" s="3">
        <v>379</v>
      </c>
      <c r="O1995" s="2" t="s">
        <v>97</v>
      </c>
      <c r="P1995" s="2" t="s">
        <v>98</v>
      </c>
      <c r="Q1995" s="2" t="s">
        <v>99</v>
      </c>
      <c r="R1995" s="2" t="s">
        <v>100</v>
      </c>
      <c r="S1995" s="2" t="s">
        <v>100</v>
      </c>
      <c r="T1995" s="2" t="s">
        <v>100</v>
      </c>
      <c r="U1995" s="2" t="s">
        <v>1776</v>
      </c>
      <c r="V1995" s="2" t="s">
        <v>461</v>
      </c>
      <c r="W1995" s="2" t="s">
        <v>2835</v>
      </c>
      <c r="X1995" s="2" t="s">
        <v>100</v>
      </c>
      <c r="Y1995" s="2" t="s">
        <v>5487</v>
      </c>
      <c r="Z1995" s="4">
        <v>84</v>
      </c>
      <c r="AA1995" s="4">
        <f>=ROUNDDOWN(120,0)</f>
      </c>
      <c r="AB1995" s="5">
        <v>0.7</v>
      </c>
      <c r="AC1995" s="2" t="s">
        <v>2604</v>
      </c>
      <c r="AD1995" s="4">
        <v>146</v>
      </c>
      <c r="AE1995" s="4">
        <v>146</v>
      </c>
      <c r="AF1995" s="6">
        <v>74</v>
      </c>
      <c r="AG1995" s="6">
        <v>60</v>
      </c>
      <c r="AH1995" s="7">
        <v>1</v>
      </c>
      <c r="AI1995" s="4"/>
      <c r="AJ1995" s="4">
        <f>=ROUNDDOWN({0},0)</f>
      </c>
      <c r="AK1995" s="5"/>
      <c r="AL1995" s="2" t="s">
        <v>107</v>
      </c>
      <c r="AM1995" s="4">
        <v>54</v>
      </c>
      <c r="AN1995" s="4">
        <v>114</v>
      </c>
      <c r="AO1995" s="7">
        <v>0</v>
      </c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/>
      <c r="BJ1995" s="4">
        <v>42</v>
      </c>
      <c r="BK1995" s="8">
        <v>6578.21</v>
      </c>
      <c r="BL1995" s="2" t="s">
        <v>6854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2551</v>
      </c>
      <c r="BV1995" s="2" t="s">
        <v>97</v>
      </c>
      <c r="BW1995" s="2" t="s">
        <v>100</v>
      </c>
      <c r="BX1995" s="2" t="s">
        <v>100</v>
      </c>
      <c r="BY1995" s="2" t="s">
        <v>112</v>
      </c>
      <c r="BZ1995" s="2" t="s">
        <v>100</v>
      </c>
    </row>
    <row r="1996">
      <c r="A1996" s="2" t="s">
        <v>6855</v>
      </c>
      <c r="B1996" s="2" t="s">
        <v>6747</v>
      </c>
      <c r="C1996" s="2" t="s">
        <v>2831</v>
      </c>
      <c r="D1996" s="2" t="s">
        <v>6789</v>
      </c>
      <c r="E1996" s="2" t="s">
        <v>6800</v>
      </c>
      <c r="F1996" s="2" t="s">
        <v>6842</v>
      </c>
      <c r="G1996" s="2" t="s">
        <v>6842</v>
      </c>
      <c r="H1996" s="2" t="s">
        <v>6842</v>
      </c>
      <c r="I1996" s="2" t="s">
        <v>6800</v>
      </c>
      <c r="J1996" s="2" t="s">
        <v>3385</v>
      </c>
      <c r="K1996" s="2" t="s">
        <v>6856</v>
      </c>
      <c r="L1996" s="3">
        <v>180.5</v>
      </c>
      <c r="M1996" s="3">
        <v>189.52</v>
      </c>
      <c r="N1996" s="3">
        <v>379</v>
      </c>
      <c r="O1996" s="2" t="s">
        <v>97</v>
      </c>
      <c r="P1996" s="2" t="s">
        <v>98</v>
      </c>
      <c r="Q1996" s="2" t="s">
        <v>99</v>
      </c>
      <c r="R1996" s="2" t="s">
        <v>100</v>
      </c>
      <c r="S1996" s="2" t="s">
        <v>6857</v>
      </c>
      <c r="T1996" s="2" t="s">
        <v>438</v>
      </c>
      <c r="U1996" s="2" t="s">
        <v>100</v>
      </c>
      <c r="V1996" s="2" t="s">
        <v>461</v>
      </c>
      <c r="W1996" s="2" t="s">
        <v>2835</v>
      </c>
      <c r="X1996" s="2" t="s">
        <v>100</v>
      </c>
      <c r="Y1996" s="2" t="s">
        <v>144</v>
      </c>
      <c r="Z1996" s="4">
        <v>318</v>
      </c>
      <c r="AA1996" s="4">
        <f>=ROUNDDOWN(39.75,0)</f>
      </c>
      <c r="AB1996" s="5">
        <v>8</v>
      </c>
      <c r="AC1996" s="2" t="s">
        <v>2604</v>
      </c>
      <c r="AD1996" s="4">
        <v>116</v>
      </c>
      <c r="AE1996" s="4">
        <v>116</v>
      </c>
      <c r="AF1996" s="6">
        <v>74</v>
      </c>
      <c r="AG1996" s="6">
        <v>60</v>
      </c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/>
      <c r="BJ1996" s="4">
        <v>27</v>
      </c>
      <c r="BK1996" s="8">
        <v>4292.74</v>
      </c>
      <c r="BL1996" s="2" t="s">
        <v>6858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2551</v>
      </c>
      <c r="BV1996" s="2" t="s">
        <v>97</v>
      </c>
      <c r="BW1996" s="2" t="s">
        <v>100</v>
      </c>
      <c r="BX1996" s="2" t="s">
        <v>100</v>
      </c>
      <c r="BY1996" s="2" t="s">
        <v>112</v>
      </c>
      <c r="BZ1996" s="2" t="s">
        <v>100</v>
      </c>
    </row>
    <row r="1997">
      <c r="A1997" s="2" t="s">
        <v>6859</v>
      </c>
      <c r="B1997" s="2" t="s">
        <v>6747</v>
      </c>
      <c r="C1997" s="2" t="s">
        <v>2831</v>
      </c>
      <c r="D1997" s="2" t="s">
        <v>6789</v>
      </c>
      <c r="E1997" s="2" t="s">
        <v>6800</v>
      </c>
      <c r="F1997" s="2" t="s">
        <v>6842</v>
      </c>
      <c r="G1997" s="2" t="s">
        <v>6842</v>
      </c>
      <c r="H1997" s="2" t="s">
        <v>6842</v>
      </c>
      <c r="I1997" s="2" t="s">
        <v>6800</v>
      </c>
      <c r="J1997" s="2" t="s">
        <v>3385</v>
      </c>
      <c r="K1997" s="2" t="s">
        <v>3623</v>
      </c>
      <c r="L1997" s="3">
        <v>180.5</v>
      </c>
      <c r="M1997" s="3">
        <v>189.52</v>
      </c>
      <c r="N1997" s="3">
        <v>379</v>
      </c>
      <c r="O1997" s="2" t="s">
        <v>97</v>
      </c>
      <c r="P1997" s="2" t="s">
        <v>98</v>
      </c>
      <c r="Q1997" s="2" t="s">
        <v>99</v>
      </c>
      <c r="R1997" s="2" t="s">
        <v>100</v>
      </c>
      <c r="S1997" s="2" t="s">
        <v>100</v>
      </c>
      <c r="T1997" s="2" t="s">
        <v>100</v>
      </c>
      <c r="U1997" s="2" t="s">
        <v>1776</v>
      </c>
      <c r="V1997" s="2" t="s">
        <v>461</v>
      </c>
      <c r="W1997" s="2" t="s">
        <v>2835</v>
      </c>
      <c r="X1997" s="2" t="s">
        <v>100</v>
      </c>
      <c r="Y1997" s="2" t="s">
        <v>6454</v>
      </c>
      <c r="Z1997" s="4">
        <v>248</v>
      </c>
      <c r="AA1997" s="4">
        <f>=ROUNDDOWN(44.2857142857143,0)</f>
      </c>
      <c r="AB1997" s="5">
        <v>5.6</v>
      </c>
      <c r="AC1997" s="2" t="s">
        <v>1471</v>
      </c>
      <c r="AD1997" s="4">
        <v>12</v>
      </c>
      <c r="AE1997" s="4">
        <v>36</v>
      </c>
      <c r="AF1997" s="6">
        <v>74</v>
      </c>
      <c r="AG1997" s="6">
        <v>60</v>
      </c>
      <c r="AH1997" s="7">
        <v>1</v>
      </c>
      <c r="AI1997" s="4"/>
      <c r="AJ1997" s="4">
        <f>=ROUNDDOWN({0},0)</f>
      </c>
      <c r="AK1997" s="5"/>
      <c r="AL1997" s="2" t="s">
        <v>107</v>
      </c>
      <c r="AM1997" s="4">
        <v>60</v>
      </c>
      <c r="AN1997" s="4">
        <v>220</v>
      </c>
      <c r="AO1997" s="7">
        <v>0</v>
      </c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/>
      <c r="BJ1997" s="4">
        <v>56</v>
      </c>
      <c r="BK1997" s="8">
        <v>9526.42</v>
      </c>
      <c r="BL1997" s="2" t="s">
        <v>6860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2551</v>
      </c>
      <c r="BV1997" s="2" t="s">
        <v>97</v>
      </c>
      <c r="BW1997" s="2" t="s">
        <v>100</v>
      </c>
      <c r="BX1997" s="2" t="s">
        <v>100</v>
      </c>
      <c r="BY1997" s="2" t="s">
        <v>112</v>
      </c>
      <c r="BZ1997" s="2" t="s">
        <v>100</v>
      </c>
    </row>
    <row r="1998">
      <c r="A1998" s="2" t="s">
        <v>6861</v>
      </c>
      <c r="B1998" s="2" t="s">
        <v>6747</v>
      </c>
      <c r="C1998" s="2" t="s">
        <v>2831</v>
      </c>
      <c r="D1998" s="2" t="s">
        <v>6789</v>
      </c>
      <c r="E1998" s="2" t="s">
        <v>6800</v>
      </c>
      <c r="F1998" s="2" t="s">
        <v>6862</v>
      </c>
      <c r="G1998" s="2" t="s">
        <v>6862</v>
      </c>
      <c r="H1998" s="2" t="s">
        <v>6862</v>
      </c>
      <c r="I1998" s="2" t="s">
        <v>6790</v>
      </c>
      <c r="J1998" s="2" t="s">
        <v>3385</v>
      </c>
      <c r="K1998" s="2" t="s">
        <v>523</v>
      </c>
      <c r="L1998" s="3">
        <v>174.8</v>
      </c>
      <c r="M1998" s="3">
        <v>183.54</v>
      </c>
      <c r="N1998" s="3">
        <v>369</v>
      </c>
      <c r="O1998" s="2" t="s">
        <v>97</v>
      </c>
      <c r="P1998" s="2" t="s">
        <v>98</v>
      </c>
      <c r="Q1998" s="2" t="s">
        <v>99</v>
      </c>
      <c r="R1998" s="2" t="s">
        <v>100</v>
      </c>
      <c r="S1998" s="2" t="s">
        <v>100</v>
      </c>
      <c r="T1998" s="2" t="s">
        <v>100</v>
      </c>
      <c r="U1998" s="2" t="s">
        <v>1776</v>
      </c>
      <c r="V1998" s="2" t="s">
        <v>461</v>
      </c>
      <c r="W1998" s="2" t="s">
        <v>2835</v>
      </c>
      <c r="X1998" s="2" t="s">
        <v>100</v>
      </c>
      <c r="Y1998" s="2" t="s">
        <v>6863</v>
      </c>
      <c r="Z1998" s="4">
        <v>113</v>
      </c>
      <c r="AA1998" s="4">
        <f>=ROUNDDOWN(16.3768115942029,0)</f>
      </c>
      <c r="AB1998" s="5">
        <v>6.9</v>
      </c>
      <c r="AC1998" s="2" t="s">
        <v>875</v>
      </c>
      <c r="AD1998" s="4">
        <v>100</v>
      </c>
      <c r="AE1998" s="4">
        <v>100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/>
      <c r="BD1998" s="8"/>
      <c r="BE1998" s="4"/>
      <c r="BF1998" s="8"/>
      <c r="BG1998" s="7"/>
      <c r="BH1998" s="7"/>
      <c r="BI1998" s="7"/>
      <c r="BJ1998" s="4">
        <v>20</v>
      </c>
      <c r="BK1998" s="8">
        <v>3229.56</v>
      </c>
      <c r="BL1998" s="2" t="s">
        <v>6864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2551</v>
      </c>
      <c r="BV1998" s="2" t="s">
        <v>97</v>
      </c>
      <c r="BW1998" s="2" t="s">
        <v>100</v>
      </c>
      <c r="BX1998" s="2" t="s">
        <v>100</v>
      </c>
      <c r="BY1998" s="2" t="s">
        <v>112</v>
      </c>
      <c r="BZ1998" s="2" t="s">
        <v>100</v>
      </c>
    </row>
    <row r="1999">
      <c r="A1999" s="2" t="s">
        <v>6865</v>
      </c>
      <c r="B1999" s="2" t="s">
        <v>6747</v>
      </c>
      <c r="C1999" s="2" t="s">
        <v>2831</v>
      </c>
      <c r="D1999" s="2" t="s">
        <v>6789</v>
      </c>
      <c r="E1999" s="2" t="s">
        <v>6800</v>
      </c>
      <c r="F1999" s="2" t="s">
        <v>6866</v>
      </c>
      <c r="G1999" s="2" t="s">
        <v>6866</v>
      </c>
      <c r="H1999" s="2" t="s">
        <v>6866</v>
      </c>
      <c r="I1999" s="2" t="s">
        <v>6800</v>
      </c>
      <c r="J1999" s="2" t="s">
        <v>3385</v>
      </c>
      <c r="K1999" s="2" t="s">
        <v>1090</v>
      </c>
      <c r="L1999" s="3">
        <v>161.5</v>
      </c>
      <c r="M1999" s="3">
        <v>169.58</v>
      </c>
      <c r="N1999" s="3">
        <v>339</v>
      </c>
      <c r="O1999" s="2" t="s">
        <v>97</v>
      </c>
      <c r="P1999" s="2" t="s">
        <v>98</v>
      </c>
      <c r="Q1999" s="2" t="s">
        <v>99</v>
      </c>
      <c r="R1999" s="2" t="s">
        <v>100</v>
      </c>
      <c r="S1999" s="2" t="s">
        <v>100</v>
      </c>
      <c r="T1999" s="2" t="s">
        <v>100</v>
      </c>
      <c r="U1999" s="2" t="s">
        <v>1776</v>
      </c>
      <c r="V1999" s="2" t="s">
        <v>461</v>
      </c>
      <c r="W1999" s="2" t="s">
        <v>2835</v>
      </c>
      <c r="X1999" s="2" t="s">
        <v>493</v>
      </c>
      <c r="Y1999" s="2" t="s">
        <v>6867</v>
      </c>
      <c r="Z1999" s="4">
        <v>149</v>
      </c>
      <c r="AA1999" s="4">
        <f>=ROUNDDOWN(14.9,0)</f>
      </c>
      <c r="AB1999" s="5">
        <v>10</v>
      </c>
      <c r="AC1999" s="2" t="s">
        <v>1094</v>
      </c>
      <c r="AD1999" s="4">
        <v>130</v>
      </c>
      <c r="AE1999" s="4">
        <v>130</v>
      </c>
      <c r="AF1999" s="6">
        <v>65</v>
      </c>
      <c r="AG1999" s="6">
        <v>48</v>
      </c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/>
      <c r="BJ1999" s="4">
        <v>49</v>
      </c>
      <c r="BK1999" s="8">
        <v>6985.17</v>
      </c>
      <c r="BL1999" s="2" t="s">
        <v>2742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2551</v>
      </c>
      <c r="BV1999" s="2" t="s">
        <v>97</v>
      </c>
      <c r="BW1999" s="2" t="s">
        <v>100</v>
      </c>
      <c r="BX1999" s="2" t="s">
        <v>100</v>
      </c>
      <c r="BY1999" s="2" t="s">
        <v>112</v>
      </c>
      <c r="BZ1999" s="2" t="s">
        <v>100</v>
      </c>
    </row>
    <row r="2000">
      <c r="A2000" s="2" t="s">
        <v>6868</v>
      </c>
      <c r="B2000" s="2" t="s">
        <v>6747</v>
      </c>
      <c r="C2000" s="2" t="s">
        <v>2831</v>
      </c>
      <c r="D2000" s="2" t="s">
        <v>6789</v>
      </c>
      <c r="E2000" s="2" t="s">
        <v>6800</v>
      </c>
      <c r="F2000" s="2" t="s">
        <v>6866</v>
      </c>
      <c r="G2000" s="2" t="s">
        <v>6866</v>
      </c>
      <c r="H2000" s="2" t="s">
        <v>6866</v>
      </c>
      <c r="I2000" s="2" t="s">
        <v>6800</v>
      </c>
      <c r="J2000" s="2" t="s">
        <v>3385</v>
      </c>
      <c r="K2000" s="2" t="s">
        <v>96</v>
      </c>
      <c r="L2000" s="3">
        <v>161.5</v>
      </c>
      <c r="M2000" s="3">
        <v>169.58</v>
      </c>
      <c r="N2000" s="3">
        <v>339</v>
      </c>
      <c r="O2000" s="2" t="s">
        <v>97</v>
      </c>
      <c r="P2000" s="2" t="s">
        <v>98</v>
      </c>
      <c r="Q2000" s="2" t="s">
        <v>99</v>
      </c>
      <c r="R2000" s="2" t="s">
        <v>100</v>
      </c>
      <c r="S2000" s="2" t="s">
        <v>100</v>
      </c>
      <c r="T2000" s="2" t="s">
        <v>100</v>
      </c>
      <c r="U2000" s="2" t="s">
        <v>1776</v>
      </c>
      <c r="V2000" s="2" t="s">
        <v>461</v>
      </c>
      <c r="W2000" s="2" t="s">
        <v>2835</v>
      </c>
      <c r="X2000" s="2" t="s">
        <v>493</v>
      </c>
      <c r="Y2000" s="2" t="s">
        <v>6869</v>
      </c>
      <c r="Z2000" s="4">
        <v>315</v>
      </c>
      <c r="AA2000" s="4">
        <f>=ROUNDDOWN(73.2558139534884,0)</f>
      </c>
      <c r="AB2000" s="5">
        <v>4.3</v>
      </c>
      <c r="AC2000" s="2" t="s">
        <v>100</v>
      </c>
      <c r="AD2000" s="4"/>
      <c r="AE2000" s="4"/>
      <c r="AF2000" s="6">
        <v>65</v>
      </c>
      <c r="AG2000" s="6">
        <v>48</v>
      </c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/>
      <c r="BJ2000" s="4">
        <v>18</v>
      </c>
      <c r="BK2000" s="8">
        <v>2821.46</v>
      </c>
      <c r="BL2000" s="2" t="s">
        <v>6870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2551</v>
      </c>
      <c r="BV2000" s="2" t="s">
        <v>97</v>
      </c>
      <c r="BW2000" s="2" t="s">
        <v>100</v>
      </c>
      <c r="BX2000" s="2" t="s">
        <v>100</v>
      </c>
      <c r="BY2000" s="2" t="s">
        <v>112</v>
      </c>
      <c r="BZ2000" s="2" t="s">
        <v>100</v>
      </c>
    </row>
    <row r="2001">
      <c r="A2001" s="2" t="s">
        <v>6871</v>
      </c>
      <c r="B2001" s="2" t="s">
        <v>6747</v>
      </c>
      <c r="C2001" s="2" t="s">
        <v>2831</v>
      </c>
      <c r="D2001" s="2" t="s">
        <v>6789</v>
      </c>
      <c r="E2001" s="2" t="s">
        <v>6800</v>
      </c>
      <c r="F2001" s="2" t="s">
        <v>6866</v>
      </c>
      <c r="G2001" s="2" t="s">
        <v>6866</v>
      </c>
      <c r="H2001" s="2" t="s">
        <v>6866</v>
      </c>
      <c r="I2001" s="2" t="s">
        <v>6800</v>
      </c>
      <c r="J2001" s="2" t="s">
        <v>3385</v>
      </c>
      <c r="K2001" s="2" t="s">
        <v>5681</v>
      </c>
      <c r="L2001" s="3">
        <v>161.5</v>
      </c>
      <c r="M2001" s="3">
        <v>169.58</v>
      </c>
      <c r="N2001" s="3">
        <v>339</v>
      </c>
      <c r="O2001" s="2" t="s">
        <v>97</v>
      </c>
      <c r="P2001" s="2" t="s">
        <v>123</v>
      </c>
      <c r="Q2001" s="2" t="s">
        <v>99</v>
      </c>
      <c r="R2001" s="2" t="s">
        <v>100</v>
      </c>
      <c r="S2001" s="2" t="s">
        <v>100</v>
      </c>
      <c r="T2001" s="2" t="s">
        <v>100</v>
      </c>
      <c r="U2001" s="2" t="s">
        <v>1776</v>
      </c>
      <c r="V2001" s="2" t="s">
        <v>461</v>
      </c>
      <c r="W2001" s="2" t="s">
        <v>2835</v>
      </c>
      <c r="X2001" s="2" t="s">
        <v>493</v>
      </c>
      <c r="Y2001" s="2" t="s">
        <v>2213</v>
      </c>
      <c r="Z2001" s="4">
        <v>208</v>
      </c>
      <c r="AA2001" s="4">
        <f>=ROUNDDOWN(22.6086956521739,0)</f>
      </c>
      <c r="AB2001" s="5">
        <v>9.2</v>
      </c>
      <c r="AC2001" s="2" t="s">
        <v>1329</v>
      </c>
      <c r="AD2001" s="4">
        <v>100</v>
      </c>
      <c r="AE2001" s="4">
        <v>100</v>
      </c>
      <c r="AF2001" s="6">
        <v>65</v>
      </c>
      <c r="AG2001" s="6">
        <v>48</v>
      </c>
      <c r="AH2001" s="7">
        <v>1</v>
      </c>
      <c r="AI2001" s="4"/>
      <c r="AJ2001" s="4">
        <f>=ROUNDDOWN({0},0)</f>
      </c>
      <c r="AK2001" s="5"/>
      <c r="AL2001" s="2" t="s">
        <v>832</v>
      </c>
      <c r="AM2001" s="4">
        <v>200</v>
      </c>
      <c r="AN2001" s="4">
        <v>438</v>
      </c>
      <c r="AO2001" s="7">
        <v>0</v>
      </c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/>
      <c r="BJ2001" s="4">
        <v>112</v>
      </c>
      <c r="BK2001" s="8">
        <v>16196.2</v>
      </c>
      <c r="BL2001" s="2" t="s">
        <v>6872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2551</v>
      </c>
      <c r="BV2001" s="2" t="s">
        <v>97</v>
      </c>
      <c r="BW2001" s="2" t="s">
        <v>100</v>
      </c>
      <c r="BX2001" s="2" t="s">
        <v>100</v>
      </c>
      <c r="BY2001" s="2" t="s">
        <v>112</v>
      </c>
      <c r="BZ2001" s="2" t="s">
        <v>100</v>
      </c>
    </row>
    <row r="2002">
      <c r="A2002" s="2" t="s">
        <v>6873</v>
      </c>
      <c r="B2002" s="2" t="s">
        <v>6747</v>
      </c>
      <c r="C2002" s="2" t="s">
        <v>2831</v>
      </c>
      <c r="D2002" s="2" t="s">
        <v>6789</v>
      </c>
      <c r="E2002" s="2" t="s">
        <v>6800</v>
      </c>
      <c r="F2002" s="2" t="s">
        <v>6866</v>
      </c>
      <c r="G2002" s="2" t="s">
        <v>6866</v>
      </c>
      <c r="H2002" s="2" t="s">
        <v>6866</v>
      </c>
      <c r="I2002" s="2" t="s">
        <v>6800</v>
      </c>
      <c r="J2002" s="2" t="s">
        <v>3385</v>
      </c>
      <c r="K2002" s="2" t="s">
        <v>3623</v>
      </c>
      <c r="L2002" s="3">
        <v>161.5</v>
      </c>
      <c r="M2002" s="3">
        <v>169.58</v>
      </c>
      <c r="N2002" s="3">
        <v>339</v>
      </c>
      <c r="O2002" s="2" t="s">
        <v>97</v>
      </c>
      <c r="P2002" s="2" t="s">
        <v>707</v>
      </c>
      <c r="Q2002" s="2" t="s">
        <v>99</v>
      </c>
      <c r="R2002" s="2" t="s">
        <v>100</v>
      </c>
      <c r="S2002" s="2" t="s">
        <v>100</v>
      </c>
      <c r="T2002" s="2" t="s">
        <v>100</v>
      </c>
      <c r="U2002" s="2" t="s">
        <v>1776</v>
      </c>
      <c r="V2002" s="2" t="s">
        <v>461</v>
      </c>
      <c r="W2002" s="2" t="s">
        <v>2835</v>
      </c>
      <c r="X2002" s="2" t="s">
        <v>493</v>
      </c>
      <c r="Y2002" s="2" t="s">
        <v>6874</v>
      </c>
      <c r="Z2002" s="4">
        <v>156</v>
      </c>
      <c r="AA2002" s="4">
        <f>=ROUNDDOWN(39,0)</f>
      </c>
      <c r="AB2002" s="5">
        <v>4</v>
      </c>
      <c r="AC2002" s="2" t="s">
        <v>100</v>
      </c>
      <c r="AD2002" s="4"/>
      <c r="AE2002" s="4"/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/>
      <c r="BJ2002" s="4">
        <v>12</v>
      </c>
      <c r="BK2002" s="8">
        <v>2095.12</v>
      </c>
      <c r="BL2002" s="2" t="s">
        <v>6875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2526</v>
      </c>
      <c r="BV2002" s="2" t="s">
        <v>97</v>
      </c>
      <c r="BW2002" s="2" t="s">
        <v>100</v>
      </c>
      <c r="BX2002" s="2" t="s">
        <v>100</v>
      </c>
      <c r="BY2002" s="2" t="s">
        <v>112</v>
      </c>
      <c r="BZ2002" s="2" t="s">
        <v>100</v>
      </c>
    </row>
    <row r="2003">
      <c r="A2003" s="2" t="s">
        <v>6876</v>
      </c>
      <c r="B2003" s="2" t="s">
        <v>6747</v>
      </c>
      <c r="C2003" s="2" t="s">
        <v>2831</v>
      </c>
      <c r="D2003" s="2" t="s">
        <v>6789</v>
      </c>
      <c r="E2003" s="2" t="s">
        <v>6800</v>
      </c>
      <c r="F2003" s="2" t="s">
        <v>6866</v>
      </c>
      <c r="G2003" s="2" t="s">
        <v>6866</v>
      </c>
      <c r="H2003" s="2" t="s">
        <v>6866</v>
      </c>
      <c r="I2003" s="2" t="s">
        <v>6800</v>
      </c>
      <c r="J2003" s="2" t="s">
        <v>3385</v>
      </c>
      <c r="K2003" s="2" t="s">
        <v>673</v>
      </c>
      <c r="L2003" s="3">
        <v>161.5</v>
      </c>
      <c r="M2003" s="3">
        <v>169.58</v>
      </c>
      <c r="N2003" s="3">
        <v>339</v>
      </c>
      <c r="O2003" s="2" t="s">
        <v>97</v>
      </c>
      <c r="P2003" s="2" t="s">
        <v>139</v>
      </c>
      <c r="Q2003" s="2" t="s">
        <v>99</v>
      </c>
      <c r="R2003" s="2" t="s">
        <v>100</v>
      </c>
      <c r="S2003" s="2" t="s">
        <v>6877</v>
      </c>
      <c r="T2003" s="2" t="s">
        <v>100</v>
      </c>
      <c r="U2003" s="2" t="s">
        <v>1776</v>
      </c>
      <c r="V2003" s="2" t="s">
        <v>461</v>
      </c>
      <c r="W2003" s="2" t="s">
        <v>2835</v>
      </c>
      <c r="X2003" s="2" t="s">
        <v>493</v>
      </c>
      <c r="Y2003" s="2" t="s">
        <v>144</v>
      </c>
      <c r="Z2003" s="4">
        <v>371</v>
      </c>
      <c r="AA2003" s="4">
        <f>=ROUNDDOWN(47.5641025641026,0)</f>
      </c>
      <c r="AB2003" s="5">
        <v>7.8</v>
      </c>
      <c r="AC2003" s="2" t="s">
        <v>911</v>
      </c>
      <c r="AD2003" s="4">
        <v>150</v>
      </c>
      <c r="AE2003" s="4">
        <v>190</v>
      </c>
      <c r="AF2003" s="6">
        <v>65</v>
      </c>
      <c r="AG2003" s="6">
        <v>48</v>
      </c>
      <c r="AH2003" s="7">
        <v>1</v>
      </c>
      <c r="AI2003" s="4"/>
      <c r="AJ2003" s="4">
        <f>=ROUNDDOWN({0},0)</f>
      </c>
      <c r="AK2003" s="5"/>
      <c r="AL2003" s="2" t="s">
        <v>676</v>
      </c>
      <c r="AM2003" s="4">
        <v>100</v>
      </c>
      <c r="AN2003" s="4">
        <v>100</v>
      </c>
      <c r="AO2003" s="7">
        <v>0</v>
      </c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/>
      <c r="BJ2003" s="4">
        <v>70</v>
      </c>
      <c r="BK2003" s="8">
        <v>10928.43</v>
      </c>
      <c r="BL2003" s="2" t="s">
        <v>6878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2551</v>
      </c>
      <c r="BV2003" s="2" t="s">
        <v>97</v>
      </c>
      <c r="BW2003" s="2" t="s">
        <v>100</v>
      </c>
      <c r="BX2003" s="2" t="s">
        <v>100</v>
      </c>
      <c r="BY2003" s="2" t="s">
        <v>112</v>
      </c>
      <c r="BZ2003" s="2" t="s">
        <v>100</v>
      </c>
    </row>
    <row r="2004">
      <c r="A2004" s="2" t="s">
        <v>6879</v>
      </c>
      <c r="B2004" s="2" t="s">
        <v>6747</v>
      </c>
      <c r="C2004" s="2" t="s">
        <v>2831</v>
      </c>
      <c r="D2004" s="2" t="s">
        <v>6789</v>
      </c>
      <c r="E2004" s="2" t="s">
        <v>6800</v>
      </c>
      <c r="F2004" s="2" t="s">
        <v>6866</v>
      </c>
      <c r="G2004" s="2" t="s">
        <v>6866</v>
      </c>
      <c r="H2004" s="2" t="s">
        <v>6866</v>
      </c>
      <c r="I2004" s="2" t="s">
        <v>6800</v>
      </c>
      <c r="J2004" s="2" t="s">
        <v>3385</v>
      </c>
      <c r="K2004" s="2" t="s">
        <v>842</v>
      </c>
      <c r="L2004" s="3">
        <v>161.5</v>
      </c>
      <c r="M2004" s="3">
        <v>169.58</v>
      </c>
      <c r="N2004" s="3">
        <v>339</v>
      </c>
      <c r="O2004" s="2" t="s">
        <v>97</v>
      </c>
      <c r="P2004" s="2" t="s">
        <v>98</v>
      </c>
      <c r="Q2004" s="2" t="s">
        <v>99</v>
      </c>
      <c r="R2004" s="2" t="s">
        <v>100</v>
      </c>
      <c r="S2004" s="2" t="s">
        <v>100</v>
      </c>
      <c r="T2004" s="2" t="s">
        <v>100</v>
      </c>
      <c r="U2004" s="2" t="s">
        <v>1776</v>
      </c>
      <c r="V2004" s="2" t="s">
        <v>461</v>
      </c>
      <c r="W2004" s="2" t="s">
        <v>2835</v>
      </c>
      <c r="X2004" s="2" t="s">
        <v>493</v>
      </c>
      <c r="Y2004" s="2" t="s">
        <v>6869</v>
      </c>
      <c r="Z2004" s="4">
        <v>183</v>
      </c>
      <c r="AA2004" s="4">
        <f>=ROUNDDOWN(12.2,0)</f>
      </c>
      <c r="AB2004" s="5">
        <v>15</v>
      </c>
      <c r="AC2004" s="2" t="s">
        <v>1094</v>
      </c>
      <c r="AD2004" s="4">
        <v>109</v>
      </c>
      <c r="AE2004" s="4">
        <v>256</v>
      </c>
      <c r="AF2004" s="6">
        <v>65</v>
      </c>
      <c r="AG2004" s="6">
        <v>48</v>
      </c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/>
      <c r="BJ2004" s="4">
        <v>41</v>
      </c>
      <c r="BK2004" s="8">
        <v>5774.92</v>
      </c>
      <c r="BL2004" s="2" t="s">
        <v>6880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2551</v>
      </c>
      <c r="BV2004" s="2" t="s">
        <v>97</v>
      </c>
      <c r="BW2004" s="2" t="s">
        <v>100</v>
      </c>
      <c r="BX2004" s="2" t="s">
        <v>100</v>
      </c>
      <c r="BY2004" s="2" t="s">
        <v>112</v>
      </c>
      <c r="BZ2004" s="2" t="s">
        <v>100</v>
      </c>
    </row>
    <row r="2005">
      <c r="A2005" s="2" t="s">
        <v>6881</v>
      </c>
      <c r="B2005" s="2" t="s">
        <v>6747</v>
      </c>
      <c r="C2005" s="2" t="s">
        <v>2831</v>
      </c>
      <c r="D2005" s="2" t="s">
        <v>6789</v>
      </c>
      <c r="E2005" s="2" t="s">
        <v>6800</v>
      </c>
      <c r="F2005" s="2" t="s">
        <v>6882</v>
      </c>
      <c r="G2005" s="2" t="s">
        <v>6882</v>
      </c>
      <c r="H2005" s="2" t="s">
        <v>6882</v>
      </c>
      <c r="I2005" s="2" t="s">
        <v>6800</v>
      </c>
      <c r="J2005" s="2" t="s">
        <v>3385</v>
      </c>
      <c r="K2005" s="2" t="s">
        <v>6772</v>
      </c>
      <c r="L2005" s="3">
        <v>161.5</v>
      </c>
      <c r="M2005" s="3">
        <v>169.58</v>
      </c>
      <c r="N2005" s="3">
        <v>339</v>
      </c>
      <c r="O2005" s="2" t="s">
        <v>97</v>
      </c>
      <c r="P2005" s="2" t="s">
        <v>98</v>
      </c>
      <c r="Q2005" s="2" t="s">
        <v>99</v>
      </c>
      <c r="R2005" s="2" t="s">
        <v>100</v>
      </c>
      <c r="S2005" s="2" t="s">
        <v>6883</v>
      </c>
      <c r="T2005" s="2" t="s">
        <v>100</v>
      </c>
      <c r="U2005" s="2" t="s">
        <v>100</v>
      </c>
      <c r="V2005" s="2" t="s">
        <v>461</v>
      </c>
      <c r="W2005" s="2" t="s">
        <v>2835</v>
      </c>
      <c r="X2005" s="2" t="s">
        <v>100</v>
      </c>
      <c r="Y2005" s="2" t="s">
        <v>1935</v>
      </c>
      <c r="Z2005" s="4">
        <v>228</v>
      </c>
      <c r="AA2005" s="4">
        <f>=ROUNDDOWN(16.7647058823529,0)</f>
      </c>
      <c r="AB2005" s="5">
        <v>13.6</v>
      </c>
      <c r="AC2005" s="2" t="s">
        <v>2121</v>
      </c>
      <c r="AD2005" s="4">
        <v>100</v>
      </c>
      <c r="AE2005" s="4">
        <v>100</v>
      </c>
      <c r="AF2005" s="6">
        <v>65</v>
      </c>
      <c r="AG2005" s="6">
        <v>48</v>
      </c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/>
      <c r="BJ2005" s="4">
        <v>69</v>
      </c>
      <c r="BK2005" s="8">
        <v>10985.38</v>
      </c>
      <c r="BL2005" s="2" t="s">
        <v>6884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2551</v>
      </c>
      <c r="BV2005" s="2" t="s">
        <v>97</v>
      </c>
      <c r="BW2005" s="2" t="s">
        <v>100</v>
      </c>
      <c r="BX2005" s="2" t="s">
        <v>100</v>
      </c>
      <c r="BY2005" s="2" t="s">
        <v>112</v>
      </c>
      <c r="BZ2005" s="2" t="s">
        <v>100</v>
      </c>
    </row>
    <row r="2006">
      <c r="A2006" s="2" t="s">
        <v>6885</v>
      </c>
      <c r="B2006" s="2" t="s">
        <v>6747</v>
      </c>
      <c r="C2006" s="2" t="s">
        <v>2831</v>
      </c>
      <c r="D2006" s="2" t="s">
        <v>6789</v>
      </c>
      <c r="E2006" s="2" t="s">
        <v>6800</v>
      </c>
      <c r="F2006" s="2" t="s">
        <v>6882</v>
      </c>
      <c r="G2006" s="2" t="s">
        <v>6882</v>
      </c>
      <c r="H2006" s="2" t="s">
        <v>6882</v>
      </c>
      <c r="I2006" s="2" t="s">
        <v>6800</v>
      </c>
      <c r="J2006" s="2" t="s">
        <v>3385</v>
      </c>
      <c r="K2006" s="2" t="s">
        <v>4488</v>
      </c>
      <c r="L2006" s="3">
        <v>161.5</v>
      </c>
      <c r="M2006" s="3">
        <v>169.58</v>
      </c>
      <c r="N2006" s="3">
        <v>339</v>
      </c>
      <c r="O2006" s="2" t="s">
        <v>97</v>
      </c>
      <c r="P2006" s="2" t="s">
        <v>98</v>
      </c>
      <c r="Q2006" s="2" t="s">
        <v>99</v>
      </c>
      <c r="R2006" s="2" t="s">
        <v>100</v>
      </c>
      <c r="S2006" s="2" t="s">
        <v>100</v>
      </c>
      <c r="T2006" s="2" t="s">
        <v>100</v>
      </c>
      <c r="U2006" s="2" t="s">
        <v>1776</v>
      </c>
      <c r="V2006" s="2" t="s">
        <v>461</v>
      </c>
      <c r="W2006" s="2" t="s">
        <v>2835</v>
      </c>
      <c r="X2006" s="2" t="s">
        <v>100</v>
      </c>
      <c r="Y2006" s="2" t="s">
        <v>2210</v>
      </c>
      <c r="Z2006" s="4">
        <v>441</v>
      </c>
      <c r="AA2006" s="4">
        <f>=ROUNDDOWN(25.9411764705882,0)</f>
      </c>
      <c r="AB2006" s="5">
        <v>17</v>
      </c>
      <c r="AC2006" s="2" t="s">
        <v>911</v>
      </c>
      <c r="AD2006" s="4">
        <v>170</v>
      </c>
      <c r="AE2006" s="4">
        <v>170</v>
      </c>
      <c r="AF2006" s="6">
        <v>65</v>
      </c>
      <c r="AG2006" s="6">
        <v>48</v>
      </c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/>
      <c r="BJ2006" s="4">
        <v>58</v>
      </c>
      <c r="BK2006" s="8">
        <v>9160.16</v>
      </c>
      <c r="BL2006" s="2" t="s">
        <v>6886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2551</v>
      </c>
      <c r="BV2006" s="2" t="s">
        <v>97</v>
      </c>
      <c r="BW2006" s="2" t="s">
        <v>100</v>
      </c>
      <c r="BX2006" s="2" t="s">
        <v>100</v>
      </c>
      <c r="BY2006" s="2" t="s">
        <v>112</v>
      </c>
      <c r="BZ2006" s="2" t="s">
        <v>100</v>
      </c>
    </row>
    <row r="2007">
      <c r="A2007" s="2" t="s">
        <v>6887</v>
      </c>
      <c r="B2007" s="2" t="s">
        <v>6747</v>
      </c>
      <c r="C2007" s="2" t="s">
        <v>2831</v>
      </c>
      <c r="D2007" s="2" t="s">
        <v>6789</v>
      </c>
      <c r="E2007" s="2" t="s">
        <v>6800</v>
      </c>
      <c r="F2007" s="2" t="s">
        <v>6882</v>
      </c>
      <c r="G2007" s="2" t="s">
        <v>6882</v>
      </c>
      <c r="H2007" s="2" t="s">
        <v>100</v>
      </c>
      <c r="I2007" s="2" t="s">
        <v>6800</v>
      </c>
      <c r="J2007" s="2" t="s">
        <v>3385</v>
      </c>
      <c r="K2007" s="2" t="s">
        <v>1252</v>
      </c>
      <c r="L2007" s="3">
        <v>161.5</v>
      </c>
      <c r="M2007" s="3">
        <v>169.58</v>
      </c>
      <c r="N2007" s="3">
        <v>339</v>
      </c>
      <c r="O2007" s="2" t="s">
        <v>97</v>
      </c>
      <c r="P2007" s="2" t="s">
        <v>98</v>
      </c>
      <c r="Q2007" s="2" t="s">
        <v>99</v>
      </c>
      <c r="R2007" s="2" t="s">
        <v>100</v>
      </c>
      <c r="S2007" s="2" t="s">
        <v>6888</v>
      </c>
      <c r="T2007" s="2" t="s">
        <v>100</v>
      </c>
      <c r="U2007" s="2" t="s">
        <v>100</v>
      </c>
      <c r="V2007" s="2" t="s">
        <v>461</v>
      </c>
      <c r="W2007" s="2" t="s">
        <v>2835</v>
      </c>
      <c r="X2007" s="2" t="s">
        <v>100</v>
      </c>
      <c r="Y2007" s="2" t="s">
        <v>144</v>
      </c>
      <c r="Z2007" s="4">
        <v>96</v>
      </c>
      <c r="AA2007" s="4">
        <f>=ROUNDDOWN(12,0)</f>
      </c>
      <c r="AB2007" s="5">
        <v>8</v>
      </c>
      <c r="AC2007" s="2" t="s">
        <v>2772</v>
      </c>
      <c r="AD2007" s="4">
        <v>200</v>
      </c>
      <c r="AE2007" s="4">
        <v>200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/>
      <c r="BJ2007" s="4">
        <v>19</v>
      </c>
      <c r="BK2007" s="8">
        <v>2900.19</v>
      </c>
      <c r="BL2007" s="2" t="s">
        <v>6889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2551</v>
      </c>
      <c r="BV2007" s="2" t="s">
        <v>97</v>
      </c>
      <c r="BW2007" s="2" t="s">
        <v>100</v>
      </c>
      <c r="BX2007" s="2" t="s">
        <v>100</v>
      </c>
      <c r="BY2007" s="2" t="s">
        <v>112</v>
      </c>
      <c r="BZ2007" s="2" t="s">
        <v>100</v>
      </c>
    </row>
    <row r="2008">
      <c r="A2008" s="2" t="s">
        <v>6890</v>
      </c>
      <c r="B2008" s="2" t="s">
        <v>6747</v>
      </c>
      <c r="C2008" s="2" t="s">
        <v>2831</v>
      </c>
      <c r="D2008" s="2" t="s">
        <v>6789</v>
      </c>
      <c r="E2008" s="2" t="s">
        <v>6800</v>
      </c>
      <c r="F2008" s="2" t="s">
        <v>6882</v>
      </c>
      <c r="G2008" s="2" t="s">
        <v>6882</v>
      </c>
      <c r="H2008" s="2" t="s">
        <v>100</v>
      </c>
      <c r="I2008" s="2" t="s">
        <v>6800</v>
      </c>
      <c r="J2008" s="2" t="s">
        <v>3385</v>
      </c>
      <c r="K2008" s="2" t="s">
        <v>1173</v>
      </c>
      <c r="L2008" s="3">
        <v>161.5</v>
      </c>
      <c r="M2008" s="3">
        <v>169.58</v>
      </c>
      <c r="N2008" s="3">
        <v>339</v>
      </c>
      <c r="O2008" s="2" t="s">
        <v>97</v>
      </c>
      <c r="P2008" s="2" t="s">
        <v>98</v>
      </c>
      <c r="Q2008" s="2" t="s">
        <v>99</v>
      </c>
      <c r="R2008" s="2" t="s">
        <v>100</v>
      </c>
      <c r="S2008" s="2" t="s">
        <v>6891</v>
      </c>
      <c r="T2008" s="2" t="s">
        <v>100</v>
      </c>
      <c r="U2008" s="2" t="s">
        <v>100</v>
      </c>
      <c r="V2008" s="2" t="s">
        <v>461</v>
      </c>
      <c r="W2008" s="2" t="s">
        <v>2835</v>
      </c>
      <c r="X2008" s="2" t="s">
        <v>100</v>
      </c>
      <c r="Y2008" s="2" t="s">
        <v>144</v>
      </c>
      <c r="Z2008" s="4">
        <v>242</v>
      </c>
      <c r="AA2008" s="4">
        <f>=ROUNDDOWN(13.4444444444444,0)</f>
      </c>
      <c r="AB2008" s="5">
        <v>18</v>
      </c>
      <c r="AC2008" s="2" t="s">
        <v>100</v>
      </c>
      <c r="AD2008" s="4"/>
      <c r="AE2008" s="4"/>
      <c r="AF2008" s="6">
        <v>65</v>
      </c>
      <c r="AG2008" s="6">
        <v>48</v>
      </c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/>
      <c r="BJ2008" s="4">
        <v>33</v>
      </c>
      <c r="BK2008" s="8">
        <v>5509.07</v>
      </c>
      <c r="BL2008" s="2" t="s">
        <v>6892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2551</v>
      </c>
      <c r="BV2008" s="2" t="s">
        <v>97</v>
      </c>
      <c r="BW2008" s="2" t="s">
        <v>100</v>
      </c>
      <c r="BX2008" s="2" t="s">
        <v>100</v>
      </c>
      <c r="BY2008" s="2" t="s">
        <v>112</v>
      </c>
      <c r="BZ2008" s="2" t="s">
        <v>100</v>
      </c>
    </row>
    <row r="2009">
      <c r="A2009" s="2" t="s">
        <v>6893</v>
      </c>
      <c r="B2009" s="2" t="s">
        <v>6747</v>
      </c>
      <c r="C2009" s="2" t="s">
        <v>2831</v>
      </c>
      <c r="D2009" s="2" t="s">
        <v>6789</v>
      </c>
      <c r="E2009" s="2" t="s">
        <v>6800</v>
      </c>
      <c r="F2009" s="2" t="s">
        <v>6882</v>
      </c>
      <c r="G2009" s="2" t="s">
        <v>6882</v>
      </c>
      <c r="H2009" s="2" t="s">
        <v>6882</v>
      </c>
      <c r="I2009" s="2" t="s">
        <v>6800</v>
      </c>
      <c r="J2009" s="2" t="s">
        <v>3385</v>
      </c>
      <c r="K2009" s="2" t="s">
        <v>523</v>
      </c>
      <c r="L2009" s="3">
        <v>161.5</v>
      </c>
      <c r="M2009" s="3">
        <v>169.58</v>
      </c>
      <c r="N2009" s="3">
        <v>339</v>
      </c>
      <c r="O2009" s="2" t="s">
        <v>97</v>
      </c>
      <c r="P2009" s="2" t="s">
        <v>707</v>
      </c>
      <c r="Q2009" s="2" t="s">
        <v>99</v>
      </c>
      <c r="R2009" s="2" t="s">
        <v>100</v>
      </c>
      <c r="S2009" s="2" t="s">
        <v>6894</v>
      </c>
      <c r="T2009" s="2" t="s">
        <v>100</v>
      </c>
      <c r="U2009" s="2" t="s">
        <v>100</v>
      </c>
      <c r="V2009" s="2" t="s">
        <v>461</v>
      </c>
      <c r="W2009" s="2" t="s">
        <v>2835</v>
      </c>
      <c r="X2009" s="2" t="s">
        <v>100</v>
      </c>
      <c r="Y2009" s="2" t="s">
        <v>1935</v>
      </c>
      <c r="Z2009" s="4">
        <v>129</v>
      </c>
      <c r="AA2009" s="4">
        <f>=ROUNDDOWN(32.25,0)</f>
      </c>
      <c r="AB2009" s="5">
        <v>4</v>
      </c>
      <c r="AC2009" s="2" t="s">
        <v>100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/>
      <c r="AW2009" s="8"/>
      <c r="AX2009" s="4"/>
      <c r="AY2009" s="8"/>
      <c r="AZ2009" s="7"/>
      <c r="BA2009" s="7"/>
      <c r="BB2009" s="7"/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/>
      <c r="BJ2009" s="4">
        <v>13</v>
      </c>
      <c r="BK2009" s="8">
        <v>2018.28</v>
      </c>
      <c r="BL2009" s="2" t="s">
        <v>6895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2526</v>
      </c>
      <c r="BV2009" s="2" t="s">
        <v>97</v>
      </c>
      <c r="BW2009" s="2" t="s">
        <v>100</v>
      </c>
      <c r="BX2009" s="2" t="s">
        <v>100</v>
      </c>
      <c r="BY2009" s="2" t="s">
        <v>112</v>
      </c>
      <c r="BZ2009" s="2" t="s">
        <v>100</v>
      </c>
    </row>
    <row r="2010">
      <c r="A2010" s="2" t="s">
        <v>6896</v>
      </c>
      <c r="B2010" s="2" t="s">
        <v>6747</v>
      </c>
      <c r="C2010" s="2" t="s">
        <v>2831</v>
      </c>
      <c r="D2010" s="2" t="s">
        <v>6789</v>
      </c>
      <c r="E2010" s="2" t="s">
        <v>6800</v>
      </c>
      <c r="F2010" s="2" t="s">
        <v>6897</v>
      </c>
      <c r="G2010" s="2" t="s">
        <v>6897</v>
      </c>
      <c r="H2010" s="2" t="s">
        <v>100</v>
      </c>
      <c r="I2010" s="2" t="s">
        <v>6790</v>
      </c>
      <c r="J2010" s="2" t="s">
        <v>3385</v>
      </c>
      <c r="K2010" s="2" t="s">
        <v>6898</v>
      </c>
      <c r="L2010" s="3">
        <v>194.75</v>
      </c>
      <c r="M2010" s="3">
        <v>204.49</v>
      </c>
      <c r="N2010" s="3">
        <v>409</v>
      </c>
      <c r="O2010" s="2" t="s">
        <v>97</v>
      </c>
      <c r="P2010" s="2" t="s">
        <v>707</v>
      </c>
      <c r="Q2010" s="2" t="s">
        <v>99</v>
      </c>
      <c r="R2010" s="2" t="s">
        <v>100</v>
      </c>
      <c r="S2010" s="2" t="s">
        <v>6899</v>
      </c>
      <c r="T2010" s="2" t="s">
        <v>100</v>
      </c>
      <c r="U2010" s="2" t="s">
        <v>100</v>
      </c>
      <c r="V2010" s="2" t="s">
        <v>461</v>
      </c>
      <c r="W2010" s="2" t="s">
        <v>104</v>
      </c>
      <c r="X2010" s="2" t="s">
        <v>100</v>
      </c>
      <c r="Y2010" s="2" t="s">
        <v>144</v>
      </c>
      <c r="Z2010" s="4">
        <v>48</v>
      </c>
      <c r="AA2010" s="4">
        <f>=ROUNDDOWN(24,0)</f>
      </c>
      <c r="AB2010" s="5">
        <v>2</v>
      </c>
      <c r="AC2010" s="2" t="s">
        <v>312</v>
      </c>
      <c r="AD2010" s="4">
        <v>102</v>
      </c>
      <c r="AE2010" s="4">
        <v>102</v>
      </c>
      <c r="AF2010" s="6">
        <v>66</v>
      </c>
      <c r="AG2010" s="6">
        <v>49</v>
      </c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/>
      <c r="BD2010" s="8"/>
      <c r="BE2010" s="4"/>
      <c r="BF2010" s="8"/>
      <c r="BG2010" s="7"/>
      <c r="BH2010" s="7"/>
      <c r="BI2010" s="7"/>
      <c r="BJ2010" s="4">
        <v>6</v>
      </c>
      <c r="BK2010" s="8">
        <v>1139.1</v>
      </c>
      <c r="BL2010" s="2" t="s">
        <v>2742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2526</v>
      </c>
      <c r="BV2010" s="2" t="s">
        <v>97</v>
      </c>
      <c r="BW2010" s="2" t="s">
        <v>100</v>
      </c>
      <c r="BX2010" s="2" t="s">
        <v>100</v>
      </c>
      <c r="BY2010" s="2" t="s">
        <v>112</v>
      </c>
      <c r="BZ2010" s="2" t="s">
        <v>100</v>
      </c>
    </row>
    <row r="2011">
      <c r="A2011" s="2" t="s">
        <v>6900</v>
      </c>
      <c r="B2011" s="2" t="s">
        <v>6747</v>
      </c>
      <c r="C2011" s="2" t="s">
        <v>2831</v>
      </c>
      <c r="D2011" s="2" t="s">
        <v>6789</v>
      </c>
      <c r="E2011" s="2" t="s">
        <v>6800</v>
      </c>
      <c r="F2011" s="2" t="s">
        <v>6901</v>
      </c>
      <c r="G2011" s="2" t="s">
        <v>6901</v>
      </c>
      <c r="H2011" s="2" t="s">
        <v>6901</v>
      </c>
      <c r="I2011" s="2" t="s">
        <v>6790</v>
      </c>
      <c r="J2011" s="2" t="s">
        <v>3385</v>
      </c>
      <c r="K2011" s="2" t="s">
        <v>138</v>
      </c>
      <c r="L2011" s="3">
        <v>226.1</v>
      </c>
      <c r="M2011" s="3">
        <v>237.4</v>
      </c>
      <c r="N2011" s="3">
        <v>479</v>
      </c>
      <c r="O2011" s="2" t="s">
        <v>97</v>
      </c>
      <c r="P2011" s="2" t="s">
        <v>98</v>
      </c>
      <c r="Q2011" s="2" t="s">
        <v>99</v>
      </c>
      <c r="R2011" s="2" t="s">
        <v>100</v>
      </c>
      <c r="S2011" s="2" t="s">
        <v>6902</v>
      </c>
      <c r="T2011" s="2" t="s">
        <v>100</v>
      </c>
      <c r="U2011" s="2" t="s">
        <v>100</v>
      </c>
      <c r="V2011" s="2" t="s">
        <v>461</v>
      </c>
      <c r="W2011" s="2" t="s">
        <v>3394</v>
      </c>
      <c r="X2011" s="2" t="s">
        <v>100</v>
      </c>
      <c r="Y2011" s="2" t="s">
        <v>231</v>
      </c>
      <c r="Z2011" s="4">
        <v>145</v>
      </c>
      <c r="AA2011" s="4">
        <f>=ROUNDDOWN(20.7142857142857,0)</f>
      </c>
      <c r="AB2011" s="5">
        <v>7</v>
      </c>
      <c r="AC2011" s="2" t="s">
        <v>6903</v>
      </c>
      <c r="AD2011" s="4">
        <v>92</v>
      </c>
      <c r="AE2011" s="4">
        <v>92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/>
      <c r="BD2011" s="8"/>
      <c r="BE2011" s="4"/>
      <c r="BF2011" s="8"/>
      <c r="BG2011" s="7"/>
      <c r="BH2011" s="7"/>
      <c r="BI2011" s="7"/>
      <c r="BJ2011" s="4">
        <v>11</v>
      </c>
      <c r="BK2011" s="8">
        <v>2412.54</v>
      </c>
      <c r="BL2011" s="2" t="s">
        <v>6904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2551</v>
      </c>
      <c r="BV2011" s="2" t="s">
        <v>97</v>
      </c>
      <c r="BW2011" s="2" t="s">
        <v>100</v>
      </c>
      <c r="BX2011" s="2" t="s">
        <v>100</v>
      </c>
      <c r="BY2011" s="2" t="s">
        <v>112</v>
      </c>
      <c r="BZ2011" s="2" t="s">
        <v>100</v>
      </c>
    </row>
    <row r="2012">
      <c r="A2012" s="2" t="s">
        <v>6905</v>
      </c>
      <c r="B2012" s="2" t="s">
        <v>6747</v>
      </c>
      <c r="C2012" s="2" t="s">
        <v>2831</v>
      </c>
      <c r="D2012" s="2" t="s">
        <v>6789</v>
      </c>
      <c r="E2012" s="2" t="s">
        <v>6800</v>
      </c>
      <c r="F2012" s="2" t="s">
        <v>6906</v>
      </c>
      <c r="G2012" s="2" t="s">
        <v>6906</v>
      </c>
      <c r="H2012" s="2" t="s">
        <v>6906</v>
      </c>
      <c r="I2012" s="2" t="s">
        <v>6790</v>
      </c>
      <c r="J2012" s="2" t="s">
        <v>3385</v>
      </c>
      <c r="K2012" s="2" t="s">
        <v>6907</v>
      </c>
      <c r="L2012" s="3">
        <v>263.5</v>
      </c>
      <c r="M2012" s="3">
        <v>276.68</v>
      </c>
      <c r="N2012" s="3">
        <v>549</v>
      </c>
      <c r="O2012" s="2" t="s">
        <v>97</v>
      </c>
      <c r="P2012" s="2" t="s">
        <v>98</v>
      </c>
      <c r="Q2012" s="2" t="s">
        <v>99</v>
      </c>
      <c r="R2012" s="2" t="s">
        <v>100</v>
      </c>
      <c r="S2012" s="2" t="s">
        <v>100</v>
      </c>
      <c r="T2012" s="2" t="s">
        <v>100</v>
      </c>
      <c r="U2012" s="2" t="s">
        <v>100</v>
      </c>
      <c r="V2012" s="2" t="s">
        <v>461</v>
      </c>
      <c r="W2012" s="2" t="s">
        <v>2835</v>
      </c>
      <c r="X2012" s="2" t="s">
        <v>100</v>
      </c>
      <c r="Y2012" s="2" t="s">
        <v>6908</v>
      </c>
      <c r="Z2012" s="4">
        <v>94</v>
      </c>
      <c r="AA2012" s="4">
        <f>=ROUNDDOWN(13.4285714285714,0)</f>
      </c>
      <c r="AB2012" s="5">
        <v>7</v>
      </c>
      <c r="AC2012" s="2" t="s">
        <v>1060</v>
      </c>
      <c r="AD2012" s="4">
        <v>100</v>
      </c>
      <c r="AE2012" s="4">
        <v>100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/>
      <c r="BD2012" s="8"/>
      <c r="BE2012" s="4"/>
      <c r="BF2012" s="8"/>
      <c r="BG2012" s="7"/>
      <c r="BH2012" s="7"/>
      <c r="BI2012" s="7"/>
      <c r="BJ2012" s="4">
        <v>20</v>
      </c>
      <c r="BK2012" s="8">
        <v>4817.66</v>
      </c>
      <c r="BL2012" s="2" t="s">
        <v>6909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2551</v>
      </c>
      <c r="BV2012" s="2" t="s">
        <v>97</v>
      </c>
      <c r="BW2012" s="2" t="s">
        <v>100</v>
      </c>
      <c r="BX2012" s="2" t="s">
        <v>100</v>
      </c>
      <c r="BY2012" s="2" t="s">
        <v>112</v>
      </c>
      <c r="BZ2012" s="2" t="s">
        <v>100</v>
      </c>
    </row>
    <row r="2013">
      <c r="A2013" s="2" t="s">
        <v>6910</v>
      </c>
      <c r="B2013" s="2" t="s">
        <v>6747</v>
      </c>
      <c r="C2013" s="2" t="s">
        <v>2831</v>
      </c>
      <c r="D2013" s="2" t="s">
        <v>6789</v>
      </c>
      <c r="E2013" s="2" t="s">
        <v>6800</v>
      </c>
      <c r="F2013" s="2" t="s">
        <v>6911</v>
      </c>
      <c r="G2013" s="2" t="s">
        <v>6911</v>
      </c>
      <c r="H2013" s="2" t="s">
        <v>6911</v>
      </c>
      <c r="I2013" s="2" t="s">
        <v>6790</v>
      </c>
      <c r="J2013" s="2" t="s">
        <v>3385</v>
      </c>
      <c r="K2013" s="2" t="s">
        <v>96</v>
      </c>
      <c r="L2013" s="3">
        <v>172.98</v>
      </c>
      <c r="M2013" s="3">
        <v>181.63</v>
      </c>
      <c r="N2013" s="3">
        <v>369</v>
      </c>
      <c r="O2013" s="2" t="s">
        <v>97</v>
      </c>
      <c r="P2013" s="2" t="s">
        <v>707</v>
      </c>
      <c r="Q2013" s="2" t="s">
        <v>99</v>
      </c>
      <c r="R2013" s="2" t="s">
        <v>100</v>
      </c>
      <c r="S2013" s="2" t="s">
        <v>100</v>
      </c>
      <c r="T2013" s="2" t="s">
        <v>100</v>
      </c>
      <c r="U2013" s="2" t="s">
        <v>100</v>
      </c>
      <c r="V2013" s="2" t="s">
        <v>461</v>
      </c>
      <c r="W2013" s="2" t="s">
        <v>2835</v>
      </c>
      <c r="X2013" s="2" t="s">
        <v>100</v>
      </c>
      <c r="Y2013" s="2" t="s">
        <v>6912</v>
      </c>
      <c r="Z2013" s="4">
        <v>110</v>
      </c>
      <c r="AA2013" s="4">
        <f>=ROUNDDOWN(27.5,0)</f>
      </c>
      <c r="AB2013" s="5">
        <v>4</v>
      </c>
      <c r="AC2013" s="2" t="s">
        <v>100</v>
      </c>
      <c r="AD2013" s="4"/>
      <c r="AE2013" s="4"/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/>
      <c r="BD2013" s="8"/>
      <c r="BE2013" s="4"/>
      <c r="BF2013" s="8"/>
      <c r="BG2013" s="7"/>
      <c r="BH2013" s="7"/>
      <c r="BI2013" s="7"/>
      <c r="BJ2013" s="4">
        <v>11</v>
      </c>
      <c r="BK2013" s="8">
        <v>1786.55</v>
      </c>
      <c r="BL2013" s="2" t="s">
        <v>6821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2526</v>
      </c>
      <c r="BV2013" s="2" t="s">
        <v>97</v>
      </c>
      <c r="BW2013" s="2" t="s">
        <v>100</v>
      </c>
      <c r="BX2013" s="2" t="s">
        <v>100</v>
      </c>
      <c r="BY2013" s="2" t="s">
        <v>112</v>
      </c>
      <c r="BZ2013" s="2" t="s">
        <v>100</v>
      </c>
    </row>
    <row r="2014">
      <c r="A2014" s="2" t="s">
        <v>6913</v>
      </c>
      <c r="B2014" s="2" t="s">
        <v>6747</v>
      </c>
      <c r="C2014" s="2" t="s">
        <v>2831</v>
      </c>
      <c r="D2014" s="2" t="s">
        <v>6789</v>
      </c>
      <c r="E2014" s="2" t="s">
        <v>6800</v>
      </c>
      <c r="F2014" s="2" t="s">
        <v>6914</v>
      </c>
      <c r="G2014" s="2" t="s">
        <v>6914</v>
      </c>
      <c r="H2014" s="2" t="s">
        <v>6914</v>
      </c>
      <c r="I2014" s="2" t="s">
        <v>6800</v>
      </c>
      <c r="J2014" s="2" t="s">
        <v>3385</v>
      </c>
      <c r="K2014" s="2" t="s">
        <v>5349</v>
      </c>
      <c r="L2014" s="3">
        <v>226.1</v>
      </c>
      <c r="M2014" s="3">
        <v>237.4</v>
      </c>
      <c r="N2014" s="3">
        <v>479</v>
      </c>
      <c r="O2014" s="2" t="s">
        <v>97</v>
      </c>
      <c r="P2014" s="2" t="s">
        <v>707</v>
      </c>
      <c r="Q2014" s="2" t="s">
        <v>99</v>
      </c>
      <c r="R2014" s="2" t="s">
        <v>100</v>
      </c>
      <c r="S2014" s="2" t="s">
        <v>6915</v>
      </c>
      <c r="T2014" s="2" t="s">
        <v>100</v>
      </c>
      <c r="U2014" s="2" t="s">
        <v>100</v>
      </c>
      <c r="V2014" s="2" t="s">
        <v>461</v>
      </c>
      <c r="W2014" s="2" t="s">
        <v>493</v>
      </c>
      <c r="X2014" s="2" t="s">
        <v>100</v>
      </c>
      <c r="Y2014" s="2" t="s">
        <v>144</v>
      </c>
      <c r="Z2014" s="4">
        <v>36</v>
      </c>
      <c r="AA2014" s="4">
        <f>=ROUNDDOWN(9,0)</f>
      </c>
      <c r="AB2014" s="5">
        <v>4</v>
      </c>
      <c r="AC2014" s="2" t="s">
        <v>389</v>
      </c>
      <c r="AD2014" s="4">
        <v>100</v>
      </c>
      <c r="AE2014" s="4">
        <v>100</v>
      </c>
      <c r="AF2014" s="6">
        <v>66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/>
      <c r="AW2014" s="8"/>
      <c r="AX2014" s="4"/>
      <c r="AY2014" s="8"/>
      <c r="AZ2014" s="7"/>
      <c r="BA2014" s="7"/>
      <c r="BB2014" s="7"/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/>
      <c r="BJ2014" s="4">
        <v>3</v>
      </c>
      <c r="BK2014" s="8">
        <v>658.44</v>
      </c>
      <c r="BL2014" s="2" t="s">
        <v>6916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2526</v>
      </c>
      <c r="BV2014" s="2" t="s">
        <v>97</v>
      </c>
      <c r="BW2014" s="2" t="s">
        <v>100</v>
      </c>
      <c r="BX2014" s="2" t="s">
        <v>100</v>
      </c>
      <c r="BY2014" s="2" t="s">
        <v>112</v>
      </c>
      <c r="BZ2014" s="2" t="s">
        <v>100</v>
      </c>
    </row>
    <row r="2015">
      <c r="A2015" s="2" t="s">
        <v>6917</v>
      </c>
      <c r="B2015" s="2" t="s">
        <v>6747</v>
      </c>
      <c r="C2015" s="2" t="s">
        <v>2831</v>
      </c>
      <c r="D2015" s="2" t="s">
        <v>6789</v>
      </c>
      <c r="E2015" s="2" t="s">
        <v>6800</v>
      </c>
      <c r="F2015" s="2" t="s">
        <v>6914</v>
      </c>
      <c r="G2015" s="2" t="s">
        <v>6914</v>
      </c>
      <c r="H2015" s="2" t="s">
        <v>6914</v>
      </c>
      <c r="I2015" s="2" t="s">
        <v>6800</v>
      </c>
      <c r="J2015" s="2" t="s">
        <v>3385</v>
      </c>
      <c r="K2015" s="2" t="s">
        <v>96</v>
      </c>
      <c r="L2015" s="3">
        <v>226.1</v>
      </c>
      <c r="M2015" s="3">
        <v>237.4</v>
      </c>
      <c r="N2015" s="3">
        <v>479</v>
      </c>
      <c r="O2015" s="2" t="s">
        <v>97</v>
      </c>
      <c r="P2015" s="2" t="s">
        <v>707</v>
      </c>
      <c r="Q2015" s="2" t="s">
        <v>99</v>
      </c>
      <c r="R2015" s="2" t="s">
        <v>100</v>
      </c>
      <c r="S2015" s="2" t="s">
        <v>100</v>
      </c>
      <c r="T2015" s="2" t="s">
        <v>100</v>
      </c>
      <c r="U2015" s="2" t="s">
        <v>100</v>
      </c>
      <c r="V2015" s="2" t="s">
        <v>461</v>
      </c>
      <c r="W2015" s="2" t="s">
        <v>493</v>
      </c>
      <c r="X2015" s="2" t="s">
        <v>100</v>
      </c>
      <c r="Y2015" s="2" t="s">
        <v>1935</v>
      </c>
      <c r="Z2015" s="4">
        <v>17</v>
      </c>
      <c r="AA2015" s="4">
        <f>=ROUNDDOWN(4.25,0)</f>
      </c>
      <c r="AB2015" s="5">
        <v>4</v>
      </c>
      <c r="AC2015" s="2" t="s">
        <v>676</v>
      </c>
      <c r="AD2015" s="4">
        <v>72</v>
      </c>
      <c r="AE2015" s="4">
        <v>172</v>
      </c>
      <c r="AF2015" s="6">
        <v>66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/>
      <c r="BJ2015" s="4">
        <v>11</v>
      </c>
      <c r="BK2015" s="8">
        <v>2380.54</v>
      </c>
      <c r="BL2015" s="2" t="s">
        <v>6821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2526</v>
      </c>
      <c r="BV2015" s="2" t="s">
        <v>97</v>
      </c>
      <c r="BW2015" s="2" t="s">
        <v>100</v>
      </c>
      <c r="BX2015" s="2" t="s">
        <v>100</v>
      </c>
      <c r="BY2015" s="2" t="s">
        <v>112</v>
      </c>
      <c r="BZ2015" s="2" t="s">
        <v>100</v>
      </c>
    </row>
    <row r="2016">
      <c r="A2016" s="2" t="s">
        <v>6918</v>
      </c>
      <c r="B2016" s="2" t="s">
        <v>6747</v>
      </c>
      <c r="C2016" s="2" t="s">
        <v>2831</v>
      </c>
      <c r="D2016" s="2" t="s">
        <v>6919</v>
      </c>
      <c r="E2016" s="2" t="s">
        <v>6920</v>
      </c>
      <c r="F2016" s="2" t="s">
        <v>6921</v>
      </c>
      <c r="G2016" s="2" t="s">
        <v>6921</v>
      </c>
      <c r="H2016" s="2" t="s">
        <v>6921</v>
      </c>
      <c r="I2016" s="2" t="s">
        <v>6922</v>
      </c>
      <c r="J2016" s="2" t="s">
        <v>3385</v>
      </c>
      <c r="K2016" s="2" t="s">
        <v>446</v>
      </c>
      <c r="L2016" s="3">
        <v>270.75</v>
      </c>
      <c r="M2016" s="3">
        <v>284.29</v>
      </c>
      <c r="N2016" s="3">
        <v>579</v>
      </c>
      <c r="O2016" s="2" t="s">
        <v>97</v>
      </c>
      <c r="P2016" s="2" t="s">
        <v>707</v>
      </c>
      <c r="Q2016" s="2" t="s">
        <v>99</v>
      </c>
      <c r="R2016" s="2" t="s">
        <v>100</v>
      </c>
      <c r="S2016" s="2" t="s">
        <v>100</v>
      </c>
      <c r="T2016" s="2" t="s">
        <v>100</v>
      </c>
      <c r="U2016" s="2" t="s">
        <v>1776</v>
      </c>
      <c r="V2016" s="2" t="s">
        <v>3412</v>
      </c>
      <c r="W2016" s="2" t="s">
        <v>142</v>
      </c>
      <c r="X2016" s="2" t="s">
        <v>686</v>
      </c>
      <c r="Y2016" s="2" t="s">
        <v>6923</v>
      </c>
      <c r="Z2016" s="4">
        <v>55</v>
      </c>
      <c r="AA2016" s="4">
        <f>=ROUNDDOWN(27.5,0)</f>
      </c>
      <c r="AB2016" s="5">
        <v>2</v>
      </c>
      <c r="AC2016" s="2" t="s">
        <v>6924</v>
      </c>
      <c r="AD2016" s="4">
        <v>96</v>
      </c>
      <c r="AE2016" s="4">
        <v>96</v>
      </c>
      <c r="AF2016" s="6">
        <v>76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/>
      <c r="AW2016" s="8"/>
      <c r="AX2016" s="4"/>
      <c r="AY2016" s="8"/>
      <c r="AZ2016" s="7"/>
      <c r="BA2016" s="7"/>
      <c r="BB2016" s="7"/>
      <c r="BC2016" s="4"/>
      <c r="BD2016" s="8"/>
      <c r="BE2016" s="4"/>
      <c r="BF2016" s="8"/>
      <c r="BG2016" s="7"/>
      <c r="BH2016" s="7"/>
      <c r="BI2016" s="7"/>
      <c r="BJ2016" s="4">
        <v>7</v>
      </c>
      <c r="BK2016" s="8">
        <v>1950.95</v>
      </c>
      <c r="BL2016" s="2" t="s">
        <v>6821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2526</v>
      </c>
      <c r="BV2016" s="2" t="s">
        <v>97</v>
      </c>
      <c r="BW2016" s="2" t="s">
        <v>100</v>
      </c>
      <c r="BX2016" s="2" t="s">
        <v>100</v>
      </c>
      <c r="BY2016" s="2" t="s">
        <v>112</v>
      </c>
      <c r="BZ2016" s="2" t="s">
        <v>100</v>
      </c>
    </row>
    <row r="2017">
      <c r="A2017" s="2" t="s">
        <v>6925</v>
      </c>
      <c r="B2017" s="2" t="s">
        <v>6747</v>
      </c>
      <c r="C2017" s="2" t="s">
        <v>2831</v>
      </c>
      <c r="D2017" s="2" t="s">
        <v>6919</v>
      </c>
      <c r="E2017" s="2" t="s">
        <v>6926</v>
      </c>
      <c r="F2017" s="2" t="s">
        <v>6927</v>
      </c>
      <c r="G2017" s="2" t="s">
        <v>6927</v>
      </c>
      <c r="H2017" s="2" t="s">
        <v>6927</v>
      </c>
      <c r="I2017" s="2" t="s">
        <v>6928</v>
      </c>
      <c r="J2017" s="2" t="s">
        <v>3385</v>
      </c>
      <c r="K2017" s="2" t="s">
        <v>138</v>
      </c>
      <c r="L2017" s="3">
        <v>248.29</v>
      </c>
      <c r="M2017" s="3">
        <v>260.7</v>
      </c>
      <c r="N2017" s="3">
        <v>519</v>
      </c>
      <c r="O2017" s="2" t="s">
        <v>97</v>
      </c>
      <c r="P2017" s="2" t="s">
        <v>98</v>
      </c>
      <c r="Q2017" s="2" t="s">
        <v>99</v>
      </c>
      <c r="R2017" s="2" t="s">
        <v>100</v>
      </c>
      <c r="S2017" s="2" t="s">
        <v>100</v>
      </c>
      <c r="T2017" s="2" t="s">
        <v>100</v>
      </c>
      <c r="U2017" s="2" t="s">
        <v>1776</v>
      </c>
      <c r="V2017" s="2" t="s">
        <v>461</v>
      </c>
      <c r="W2017" s="2" t="s">
        <v>493</v>
      </c>
      <c r="X2017" s="2" t="s">
        <v>142</v>
      </c>
      <c r="Y2017" s="2" t="s">
        <v>6929</v>
      </c>
      <c r="Z2017" s="4">
        <v>160</v>
      </c>
      <c r="AA2017" s="4">
        <f>=ROUNDDOWN(40,0)</f>
      </c>
      <c r="AB2017" s="5">
        <v>4</v>
      </c>
      <c r="AC2017" s="2" t="s">
        <v>1468</v>
      </c>
      <c r="AD2017" s="4">
        <v>150</v>
      </c>
      <c r="AE2017" s="4">
        <v>150</v>
      </c>
      <c r="AF2017" s="6">
        <v>74</v>
      </c>
      <c r="AG2017" s="6">
        <v>60</v>
      </c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/>
      <c r="AW2017" s="8"/>
      <c r="AX2017" s="4"/>
      <c r="AY2017" s="8"/>
      <c r="AZ2017" s="7"/>
      <c r="BA2017" s="7"/>
      <c r="BB2017" s="7"/>
      <c r="BC2017" s="4"/>
      <c r="BD2017" s="8"/>
      <c r="BE2017" s="4"/>
      <c r="BF2017" s="8"/>
      <c r="BG2017" s="7"/>
      <c r="BH2017" s="7"/>
      <c r="BI2017" s="7"/>
      <c r="BJ2017" s="4">
        <v>9</v>
      </c>
      <c r="BK2017" s="8">
        <v>2069.13</v>
      </c>
      <c r="BL2017" s="2" t="s">
        <v>2807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2551</v>
      </c>
      <c r="BV2017" s="2" t="s">
        <v>97</v>
      </c>
      <c r="BW2017" s="2" t="s">
        <v>100</v>
      </c>
      <c r="BX2017" s="2" t="s">
        <v>100</v>
      </c>
      <c r="BY2017" s="2" t="s">
        <v>112</v>
      </c>
      <c r="BZ2017" s="2" t="s">
        <v>100</v>
      </c>
    </row>
    <row r="2018">
      <c r="A2018" s="2" t="s">
        <v>6930</v>
      </c>
      <c r="B2018" s="2" t="s">
        <v>6747</v>
      </c>
      <c r="C2018" s="2" t="s">
        <v>2831</v>
      </c>
      <c r="D2018" s="2" t="s">
        <v>6931</v>
      </c>
      <c r="E2018" s="2" t="s">
        <v>6932</v>
      </c>
      <c r="F2018" s="2" t="s">
        <v>6933</v>
      </c>
      <c r="G2018" s="2" t="s">
        <v>100</v>
      </c>
      <c r="H2018" s="2" t="s">
        <v>100</v>
      </c>
      <c r="I2018" s="2" t="s">
        <v>6934</v>
      </c>
      <c r="J2018" s="2" t="s">
        <v>3385</v>
      </c>
      <c r="K2018" s="2" t="s">
        <v>6935</v>
      </c>
      <c r="L2018" s="3">
        <v>70</v>
      </c>
      <c r="M2018" s="3">
        <v>73.5</v>
      </c>
      <c r="N2018" s="3">
        <v>149</v>
      </c>
      <c r="O2018" s="2" t="s">
        <v>97</v>
      </c>
      <c r="P2018" s="2" t="s">
        <v>98</v>
      </c>
      <c r="Q2018" s="2" t="s">
        <v>99</v>
      </c>
      <c r="R2018" s="2" t="s">
        <v>100</v>
      </c>
      <c r="S2018" s="2" t="s">
        <v>6936</v>
      </c>
      <c r="T2018" s="2" t="s">
        <v>100</v>
      </c>
      <c r="U2018" s="2" t="s">
        <v>100</v>
      </c>
      <c r="V2018" s="2" t="s">
        <v>461</v>
      </c>
      <c r="W2018" s="2" t="s">
        <v>2835</v>
      </c>
      <c r="X2018" s="2" t="s">
        <v>100</v>
      </c>
      <c r="Y2018" s="2" t="s">
        <v>144</v>
      </c>
      <c r="Z2018" s="4">
        <v>139</v>
      </c>
      <c r="AA2018" s="4">
        <f>=ROUNDDOWN(38.6111111111111,0)</f>
      </c>
      <c r="AB2018" s="5">
        <v>3.6</v>
      </c>
      <c r="AC2018" s="2" t="s">
        <v>783</v>
      </c>
      <c r="AD2018" s="4">
        <v>100</v>
      </c>
      <c r="AE2018" s="4">
        <v>100</v>
      </c>
      <c r="AF2018" s="6">
        <v>74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/>
      <c r="BD2018" s="8"/>
      <c r="BE2018" s="4"/>
      <c r="BF2018" s="8"/>
      <c r="BG2018" s="7"/>
      <c r="BH2018" s="7"/>
      <c r="BI2018" s="7"/>
      <c r="BJ2018" s="4">
        <v>20</v>
      </c>
      <c r="BK2018" s="8">
        <v>1266.03</v>
      </c>
      <c r="BL2018" s="2" t="s">
        <v>3966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2551</v>
      </c>
      <c r="BV2018" s="2" t="s">
        <v>97</v>
      </c>
      <c r="BW2018" s="2" t="s">
        <v>100</v>
      </c>
      <c r="BX2018" s="2" t="s">
        <v>100</v>
      </c>
      <c r="BY2018" s="2" t="s">
        <v>112</v>
      </c>
      <c r="BZ2018" s="2" t="s">
        <v>100</v>
      </c>
    </row>
    <row r="2019">
      <c r="A2019" s="2" t="s">
        <v>6937</v>
      </c>
      <c r="B2019" s="2" t="s">
        <v>6747</v>
      </c>
      <c r="C2019" s="2" t="s">
        <v>2831</v>
      </c>
      <c r="D2019" s="2" t="s">
        <v>6931</v>
      </c>
      <c r="E2019" s="2" t="s">
        <v>6932</v>
      </c>
      <c r="F2019" s="2" t="s">
        <v>6938</v>
      </c>
      <c r="G2019" s="2" t="s">
        <v>100</v>
      </c>
      <c r="H2019" s="2" t="s">
        <v>100</v>
      </c>
      <c r="I2019" s="2" t="s">
        <v>6939</v>
      </c>
      <c r="J2019" s="2" t="s">
        <v>3385</v>
      </c>
      <c r="K2019" s="2" t="s">
        <v>6935</v>
      </c>
      <c r="L2019" s="3">
        <v>71.82</v>
      </c>
      <c r="M2019" s="3">
        <v>75.41</v>
      </c>
      <c r="N2019" s="3">
        <v>149</v>
      </c>
      <c r="O2019" s="2" t="s">
        <v>97</v>
      </c>
      <c r="P2019" s="2" t="s">
        <v>98</v>
      </c>
      <c r="Q2019" s="2" t="s">
        <v>99</v>
      </c>
      <c r="R2019" s="2" t="s">
        <v>100</v>
      </c>
      <c r="S2019" s="2" t="s">
        <v>6940</v>
      </c>
      <c r="T2019" s="2" t="s">
        <v>100</v>
      </c>
      <c r="U2019" s="2" t="s">
        <v>100</v>
      </c>
      <c r="V2019" s="2" t="s">
        <v>461</v>
      </c>
      <c r="W2019" s="2" t="s">
        <v>2835</v>
      </c>
      <c r="X2019" s="2" t="s">
        <v>100</v>
      </c>
      <c r="Y2019" s="2" t="s">
        <v>144</v>
      </c>
      <c r="Z2019" s="4">
        <v>184</v>
      </c>
      <c r="AA2019" s="4">
        <f>=ROUNDDOWN(15.3333333333333,0)</f>
      </c>
      <c r="AB2019" s="5">
        <v>12</v>
      </c>
      <c r="AC2019" s="2" t="s">
        <v>2709</v>
      </c>
      <c r="AD2019" s="4">
        <v>180</v>
      </c>
      <c r="AE2019" s="4">
        <v>180</v>
      </c>
      <c r="AF2019" s="6">
        <v>74</v>
      </c>
      <c r="AG2019" s="6">
        <v>60</v>
      </c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/>
      <c r="BD2019" s="8"/>
      <c r="BE2019" s="4"/>
      <c r="BF2019" s="8"/>
      <c r="BG2019" s="7"/>
      <c r="BH2019" s="7"/>
      <c r="BI2019" s="7"/>
      <c r="BJ2019" s="4">
        <v>40</v>
      </c>
      <c r="BK2019" s="8">
        <v>2937.95</v>
      </c>
      <c r="BL2019" s="2" t="s">
        <v>6941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2551</v>
      </c>
      <c r="BV2019" s="2" t="s">
        <v>97</v>
      </c>
      <c r="BW2019" s="2" t="s">
        <v>100</v>
      </c>
      <c r="BX2019" s="2" t="s">
        <v>100</v>
      </c>
      <c r="BY2019" s="2" t="s">
        <v>112</v>
      </c>
      <c r="BZ2019" s="2" t="s">
        <v>100</v>
      </c>
    </row>
    <row r="2020">
      <c r="A2020" s="2" t="s">
        <v>6942</v>
      </c>
      <c r="B2020" s="2" t="s">
        <v>6747</v>
      </c>
      <c r="C2020" s="2" t="s">
        <v>2831</v>
      </c>
      <c r="D2020" s="2" t="s">
        <v>6931</v>
      </c>
      <c r="E2020" s="2" t="s">
        <v>6943</v>
      </c>
      <c r="F2020" s="2" t="s">
        <v>1132</v>
      </c>
      <c r="G2020" s="2" t="s">
        <v>1132</v>
      </c>
      <c r="H2020" s="2" t="s">
        <v>1132</v>
      </c>
      <c r="I2020" s="2" t="s">
        <v>6944</v>
      </c>
      <c r="J2020" s="2" t="s">
        <v>3385</v>
      </c>
      <c r="K2020" s="2" t="s">
        <v>3543</v>
      </c>
      <c r="L2020" s="3">
        <v>118</v>
      </c>
      <c r="M2020" s="3">
        <v>123.9</v>
      </c>
      <c r="N2020" s="3">
        <v>249</v>
      </c>
      <c r="O2020" s="2" t="s">
        <v>97</v>
      </c>
      <c r="P2020" s="2" t="s">
        <v>98</v>
      </c>
      <c r="Q2020" s="2" t="s">
        <v>99</v>
      </c>
      <c r="R2020" s="2" t="s">
        <v>100</v>
      </c>
      <c r="S2020" s="2" t="s">
        <v>6945</v>
      </c>
      <c r="T2020" s="2" t="s">
        <v>100</v>
      </c>
      <c r="U2020" s="2" t="s">
        <v>100</v>
      </c>
      <c r="V2020" s="2" t="s">
        <v>461</v>
      </c>
      <c r="W2020" s="2" t="s">
        <v>2835</v>
      </c>
      <c r="X2020" s="2" t="s">
        <v>100</v>
      </c>
      <c r="Y2020" s="2" t="s">
        <v>144</v>
      </c>
      <c r="Z2020" s="4">
        <v>115</v>
      </c>
      <c r="AA2020" s="4">
        <f>=ROUNDDOWN(23,0)</f>
      </c>
      <c r="AB2020" s="5">
        <v>5</v>
      </c>
      <c r="AC2020" s="2" t="s">
        <v>6946</v>
      </c>
      <c r="AD2020" s="4">
        <v>100</v>
      </c>
      <c r="AE2020" s="4">
        <v>100</v>
      </c>
      <c r="AF2020" s="6">
        <v>74</v>
      </c>
      <c r="AG2020" s="6">
        <v>60</v>
      </c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/>
      <c r="BD2020" s="8"/>
      <c r="BE2020" s="4"/>
      <c r="BF2020" s="8"/>
      <c r="BG2020" s="7"/>
      <c r="BH2020" s="7"/>
      <c r="BI2020" s="7"/>
      <c r="BJ2020" s="4">
        <v>17</v>
      </c>
      <c r="BK2020" s="8">
        <v>1886.1</v>
      </c>
      <c r="BL2020" s="2" t="s">
        <v>6947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2551</v>
      </c>
      <c r="BV2020" s="2" t="s">
        <v>97</v>
      </c>
      <c r="BW2020" s="2" t="s">
        <v>100</v>
      </c>
      <c r="BX2020" s="2" t="s">
        <v>100</v>
      </c>
      <c r="BY2020" s="2" t="s">
        <v>112</v>
      </c>
      <c r="BZ2020" s="2" t="s">
        <v>100</v>
      </c>
    </row>
    <row r="2021">
      <c r="A2021" s="2" t="s">
        <v>6948</v>
      </c>
      <c r="B2021" s="2" t="s">
        <v>6747</v>
      </c>
      <c r="C2021" s="2" t="s">
        <v>2831</v>
      </c>
      <c r="D2021" s="2" t="s">
        <v>6949</v>
      </c>
      <c r="E2021" s="2" t="s">
        <v>6950</v>
      </c>
      <c r="F2021" s="2" t="s">
        <v>6808</v>
      </c>
      <c r="G2021" s="2" t="s">
        <v>100</v>
      </c>
      <c r="H2021" s="2" t="s">
        <v>100</v>
      </c>
      <c r="I2021" s="2" t="s">
        <v>6951</v>
      </c>
      <c r="J2021" s="2" t="s">
        <v>3385</v>
      </c>
      <c r="K2021" s="2" t="s">
        <v>4488</v>
      </c>
      <c r="L2021" s="3">
        <v>138</v>
      </c>
      <c r="M2021" s="3">
        <v>144.9</v>
      </c>
      <c r="N2021" s="3">
        <v>289</v>
      </c>
      <c r="O2021" s="2" t="s">
        <v>97</v>
      </c>
      <c r="P2021" s="2" t="s">
        <v>707</v>
      </c>
      <c r="Q2021" s="2" t="s">
        <v>99</v>
      </c>
      <c r="R2021" s="2" t="s">
        <v>100</v>
      </c>
      <c r="S2021" s="2" t="s">
        <v>6952</v>
      </c>
      <c r="T2021" s="2" t="s">
        <v>100</v>
      </c>
      <c r="U2021" s="2" t="s">
        <v>100</v>
      </c>
      <c r="V2021" s="2" t="s">
        <v>461</v>
      </c>
      <c r="W2021" s="2" t="s">
        <v>142</v>
      </c>
      <c r="X2021" s="2" t="s">
        <v>100</v>
      </c>
      <c r="Y2021" s="2" t="s">
        <v>144</v>
      </c>
      <c r="Z2021" s="4">
        <v>192</v>
      </c>
      <c r="AA2021" s="4">
        <f>=ROUNDDOWN(27.4285714285714,0)</f>
      </c>
      <c r="AB2021" s="5">
        <v>7</v>
      </c>
      <c r="AC2021" s="2" t="s">
        <v>2772</v>
      </c>
      <c r="AD2021" s="4">
        <v>100</v>
      </c>
      <c r="AE2021" s="4">
        <v>100</v>
      </c>
      <c r="AF2021" s="6">
        <v>65</v>
      </c>
      <c r="AG2021" s="6">
        <v>48</v>
      </c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/>
      <c r="BD2021" s="8"/>
      <c r="BE2021" s="4"/>
      <c r="BF2021" s="8"/>
      <c r="BG2021" s="7"/>
      <c r="BH2021" s="7"/>
      <c r="BI2021" s="7"/>
      <c r="BJ2021" s="4">
        <v>16</v>
      </c>
      <c r="BK2021" s="8">
        <v>2011.12</v>
      </c>
      <c r="BL2021" s="2" t="s">
        <v>6953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2526</v>
      </c>
      <c r="BV2021" s="2" t="s">
        <v>97</v>
      </c>
      <c r="BW2021" s="2" t="s">
        <v>100</v>
      </c>
      <c r="BX2021" s="2" t="s">
        <v>100</v>
      </c>
      <c r="BY2021" s="2" t="s">
        <v>112</v>
      </c>
      <c r="BZ2021" s="2" t="s">
        <v>100</v>
      </c>
    </row>
    <row r="2022">
      <c r="A2022" s="2" t="s">
        <v>6954</v>
      </c>
      <c r="B2022" s="2" t="s">
        <v>6747</v>
      </c>
      <c r="C2022" s="2" t="s">
        <v>2831</v>
      </c>
      <c r="D2022" s="2" t="s">
        <v>6949</v>
      </c>
      <c r="E2022" s="2" t="s">
        <v>6950</v>
      </c>
      <c r="F2022" s="2" t="s">
        <v>6955</v>
      </c>
      <c r="G2022" s="2" t="s">
        <v>6955</v>
      </c>
      <c r="H2022" s="2" t="s">
        <v>100</v>
      </c>
      <c r="I2022" s="2" t="s">
        <v>6956</v>
      </c>
      <c r="J2022" s="2" t="s">
        <v>3385</v>
      </c>
      <c r="K2022" s="2" t="s">
        <v>138</v>
      </c>
      <c r="L2022" s="3">
        <v>81</v>
      </c>
      <c r="M2022" s="3">
        <v>85.05</v>
      </c>
      <c r="N2022" s="3">
        <v>169</v>
      </c>
      <c r="O2022" s="2" t="s">
        <v>97</v>
      </c>
      <c r="P2022" s="2" t="s">
        <v>98</v>
      </c>
      <c r="Q2022" s="2" t="s">
        <v>99</v>
      </c>
      <c r="R2022" s="2" t="s">
        <v>100</v>
      </c>
      <c r="S2022" s="2" t="s">
        <v>6957</v>
      </c>
      <c r="T2022" s="2" t="s">
        <v>100</v>
      </c>
      <c r="U2022" s="2" t="s">
        <v>100</v>
      </c>
      <c r="V2022" s="2" t="s">
        <v>461</v>
      </c>
      <c r="W2022" s="2" t="s">
        <v>3394</v>
      </c>
      <c r="X2022" s="2" t="s">
        <v>100</v>
      </c>
      <c r="Y2022" s="2" t="s">
        <v>144</v>
      </c>
      <c r="Z2022" s="4">
        <v>77</v>
      </c>
      <c r="AA2022" s="4">
        <f>=ROUNDDOWN(7,0)</f>
      </c>
      <c r="AB2022" s="5">
        <v>11</v>
      </c>
      <c r="AC2022" s="2" t="s">
        <v>2709</v>
      </c>
      <c r="AD2022" s="4">
        <v>100</v>
      </c>
      <c r="AE2022" s="4">
        <v>220</v>
      </c>
      <c r="AF2022" s="6">
        <v>74</v>
      </c>
      <c r="AG2022" s="6">
        <v>60</v>
      </c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/>
      <c r="BD2022" s="8"/>
      <c r="BE2022" s="4"/>
      <c r="BF2022" s="8"/>
      <c r="BG2022" s="7"/>
      <c r="BH2022" s="7"/>
      <c r="BI2022" s="7"/>
      <c r="BJ2022" s="4">
        <v>17</v>
      </c>
      <c r="BK2022" s="8">
        <v>1356.68</v>
      </c>
      <c r="BL2022" s="2" t="s">
        <v>2807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2551</v>
      </c>
      <c r="BV2022" s="2" t="s">
        <v>97</v>
      </c>
      <c r="BW2022" s="2" t="s">
        <v>100</v>
      </c>
      <c r="BX2022" s="2" t="s">
        <v>100</v>
      </c>
      <c r="BY2022" s="2" t="s">
        <v>112</v>
      </c>
      <c r="BZ2022" s="2" t="s">
        <v>100</v>
      </c>
    </row>
    <row r="2023">
      <c r="A2023" s="2" t="s">
        <v>6958</v>
      </c>
      <c r="B2023" s="2" t="s">
        <v>6747</v>
      </c>
      <c r="C2023" s="2" t="s">
        <v>2831</v>
      </c>
      <c r="D2023" s="2" t="s">
        <v>6949</v>
      </c>
      <c r="E2023" s="2" t="s">
        <v>6950</v>
      </c>
      <c r="F2023" s="2" t="s">
        <v>6959</v>
      </c>
      <c r="G2023" s="2" t="s">
        <v>6959</v>
      </c>
      <c r="H2023" s="2" t="s">
        <v>6959</v>
      </c>
      <c r="I2023" s="2" t="s">
        <v>6960</v>
      </c>
      <c r="J2023" s="2" t="s">
        <v>3385</v>
      </c>
      <c r="K2023" s="2" t="s">
        <v>4488</v>
      </c>
      <c r="L2023" s="3">
        <v>85.5</v>
      </c>
      <c r="M2023" s="3">
        <v>89.78</v>
      </c>
      <c r="N2023" s="3">
        <v>179</v>
      </c>
      <c r="O2023" s="2" t="s">
        <v>97</v>
      </c>
      <c r="P2023" s="2" t="s">
        <v>707</v>
      </c>
      <c r="Q2023" s="2" t="s">
        <v>99</v>
      </c>
      <c r="R2023" s="2" t="s">
        <v>100</v>
      </c>
      <c r="S2023" s="2" t="s">
        <v>6961</v>
      </c>
      <c r="T2023" s="2" t="s">
        <v>100</v>
      </c>
      <c r="U2023" s="2" t="s">
        <v>100</v>
      </c>
      <c r="V2023" s="2" t="s">
        <v>461</v>
      </c>
      <c r="W2023" s="2" t="s">
        <v>3394</v>
      </c>
      <c r="X2023" s="2" t="s">
        <v>100</v>
      </c>
      <c r="Y2023" s="2" t="s">
        <v>6962</v>
      </c>
      <c r="Z2023" s="4">
        <v>126</v>
      </c>
      <c r="AA2023" s="4">
        <f>=ROUNDDOWN(25.2,0)</f>
      </c>
      <c r="AB2023" s="5">
        <v>5</v>
      </c>
      <c r="AC2023" s="2" t="s">
        <v>6780</v>
      </c>
      <c r="AD2023" s="4">
        <v>150</v>
      </c>
      <c r="AE2023" s="4">
        <v>150</v>
      </c>
      <c r="AF2023" s="6">
        <v>74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/>
      <c r="AW2023" s="8"/>
      <c r="AX2023" s="4"/>
      <c r="AY2023" s="8"/>
      <c r="AZ2023" s="7"/>
      <c r="BA2023" s="7"/>
      <c r="BB2023" s="7"/>
      <c r="BC2023" s="4"/>
      <c r="BD2023" s="8"/>
      <c r="BE2023" s="4"/>
      <c r="BF2023" s="8"/>
      <c r="BG2023" s="7"/>
      <c r="BH2023" s="7"/>
      <c r="BI2023" s="7"/>
      <c r="BJ2023" s="4">
        <v>7</v>
      </c>
      <c r="BK2023" s="8">
        <v>555.27</v>
      </c>
      <c r="BL2023" s="2" t="s">
        <v>6821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2526</v>
      </c>
      <c r="BV2023" s="2" t="s">
        <v>97</v>
      </c>
      <c r="BW2023" s="2" t="s">
        <v>100</v>
      </c>
      <c r="BX2023" s="2" t="s">
        <v>100</v>
      </c>
      <c r="BY2023" s="2" t="s">
        <v>112</v>
      </c>
      <c r="BZ2023" s="2" t="s">
        <v>100</v>
      </c>
    </row>
    <row r="2024">
      <c r="A2024" s="2" t="s">
        <v>6963</v>
      </c>
      <c r="B2024" s="2" t="s">
        <v>6747</v>
      </c>
      <c r="C2024" s="2" t="s">
        <v>2831</v>
      </c>
      <c r="D2024" s="2" t="s">
        <v>6949</v>
      </c>
      <c r="E2024" s="2" t="s">
        <v>6964</v>
      </c>
      <c r="F2024" s="2" t="s">
        <v>6965</v>
      </c>
      <c r="G2024" s="2" t="s">
        <v>100</v>
      </c>
      <c r="H2024" s="2" t="s">
        <v>100</v>
      </c>
      <c r="I2024" s="2" t="s">
        <v>6966</v>
      </c>
      <c r="J2024" s="2" t="s">
        <v>3385</v>
      </c>
      <c r="K2024" s="2" t="s">
        <v>6967</v>
      </c>
      <c r="L2024" s="3">
        <v>128.25</v>
      </c>
      <c r="M2024" s="3">
        <v>134.66</v>
      </c>
      <c r="N2024" s="3">
        <v>269</v>
      </c>
      <c r="O2024" s="2" t="s">
        <v>97</v>
      </c>
      <c r="P2024" s="2" t="s">
        <v>98</v>
      </c>
      <c r="Q2024" s="2" t="s">
        <v>99</v>
      </c>
      <c r="R2024" s="2" t="s">
        <v>100</v>
      </c>
      <c r="S2024" s="2" t="s">
        <v>6968</v>
      </c>
      <c r="T2024" s="2" t="s">
        <v>100</v>
      </c>
      <c r="U2024" s="2" t="s">
        <v>100</v>
      </c>
      <c r="V2024" s="2" t="s">
        <v>461</v>
      </c>
      <c r="W2024" s="2" t="s">
        <v>3394</v>
      </c>
      <c r="X2024" s="2" t="s">
        <v>493</v>
      </c>
      <c r="Y2024" s="2" t="s">
        <v>2570</v>
      </c>
      <c r="Z2024" s="4">
        <v>133</v>
      </c>
      <c r="AA2024" s="4">
        <f>=ROUNDDOWN(12.0909090909091,0)</f>
      </c>
      <c r="AB2024" s="5">
        <v>11</v>
      </c>
      <c r="AC2024" s="2" t="s">
        <v>3271</v>
      </c>
      <c r="AD2024" s="4">
        <v>150</v>
      </c>
      <c r="AE2024" s="4">
        <v>300</v>
      </c>
      <c r="AF2024" s="6">
        <v>74</v>
      </c>
      <c r="AG2024" s="6">
        <v>60</v>
      </c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/>
      <c r="BD2024" s="8"/>
      <c r="BE2024" s="4"/>
      <c r="BF2024" s="8"/>
      <c r="BG2024" s="7"/>
      <c r="BH2024" s="7"/>
      <c r="BI2024" s="7"/>
      <c r="BJ2024" s="4">
        <v>25</v>
      </c>
      <c r="BK2024" s="8">
        <v>3248.29</v>
      </c>
      <c r="BL2024" s="2" t="s">
        <v>2807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2551</v>
      </c>
      <c r="BV2024" s="2" t="s">
        <v>97</v>
      </c>
      <c r="BW2024" s="2" t="s">
        <v>100</v>
      </c>
      <c r="BX2024" s="2" t="s">
        <v>100</v>
      </c>
      <c r="BY2024" s="2" t="s">
        <v>112</v>
      </c>
      <c r="BZ2024" s="2" t="s">
        <v>100</v>
      </c>
    </row>
    <row r="2025">
      <c r="A2025" s="2" t="s">
        <v>6969</v>
      </c>
      <c r="B2025" s="2" t="s">
        <v>6747</v>
      </c>
      <c r="C2025" s="2" t="s">
        <v>2831</v>
      </c>
      <c r="D2025" s="2" t="s">
        <v>6949</v>
      </c>
      <c r="E2025" s="2" t="s">
        <v>6970</v>
      </c>
      <c r="F2025" s="2" t="s">
        <v>6971</v>
      </c>
      <c r="G2025" s="2" t="s">
        <v>6971</v>
      </c>
      <c r="H2025" s="2" t="s">
        <v>6971</v>
      </c>
      <c r="I2025" s="2" t="s">
        <v>6972</v>
      </c>
      <c r="J2025" s="2" t="s">
        <v>3385</v>
      </c>
      <c r="K2025" s="2" t="s">
        <v>96</v>
      </c>
      <c r="L2025" s="3">
        <v>85.5</v>
      </c>
      <c r="M2025" s="3">
        <v>89.78</v>
      </c>
      <c r="N2025" s="3">
        <v>179</v>
      </c>
      <c r="O2025" s="2" t="s">
        <v>97</v>
      </c>
      <c r="P2025" s="2" t="s">
        <v>98</v>
      </c>
      <c r="Q2025" s="2" t="s">
        <v>99</v>
      </c>
      <c r="R2025" s="2" t="s">
        <v>100</v>
      </c>
      <c r="S2025" s="2" t="s">
        <v>100</v>
      </c>
      <c r="T2025" s="2" t="s">
        <v>100</v>
      </c>
      <c r="U2025" s="2" t="s">
        <v>1776</v>
      </c>
      <c r="V2025" s="2" t="s">
        <v>3412</v>
      </c>
      <c r="W2025" s="2" t="s">
        <v>493</v>
      </c>
      <c r="X2025" s="2" t="s">
        <v>100</v>
      </c>
      <c r="Y2025" s="2" t="s">
        <v>4679</v>
      </c>
      <c r="Z2025" s="4">
        <v>15</v>
      </c>
      <c r="AA2025" s="4">
        <f>=ROUNDDOWN(3,0)</f>
      </c>
      <c r="AB2025" s="5">
        <v>5</v>
      </c>
      <c r="AC2025" s="2" t="s">
        <v>2604</v>
      </c>
      <c r="AD2025" s="4">
        <v>160</v>
      </c>
      <c r="AE2025" s="4">
        <v>160</v>
      </c>
      <c r="AF2025" s="6">
        <v>65</v>
      </c>
      <c r="AG2025" s="6"/>
      <c r="AH2025" s="7">
        <v>0.9677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/>
      <c r="BD2025" s="8"/>
      <c r="BE2025" s="4"/>
      <c r="BF2025" s="8"/>
      <c r="BG2025" s="7"/>
      <c r="BH2025" s="7"/>
      <c r="BI2025" s="7"/>
      <c r="BJ2025" s="4">
        <v>41</v>
      </c>
      <c r="BK2025" s="8">
        <v>3551.1</v>
      </c>
      <c r="BL2025" s="2" t="s">
        <v>6821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2551</v>
      </c>
      <c r="BV2025" s="2" t="s">
        <v>97</v>
      </c>
      <c r="BW2025" s="2" t="s">
        <v>100</v>
      </c>
      <c r="BX2025" s="2" t="s">
        <v>100</v>
      </c>
      <c r="BY2025" s="2" t="s">
        <v>112</v>
      </c>
      <c r="BZ2025" s="2" t="s">
        <v>100</v>
      </c>
    </row>
    <row r="2026">
      <c r="A2026" s="2" t="s">
        <v>6973</v>
      </c>
      <c r="B2026" s="2" t="s">
        <v>6747</v>
      </c>
      <c r="C2026" s="2" t="s">
        <v>2831</v>
      </c>
      <c r="D2026" s="2" t="s">
        <v>6949</v>
      </c>
      <c r="E2026" s="2" t="s">
        <v>6970</v>
      </c>
      <c r="F2026" s="2" t="s">
        <v>6771</v>
      </c>
      <c r="G2026" s="2" t="s">
        <v>6771</v>
      </c>
      <c r="H2026" s="2" t="s">
        <v>6771</v>
      </c>
      <c r="I2026" s="2" t="s">
        <v>6970</v>
      </c>
      <c r="J2026" s="2" t="s">
        <v>3385</v>
      </c>
      <c r="K2026" s="2" t="s">
        <v>4488</v>
      </c>
      <c r="L2026" s="3">
        <v>119.7</v>
      </c>
      <c r="M2026" s="3">
        <v>125.68</v>
      </c>
      <c r="N2026" s="3">
        <v>249</v>
      </c>
      <c r="O2026" s="2" t="s">
        <v>97</v>
      </c>
      <c r="P2026" s="2" t="s">
        <v>98</v>
      </c>
      <c r="Q2026" s="2" t="s">
        <v>99</v>
      </c>
      <c r="R2026" s="2" t="s">
        <v>100</v>
      </c>
      <c r="S2026" s="2" t="s">
        <v>6974</v>
      </c>
      <c r="T2026" s="2" t="s">
        <v>100</v>
      </c>
      <c r="U2026" s="2" t="s">
        <v>1776</v>
      </c>
      <c r="V2026" s="2" t="s">
        <v>461</v>
      </c>
      <c r="W2026" s="2" t="s">
        <v>2835</v>
      </c>
      <c r="X2026" s="2" t="s">
        <v>100</v>
      </c>
      <c r="Y2026" s="2" t="s">
        <v>6975</v>
      </c>
      <c r="Z2026" s="4">
        <v>466</v>
      </c>
      <c r="AA2026" s="4">
        <f>=ROUNDDOWN(31.0666666666667,0)</f>
      </c>
      <c r="AB2026" s="5">
        <v>15</v>
      </c>
      <c r="AC2026" s="2" t="s">
        <v>1094</v>
      </c>
      <c r="AD2026" s="4">
        <v>7</v>
      </c>
      <c r="AE2026" s="4">
        <v>7</v>
      </c>
      <c r="AF2026" s="6">
        <v>65</v>
      </c>
      <c r="AG2026" s="6">
        <v>48</v>
      </c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/>
      <c r="BJ2026" s="4">
        <v>52</v>
      </c>
      <c r="BK2026" s="8">
        <v>6764.94</v>
      </c>
      <c r="BL2026" s="2" t="s">
        <v>6976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2551</v>
      </c>
      <c r="BV2026" s="2" t="s">
        <v>97</v>
      </c>
      <c r="BW2026" s="2" t="s">
        <v>100</v>
      </c>
      <c r="BX2026" s="2" t="s">
        <v>100</v>
      </c>
      <c r="BY2026" s="2" t="s">
        <v>112</v>
      </c>
      <c r="BZ2026" s="2" t="s">
        <v>100</v>
      </c>
    </row>
    <row r="2027">
      <c r="A2027" s="2" t="s">
        <v>6977</v>
      </c>
      <c r="B2027" s="2" t="s">
        <v>6747</v>
      </c>
      <c r="C2027" s="2" t="s">
        <v>2831</v>
      </c>
      <c r="D2027" s="2" t="s">
        <v>6949</v>
      </c>
      <c r="E2027" s="2" t="s">
        <v>6970</v>
      </c>
      <c r="F2027" s="2" t="s">
        <v>6771</v>
      </c>
      <c r="G2027" s="2" t="s">
        <v>6771</v>
      </c>
      <c r="H2027" s="2" t="s">
        <v>6771</v>
      </c>
      <c r="I2027" s="2" t="s">
        <v>6970</v>
      </c>
      <c r="J2027" s="2" t="s">
        <v>3385</v>
      </c>
      <c r="K2027" s="2" t="s">
        <v>223</v>
      </c>
      <c r="L2027" s="3">
        <v>119.7</v>
      </c>
      <c r="M2027" s="3">
        <v>125.68</v>
      </c>
      <c r="N2027" s="3">
        <v>249</v>
      </c>
      <c r="O2027" s="2" t="s">
        <v>97</v>
      </c>
      <c r="P2027" s="2" t="s">
        <v>98</v>
      </c>
      <c r="Q2027" s="2" t="s">
        <v>99</v>
      </c>
      <c r="R2027" s="2" t="s">
        <v>100</v>
      </c>
      <c r="S2027" s="2" t="s">
        <v>100</v>
      </c>
      <c r="T2027" s="2" t="s">
        <v>100</v>
      </c>
      <c r="U2027" s="2" t="s">
        <v>1776</v>
      </c>
      <c r="V2027" s="2" t="s">
        <v>461</v>
      </c>
      <c r="W2027" s="2" t="s">
        <v>2835</v>
      </c>
      <c r="X2027" s="2" t="s">
        <v>100</v>
      </c>
      <c r="Y2027" s="2" t="s">
        <v>6978</v>
      </c>
      <c r="Z2027" s="4">
        <v>87</v>
      </c>
      <c r="AA2027" s="4">
        <f>=ROUNDDOWN(12.4285714285714,0)</f>
      </c>
      <c r="AB2027" s="5">
        <v>7</v>
      </c>
      <c r="AC2027" s="2" t="s">
        <v>1094</v>
      </c>
      <c r="AD2027" s="4">
        <v>100</v>
      </c>
      <c r="AE2027" s="4">
        <v>100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/>
      <c r="BJ2027" s="4">
        <v>28</v>
      </c>
      <c r="BK2027" s="8">
        <v>3558.61</v>
      </c>
      <c r="BL2027" s="2" t="s">
        <v>3414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2551</v>
      </c>
      <c r="BV2027" s="2" t="s">
        <v>97</v>
      </c>
      <c r="BW2027" s="2" t="s">
        <v>100</v>
      </c>
      <c r="BX2027" s="2" t="s">
        <v>100</v>
      </c>
      <c r="BY2027" s="2" t="s">
        <v>112</v>
      </c>
      <c r="BZ2027" s="2" t="s">
        <v>100</v>
      </c>
    </row>
    <row r="2028">
      <c r="A2028" s="2" t="s">
        <v>6979</v>
      </c>
      <c r="B2028" s="2" t="s">
        <v>6747</v>
      </c>
      <c r="C2028" s="2" t="s">
        <v>2831</v>
      </c>
      <c r="D2028" s="2" t="s">
        <v>6949</v>
      </c>
      <c r="E2028" s="2" t="s">
        <v>6970</v>
      </c>
      <c r="F2028" s="2" t="s">
        <v>6808</v>
      </c>
      <c r="G2028" s="2" t="s">
        <v>6808</v>
      </c>
      <c r="H2028" s="2" t="s">
        <v>6808</v>
      </c>
      <c r="I2028" s="2" t="s">
        <v>6970</v>
      </c>
      <c r="J2028" s="2" t="s">
        <v>3385</v>
      </c>
      <c r="K2028" s="2" t="s">
        <v>4488</v>
      </c>
      <c r="L2028" s="3">
        <v>133</v>
      </c>
      <c r="M2028" s="3">
        <v>139.65</v>
      </c>
      <c r="N2028" s="3">
        <v>279</v>
      </c>
      <c r="O2028" s="2" t="s">
        <v>97</v>
      </c>
      <c r="P2028" s="2" t="s">
        <v>123</v>
      </c>
      <c r="Q2028" s="2" t="s">
        <v>99</v>
      </c>
      <c r="R2028" s="2" t="s">
        <v>100</v>
      </c>
      <c r="S2028" s="2" t="s">
        <v>6980</v>
      </c>
      <c r="T2028" s="2" t="s">
        <v>100</v>
      </c>
      <c r="U2028" s="2" t="s">
        <v>100</v>
      </c>
      <c r="V2028" s="2" t="s">
        <v>461</v>
      </c>
      <c r="W2028" s="2" t="s">
        <v>142</v>
      </c>
      <c r="X2028" s="2" t="s">
        <v>100</v>
      </c>
      <c r="Y2028" s="2" t="s">
        <v>144</v>
      </c>
      <c r="Z2028" s="4">
        <v>450</v>
      </c>
      <c r="AA2028" s="4">
        <f>=ROUNDDOWN(23.6842105263158,0)</f>
      </c>
      <c r="AB2028" s="5">
        <v>19</v>
      </c>
      <c r="AC2028" s="2" t="s">
        <v>2772</v>
      </c>
      <c r="AD2028" s="4">
        <v>150</v>
      </c>
      <c r="AE2028" s="4">
        <v>330</v>
      </c>
      <c r="AF2028" s="6">
        <v>65</v>
      </c>
      <c r="AG2028" s="6">
        <v>48</v>
      </c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/>
      <c r="BD2028" s="8"/>
      <c r="BE2028" s="4"/>
      <c r="BF2028" s="8"/>
      <c r="BG2028" s="7"/>
      <c r="BH2028" s="7"/>
      <c r="BI2028" s="7"/>
      <c r="BJ2028" s="4">
        <v>77</v>
      </c>
      <c r="BK2028" s="8">
        <v>9638.62</v>
      </c>
      <c r="BL2028" s="2" t="s">
        <v>6981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2551</v>
      </c>
      <c r="BV2028" s="2" t="s">
        <v>97</v>
      </c>
      <c r="BW2028" s="2" t="s">
        <v>100</v>
      </c>
      <c r="BX2028" s="2" t="s">
        <v>100</v>
      </c>
      <c r="BY2028" s="2" t="s">
        <v>112</v>
      </c>
      <c r="BZ2028" s="2" t="s">
        <v>100</v>
      </c>
    </row>
    <row r="2029">
      <c r="A2029" s="2" t="s">
        <v>6982</v>
      </c>
      <c r="B2029" s="2" t="s">
        <v>6747</v>
      </c>
      <c r="C2029" s="2" t="s">
        <v>2831</v>
      </c>
      <c r="D2029" s="2" t="s">
        <v>6949</v>
      </c>
      <c r="E2029" s="2" t="s">
        <v>6970</v>
      </c>
      <c r="F2029" s="2" t="s">
        <v>6965</v>
      </c>
      <c r="G2029" s="2" t="s">
        <v>6965</v>
      </c>
      <c r="H2029" s="2" t="s">
        <v>100</v>
      </c>
      <c r="I2029" s="2" t="s">
        <v>6983</v>
      </c>
      <c r="J2029" s="2" t="s">
        <v>3385</v>
      </c>
      <c r="K2029" s="2" t="s">
        <v>1026</v>
      </c>
      <c r="L2029" s="3">
        <v>118.75</v>
      </c>
      <c r="M2029" s="3">
        <v>124.69</v>
      </c>
      <c r="N2029" s="3">
        <v>249</v>
      </c>
      <c r="O2029" s="2" t="s">
        <v>97</v>
      </c>
      <c r="P2029" s="2" t="s">
        <v>123</v>
      </c>
      <c r="Q2029" s="2" t="s">
        <v>99</v>
      </c>
      <c r="R2029" s="2" t="s">
        <v>100</v>
      </c>
      <c r="S2029" s="2" t="s">
        <v>6984</v>
      </c>
      <c r="T2029" s="2" t="s">
        <v>100</v>
      </c>
      <c r="U2029" s="2" t="s">
        <v>100</v>
      </c>
      <c r="V2029" s="2" t="s">
        <v>461</v>
      </c>
      <c r="W2029" s="2" t="s">
        <v>3394</v>
      </c>
      <c r="X2029" s="2" t="s">
        <v>100</v>
      </c>
      <c r="Y2029" s="2" t="s">
        <v>144</v>
      </c>
      <c r="Z2029" s="4">
        <v>287</v>
      </c>
      <c r="AA2029" s="4">
        <f>=ROUNDDOWN(11.9583333333333,0)</f>
      </c>
      <c r="AB2029" s="5">
        <v>24</v>
      </c>
      <c r="AC2029" s="2" t="s">
        <v>262</v>
      </c>
      <c r="AD2029" s="4">
        <v>40</v>
      </c>
      <c r="AE2029" s="4">
        <v>400</v>
      </c>
      <c r="AF2029" s="6">
        <v>74</v>
      </c>
      <c r="AG2029" s="6">
        <v>60</v>
      </c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/>
      <c r="BJ2029" s="4">
        <v>80</v>
      </c>
      <c r="BK2029" s="8">
        <v>8116.47</v>
      </c>
      <c r="BL2029" s="2" t="s">
        <v>6985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2551</v>
      </c>
      <c r="BV2029" s="2" t="s">
        <v>97</v>
      </c>
      <c r="BW2029" s="2" t="s">
        <v>100</v>
      </c>
      <c r="BX2029" s="2" t="s">
        <v>100</v>
      </c>
      <c r="BY2029" s="2" t="s">
        <v>112</v>
      </c>
      <c r="BZ2029" s="2" t="s">
        <v>100</v>
      </c>
    </row>
    <row r="2030">
      <c r="A2030" s="2" t="s">
        <v>6986</v>
      </c>
      <c r="B2030" s="2" t="s">
        <v>6747</v>
      </c>
      <c r="C2030" s="2" t="s">
        <v>2831</v>
      </c>
      <c r="D2030" s="2" t="s">
        <v>6949</v>
      </c>
      <c r="E2030" s="2" t="s">
        <v>6970</v>
      </c>
      <c r="F2030" s="2" t="s">
        <v>6965</v>
      </c>
      <c r="G2030" s="2" t="s">
        <v>6965</v>
      </c>
      <c r="H2030" s="2" t="s">
        <v>6965</v>
      </c>
      <c r="I2030" s="2" t="s">
        <v>6983</v>
      </c>
      <c r="J2030" s="2" t="s">
        <v>3385</v>
      </c>
      <c r="K2030" s="2" t="s">
        <v>6987</v>
      </c>
      <c r="L2030" s="3">
        <v>118.75</v>
      </c>
      <c r="M2030" s="3">
        <v>124.69</v>
      </c>
      <c r="N2030" s="3">
        <v>249</v>
      </c>
      <c r="O2030" s="2" t="s">
        <v>97</v>
      </c>
      <c r="P2030" s="2" t="s">
        <v>98</v>
      </c>
      <c r="Q2030" s="2" t="s">
        <v>99</v>
      </c>
      <c r="R2030" s="2" t="s">
        <v>100</v>
      </c>
      <c r="S2030" s="2" t="s">
        <v>100</v>
      </c>
      <c r="T2030" s="2" t="s">
        <v>100</v>
      </c>
      <c r="U2030" s="2" t="s">
        <v>1776</v>
      </c>
      <c r="V2030" s="2" t="s">
        <v>461</v>
      </c>
      <c r="W2030" s="2" t="s">
        <v>3394</v>
      </c>
      <c r="X2030" s="2" t="s">
        <v>493</v>
      </c>
      <c r="Y2030" s="2" t="s">
        <v>6988</v>
      </c>
      <c r="Z2030" s="4">
        <v>249</v>
      </c>
      <c r="AA2030" s="4">
        <f>=ROUNDDOWN(46.1111111111111,0)</f>
      </c>
      <c r="AB2030" s="5">
        <v>5.4</v>
      </c>
      <c r="AC2030" s="2" t="s">
        <v>100</v>
      </c>
      <c r="AD2030" s="4"/>
      <c r="AE2030" s="4"/>
      <c r="AF2030" s="6">
        <v>74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/>
      <c r="BJ2030" s="4">
        <v>10</v>
      </c>
      <c r="BK2030" s="8">
        <v>1371.42</v>
      </c>
      <c r="BL2030" s="2" t="s">
        <v>6989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2551</v>
      </c>
      <c r="BV2030" s="2" t="s">
        <v>97</v>
      </c>
      <c r="BW2030" s="2" t="s">
        <v>100</v>
      </c>
      <c r="BX2030" s="2" t="s">
        <v>100</v>
      </c>
      <c r="BY2030" s="2" t="s">
        <v>112</v>
      </c>
      <c r="BZ2030" s="2" t="s">
        <v>100</v>
      </c>
    </row>
    <row r="2031">
      <c r="A2031" s="2" t="s">
        <v>6990</v>
      </c>
      <c r="B2031" s="2" t="s">
        <v>6747</v>
      </c>
      <c r="C2031" s="2" t="s">
        <v>2831</v>
      </c>
      <c r="D2031" s="2" t="s">
        <v>6949</v>
      </c>
      <c r="E2031" s="2" t="s">
        <v>6970</v>
      </c>
      <c r="F2031" s="2" t="s">
        <v>1196</v>
      </c>
      <c r="G2031" s="2" t="s">
        <v>1196</v>
      </c>
      <c r="H2031" s="2" t="s">
        <v>1196</v>
      </c>
      <c r="I2031" s="2" t="s">
        <v>6991</v>
      </c>
      <c r="J2031" s="2" t="s">
        <v>3385</v>
      </c>
      <c r="K2031" s="2" t="s">
        <v>1373</v>
      </c>
      <c r="L2031" s="3">
        <v>66.5</v>
      </c>
      <c r="M2031" s="3">
        <v>69.82</v>
      </c>
      <c r="N2031" s="3">
        <v>139</v>
      </c>
      <c r="O2031" s="2" t="s">
        <v>97</v>
      </c>
      <c r="P2031" s="2" t="s">
        <v>98</v>
      </c>
      <c r="Q2031" s="2" t="s">
        <v>99</v>
      </c>
      <c r="R2031" s="2" t="s">
        <v>100</v>
      </c>
      <c r="S2031" s="2" t="s">
        <v>100</v>
      </c>
      <c r="T2031" s="2" t="s">
        <v>100</v>
      </c>
      <c r="U2031" s="2" t="s">
        <v>1776</v>
      </c>
      <c r="V2031" s="2" t="s">
        <v>3412</v>
      </c>
      <c r="W2031" s="2" t="s">
        <v>493</v>
      </c>
      <c r="X2031" s="2" t="s">
        <v>100</v>
      </c>
      <c r="Y2031" s="2" t="s">
        <v>6992</v>
      </c>
      <c r="Z2031" s="4">
        <v>470</v>
      </c>
      <c r="AA2031" s="4">
        <f>=ROUNDDOWN(39.1666666666667,0)</f>
      </c>
      <c r="AB2031" s="5">
        <v>12</v>
      </c>
      <c r="AC2031" s="2" t="s">
        <v>2604</v>
      </c>
      <c r="AD2031" s="4">
        <v>130</v>
      </c>
      <c r="AE2031" s="4">
        <v>130</v>
      </c>
      <c r="AF2031" s="6">
        <v>66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/>
      <c r="BD2031" s="8"/>
      <c r="BE2031" s="4"/>
      <c r="BF2031" s="8"/>
      <c r="BG2031" s="7"/>
      <c r="BH2031" s="7"/>
      <c r="BI2031" s="7"/>
      <c r="BJ2031" s="4">
        <v>21</v>
      </c>
      <c r="BK2031" s="8">
        <v>1483.74</v>
      </c>
      <c r="BL2031" s="2" t="s">
        <v>6993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2551</v>
      </c>
      <c r="BV2031" s="2" t="s">
        <v>97</v>
      </c>
      <c r="BW2031" s="2" t="s">
        <v>100</v>
      </c>
      <c r="BX2031" s="2" t="s">
        <v>100</v>
      </c>
      <c r="BY2031" s="2" t="s">
        <v>112</v>
      </c>
      <c r="BZ2031" s="2" t="s">
        <v>100</v>
      </c>
    </row>
    <row r="2032">
      <c r="A2032" s="2" t="s">
        <v>6994</v>
      </c>
      <c r="B2032" s="2" t="s">
        <v>6747</v>
      </c>
      <c r="C2032" s="2" t="s">
        <v>2831</v>
      </c>
      <c r="D2032" s="2" t="s">
        <v>6949</v>
      </c>
      <c r="E2032" s="2" t="s">
        <v>6970</v>
      </c>
      <c r="F2032" s="2" t="s">
        <v>6959</v>
      </c>
      <c r="G2032" s="2" t="s">
        <v>6959</v>
      </c>
      <c r="H2032" s="2" t="s">
        <v>6959</v>
      </c>
      <c r="I2032" s="2" t="s">
        <v>6995</v>
      </c>
      <c r="J2032" s="2" t="s">
        <v>3385</v>
      </c>
      <c r="K2032" s="2" t="s">
        <v>6996</v>
      </c>
      <c r="L2032" s="3">
        <v>80.75</v>
      </c>
      <c r="M2032" s="3">
        <v>84.79</v>
      </c>
      <c r="N2032" s="3">
        <v>169</v>
      </c>
      <c r="O2032" s="2" t="s">
        <v>97</v>
      </c>
      <c r="P2032" s="2" t="s">
        <v>98</v>
      </c>
      <c r="Q2032" s="2" t="s">
        <v>99</v>
      </c>
      <c r="R2032" s="2" t="s">
        <v>100</v>
      </c>
      <c r="S2032" s="2" t="s">
        <v>100</v>
      </c>
      <c r="T2032" s="2" t="s">
        <v>100</v>
      </c>
      <c r="U2032" s="2" t="s">
        <v>1776</v>
      </c>
      <c r="V2032" s="2" t="s">
        <v>461</v>
      </c>
      <c r="W2032" s="2" t="s">
        <v>3394</v>
      </c>
      <c r="X2032" s="2" t="s">
        <v>100</v>
      </c>
      <c r="Y2032" s="2" t="s">
        <v>882</v>
      </c>
      <c r="Z2032" s="4">
        <v>287</v>
      </c>
      <c r="AA2032" s="4">
        <f>=ROUNDDOWN(13.0454545454545,0)</f>
      </c>
      <c r="AB2032" s="5">
        <v>22</v>
      </c>
      <c r="AC2032" s="2" t="s">
        <v>2843</v>
      </c>
      <c r="AD2032" s="4">
        <v>360</v>
      </c>
      <c r="AE2032" s="4">
        <v>360</v>
      </c>
      <c r="AF2032" s="6">
        <v>74</v>
      </c>
      <c r="AG2032" s="6">
        <v>60</v>
      </c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7"/>
      <c r="BC2032" s="4"/>
      <c r="BD2032" s="8"/>
      <c r="BE2032" s="4"/>
      <c r="BF2032" s="8"/>
      <c r="BG2032" s="7"/>
      <c r="BH2032" s="7"/>
      <c r="BI2032" s="7"/>
      <c r="BJ2032" s="4">
        <v>45</v>
      </c>
      <c r="BK2032" s="8">
        <v>3806.82</v>
      </c>
      <c r="BL2032" s="2" t="s">
        <v>2807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2551</v>
      </c>
      <c r="BV2032" s="2" t="s">
        <v>97</v>
      </c>
      <c r="BW2032" s="2" t="s">
        <v>100</v>
      </c>
      <c r="BX2032" s="2" t="s">
        <v>100</v>
      </c>
      <c r="BY2032" s="2" t="s">
        <v>112</v>
      </c>
      <c r="BZ2032" s="2" t="s">
        <v>100</v>
      </c>
    </row>
    <row r="2033">
      <c r="A2033" s="2" t="s">
        <v>6997</v>
      </c>
      <c r="B2033" s="2" t="s">
        <v>6747</v>
      </c>
      <c r="C2033" s="2" t="s">
        <v>2831</v>
      </c>
      <c r="D2033" s="2" t="s">
        <v>6949</v>
      </c>
      <c r="E2033" s="2" t="s">
        <v>6970</v>
      </c>
      <c r="F2033" s="2" t="s">
        <v>6791</v>
      </c>
      <c r="G2033" s="2" t="s">
        <v>6791</v>
      </c>
      <c r="H2033" s="2" t="s">
        <v>6791</v>
      </c>
      <c r="I2033" s="2" t="s">
        <v>6998</v>
      </c>
      <c r="J2033" s="2" t="s">
        <v>3385</v>
      </c>
      <c r="K2033" s="2" t="s">
        <v>138</v>
      </c>
      <c r="L2033" s="3">
        <v>131.75</v>
      </c>
      <c r="M2033" s="3">
        <v>138.34</v>
      </c>
      <c r="N2033" s="3">
        <v>279</v>
      </c>
      <c r="O2033" s="2" t="s">
        <v>97</v>
      </c>
      <c r="P2033" s="2" t="s">
        <v>98</v>
      </c>
      <c r="Q2033" s="2" t="s">
        <v>99</v>
      </c>
      <c r="R2033" s="2" t="s">
        <v>100</v>
      </c>
      <c r="S2033" s="2" t="s">
        <v>100</v>
      </c>
      <c r="T2033" s="2" t="s">
        <v>100</v>
      </c>
      <c r="U2033" s="2" t="s">
        <v>1776</v>
      </c>
      <c r="V2033" s="2" t="s">
        <v>3412</v>
      </c>
      <c r="W2033" s="2" t="s">
        <v>609</v>
      </c>
      <c r="X2033" s="2" t="s">
        <v>2835</v>
      </c>
      <c r="Y2033" s="2" t="s">
        <v>6793</v>
      </c>
      <c r="Z2033" s="4">
        <v>124</v>
      </c>
      <c r="AA2033" s="4">
        <f>=ROUNDDOWN(7.29411764705882,0)</f>
      </c>
      <c r="AB2033" s="5">
        <v>17</v>
      </c>
      <c r="AC2033" s="2" t="s">
        <v>3343</v>
      </c>
      <c r="AD2033" s="4">
        <v>100</v>
      </c>
      <c r="AE2033" s="4">
        <v>550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/>
      <c r="BD2033" s="8"/>
      <c r="BE2033" s="4"/>
      <c r="BF2033" s="8"/>
      <c r="BG2033" s="7"/>
      <c r="BH2033" s="7"/>
      <c r="BI2033" s="7"/>
      <c r="BJ2033" s="4">
        <v>56</v>
      </c>
      <c r="BK2033" s="8">
        <v>7647.26</v>
      </c>
      <c r="BL2033" s="2" t="s">
        <v>2807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2551</v>
      </c>
      <c r="BV2033" s="2" t="s">
        <v>97</v>
      </c>
      <c r="BW2033" s="2" t="s">
        <v>100</v>
      </c>
      <c r="BX2033" s="2" t="s">
        <v>100</v>
      </c>
      <c r="BY2033" s="2" t="s">
        <v>112</v>
      </c>
      <c r="BZ2033" s="2" t="s">
        <v>100</v>
      </c>
    </row>
    <row r="2034">
      <c r="A2034" s="2" t="s">
        <v>6999</v>
      </c>
      <c r="B2034" s="2" t="s">
        <v>6747</v>
      </c>
      <c r="C2034" s="2" t="s">
        <v>2831</v>
      </c>
      <c r="D2034" s="2" t="s">
        <v>6949</v>
      </c>
      <c r="E2034" s="2" t="s">
        <v>6970</v>
      </c>
      <c r="F2034" s="2" t="s">
        <v>7000</v>
      </c>
      <c r="G2034" s="2" t="s">
        <v>7000</v>
      </c>
      <c r="H2034" s="2" t="s">
        <v>7000</v>
      </c>
      <c r="I2034" s="2" t="s">
        <v>7001</v>
      </c>
      <c r="J2034" s="2" t="s">
        <v>3385</v>
      </c>
      <c r="K2034" s="2" t="s">
        <v>165</v>
      </c>
      <c r="L2034" s="3">
        <v>114</v>
      </c>
      <c r="M2034" s="3">
        <v>119.7</v>
      </c>
      <c r="N2034" s="3">
        <v>239</v>
      </c>
      <c r="O2034" s="2" t="s">
        <v>97</v>
      </c>
      <c r="P2034" s="2" t="s">
        <v>98</v>
      </c>
      <c r="Q2034" s="2" t="s">
        <v>99</v>
      </c>
      <c r="R2034" s="2" t="s">
        <v>100</v>
      </c>
      <c r="S2034" s="2" t="s">
        <v>7002</v>
      </c>
      <c r="T2034" s="2" t="s">
        <v>100</v>
      </c>
      <c r="U2034" s="2" t="s">
        <v>100</v>
      </c>
      <c r="V2034" s="2" t="s">
        <v>461</v>
      </c>
      <c r="W2034" s="2" t="s">
        <v>3394</v>
      </c>
      <c r="X2034" s="2" t="s">
        <v>100</v>
      </c>
      <c r="Y2034" s="2" t="s">
        <v>7003</v>
      </c>
      <c r="Z2034" s="4">
        <v>31</v>
      </c>
      <c r="AA2034" s="4">
        <f>=ROUNDDOWN(5.16666666666667,0)</f>
      </c>
      <c r="AB2034" s="5">
        <v>6</v>
      </c>
      <c r="AC2034" s="2" t="s">
        <v>1238</v>
      </c>
      <c r="AD2034" s="4">
        <v>180</v>
      </c>
      <c r="AE2034" s="4">
        <v>180</v>
      </c>
      <c r="AF2034" s="6">
        <v>76</v>
      </c>
      <c r="AG2034" s="6">
        <v>62</v>
      </c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/>
      <c r="BJ2034" s="4">
        <v>16</v>
      </c>
      <c r="BK2034" s="8">
        <v>1557.2</v>
      </c>
      <c r="BL2034" s="2" t="s">
        <v>6840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2551</v>
      </c>
      <c r="BV2034" s="2" t="s">
        <v>97</v>
      </c>
      <c r="BW2034" s="2" t="s">
        <v>100</v>
      </c>
      <c r="BX2034" s="2" t="s">
        <v>100</v>
      </c>
      <c r="BY2034" s="2" t="s">
        <v>112</v>
      </c>
      <c r="BZ2034" s="2" t="s">
        <v>100</v>
      </c>
    </row>
    <row r="2035">
      <c r="A2035" s="2" t="s">
        <v>7004</v>
      </c>
      <c r="B2035" s="2" t="s">
        <v>6747</v>
      </c>
      <c r="C2035" s="2" t="s">
        <v>2831</v>
      </c>
      <c r="D2035" s="2" t="s">
        <v>6949</v>
      </c>
      <c r="E2035" s="2" t="s">
        <v>6970</v>
      </c>
      <c r="F2035" s="2" t="s">
        <v>7000</v>
      </c>
      <c r="G2035" s="2" t="s">
        <v>7000</v>
      </c>
      <c r="H2035" s="2" t="s">
        <v>100</v>
      </c>
      <c r="I2035" s="2" t="s">
        <v>7001</v>
      </c>
      <c r="J2035" s="2" t="s">
        <v>3385</v>
      </c>
      <c r="K2035" s="2" t="s">
        <v>96</v>
      </c>
      <c r="L2035" s="3">
        <v>114</v>
      </c>
      <c r="M2035" s="3">
        <v>119.7</v>
      </c>
      <c r="N2035" s="3">
        <v>239</v>
      </c>
      <c r="O2035" s="2" t="s">
        <v>97</v>
      </c>
      <c r="P2035" s="2" t="s">
        <v>98</v>
      </c>
      <c r="Q2035" s="2" t="s">
        <v>99</v>
      </c>
      <c r="R2035" s="2" t="s">
        <v>100</v>
      </c>
      <c r="S2035" s="2" t="s">
        <v>7005</v>
      </c>
      <c r="T2035" s="2" t="s">
        <v>100</v>
      </c>
      <c r="U2035" s="2" t="s">
        <v>100</v>
      </c>
      <c r="V2035" s="2" t="s">
        <v>461</v>
      </c>
      <c r="W2035" s="2" t="s">
        <v>3394</v>
      </c>
      <c r="X2035" s="2" t="s">
        <v>100</v>
      </c>
      <c r="Y2035" s="2" t="s">
        <v>144</v>
      </c>
      <c r="Z2035" s="4">
        <v>109</v>
      </c>
      <c r="AA2035" s="4">
        <f>=ROUNDDOWN(9.08333333333333,0)</f>
      </c>
      <c r="AB2035" s="5">
        <v>12</v>
      </c>
      <c r="AC2035" s="2" t="s">
        <v>1238</v>
      </c>
      <c r="AD2035" s="4">
        <v>390</v>
      </c>
      <c r="AE2035" s="4">
        <v>390</v>
      </c>
      <c r="AF2035" s="6">
        <v>76</v>
      </c>
      <c r="AG2035" s="6">
        <v>62</v>
      </c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/>
      <c r="BJ2035" s="4">
        <v>28</v>
      </c>
      <c r="BK2035" s="8">
        <v>3430.39</v>
      </c>
      <c r="BL2035" s="2" t="s">
        <v>3414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2551</v>
      </c>
      <c r="BV2035" s="2" t="s">
        <v>97</v>
      </c>
      <c r="BW2035" s="2" t="s">
        <v>100</v>
      </c>
      <c r="BX2035" s="2" t="s">
        <v>100</v>
      </c>
      <c r="BY2035" s="2" t="s">
        <v>112</v>
      </c>
      <c r="BZ2035" s="2" t="s">
        <v>100</v>
      </c>
    </row>
    <row r="2036">
      <c r="A2036" s="2" t="s">
        <v>7006</v>
      </c>
      <c r="B2036" s="2" t="s">
        <v>6747</v>
      </c>
      <c r="C2036" s="2" t="s">
        <v>2831</v>
      </c>
      <c r="D2036" s="2" t="s">
        <v>6949</v>
      </c>
      <c r="E2036" s="2" t="s">
        <v>6970</v>
      </c>
      <c r="F2036" s="2" t="s">
        <v>7007</v>
      </c>
      <c r="G2036" s="2" t="s">
        <v>100</v>
      </c>
      <c r="H2036" s="2" t="s">
        <v>100</v>
      </c>
      <c r="I2036" s="2" t="s">
        <v>6970</v>
      </c>
      <c r="J2036" s="2" t="s">
        <v>3385</v>
      </c>
      <c r="K2036" s="2" t="s">
        <v>7008</v>
      </c>
      <c r="L2036" s="3">
        <v>75</v>
      </c>
      <c r="M2036" s="3">
        <v>78.75</v>
      </c>
      <c r="N2036" s="3">
        <v>159</v>
      </c>
      <c r="O2036" s="2" t="s">
        <v>97</v>
      </c>
      <c r="P2036" s="2" t="s">
        <v>98</v>
      </c>
      <c r="Q2036" s="2" t="s">
        <v>99</v>
      </c>
      <c r="R2036" s="2" t="s">
        <v>100</v>
      </c>
      <c r="S2036" s="2" t="s">
        <v>7009</v>
      </c>
      <c r="T2036" s="2" t="s">
        <v>100</v>
      </c>
      <c r="U2036" s="2" t="s">
        <v>100</v>
      </c>
      <c r="V2036" s="2" t="s">
        <v>461</v>
      </c>
      <c r="W2036" s="2" t="s">
        <v>3394</v>
      </c>
      <c r="X2036" s="2" t="s">
        <v>100</v>
      </c>
      <c r="Y2036" s="2" t="s">
        <v>4549</v>
      </c>
      <c r="Z2036" s="4">
        <v>179</v>
      </c>
      <c r="AA2036" s="4">
        <f>=ROUNDDOWN(16.2727272727273,0)</f>
      </c>
      <c r="AB2036" s="5">
        <v>11</v>
      </c>
      <c r="AC2036" s="2" t="s">
        <v>1468</v>
      </c>
      <c r="AD2036" s="4">
        <v>150</v>
      </c>
      <c r="AE2036" s="4">
        <v>150</v>
      </c>
      <c r="AF2036" s="6">
        <v>74</v>
      </c>
      <c r="AG2036" s="6">
        <v>60</v>
      </c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/>
      <c r="BD2036" s="8"/>
      <c r="BE2036" s="4"/>
      <c r="BF2036" s="8"/>
      <c r="BG2036" s="7"/>
      <c r="BH2036" s="7"/>
      <c r="BI2036" s="7"/>
      <c r="BJ2036" s="4">
        <v>23</v>
      </c>
      <c r="BK2036" s="8">
        <v>1656.07</v>
      </c>
      <c r="BL2036" s="2" t="s">
        <v>7010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2551</v>
      </c>
      <c r="BV2036" s="2" t="s">
        <v>97</v>
      </c>
      <c r="BW2036" s="2" t="s">
        <v>100</v>
      </c>
      <c r="BX2036" s="2" t="s">
        <v>100</v>
      </c>
      <c r="BY2036" s="2" t="s">
        <v>112</v>
      </c>
      <c r="BZ2036" s="2" t="s">
        <v>100</v>
      </c>
    </row>
    <row r="2037">
      <c r="A2037" s="2" t="s">
        <v>7011</v>
      </c>
      <c r="B2037" s="2" t="s">
        <v>6747</v>
      </c>
      <c r="C2037" s="2" t="s">
        <v>2831</v>
      </c>
      <c r="D2037" s="2" t="s">
        <v>7012</v>
      </c>
      <c r="E2037" s="2" t="s">
        <v>7013</v>
      </c>
      <c r="F2037" s="2" t="s">
        <v>7014</v>
      </c>
      <c r="G2037" s="2" t="s">
        <v>100</v>
      </c>
      <c r="H2037" s="2" t="s">
        <v>100</v>
      </c>
      <c r="I2037" s="2" t="s">
        <v>7015</v>
      </c>
      <c r="J2037" s="2" t="s">
        <v>95</v>
      </c>
      <c r="K2037" s="2" t="s">
        <v>6935</v>
      </c>
      <c r="L2037" s="3">
        <v>521.98</v>
      </c>
      <c r="M2037" s="3">
        <v>548.08</v>
      </c>
      <c r="N2037" s="3">
        <v>1099</v>
      </c>
      <c r="O2037" s="2" t="s">
        <v>97</v>
      </c>
      <c r="P2037" s="2" t="s">
        <v>98</v>
      </c>
      <c r="Q2037" s="2" t="s">
        <v>99</v>
      </c>
      <c r="R2037" s="2" t="s">
        <v>100</v>
      </c>
      <c r="S2037" s="2" t="s">
        <v>7016</v>
      </c>
      <c r="T2037" s="2" t="s">
        <v>100</v>
      </c>
      <c r="U2037" s="2" t="s">
        <v>100</v>
      </c>
      <c r="V2037" s="2" t="s">
        <v>461</v>
      </c>
      <c r="W2037" s="2" t="s">
        <v>2835</v>
      </c>
      <c r="X2037" s="2" t="s">
        <v>100</v>
      </c>
      <c r="Y2037" s="2" t="s">
        <v>144</v>
      </c>
      <c r="Z2037" s="4">
        <v>98</v>
      </c>
      <c r="AA2037" s="4">
        <f>=ROUNDDOWN(24.5,0)</f>
      </c>
      <c r="AB2037" s="5">
        <v>4</v>
      </c>
      <c r="AC2037" s="2" t="s">
        <v>7017</v>
      </c>
      <c r="AD2037" s="4">
        <v>40</v>
      </c>
      <c r="AE2037" s="4">
        <v>100</v>
      </c>
      <c r="AF2037" s="6">
        <v>74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/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/>
      <c r="BJ2037" s="4">
        <v>8</v>
      </c>
      <c r="BK2037" s="8">
        <v>4140.9</v>
      </c>
      <c r="BL2037" s="2" t="s">
        <v>2807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2551</v>
      </c>
      <c r="BV2037" s="2" t="s">
        <v>97</v>
      </c>
      <c r="BW2037" s="2" t="s">
        <v>100</v>
      </c>
      <c r="BX2037" s="2" t="s">
        <v>100</v>
      </c>
      <c r="BY2037" s="2" t="s">
        <v>112</v>
      </c>
      <c r="BZ2037" s="2" t="s">
        <v>100</v>
      </c>
    </row>
    <row r="2038">
      <c r="A2038" s="2" t="s">
        <v>7018</v>
      </c>
      <c r="B2038" s="2" t="s">
        <v>6747</v>
      </c>
      <c r="C2038" s="2" t="s">
        <v>2831</v>
      </c>
      <c r="D2038" s="2" t="s">
        <v>7012</v>
      </c>
      <c r="E2038" s="2" t="s">
        <v>7013</v>
      </c>
      <c r="F2038" s="2" t="s">
        <v>7014</v>
      </c>
      <c r="G2038" s="2" t="s">
        <v>100</v>
      </c>
      <c r="H2038" s="2" t="s">
        <v>100</v>
      </c>
      <c r="I2038" s="2" t="s">
        <v>7015</v>
      </c>
      <c r="J2038" s="2" t="s">
        <v>114</v>
      </c>
      <c r="K2038" s="2" t="s">
        <v>6935</v>
      </c>
      <c r="L2038" s="3">
        <v>574.7</v>
      </c>
      <c r="M2038" s="3">
        <v>603.44</v>
      </c>
      <c r="N2038" s="3">
        <v>1199</v>
      </c>
      <c r="O2038" s="2" t="s">
        <v>97</v>
      </c>
      <c r="P2038" s="2" t="s">
        <v>98</v>
      </c>
      <c r="Q2038" s="2" t="s">
        <v>99</v>
      </c>
      <c r="R2038" s="2" t="s">
        <v>100</v>
      </c>
      <c r="S2038" s="2" t="s">
        <v>7016</v>
      </c>
      <c r="T2038" s="2" t="s">
        <v>100</v>
      </c>
      <c r="U2038" s="2" t="s">
        <v>100</v>
      </c>
      <c r="V2038" s="2" t="s">
        <v>461</v>
      </c>
      <c r="W2038" s="2" t="s">
        <v>2835</v>
      </c>
      <c r="X2038" s="2" t="s">
        <v>100</v>
      </c>
      <c r="Y2038" s="2" t="s">
        <v>7019</v>
      </c>
      <c r="Z2038" s="4">
        <v>116</v>
      </c>
      <c r="AA2038" s="4">
        <f>=ROUNDDOWN(29,0)</f>
      </c>
      <c r="AB2038" s="5">
        <v>4</v>
      </c>
      <c r="AC2038" s="2" t="s">
        <v>6946</v>
      </c>
      <c r="AD2038" s="4">
        <v>125</v>
      </c>
      <c r="AE2038" s="4">
        <v>140</v>
      </c>
      <c r="AF2038" s="6">
        <v>74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 t="s">
        <v>100</v>
      </c>
      <c r="AW2038" s="8" t="s">
        <v>100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/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/>
      <c r="BJ2038" s="4">
        <v>12</v>
      </c>
      <c r="BK2038" s="8">
        <v>7040.09</v>
      </c>
      <c r="BL2038" s="2" t="s">
        <v>2807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2551</v>
      </c>
      <c r="BV2038" s="2" t="s">
        <v>97</v>
      </c>
      <c r="BW2038" s="2" t="s">
        <v>100</v>
      </c>
      <c r="BX2038" s="2" t="s">
        <v>100</v>
      </c>
      <c r="BY2038" s="2" t="s">
        <v>112</v>
      </c>
      <c r="BZ2038" s="2" t="s">
        <v>100</v>
      </c>
    </row>
    <row r="2039">
      <c r="A2039" s="2" t="s">
        <v>7020</v>
      </c>
      <c r="B2039" s="2" t="s">
        <v>6747</v>
      </c>
      <c r="C2039" s="2" t="s">
        <v>2831</v>
      </c>
      <c r="D2039" s="2" t="s">
        <v>7012</v>
      </c>
      <c r="E2039" s="2" t="s">
        <v>7013</v>
      </c>
      <c r="F2039" s="2" t="s">
        <v>7021</v>
      </c>
      <c r="G2039" s="2" t="s">
        <v>7021</v>
      </c>
      <c r="H2039" s="2" t="s">
        <v>7021</v>
      </c>
      <c r="I2039" s="2" t="s">
        <v>7022</v>
      </c>
      <c r="J2039" s="2" t="s">
        <v>95</v>
      </c>
      <c r="K2039" s="2" t="s">
        <v>138</v>
      </c>
      <c r="L2039" s="3">
        <v>390</v>
      </c>
      <c r="M2039" s="3">
        <v>409.5</v>
      </c>
      <c r="N2039" s="3">
        <v>829</v>
      </c>
      <c r="O2039" s="2" t="s">
        <v>97</v>
      </c>
      <c r="P2039" s="2" t="s">
        <v>707</v>
      </c>
      <c r="Q2039" s="2" t="s">
        <v>99</v>
      </c>
      <c r="R2039" s="2" t="s">
        <v>100</v>
      </c>
      <c r="S2039" s="2" t="s">
        <v>100</v>
      </c>
      <c r="T2039" s="2" t="s">
        <v>100</v>
      </c>
      <c r="U2039" s="2" t="s">
        <v>100</v>
      </c>
      <c r="V2039" s="2" t="s">
        <v>3412</v>
      </c>
      <c r="W2039" s="2" t="s">
        <v>493</v>
      </c>
      <c r="X2039" s="2" t="s">
        <v>100</v>
      </c>
      <c r="Y2039" s="2" t="s">
        <v>6460</v>
      </c>
      <c r="Z2039" s="4">
        <v>89</v>
      </c>
      <c r="AA2039" s="4">
        <f>=ROUNDDOWN(445,0)</f>
      </c>
      <c r="AB2039" s="5">
        <v>0.2</v>
      </c>
      <c r="AC2039" s="2" t="s">
        <v>100</v>
      </c>
      <c r="AD2039" s="4"/>
      <c r="AE2039" s="4"/>
      <c r="AF2039" s="6">
        <v>74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/>
      <c r="BD2039" s="8"/>
      <c r="BE2039" s="4"/>
      <c r="BF2039" s="8"/>
      <c r="BG2039" s="7"/>
      <c r="BH2039" s="7"/>
      <c r="BI2039" s="7"/>
      <c r="BJ2039" s="4"/>
      <c r="BK2039" s="8"/>
      <c r="BL2039" s="2" t="s">
        <v>100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2526</v>
      </c>
      <c r="BV2039" s="2" t="s">
        <v>97</v>
      </c>
      <c r="BW2039" s="2" t="s">
        <v>100</v>
      </c>
      <c r="BX2039" s="2" t="s">
        <v>100</v>
      </c>
      <c r="BY2039" s="2" t="s">
        <v>112</v>
      </c>
      <c r="BZ2039" s="2" t="s">
        <v>100</v>
      </c>
    </row>
    <row r="2040">
      <c r="A2040" s="2" t="s">
        <v>7023</v>
      </c>
      <c r="B2040" s="2" t="s">
        <v>6747</v>
      </c>
      <c r="C2040" s="2" t="s">
        <v>2831</v>
      </c>
      <c r="D2040" s="2" t="s">
        <v>7024</v>
      </c>
      <c r="E2040" s="2" t="s">
        <v>7025</v>
      </c>
      <c r="F2040" s="2" t="s">
        <v>7026</v>
      </c>
      <c r="G2040" s="2" t="s">
        <v>7026</v>
      </c>
      <c r="H2040" s="2" t="s">
        <v>7026</v>
      </c>
      <c r="I2040" s="2" t="s">
        <v>7025</v>
      </c>
      <c r="J2040" s="2" t="s">
        <v>3385</v>
      </c>
      <c r="K2040" s="2" t="s">
        <v>138</v>
      </c>
      <c r="L2040" s="3">
        <v>115.2</v>
      </c>
      <c r="M2040" s="3">
        <v>120.96</v>
      </c>
      <c r="N2040" s="3">
        <v>249</v>
      </c>
      <c r="O2040" s="2" t="s">
        <v>97</v>
      </c>
      <c r="P2040" s="2" t="s">
        <v>707</v>
      </c>
      <c r="Q2040" s="2" t="s">
        <v>99</v>
      </c>
      <c r="R2040" s="2" t="s">
        <v>100</v>
      </c>
      <c r="S2040" s="2" t="s">
        <v>100</v>
      </c>
      <c r="T2040" s="2" t="s">
        <v>100</v>
      </c>
      <c r="U2040" s="2" t="s">
        <v>1776</v>
      </c>
      <c r="V2040" s="2" t="s">
        <v>3412</v>
      </c>
      <c r="W2040" s="2" t="s">
        <v>609</v>
      </c>
      <c r="X2040" s="2" t="s">
        <v>493</v>
      </c>
      <c r="Y2040" s="2" t="s">
        <v>7027</v>
      </c>
      <c r="Z2040" s="4">
        <v>82</v>
      </c>
      <c r="AA2040" s="4">
        <f>=ROUNDDOWN(82,0)</f>
      </c>
      <c r="AB2040" s="5">
        <v>1</v>
      </c>
      <c r="AC2040" s="2" t="s">
        <v>100</v>
      </c>
      <c r="AD2040" s="4"/>
      <c r="AE2040" s="4"/>
      <c r="AF2040" s="6">
        <v>74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/>
      <c r="BD2040" s="8"/>
      <c r="BE2040" s="4"/>
      <c r="BF2040" s="8"/>
      <c r="BG2040" s="7"/>
      <c r="BH2040" s="7"/>
      <c r="BI2040" s="7"/>
      <c r="BJ2040" s="4">
        <v>1</v>
      </c>
      <c r="BK2040" s="8">
        <v>133.06</v>
      </c>
      <c r="BL2040" s="2" t="s">
        <v>2202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2526</v>
      </c>
      <c r="BV2040" s="2" t="s">
        <v>97</v>
      </c>
      <c r="BW2040" s="2" t="s">
        <v>100</v>
      </c>
      <c r="BX2040" s="2" t="s">
        <v>100</v>
      </c>
      <c r="BY2040" s="2" t="s">
        <v>112</v>
      </c>
      <c r="BZ2040" s="2" t="s">
        <v>100</v>
      </c>
    </row>
    <row r="2041">
      <c r="A2041" s="2" t="s">
        <v>7028</v>
      </c>
      <c r="B2041" s="2" t="s">
        <v>6747</v>
      </c>
      <c r="C2041" s="2" t="s">
        <v>2831</v>
      </c>
      <c r="D2041" s="2" t="s">
        <v>7024</v>
      </c>
      <c r="E2041" s="2" t="s">
        <v>7025</v>
      </c>
      <c r="F2041" s="2" t="s">
        <v>7029</v>
      </c>
      <c r="G2041" s="2" t="s">
        <v>7029</v>
      </c>
      <c r="H2041" s="2" t="s">
        <v>7029</v>
      </c>
      <c r="I2041" s="2" t="s">
        <v>7025</v>
      </c>
      <c r="J2041" s="2" t="s">
        <v>3385</v>
      </c>
      <c r="K2041" s="2" t="s">
        <v>446</v>
      </c>
      <c r="L2041" s="3">
        <v>121.5</v>
      </c>
      <c r="M2041" s="3">
        <v>127.58</v>
      </c>
      <c r="N2041" s="3">
        <v>259</v>
      </c>
      <c r="O2041" s="2" t="s">
        <v>97</v>
      </c>
      <c r="P2041" s="2" t="s">
        <v>98</v>
      </c>
      <c r="Q2041" s="2" t="s">
        <v>99</v>
      </c>
      <c r="R2041" s="2" t="s">
        <v>100</v>
      </c>
      <c r="S2041" s="2" t="s">
        <v>100</v>
      </c>
      <c r="T2041" s="2" t="s">
        <v>100</v>
      </c>
      <c r="U2041" s="2" t="s">
        <v>100</v>
      </c>
      <c r="V2041" s="2" t="s">
        <v>461</v>
      </c>
      <c r="W2041" s="2" t="s">
        <v>3394</v>
      </c>
      <c r="X2041" s="2" t="s">
        <v>100</v>
      </c>
      <c r="Y2041" s="2" t="s">
        <v>231</v>
      </c>
      <c r="Z2041" s="4">
        <v>193</v>
      </c>
      <c r="AA2041" s="4">
        <f>=ROUNDDOWN(24.125,0)</f>
      </c>
      <c r="AB2041" s="5">
        <v>8</v>
      </c>
      <c r="AC2041" s="2" t="s">
        <v>2870</v>
      </c>
      <c r="AD2041" s="4">
        <v>100</v>
      </c>
      <c r="AE2041" s="4">
        <v>100</v>
      </c>
      <c r="AF2041" s="6">
        <v>74</v>
      </c>
      <c r="AG2041" s="6">
        <v>60</v>
      </c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/>
      <c r="BJ2041" s="4">
        <v>23</v>
      </c>
      <c r="BK2041" s="8">
        <v>2916.38</v>
      </c>
      <c r="BL2041" s="2" t="s">
        <v>3414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2551</v>
      </c>
      <c r="BV2041" s="2" t="s">
        <v>97</v>
      </c>
      <c r="BW2041" s="2" t="s">
        <v>100</v>
      </c>
      <c r="BX2041" s="2" t="s">
        <v>100</v>
      </c>
      <c r="BY2041" s="2" t="s">
        <v>112</v>
      </c>
      <c r="BZ2041" s="2" t="s">
        <v>100</v>
      </c>
    </row>
    <row r="2042">
      <c r="A2042" s="2" t="s">
        <v>7030</v>
      </c>
      <c r="B2042" s="2" t="s">
        <v>6747</v>
      </c>
      <c r="C2042" s="2" t="s">
        <v>2831</v>
      </c>
      <c r="D2042" s="2" t="s">
        <v>7024</v>
      </c>
      <c r="E2042" s="2" t="s">
        <v>7025</v>
      </c>
      <c r="F2042" s="2" t="s">
        <v>7029</v>
      </c>
      <c r="G2042" s="2" t="s">
        <v>7029</v>
      </c>
      <c r="H2042" s="2" t="s">
        <v>7029</v>
      </c>
      <c r="I2042" s="2" t="s">
        <v>7025</v>
      </c>
      <c r="J2042" s="2" t="s">
        <v>3385</v>
      </c>
      <c r="K2042" s="2" t="s">
        <v>7031</v>
      </c>
      <c r="L2042" s="3">
        <v>121.5</v>
      </c>
      <c r="M2042" s="3">
        <v>127.58</v>
      </c>
      <c r="N2042" s="3">
        <v>259</v>
      </c>
      <c r="O2042" s="2" t="s">
        <v>97</v>
      </c>
      <c r="P2042" s="2" t="s">
        <v>707</v>
      </c>
      <c r="Q2042" s="2" t="s">
        <v>99</v>
      </c>
      <c r="R2042" s="2" t="s">
        <v>100</v>
      </c>
      <c r="S2042" s="2" t="s">
        <v>100</v>
      </c>
      <c r="T2042" s="2" t="s">
        <v>100</v>
      </c>
      <c r="U2042" s="2" t="s">
        <v>1776</v>
      </c>
      <c r="V2042" s="2" t="s">
        <v>461</v>
      </c>
      <c r="W2042" s="2" t="s">
        <v>3394</v>
      </c>
      <c r="X2042" s="2" t="s">
        <v>493</v>
      </c>
      <c r="Y2042" s="2" t="s">
        <v>7032</v>
      </c>
      <c r="Z2042" s="4">
        <v>90</v>
      </c>
      <c r="AA2042" s="4">
        <f>=ROUNDDOWN(30,0)</f>
      </c>
      <c r="AB2042" s="5">
        <v>3</v>
      </c>
      <c r="AC2042" s="2" t="s">
        <v>7033</v>
      </c>
      <c r="AD2042" s="4">
        <v>100</v>
      </c>
      <c r="AE2042" s="4">
        <v>100</v>
      </c>
      <c r="AF2042" s="6">
        <v>74</v>
      </c>
      <c r="AG2042" s="6">
        <v>60</v>
      </c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/>
      <c r="BJ2042" s="4">
        <v>12</v>
      </c>
      <c r="BK2042" s="8">
        <v>1493.03</v>
      </c>
      <c r="BL2042" s="2" t="s">
        <v>6989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2526</v>
      </c>
      <c r="BV2042" s="2" t="s">
        <v>97</v>
      </c>
      <c r="BW2042" s="2" t="s">
        <v>100</v>
      </c>
      <c r="BX2042" s="2" t="s">
        <v>100</v>
      </c>
      <c r="BY2042" s="2" t="s">
        <v>112</v>
      </c>
      <c r="BZ2042" s="2" t="s">
        <v>100</v>
      </c>
    </row>
    <row r="2043">
      <c r="A2043" s="2" t="s">
        <v>7034</v>
      </c>
      <c r="B2043" s="2" t="s">
        <v>6747</v>
      </c>
      <c r="C2043" s="2" t="s">
        <v>2831</v>
      </c>
      <c r="D2043" s="2" t="s">
        <v>7035</v>
      </c>
      <c r="E2043" s="2" t="s">
        <v>7036</v>
      </c>
      <c r="F2043" s="2" t="s">
        <v>7037</v>
      </c>
      <c r="G2043" s="2" t="s">
        <v>7037</v>
      </c>
      <c r="H2043" s="2" t="s">
        <v>7037</v>
      </c>
      <c r="I2043" s="2" t="s">
        <v>7038</v>
      </c>
      <c r="J2043" s="2" t="s">
        <v>3385</v>
      </c>
      <c r="K2043" s="2" t="s">
        <v>3876</v>
      </c>
      <c r="L2043" s="3">
        <v>204.25</v>
      </c>
      <c r="M2043" s="3">
        <v>214.46</v>
      </c>
      <c r="N2043" s="3">
        <v>429</v>
      </c>
      <c r="O2043" s="2" t="s">
        <v>97</v>
      </c>
      <c r="P2043" s="2" t="s">
        <v>707</v>
      </c>
      <c r="Q2043" s="2" t="s">
        <v>99</v>
      </c>
      <c r="R2043" s="2" t="s">
        <v>100</v>
      </c>
      <c r="S2043" s="2" t="s">
        <v>100</v>
      </c>
      <c r="T2043" s="2" t="s">
        <v>100</v>
      </c>
      <c r="U2043" s="2" t="s">
        <v>894</v>
      </c>
      <c r="V2043" s="2" t="s">
        <v>3412</v>
      </c>
      <c r="W2043" s="2" t="s">
        <v>2835</v>
      </c>
      <c r="X2043" s="2" t="s">
        <v>493</v>
      </c>
      <c r="Y2043" s="2" t="s">
        <v>7027</v>
      </c>
      <c r="Z2043" s="4">
        <v>54</v>
      </c>
      <c r="AA2043" s="4">
        <f>=ROUNDDOWN(13.5,0)</f>
      </c>
      <c r="AB2043" s="5">
        <v>4</v>
      </c>
      <c r="AC2043" s="2" t="s">
        <v>7039</v>
      </c>
      <c r="AD2043" s="4">
        <v>150</v>
      </c>
      <c r="AE2043" s="4">
        <v>150</v>
      </c>
      <c r="AF2043" s="6">
        <v>74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/>
      <c r="BD2043" s="8"/>
      <c r="BE2043" s="4"/>
      <c r="BF2043" s="8"/>
      <c r="BG2043" s="7"/>
      <c r="BH2043" s="7"/>
      <c r="BI2043" s="7"/>
      <c r="BJ2043" s="4">
        <v>20</v>
      </c>
      <c r="BK2043" s="8">
        <v>4096.8</v>
      </c>
      <c r="BL2043" s="2" t="s">
        <v>3966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2526</v>
      </c>
      <c r="BV2043" s="2" t="s">
        <v>97</v>
      </c>
      <c r="BW2043" s="2" t="s">
        <v>100</v>
      </c>
      <c r="BX2043" s="2" t="s">
        <v>100</v>
      </c>
      <c r="BY2043" s="2" t="s">
        <v>112</v>
      </c>
      <c r="BZ2043" s="2" t="s">
        <v>100</v>
      </c>
    </row>
    <row r="2044">
      <c r="A2044" s="2" t="s">
        <v>7040</v>
      </c>
      <c r="B2044" s="2" t="s">
        <v>6747</v>
      </c>
      <c r="C2044" s="2" t="s">
        <v>2831</v>
      </c>
      <c r="D2044" s="2" t="s">
        <v>7035</v>
      </c>
      <c r="E2044" s="2" t="s">
        <v>7036</v>
      </c>
      <c r="F2044" s="2" t="s">
        <v>6771</v>
      </c>
      <c r="G2044" s="2" t="s">
        <v>6771</v>
      </c>
      <c r="H2044" s="2" t="s">
        <v>6771</v>
      </c>
      <c r="I2044" s="2" t="s">
        <v>7041</v>
      </c>
      <c r="J2044" s="2" t="s">
        <v>3385</v>
      </c>
      <c r="K2044" s="2" t="s">
        <v>179</v>
      </c>
      <c r="L2044" s="3">
        <v>193.5</v>
      </c>
      <c r="M2044" s="3">
        <v>203.18</v>
      </c>
      <c r="N2044" s="3">
        <v>399</v>
      </c>
      <c r="O2044" s="2" t="s">
        <v>97</v>
      </c>
      <c r="P2044" s="2" t="s">
        <v>98</v>
      </c>
      <c r="Q2044" s="2" t="s">
        <v>99</v>
      </c>
      <c r="R2044" s="2" t="s">
        <v>100</v>
      </c>
      <c r="S2044" s="2" t="s">
        <v>7042</v>
      </c>
      <c r="T2044" s="2" t="s">
        <v>100</v>
      </c>
      <c r="U2044" s="2" t="s">
        <v>100</v>
      </c>
      <c r="V2044" s="2" t="s">
        <v>461</v>
      </c>
      <c r="W2044" s="2" t="s">
        <v>2835</v>
      </c>
      <c r="X2044" s="2" t="s">
        <v>100</v>
      </c>
      <c r="Y2044" s="2" t="s">
        <v>144</v>
      </c>
      <c r="Z2044" s="4">
        <v>370</v>
      </c>
      <c r="AA2044" s="4">
        <f>=ROUNDDOWN(37,0)</f>
      </c>
      <c r="AB2044" s="5">
        <v>10</v>
      </c>
      <c r="AC2044" s="2" t="s">
        <v>100</v>
      </c>
      <c r="AD2044" s="4"/>
      <c r="AE2044" s="4"/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/>
      <c r="BJ2044" s="4">
        <v>40</v>
      </c>
      <c r="BK2044" s="8">
        <v>7194.97</v>
      </c>
      <c r="BL2044" s="2" t="s">
        <v>7043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2551</v>
      </c>
      <c r="BV2044" s="2" t="s">
        <v>97</v>
      </c>
      <c r="BW2044" s="2" t="s">
        <v>100</v>
      </c>
      <c r="BX2044" s="2" t="s">
        <v>100</v>
      </c>
      <c r="BY2044" s="2" t="s">
        <v>112</v>
      </c>
      <c r="BZ2044" s="2" t="s">
        <v>100</v>
      </c>
    </row>
    <row r="2045">
      <c r="A2045" s="2" t="s">
        <v>7044</v>
      </c>
      <c r="B2045" s="2" t="s">
        <v>6747</v>
      </c>
      <c r="C2045" s="2" t="s">
        <v>2831</v>
      </c>
      <c r="D2045" s="2" t="s">
        <v>7035</v>
      </c>
      <c r="E2045" s="2" t="s">
        <v>7036</v>
      </c>
      <c r="F2045" s="2" t="s">
        <v>6771</v>
      </c>
      <c r="G2045" s="2" t="s">
        <v>6771</v>
      </c>
      <c r="H2045" s="2" t="s">
        <v>6771</v>
      </c>
      <c r="I2045" s="2" t="s">
        <v>7041</v>
      </c>
      <c r="J2045" s="2" t="s">
        <v>3385</v>
      </c>
      <c r="K2045" s="2" t="s">
        <v>4488</v>
      </c>
      <c r="L2045" s="3">
        <v>193.5</v>
      </c>
      <c r="M2045" s="3">
        <v>203.18</v>
      </c>
      <c r="N2045" s="3">
        <v>399</v>
      </c>
      <c r="O2045" s="2" t="s">
        <v>97</v>
      </c>
      <c r="P2045" s="2" t="s">
        <v>98</v>
      </c>
      <c r="Q2045" s="2" t="s">
        <v>99</v>
      </c>
      <c r="R2045" s="2" t="s">
        <v>100</v>
      </c>
      <c r="S2045" s="2" t="s">
        <v>6974</v>
      </c>
      <c r="T2045" s="2" t="s">
        <v>100</v>
      </c>
      <c r="U2045" s="2" t="s">
        <v>100</v>
      </c>
      <c r="V2045" s="2" t="s">
        <v>461</v>
      </c>
      <c r="W2045" s="2" t="s">
        <v>3394</v>
      </c>
      <c r="X2045" s="2" t="s">
        <v>100</v>
      </c>
      <c r="Y2045" s="2" t="s">
        <v>7045</v>
      </c>
      <c r="Z2045" s="4">
        <v>125</v>
      </c>
      <c r="AA2045" s="4">
        <f>=ROUNDDOWN(11.3636363636364,0)</f>
      </c>
      <c r="AB2045" s="5">
        <v>11</v>
      </c>
      <c r="AC2045" s="2" t="s">
        <v>1094</v>
      </c>
      <c r="AD2045" s="4">
        <v>39</v>
      </c>
      <c r="AE2045" s="4">
        <v>189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/>
      <c r="BJ2045" s="4">
        <v>46</v>
      </c>
      <c r="BK2045" s="8">
        <v>8834.52</v>
      </c>
      <c r="BL2045" s="2" t="s">
        <v>7046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2551</v>
      </c>
      <c r="BV2045" s="2" t="s">
        <v>97</v>
      </c>
      <c r="BW2045" s="2" t="s">
        <v>100</v>
      </c>
      <c r="BX2045" s="2" t="s">
        <v>100</v>
      </c>
      <c r="BY2045" s="2" t="s">
        <v>112</v>
      </c>
      <c r="BZ2045" s="2" t="s">
        <v>100</v>
      </c>
    </row>
    <row r="2046">
      <c r="A2046" s="2" t="s">
        <v>7047</v>
      </c>
      <c r="B2046" s="2" t="s">
        <v>6747</v>
      </c>
      <c r="C2046" s="2" t="s">
        <v>2831</v>
      </c>
      <c r="D2046" s="2" t="s">
        <v>7035</v>
      </c>
      <c r="E2046" s="2" t="s">
        <v>7036</v>
      </c>
      <c r="F2046" s="2" t="s">
        <v>5067</v>
      </c>
      <c r="G2046" s="2" t="s">
        <v>100</v>
      </c>
      <c r="H2046" s="2" t="s">
        <v>100</v>
      </c>
      <c r="I2046" s="2" t="s">
        <v>7048</v>
      </c>
      <c r="J2046" s="2" t="s">
        <v>3385</v>
      </c>
      <c r="K2046" s="2" t="s">
        <v>1090</v>
      </c>
      <c r="L2046" s="3">
        <v>256.5</v>
      </c>
      <c r="M2046" s="3">
        <v>269.32</v>
      </c>
      <c r="N2046" s="3">
        <v>549</v>
      </c>
      <c r="O2046" s="2" t="s">
        <v>97</v>
      </c>
      <c r="P2046" s="2" t="s">
        <v>98</v>
      </c>
      <c r="Q2046" s="2" t="s">
        <v>99</v>
      </c>
      <c r="R2046" s="2" t="s">
        <v>100</v>
      </c>
      <c r="S2046" s="2" t="s">
        <v>7049</v>
      </c>
      <c r="T2046" s="2" t="s">
        <v>100</v>
      </c>
      <c r="U2046" s="2" t="s">
        <v>100</v>
      </c>
      <c r="V2046" s="2" t="s">
        <v>461</v>
      </c>
      <c r="W2046" s="2" t="s">
        <v>142</v>
      </c>
      <c r="X2046" s="2" t="s">
        <v>100</v>
      </c>
      <c r="Y2046" s="2" t="s">
        <v>144</v>
      </c>
      <c r="Z2046" s="4">
        <v>140</v>
      </c>
      <c r="AA2046" s="4">
        <f>=ROUNDDOWN(23.3333333333333,0)</f>
      </c>
      <c r="AB2046" s="5">
        <v>6</v>
      </c>
      <c r="AC2046" s="2" t="s">
        <v>1094</v>
      </c>
      <c r="AD2046" s="4">
        <v>100</v>
      </c>
      <c r="AE2046" s="4">
        <v>100</v>
      </c>
      <c r="AF2046" s="6">
        <v>65</v>
      </c>
      <c r="AG2046" s="6">
        <v>48</v>
      </c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/>
      <c r="BD2046" s="8"/>
      <c r="BE2046" s="4"/>
      <c r="BF2046" s="8"/>
      <c r="BG2046" s="7"/>
      <c r="BH2046" s="7"/>
      <c r="BI2046" s="7"/>
      <c r="BJ2046" s="4">
        <v>27</v>
      </c>
      <c r="BK2046" s="8">
        <v>7464.26</v>
      </c>
      <c r="BL2046" s="2" t="s">
        <v>7050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2551</v>
      </c>
      <c r="BV2046" s="2" t="s">
        <v>97</v>
      </c>
      <c r="BW2046" s="2" t="s">
        <v>100</v>
      </c>
      <c r="BX2046" s="2" t="s">
        <v>100</v>
      </c>
      <c r="BY2046" s="2" t="s">
        <v>112</v>
      </c>
      <c r="BZ2046" s="2" t="s">
        <v>100</v>
      </c>
    </row>
    <row r="2047">
      <c r="A2047" s="2" t="s">
        <v>7051</v>
      </c>
      <c r="B2047" s="2" t="s">
        <v>6747</v>
      </c>
      <c r="C2047" s="2" t="s">
        <v>2831</v>
      </c>
      <c r="D2047" s="2" t="s">
        <v>7035</v>
      </c>
      <c r="E2047" s="2" t="s">
        <v>7036</v>
      </c>
      <c r="F2047" s="2" t="s">
        <v>7026</v>
      </c>
      <c r="G2047" s="2" t="s">
        <v>7026</v>
      </c>
      <c r="H2047" s="2" t="s">
        <v>7026</v>
      </c>
      <c r="I2047" s="2" t="s">
        <v>7052</v>
      </c>
      <c r="J2047" s="2" t="s">
        <v>3385</v>
      </c>
      <c r="K2047" s="2" t="s">
        <v>545</v>
      </c>
      <c r="L2047" s="3">
        <v>215</v>
      </c>
      <c r="M2047" s="3">
        <v>225.75</v>
      </c>
      <c r="N2047" s="3">
        <v>449</v>
      </c>
      <c r="O2047" s="2" t="s">
        <v>97</v>
      </c>
      <c r="P2047" s="2" t="s">
        <v>98</v>
      </c>
      <c r="Q2047" s="2" t="s">
        <v>99</v>
      </c>
      <c r="R2047" s="2" t="s">
        <v>100</v>
      </c>
      <c r="S2047" s="2" t="s">
        <v>100</v>
      </c>
      <c r="T2047" s="2" t="s">
        <v>100</v>
      </c>
      <c r="U2047" s="2" t="s">
        <v>894</v>
      </c>
      <c r="V2047" s="2" t="s">
        <v>3412</v>
      </c>
      <c r="W2047" s="2" t="s">
        <v>609</v>
      </c>
      <c r="X2047" s="2" t="s">
        <v>493</v>
      </c>
      <c r="Y2047" s="2" t="s">
        <v>6149</v>
      </c>
      <c r="Z2047" s="4">
        <v>2</v>
      </c>
      <c r="AA2047" s="4">
        <f>=ROUNDDOWN(0.285714285714286,0)</f>
      </c>
      <c r="AB2047" s="5">
        <v>7</v>
      </c>
      <c r="AC2047" s="2" t="s">
        <v>2709</v>
      </c>
      <c r="AD2047" s="4">
        <v>100</v>
      </c>
      <c r="AE2047" s="4">
        <v>250</v>
      </c>
      <c r="AF2047" s="6">
        <v>74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/>
      <c r="BD2047" s="8"/>
      <c r="BE2047" s="4"/>
      <c r="BF2047" s="8"/>
      <c r="BG2047" s="7"/>
      <c r="BH2047" s="7"/>
      <c r="BI2047" s="7"/>
      <c r="BJ2047" s="4">
        <v>30</v>
      </c>
      <c r="BK2047" s="8">
        <v>7323.3</v>
      </c>
      <c r="BL2047" s="2" t="s">
        <v>7053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2551</v>
      </c>
      <c r="BV2047" s="2" t="s">
        <v>97</v>
      </c>
      <c r="BW2047" s="2" t="s">
        <v>100</v>
      </c>
      <c r="BX2047" s="2" t="s">
        <v>100</v>
      </c>
      <c r="BY2047" s="2" t="s">
        <v>112</v>
      </c>
      <c r="BZ2047" s="2" t="s">
        <v>100</v>
      </c>
    </row>
    <row r="2048">
      <c r="A2048" s="2" t="s">
        <v>7054</v>
      </c>
      <c r="B2048" s="2" t="s">
        <v>6747</v>
      </c>
      <c r="C2048" s="2" t="s">
        <v>2831</v>
      </c>
      <c r="D2048" s="2" t="s">
        <v>7035</v>
      </c>
      <c r="E2048" s="2" t="s">
        <v>7036</v>
      </c>
      <c r="F2048" s="2" t="s">
        <v>6955</v>
      </c>
      <c r="G2048" s="2" t="s">
        <v>6955</v>
      </c>
      <c r="H2048" s="2" t="s">
        <v>100</v>
      </c>
      <c r="I2048" s="2" t="s">
        <v>7055</v>
      </c>
      <c r="J2048" s="2" t="s">
        <v>3385</v>
      </c>
      <c r="K2048" s="2" t="s">
        <v>138</v>
      </c>
      <c r="L2048" s="3">
        <v>163.35</v>
      </c>
      <c r="M2048" s="3">
        <v>171.52</v>
      </c>
      <c r="N2048" s="3">
        <v>349</v>
      </c>
      <c r="O2048" s="2" t="s">
        <v>97</v>
      </c>
      <c r="P2048" s="2" t="s">
        <v>707</v>
      </c>
      <c r="Q2048" s="2" t="s">
        <v>99</v>
      </c>
      <c r="R2048" s="2" t="s">
        <v>100</v>
      </c>
      <c r="S2048" s="2" t="s">
        <v>7056</v>
      </c>
      <c r="T2048" s="2" t="s">
        <v>100</v>
      </c>
      <c r="U2048" s="2" t="s">
        <v>100</v>
      </c>
      <c r="V2048" s="2" t="s">
        <v>461</v>
      </c>
      <c r="W2048" s="2" t="s">
        <v>3394</v>
      </c>
      <c r="X2048" s="2" t="s">
        <v>100</v>
      </c>
      <c r="Y2048" s="2" t="s">
        <v>7057</v>
      </c>
      <c r="Z2048" s="4">
        <v>201</v>
      </c>
      <c r="AA2048" s="4">
        <f>=ROUNDDOWN(100.5,0)</f>
      </c>
      <c r="AB2048" s="5">
        <v>2</v>
      </c>
      <c r="AC2048" s="2" t="s">
        <v>100</v>
      </c>
      <c r="AD2048" s="4"/>
      <c r="AE2048" s="4"/>
      <c r="AF2048" s="6">
        <v>74</v>
      </c>
      <c r="AG2048" s="6">
        <v>60</v>
      </c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/>
      <c r="BD2048" s="8"/>
      <c r="BE2048" s="4"/>
      <c r="BF2048" s="8"/>
      <c r="BG2048" s="7"/>
      <c r="BH2048" s="7"/>
      <c r="BI2048" s="7"/>
      <c r="BJ2048" s="4">
        <v>11</v>
      </c>
      <c r="BK2048" s="8">
        <v>1791.21</v>
      </c>
      <c r="BL2048" s="2" t="s">
        <v>7058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2526</v>
      </c>
      <c r="BV2048" s="2" t="s">
        <v>97</v>
      </c>
      <c r="BW2048" s="2" t="s">
        <v>100</v>
      </c>
      <c r="BX2048" s="2" t="s">
        <v>100</v>
      </c>
      <c r="BY2048" s="2" t="s">
        <v>112</v>
      </c>
      <c r="BZ2048" s="2" t="s">
        <v>100</v>
      </c>
    </row>
    <row r="2049">
      <c r="A2049" s="2" t="s">
        <v>7059</v>
      </c>
      <c r="B2049" s="2" t="s">
        <v>6747</v>
      </c>
      <c r="C2049" s="2" t="s">
        <v>2831</v>
      </c>
      <c r="D2049" s="2" t="s">
        <v>7035</v>
      </c>
      <c r="E2049" s="2" t="s">
        <v>7036</v>
      </c>
      <c r="F2049" s="2" t="s">
        <v>6827</v>
      </c>
      <c r="G2049" s="2" t="s">
        <v>6827</v>
      </c>
      <c r="H2049" s="2" t="s">
        <v>6827</v>
      </c>
      <c r="I2049" s="2" t="s">
        <v>7060</v>
      </c>
      <c r="J2049" s="2" t="s">
        <v>3385</v>
      </c>
      <c r="K2049" s="2" t="s">
        <v>138</v>
      </c>
      <c r="L2049" s="3">
        <v>203</v>
      </c>
      <c r="M2049" s="3">
        <v>213.15</v>
      </c>
      <c r="N2049" s="3">
        <v>429</v>
      </c>
      <c r="O2049" s="2" t="s">
        <v>97</v>
      </c>
      <c r="P2049" s="2" t="s">
        <v>98</v>
      </c>
      <c r="Q2049" s="2" t="s">
        <v>99</v>
      </c>
      <c r="R2049" s="2" t="s">
        <v>100</v>
      </c>
      <c r="S2049" s="2" t="s">
        <v>100</v>
      </c>
      <c r="T2049" s="2" t="s">
        <v>100</v>
      </c>
      <c r="U2049" s="2" t="s">
        <v>894</v>
      </c>
      <c r="V2049" s="2" t="s">
        <v>3412</v>
      </c>
      <c r="W2049" s="2" t="s">
        <v>609</v>
      </c>
      <c r="X2049" s="2" t="s">
        <v>493</v>
      </c>
      <c r="Y2049" s="2" t="s">
        <v>7061</v>
      </c>
      <c r="Z2049" s="4">
        <v>191</v>
      </c>
      <c r="AA2049" s="4">
        <f>=ROUNDDOWN(23.875,0)</f>
      </c>
      <c r="AB2049" s="5">
        <v>8</v>
      </c>
      <c r="AC2049" s="2" t="s">
        <v>2772</v>
      </c>
      <c r="AD2049" s="4">
        <v>100</v>
      </c>
      <c r="AE2049" s="4">
        <v>100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/>
      <c r="BJ2049" s="4">
        <v>34</v>
      </c>
      <c r="BK2049" s="8">
        <v>6655.02</v>
      </c>
      <c r="BL2049" s="2" t="s">
        <v>7062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2551</v>
      </c>
      <c r="BV2049" s="2" t="s">
        <v>97</v>
      </c>
      <c r="BW2049" s="2" t="s">
        <v>100</v>
      </c>
      <c r="BX2049" s="2" t="s">
        <v>100</v>
      </c>
      <c r="BY2049" s="2" t="s">
        <v>112</v>
      </c>
      <c r="BZ2049" s="2" t="s">
        <v>100</v>
      </c>
    </row>
    <row r="2050">
      <c r="A2050" s="2" t="s">
        <v>7063</v>
      </c>
      <c r="B2050" s="2" t="s">
        <v>6747</v>
      </c>
      <c r="C2050" s="2" t="s">
        <v>2831</v>
      </c>
      <c r="D2050" s="2" t="s">
        <v>7035</v>
      </c>
      <c r="E2050" s="2" t="s">
        <v>7036</v>
      </c>
      <c r="F2050" s="2" t="s">
        <v>6827</v>
      </c>
      <c r="G2050" s="2" t="s">
        <v>6827</v>
      </c>
      <c r="H2050" s="2" t="s">
        <v>6827</v>
      </c>
      <c r="I2050" s="2" t="s">
        <v>7060</v>
      </c>
      <c r="J2050" s="2" t="s">
        <v>3385</v>
      </c>
      <c r="K2050" s="2" t="s">
        <v>6828</v>
      </c>
      <c r="L2050" s="3">
        <v>203</v>
      </c>
      <c r="M2050" s="3">
        <v>213.15</v>
      </c>
      <c r="N2050" s="3">
        <v>429</v>
      </c>
      <c r="O2050" s="2" t="s">
        <v>97</v>
      </c>
      <c r="P2050" s="2" t="s">
        <v>139</v>
      </c>
      <c r="Q2050" s="2" t="s">
        <v>99</v>
      </c>
      <c r="R2050" s="2" t="s">
        <v>100</v>
      </c>
      <c r="S2050" s="2" t="s">
        <v>100</v>
      </c>
      <c r="T2050" s="2" t="s">
        <v>100</v>
      </c>
      <c r="U2050" s="2" t="s">
        <v>894</v>
      </c>
      <c r="V2050" s="2" t="s">
        <v>461</v>
      </c>
      <c r="W2050" s="2" t="s">
        <v>609</v>
      </c>
      <c r="X2050" s="2" t="s">
        <v>100</v>
      </c>
      <c r="Y2050" s="2" t="s">
        <v>4857</v>
      </c>
      <c r="Z2050" s="4">
        <v>523</v>
      </c>
      <c r="AA2050" s="4">
        <f>=ROUNDDOWN(108.958333333333,0)</f>
      </c>
      <c r="AB2050" s="5">
        <v>4.8</v>
      </c>
      <c r="AC2050" s="2" t="s">
        <v>1094</v>
      </c>
      <c r="AD2050" s="4">
        <v>36</v>
      </c>
      <c r="AE2050" s="4">
        <v>346</v>
      </c>
      <c r="AF2050" s="6">
        <v>65</v>
      </c>
      <c r="AG2050" s="6">
        <v>48</v>
      </c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/>
      <c r="BJ2050" s="4">
        <v>128</v>
      </c>
      <c r="BK2050" s="8">
        <v>24638.12</v>
      </c>
      <c r="BL2050" s="2" t="s">
        <v>7064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2551</v>
      </c>
      <c r="BV2050" s="2" t="s">
        <v>97</v>
      </c>
      <c r="BW2050" s="2" t="s">
        <v>100</v>
      </c>
      <c r="BX2050" s="2" t="s">
        <v>100</v>
      </c>
      <c r="BY2050" s="2" t="s">
        <v>112</v>
      </c>
      <c r="BZ2050" s="2" t="s">
        <v>100</v>
      </c>
    </row>
    <row r="2051">
      <c r="A2051" s="2" t="s">
        <v>7065</v>
      </c>
      <c r="B2051" s="2" t="s">
        <v>6747</v>
      </c>
      <c r="C2051" s="2" t="s">
        <v>2831</v>
      </c>
      <c r="D2051" s="2" t="s">
        <v>7035</v>
      </c>
      <c r="E2051" s="2" t="s">
        <v>7036</v>
      </c>
      <c r="F2051" s="2" t="s">
        <v>6965</v>
      </c>
      <c r="G2051" s="2" t="s">
        <v>100</v>
      </c>
      <c r="H2051" s="2" t="s">
        <v>100</v>
      </c>
      <c r="I2051" s="2" t="s">
        <v>7036</v>
      </c>
      <c r="J2051" s="2" t="s">
        <v>3385</v>
      </c>
      <c r="K2051" s="2" t="s">
        <v>5349</v>
      </c>
      <c r="L2051" s="3">
        <v>121.6</v>
      </c>
      <c r="M2051" s="3">
        <v>127.68</v>
      </c>
      <c r="N2051" s="3">
        <v>259</v>
      </c>
      <c r="O2051" s="2" t="s">
        <v>97</v>
      </c>
      <c r="P2051" s="2" t="s">
        <v>98</v>
      </c>
      <c r="Q2051" s="2" t="s">
        <v>99</v>
      </c>
      <c r="R2051" s="2" t="s">
        <v>100</v>
      </c>
      <c r="S2051" s="2" t="s">
        <v>7066</v>
      </c>
      <c r="T2051" s="2" t="s">
        <v>100</v>
      </c>
      <c r="U2051" s="2" t="s">
        <v>100</v>
      </c>
      <c r="V2051" s="2" t="s">
        <v>461</v>
      </c>
      <c r="W2051" s="2" t="s">
        <v>3394</v>
      </c>
      <c r="X2051" s="2" t="s">
        <v>100</v>
      </c>
      <c r="Y2051" s="2" t="s">
        <v>144</v>
      </c>
      <c r="Z2051" s="4">
        <v>216</v>
      </c>
      <c r="AA2051" s="4">
        <f>=ROUNDDOWN(24,0)</f>
      </c>
      <c r="AB2051" s="5">
        <v>9</v>
      </c>
      <c r="AC2051" s="2" t="s">
        <v>3271</v>
      </c>
      <c r="AD2051" s="4">
        <v>200</v>
      </c>
      <c r="AE2051" s="4">
        <v>200</v>
      </c>
      <c r="AF2051" s="6">
        <v>74</v>
      </c>
      <c r="AG2051" s="6">
        <v>60</v>
      </c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/>
      <c r="BD2051" s="8"/>
      <c r="BE2051" s="4"/>
      <c r="BF2051" s="8"/>
      <c r="BG2051" s="7"/>
      <c r="BH2051" s="7"/>
      <c r="BI2051" s="7"/>
      <c r="BJ2051" s="4">
        <v>35</v>
      </c>
      <c r="BK2051" s="8">
        <v>4235.43</v>
      </c>
      <c r="BL2051" s="2" t="s">
        <v>2807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2551</v>
      </c>
      <c r="BV2051" s="2" t="s">
        <v>97</v>
      </c>
      <c r="BW2051" s="2" t="s">
        <v>100</v>
      </c>
      <c r="BX2051" s="2" t="s">
        <v>100</v>
      </c>
      <c r="BY2051" s="2" t="s">
        <v>112</v>
      </c>
      <c r="BZ2051" s="2" t="s">
        <v>100</v>
      </c>
    </row>
    <row r="2052">
      <c r="A2052" s="2" t="s">
        <v>7067</v>
      </c>
      <c r="B2052" s="2" t="s">
        <v>6747</v>
      </c>
      <c r="C2052" s="2" t="s">
        <v>2831</v>
      </c>
      <c r="D2052" s="2" t="s">
        <v>7035</v>
      </c>
      <c r="E2052" s="2" t="s">
        <v>7036</v>
      </c>
      <c r="F2052" s="2" t="s">
        <v>7068</v>
      </c>
      <c r="G2052" s="2" t="s">
        <v>7068</v>
      </c>
      <c r="H2052" s="2" t="s">
        <v>7068</v>
      </c>
      <c r="I2052" s="2" t="s">
        <v>7069</v>
      </c>
      <c r="J2052" s="2" t="s">
        <v>3385</v>
      </c>
      <c r="K2052" s="2" t="s">
        <v>523</v>
      </c>
      <c r="L2052" s="3">
        <v>190</v>
      </c>
      <c r="M2052" s="3">
        <v>199.5</v>
      </c>
      <c r="N2052" s="3">
        <v>399</v>
      </c>
      <c r="O2052" s="2" t="s">
        <v>97</v>
      </c>
      <c r="P2052" s="2" t="s">
        <v>707</v>
      </c>
      <c r="Q2052" s="2" t="s">
        <v>99</v>
      </c>
      <c r="R2052" s="2" t="s">
        <v>100</v>
      </c>
      <c r="S2052" s="2" t="s">
        <v>100</v>
      </c>
      <c r="T2052" s="2" t="s">
        <v>100</v>
      </c>
      <c r="U2052" s="2" t="s">
        <v>894</v>
      </c>
      <c r="V2052" s="2" t="s">
        <v>461</v>
      </c>
      <c r="W2052" s="2" t="s">
        <v>493</v>
      </c>
      <c r="X2052" s="2" t="s">
        <v>2835</v>
      </c>
      <c r="Y2052" s="2" t="s">
        <v>7070</v>
      </c>
      <c r="Z2052" s="4">
        <v>28</v>
      </c>
      <c r="AA2052" s="4">
        <f>=ROUNDDOWN(28,0)</f>
      </c>
      <c r="AB2052" s="5">
        <v>1</v>
      </c>
      <c r="AC2052" s="2" t="s">
        <v>7071</v>
      </c>
      <c r="AD2052" s="4">
        <v>100</v>
      </c>
      <c r="AE2052" s="4">
        <v>100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/>
      <c r="BD2052" s="8"/>
      <c r="BE2052" s="4"/>
      <c r="BF2052" s="8"/>
      <c r="BG2052" s="7"/>
      <c r="BH2052" s="7"/>
      <c r="BI2052" s="7"/>
      <c r="BJ2052" s="4">
        <v>5</v>
      </c>
      <c r="BK2052" s="8">
        <v>1038.2</v>
      </c>
      <c r="BL2052" s="2" t="s">
        <v>4509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2526</v>
      </c>
      <c r="BV2052" s="2" t="s">
        <v>97</v>
      </c>
      <c r="BW2052" s="2" t="s">
        <v>100</v>
      </c>
      <c r="BX2052" s="2" t="s">
        <v>100</v>
      </c>
      <c r="BY2052" s="2" t="s">
        <v>112</v>
      </c>
      <c r="BZ2052" s="2" t="s">
        <v>100</v>
      </c>
    </row>
    <row r="2053">
      <c r="A2053" s="2" t="s">
        <v>7072</v>
      </c>
      <c r="B2053" s="2" t="s">
        <v>6747</v>
      </c>
      <c r="C2053" s="2" t="s">
        <v>2831</v>
      </c>
      <c r="D2053" s="2" t="s">
        <v>7035</v>
      </c>
      <c r="E2053" s="2" t="s">
        <v>7036</v>
      </c>
      <c r="F2053" s="2" t="s">
        <v>7073</v>
      </c>
      <c r="G2053" s="2" t="s">
        <v>7073</v>
      </c>
      <c r="H2053" s="2" t="s">
        <v>7073</v>
      </c>
      <c r="I2053" s="2" t="s">
        <v>7074</v>
      </c>
      <c r="J2053" s="2" t="s">
        <v>3385</v>
      </c>
      <c r="K2053" s="2" t="s">
        <v>1090</v>
      </c>
      <c r="L2053" s="3">
        <v>209</v>
      </c>
      <c r="M2053" s="3">
        <v>219.45</v>
      </c>
      <c r="N2053" s="3">
        <v>459</v>
      </c>
      <c r="O2053" s="2" t="s">
        <v>97</v>
      </c>
      <c r="P2053" s="2" t="s">
        <v>139</v>
      </c>
      <c r="Q2053" s="2" t="s">
        <v>99</v>
      </c>
      <c r="R2053" s="2" t="s">
        <v>100</v>
      </c>
      <c r="S2053" s="2" t="s">
        <v>100</v>
      </c>
      <c r="T2053" s="2" t="s">
        <v>100</v>
      </c>
      <c r="U2053" s="2" t="s">
        <v>894</v>
      </c>
      <c r="V2053" s="2" t="s">
        <v>461</v>
      </c>
      <c r="W2053" s="2" t="s">
        <v>609</v>
      </c>
      <c r="X2053" s="2" t="s">
        <v>100</v>
      </c>
      <c r="Y2053" s="2" t="s">
        <v>7075</v>
      </c>
      <c r="Z2053" s="4">
        <v>84</v>
      </c>
      <c r="AA2053" s="4">
        <f>=ROUNDDOWN(1.16666666666667,0)</f>
      </c>
      <c r="AB2053" s="5">
        <v>72</v>
      </c>
      <c r="AC2053" s="2" t="s">
        <v>3343</v>
      </c>
      <c r="AD2053" s="4">
        <v>282</v>
      </c>
      <c r="AE2053" s="4">
        <v>2095</v>
      </c>
      <c r="AF2053" s="6">
        <v>65</v>
      </c>
      <c r="AG2053" s="6">
        <v>48</v>
      </c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/>
      <c r="BJ2053" s="4">
        <v>277</v>
      </c>
      <c r="BK2053" s="8">
        <v>59566.25</v>
      </c>
      <c r="BL2053" s="2" t="s">
        <v>7076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2551</v>
      </c>
      <c r="BV2053" s="2" t="s">
        <v>97</v>
      </c>
      <c r="BW2053" s="2" t="s">
        <v>100</v>
      </c>
      <c r="BX2053" s="2" t="s">
        <v>100</v>
      </c>
      <c r="BY2053" s="2" t="s">
        <v>112</v>
      </c>
      <c r="BZ2053" s="2" t="s">
        <v>100</v>
      </c>
    </row>
    <row r="2054">
      <c r="A2054" s="2" t="s">
        <v>7077</v>
      </c>
      <c r="B2054" s="2" t="s">
        <v>6747</v>
      </c>
      <c r="C2054" s="2" t="s">
        <v>2831</v>
      </c>
      <c r="D2054" s="2" t="s">
        <v>7035</v>
      </c>
      <c r="E2054" s="2" t="s">
        <v>7036</v>
      </c>
      <c r="F2054" s="2" t="s">
        <v>7073</v>
      </c>
      <c r="G2054" s="2" t="s">
        <v>7073</v>
      </c>
      <c r="H2054" s="2" t="s">
        <v>7073</v>
      </c>
      <c r="I2054" s="2" t="s">
        <v>7074</v>
      </c>
      <c r="J2054" s="2" t="s">
        <v>3385</v>
      </c>
      <c r="K2054" s="2" t="s">
        <v>223</v>
      </c>
      <c r="L2054" s="3">
        <v>209</v>
      </c>
      <c r="M2054" s="3">
        <v>219.45</v>
      </c>
      <c r="N2054" s="3">
        <v>459</v>
      </c>
      <c r="O2054" s="2" t="s">
        <v>97</v>
      </c>
      <c r="P2054" s="2" t="s">
        <v>123</v>
      </c>
      <c r="Q2054" s="2" t="s">
        <v>99</v>
      </c>
      <c r="R2054" s="2" t="s">
        <v>100</v>
      </c>
      <c r="S2054" s="2" t="s">
        <v>100</v>
      </c>
      <c r="T2054" s="2" t="s">
        <v>100</v>
      </c>
      <c r="U2054" s="2" t="s">
        <v>894</v>
      </c>
      <c r="V2054" s="2" t="s">
        <v>461</v>
      </c>
      <c r="W2054" s="2" t="s">
        <v>609</v>
      </c>
      <c r="X2054" s="2" t="s">
        <v>100</v>
      </c>
      <c r="Y2054" s="2" t="s">
        <v>6444</v>
      </c>
      <c r="Z2054" s="4">
        <v>18</v>
      </c>
      <c r="AA2054" s="4">
        <f>=ROUNDDOWN(1,0)</f>
      </c>
      <c r="AB2054" s="5">
        <v>18</v>
      </c>
      <c r="AC2054" s="2" t="s">
        <v>903</v>
      </c>
      <c r="AD2054" s="4">
        <v>123</v>
      </c>
      <c r="AE2054" s="4">
        <v>430</v>
      </c>
      <c r="AF2054" s="6">
        <v>65</v>
      </c>
      <c r="AG2054" s="6">
        <v>48</v>
      </c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/>
      <c r="AW2054" s="8"/>
      <c r="AX2054" s="4"/>
      <c r="AY2054" s="8"/>
      <c r="AZ2054" s="7"/>
      <c r="BA2054" s="7"/>
      <c r="BB2054" s="7"/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/>
      <c r="BJ2054" s="4">
        <v>83</v>
      </c>
      <c r="BK2054" s="8">
        <v>18463.56</v>
      </c>
      <c r="BL2054" s="2" t="s">
        <v>7078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2551</v>
      </c>
      <c r="BV2054" s="2" t="s">
        <v>97</v>
      </c>
      <c r="BW2054" s="2" t="s">
        <v>100</v>
      </c>
      <c r="BX2054" s="2" t="s">
        <v>100</v>
      </c>
      <c r="BY2054" s="2" t="s">
        <v>112</v>
      </c>
      <c r="BZ2054" s="2" t="s">
        <v>100</v>
      </c>
    </row>
    <row r="2055">
      <c r="A2055" s="2" t="s">
        <v>7079</v>
      </c>
      <c r="B2055" s="2" t="s">
        <v>6747</v>
      </c>
      <c r="C2055" s="2" t="s">
        <v>2831</v>
      </c>
      <c r="D2055" s="2" t="s">
        <v>7035</v>
      </c>
      <c r="E2055" s="2" t="s">
        <v>7036</v>
      </c>
      <c r="F2055" s="2" t="s">
        <v>7073</v>
      </c>
      <c r="G2055" s="2" t="s">
        <v>7073</v>
      </c>
      <c r="H2055" s="2" t="s">
        <v>7073</v>
      </c>
      <c r="I2055" s="2" t="s">
        <v>7074</v>
      </c>
      <c r="J2055" s="2" t="s">
        <v>3385</v>
      </c>
      <c r="K2055" s="2" t="s">
        <v>7080</v>
      </c>
      <c r="L2055" s="3">
        <v>209</v>
      </c>
      <c r="M2055" s="3">
        <v>219.45</v>
      </c>
      <c r="N2055" s="3">
        <v>459</v>
      </c>
      <c r="O2055" s="2" t="s">
        <v>97</v>
      </c>
      <c r="P2055" s="2" t="s">
        <v>98</v>
      </c>
      <c r="Q2055" s="2" t="s">
        <v>99</v>
      </c>
      <c r="R2055" s="2" t="s">
        <v>100</v>
      </c>
      <c r="S2055" s="2" t="s">
        <v>7081</v>
      </c>
      <c r="T2055" s="2" t="s">
        <v>100</v>
      </c>
      <c r="U2055" s="2" t="s">
        <v>894</v>
      </c>
      <c r="V2055" s="2" t="s">
        <v>461</v>
      </c>
      <c r="W2055" s="2" t="s">
        <v>609</v>
      </c>
      <c r="X2055" s="2" t="s">
        <v>100</v>
      </c>
      <c r="Y2055" s="2" t="s">
        <v>147</v>
      </c>
      <c r="Z2055" s="4">
        <v>147</v>
      </c>
      <c r="AA2055" s="4">
        <f>=ROUNDDOWN(12.25,0)</f>
      </c>
      <c r="AB2055" s="5">
        <v>12</v>
      </c>
      <c r="AC2055" s="2" t="s">
        <v>2363</v>
      </c>
      <c r="AD2055" s="4">
        <v>14</v>
      </c>
      <c r="AE2055" s="4">
        <v>264</v>
      </c>
      <c r="AF2055" s="6">
        <v>65</v>
      </c>
      <c r="AG2055" s="6">
        <v>48</v>
      </c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/>
      <c r="AQ2055" s="8"/>
      <c r="AR2055" s="4"/>
      <c r="AS2055" s="8"/>
      <c r="AT2055" s="7"/>
      <c r="AU2055" s="7"/>
      <c r="AV2055" s="4"/>
      <c r="AW2055" s="8"/>
      <c r="AX2055" s="4"/>
      <c r="AY2055" s="8"/>
      <c r="AZ2055" s="7"/>
      <c r="BA2055" s="7"/>
      <c r="BB2055" s="7"/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/>
      <c r="BJ2055" s="4">
        <v>39</v>
      </c>
      <c r="BK2055" s="8">
        <v>8957.93</v>
      </c>
      <c r="BL2055" s="2" t="s">
        <v>3201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2551</v>
      </c>
      <c r="BV2055" s="2" t="s">
        <v>97</v>
      </c>
      <c r="BW2055" s="2" t="s">
        <v>100</v>
      </c>
      <c r="BX2055" s="2" t="s">
        <v>100</v>
      </c>
      <c r="BY2055" s="2" t="s">
        <v>112</v>
      </c>
      <c r="BZ2055" s="2" t="s">
        <v>100</v>
      </c>
    </row>
    <row r="2056">
      <c r="A2056" s="2" t="s">
        <v>7082</v>
      </c>
      <c r="B2056" s="2" t="s">
        <v>6747</v>
      </c>
      <c r="C2056" s="2" t="s">
        <v>2831</v>
      </c>
      <c r="D2056" s="2" t="s">
        <v>7035</v>
      </c>
      <c r="E2056" s="2" t="s">
        <v>7036</v>
      </c>
      <c r="F2056" s="2" t="s">
        <v>7083</v>
      </c>
      <c r="G2056" s="2" t="s">
        <v>7083</v>
      </c>
      <c r="H2056" s="2" t="s">
        <v>7083</v>
      </c>
      <c r="I2056" s="2" t="s">
        <v>7084</v>
      </c>
      <c r="J2056" s="2" t="s">
        <v>3385</v>
      </c>
      <c r="K2056" s="2" t="s">
        <v>7085</v>
      </c>
      <c r="L2056" s="3">
        <v>162</v>
      </c>
      <c r="M2056" s="3">
        <v>170.1</v>
      </c>
      <c r="N2056" s="3">
        <v>349</v>
      </c>
      <c r="O2056" s="2" t="s">
        <v>97</v>
      </c>
      <c r="P2056" s="2" t="s">
        <v>98</v>
      </c>
      <c r="Q2056" s="2" t="s">
        <v>99</v>
      </c>
      <c r="R2056" s="2" t="s">
        <v>100</v>
      </c>
      <c r="S2056" s="2" t="s">
        <v>100</v>
      </c>
      <c r="T2056" s="2" t="s">
        <v>100</v>
      </c>
      <c r="U2056" s="2" t="s">
        <v>100</v>
      </c>
      <c r="V2056" s="2" t="s">
        <v>3412</v>
      </c>
      <c r="W2056" s="2" t="s">
        <v>3394</v>
      </c>
      <c r="X2056" s="2" t="s">
        <v>142</v>
      </c>
      <c r="Y2056" s="2" t="s">
        <v>5131</v>
      </c>
      <c r="Z2056" s="4">
        <v>352</v>
      </c>
      <c r="AA2056" s="4">
        <f>=ROUNDDOWN(35.2,0)</f>
      </c>
      <c r="AB2056" s="5">
        <v>10</v>
      </c>
      <c r="AC2056" s="2" t="s">
        <v>100</v>
      </c>
      <c r="AD2056" s="4"/>
      <c r="AE2056" s="4"/>
      <c r="AF2056" s="6">
        <v>74</v>
      </c>
      <c r="AG2056" s="6">
        <v>60</v>
      </c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/>
      <c r="BJ2056" s="4">
        <v>25</v>
      </c>
      <c r="BK2056" s="8">
        <v>3791.34</v>
      </c>
      <c r="BL2056" s="2" t="s">
        <v>6840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2551</v>
      </c>
      <c r="BV2056" s="2" t="s">
        <v>97</v>
      </c>
      <c r="BW2056" s="2" t="s">
        <v>100</v>
      </c>
      <c r="BX2056" s="2" t="s">
        <v>100</v>
      </c>
      <c r="BY2056" s="2" t="s">
        <v>112</v>
      </c>
      <c r="BZ2056" s="2" t="s">
        <v>100</v>
      </c>
    </row>
    <row r="2057">
      <c r="A2057" s="2" t="s">
        <v>7086</v>
      </c>
      <c r="B2057" s="2" t="s">
        <v>6747</v>
      </c>
      <c r="C2057" s="2" t="s">
        <v>2831</v>
      </c>
      <c r="D2057" s="2" t="s">
        <v>7035</v>
      </c>
      <c r="E2057" s="2" t="s">
        <v>7036</v>
      </c>
      <c r="F2057" s="2" t="s">
        <v>7083</v>
      </c>
      <c r="G2057" s="2" t="s">
        <v>7083</v>
      </c>
      <c r="H2057" s="2" t="s">
        <v>7083</v>
      </c>
      <c r="I2057" s="2" t="s">
        <v>7087</v>
      </c>
      <c r="J2057" s="2" t="s">
        <v>3385</v>
      </c>
      <c r="K2057" s="2" t="s">
        <v>3803</v>
      </c>
      <c r="L2057" s="3">
        <v>162</v>
      </c>
      <c r="M2057" s="3">
        <v>170.1</v>
      </c>
      <c r="N2057" s="3">
        <v>349</v>
      </c>
      <c r="O2057" s="2" t="s">
        <v>97</v>
      </c>
      <c r="P2057" s="2" t="s">
        <v>98</v>
      </c>
      <c r="Q2057" s="2" t="s">
        <v>99</v>
      </c>
      <c r="R2057" s="2" t="s">
        <v>100</v>
      </c>
      <c r="S2057" s="2" t="s">
        <v>100</v>
      </c>
      <c r="T2057" s="2" t="s">
        <v>100</v>
      </c>
      <c r="U2057" s="2" t="s">
        <v>100</v>
      </c>
      <c r="V2057" s="2" t="s">
        <v>461</v>
      </c>
      <c r="W2057" s="2" t="s">
        <v>3394</v>
      </c>
      <c r="X2057" s="2" t="s">
        <v>100</v>
      </c>
      <c r="Y2057" s="2" t="s">
        <v>231</v>
      </c>
      <c r="Z2057" s="4">
        <v>517</v>
      </c>
      <c r="AA2057" s="4">
        <f>=ROUNDDOWN(47,0)</f>
      </c>
      <c r="AB2057" s="5">
        <v>11</v>
      </c>
      <c r="AC2057" s="2" t="s">
        <v>100</v>
      </c>
      <c r="AD2057" s="4"/>
      <c r="AE2057" s="4"/>
      <c r="AF2057" s="6">
        <v>74</v>
      </c>
      <c r="AG2057" s="6">
        <v>60</v>
      </c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/>
      <c r="AW2057" s="8"/>
      <c r="AX2057" s="4"/>
      <c r="AY2057" s="8"/>
      <c r="AZ2057" s="7"/>
      <c r="BA2057" s="7"/>
      <c r="BB2057" s="7"/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/>
      <c r="BJ2057" s="4">
        <v>47</v>
      </c>
      <c r="BK2057" s="8">
        <v>7065.51</v>
      </c>
      <c r="BL2057" s="2" t="s">
        <v>7088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2551</v>
      </c>
      <c r="BV2057" s="2" t="s">
        <v>97</v>
      </c>
      <c r="BW2057" s="2" t="s">
        <v>100</v>
      </c>
      <c r="BX2057" s="2" t="s">
        <v>100</v>
      </c>
      <c r="BY2057" s="2" t="s">
        <v>112</v>
      </c>
      <c r="BZ2057" s="2" t="s">
        <v>100</v>
      </c>
    </row>
    <row r="2058">
      <c r="A2058" s="2" t="s">
        <v>7089</v>
      </c>
      <c r="B2058" s="2" t="s">
        <v>6747</v>
      </c>
      <c r="C2058" s="2" t="s">
        <v>2831</v>
      </c>
      <c r="D2058" s="2" t="s">
        <v>7035</v>
      </c>
      <c r="E2058" s="2" t="s">
        <v>7036</v>
      </c>
      <c r="F2058" s="2" t="s">
        <v>6791</v>
      </c>
      <c r="G2058" s="2" t="s">
        <v>6791</v>
      </c>
      <c r="H2058" s="2" t="s">
        <v>6791</v>
      </c>
      <c r="I2058" s="2" t="s">
        <v>7090</v>
      </c>
      <c r="J2058" s="2" t="s">
        <v>3385</v>
      </c>
      <c r="K2058" s="2" t="s">
        <v>138</v>
      </c>
      <c r="L2058" s="3">
        <v>229.14</v>
      </c>
      <c r="M2058" s="3">
        <v>240.6</v>
      </c>
      <c r="N2058" s="3">
        <v>479</v>
      </c>
      <c r="O2058" s="2" t="s">
        <v>97</v>
      </c>
      <c r="P2058" s="2" t="s">
        <v>707</v>
      </c>
      <c r="Q2058" s="2" t="s">
        <v>99</v>
      </c>
      <c r="R2058" s="2" t="s">
        <v>100</v>
      </c>
      <c r="S2058" s="2" t="s">
        <v>100</v>
      </c>
      <c r="T2058" s="2" t="s">
        <v>100</v>
      </c>
      <c r="U2058" s="2" t="s">
        <v>894</v>
      </c>
      <c r="V2058" s="2" t="s">
        <v>3412</v>
      </c>
      <c r="W2058" s="2" t="s">
        <v>609</v>
      </c>
      <c r="X2058" s="2" t="s">
        <v>2835</v>
      </c>
      <c r="Y2058" s="2" t="s">
        <v>6793</v>
      </c>
      <c r="Z2058" s="4">
        <v>85</v>
      </c>
      <c r="AA2058" s="4">
        <f>=ROUNDDOWN(21.25,0)</f>
      </c>
      <c r="AB2058" s="5">
        <v>4</v>
      </c>
      <c r="AC2058" s="2" t="s">
        <v>7091</v>
      </c>
      <c r="AD2058" s="4">
        <v>100</v>
      </c>
      <c r="AE2058" s="4">
        <v>100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/>
      <c r="BD2058" s="8"/>
      <c r="BE2058" s="4"/>
      <c r="BF2058" s="8"/>
      <c r="BG2058" s="7"/>
      <c r="BH2058" s="7"/>
      <c r="BI2058" s="7"/>
      <c r="BJ2058" s="4">
        <v>11</v>
      </c>
      <c r="BK2058" s="8">
        <v>2521.45</v>
      </c>
      <c r="BL2058" s="2" t="s">
        <v>2807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2526</v>
      </c>
      <c r="BV2058" s="2" t="s">
        <v>97</v>
      </c>
      <c r="BW2058" s="2" t="s">
        <v>100</v>
      </c>
      <c r="BX2058" s="2" t="s">
        <v>100</v>
      </c>
      <c r="BY2058" s="2" t="s">
        <v>112</v>
      </c>
      <c r="BZ2058" s="2" t="s">
        <v>100</v>
      </c>
    </row>
    <row r="2059">
      <c r="A2059" s="2" t="s">
        <v>7092</v>
      </c>
      <c r="B2059" s="2" t="s">
        <v>6747</v>
      </c>
      <c r="C2059" s="2" t="s">
        <v>2831</v>
      </c>
      <c r="D2059" s="2" t="s">
        <v>7035</v>
      </c>
      <c r="E2059" s="2" t="s">
        <v>7036</v>
      </c>
      <c r="F2059" s="2" t="s">
        <v>7029</v>
      </c>
      <c r="G2059" s="2" t="s">
        <v>7029</v>
      </c>
      <c r="H2059" s="2" t="s">
        <v>7029</v>
      </c>
      <c r="I2059" s="2" t="s">
        <v>7093</v>
      </c>
      <c r="J2059" s="2" t="s">
        <v>3385</v>
      </c>
      <c r="K2059" s="2" t="s">
        <v>3803</v>
      </c>
      <c r="L2059" s="3">
        <v>164.59</v>
      </c>
      <c r="M2059" s="3">
        <v>172.82</v>
      </c>
      <c r="N2059" s="3">
        <v>349</v>
      </c>
      <c r="O2059" s="2" t="s">
        <v>97</v>
      </c>
      <c r="P2059" s="2" t="s">
        <v>707</v>
      </c>
      <c r="Q2059" s="2" t="s">
        <v>99</v>
      </c>
      <c r="R2059" s="2" t="s">
        <v>100</v>
      </c>
      <c r="S2059" s="2" t="s">
        <v>100</v>
      </c>
      <c r="T2059" s="2" t="s">
        <v>100</v>
      </c>
      <c r="U2059" s="2" t="s">
        <v>100</v>
      </c>
      <c r="V2059" s="2" t="s">
        <v>461</v>
      </c>
      <c r="W2059" s="2" t="s">
        <v>3394</v>
      </c>
      <c r="X2059" s="2" t="s">
        <v>100</v>
      </c>
      <c r="Y2059" s="2" t="s">
        <v>231</v>
      </c>
      <c r="Z2059" s="4">
        <v>124</v>
      </c>
      <c r="AA2059" s="4">
        <f>=ROUNDDOWN(24.8,0)</f>
      </c>
      <c r="AB2059" s="5">
        <v>5</v>
      </c>
      <c r="AC2059" s="2" t="s">
        <v>3024</v>
      </c>
      <c r="AD2059" s="4">
        <v>100</v>
      </c>
      <c r="AE2059" s="4">
        <v>100</v>
      </c>
      <c r="AF2059" s="6">
        <v>74</v>
      </c>
      <c r="AG2059" s="6">
        <v>60</v>
      </c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/>
      <c r="BJ2059" s="4">
        <v>7</v>
      </c>
      <c r="BK2059" s="8">
        <v>1189.79</v>
      </c>
      <c r="BL2059" s="2" t="s">
        <v>3966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2526</v>
      </c>
      <c r="BV2059" s="2" t="s">
        <v>97</v>
      </c>
      <c r="BW2059" s="2" t="s">
        <v>100</v>
      </c>
      <c r="BX2059" s="2" t="s">
        <v>100</v>
      </c>
      <c r="BY2059" s="2" t="s">
        <v>112</v>
      </c>
      <c r="BZ2059" s="2" t="s">
        <v>100</v>
      </c>
    </row>
    <row r="2060">
      <c r="A2060" s="2" t="s">
        <v>7094</v>
      </c>
      <c r="B2060" s="2" t="s">
        <v>6747</v>
      </c>
      <c r="C2060" s="2" t="s">
        <v>2831</v>
      </c>
      <c r="D2060" s="2" t="s">
        <v>7035</v>
      </c>
      <c r="E2060" s="2" t="s">
        <v>7036</v>
      </c>
      <c r="F2060" s="2" t="s">
        <v>7029</v>
      </c>
      <c r="G2060" s="2" t="s">
        <v>7029</v>
      </c>
      <c r="H2060" s="2" t="s">
        <v>7029</v>
      </c>
      <c r="I2060" s="2" t="s">
        <v>7093</v>
      </c>
      <c r="J2060" s="2" t="s">
        <v>3385</v>
      </c>
      <c r="K2060" s="2" t="s">
        <v>3564</v>
      </c>
      <c r="L2060" s="3">
        <v>164.59</v>
      </c>
      <c r="M2060" s="3">
        <v>172.82</v>
      </c>
      <c r="N2060" s="3">
        <v>349</v>
      </c>
      <c r="O2060" s="2" t="s">
        <v>97</v>
      </c>
      <c r="P2060" s="2" t="s">
        <v>98</v>
      </c>
      <c r="Q2060" s="2" t="s">
        <v>99</v>
      </c>
      <c r="R2060" s="2" t="s">
        <v>100</v>
      </c>
      <c r="S2060" s="2" t="s">
        <v>100</v>
      </c>
      <c r="T2060" s="2" t="s">
        <v>100</v>
      </c>
      <c r="U2060" s="2" t="s">
        <v>100</v>
      </c>
      <c r="V2060" s="2" t="s">
        <v>461</v>
      </c>
      <c r="W2060" s="2" t="s">
        <v>3394</v>
      </c>
      <c r="X2060" s="2" t="s">
        <v>493</v>
      </c>
      <c r="Y2060" s="2" t="s">
        <v>7095</v>
      </c>
      <c r="Z2060" s="4">
        <v>132</v>
      </c>
      <c r="AA2060" s="4">
        <f>=ROUNDDOWN(33,0)</f>
      </c>
      <c r="AB2060" s="5">
        <v>4</v>
      </c>
      <c r="AC2060" s="2" t="s">
        <v>7033</v>
      </c>
      <c r="AD2060" s="4">
        <v>100</v>
      </c>
      <c r="AE2060" s="4">
        <v>100</v>
      </c>
      <c r="AF2060" s="6">
        <v>74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/>
      <c r="AW2060" s="8"/>
      <c r="AX2060" s="4"/>
      <c r="AY2060" s="8"/>
      <c r="AZ2060" s="7"/>
      <c r="BA2060" s="7"/>
      <c r="BB2060" s="7"/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/>
      <c r="BJ2060" s="4">
        <v>15</v>
      </c>
      <c r="BK2060" s="8">
        <v>2419.79</v>
      </c>
      <c r="BL2060" s="2" t="s">
        <v>7096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2551</v>
      </c>
      <c r="BV2060" s="2" t="s">
        <v>97</v>
      </c>
      <c r="BW2060" s="2" t="s">
        <v>100</v>
      </c>
      <c r="BX2060" s="2" t="s">
        <v>100</v>
      </c>
      <c r="BY2060" s="2" t="s">
        <v>112</v>
      </c>
      <c r="BZ2060" s="2" t="s">
        <v>100</v>
      </c>
    </row>
    <row r="2061">
      <c r="A2061" s="2" t="s">
        <v>7097</v>
      </c>
      <c r="B2061" s="2" t="s">
        <v>6747</v>
      </c>
      <c r="C2061" s="2" t="s">
        <v>2831</v>
      </c>
      <c r="D2061" s="2" t="s">
        <v>7035</v>
      </c>
      <c r="E2061" s="2" t="s">
        <v>7036</v>
      </c>
      <c r="F2061" s="2" t="s">
        <v>7029</v>
      </c>
      <c r="G2061" s="2" t="s">
        <v>7029</v>
      </c>
      <c r="H2061" s="2" t="s">
        <v>7029</v>
      </c>
      <c r="I2061" s="2" t="s">
        <v>7093</v>
      </c>
      <c r="J2061" s="2" t="s">
        <v>3385</v>
      </c>
      <c r="K2061" s="2" t="s">
        <v>7031</v>
      </c>
      <c r="L2061" s="3">
        <v>164.59</v>
      </c>
      <c r="M2061" s="3">
        <v>172.82</v>
      </c>
      <c r="N2061" s="3">
        <v>349</v>
      </c>
      <c r="O2061" s="2" t="s">
        <v>97</v>
      </c>
      <c r="P2061" s="2" t="s">
        <v>98</v>
      </c>
      <c r="Q2061" s="2" t="s">
        <v>99</v>
      </c>
      <c r="R2061" s="2" t="s">
        <v>100</v>
      </c>
      <c r="S2061" s="2" t="s">
        <v>100</v>
      </c>
      <c r="T2061" s="2" t="s">
        <v>100</v>
      </c>
      <c r="U2061" s="2" t="s">
        <v>100</v>
      </c>
      <c r="V2061" s="2" t="s">
        <v>461</v>
      </c>
      <c r="W2061" s="2" t="s">
        <v>3394</v>
      </c>
      <c r="X2061" s="2" t="s">
        <v>493</v>
      </c>
      <c r="Y2061" s="2" t="s">
        <v>7098</v>
      </c>
      <c r="Z2061" s="4">
        <v>172</v>
      </c>
      <c r="AA2061" s="4">
        <f>=ROUNDDOWN(43,0)</f>
      </c>
      <c r="AB2061" s="5">
        <v>4</v>
      </c>
      <c r="AC2061" s="2" t="s">
        <v>100</v>
      </c>
      <c r="AD2061" s="4"/>
      <c r="AE2061" s="4"/>
      <c r="AF2061" s="6">
        <v>74</v>
      </c>
      <c r="AG2061" s="6">
        <v>60</v>
      </c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/>
      <c r="BJ2061" s="4">
        <v>28</v>
      </c>
      <c r="BK2061" s="8">
        <v>4077.6</v>
      </c>
      <c r="BL2061" s="2" t="s">
        <v>7099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2551</v>
      </c>
      <c r="BV2061" s="2" t="s">
        <v>97</v>
      </c>
      <c r="BW2061" s="2" t="s">
        <v>100</v>
      </c>
      <c r="BX2061" s="2" t="s">
        <v>100</v>
      </c>
      <c r="BY2061" s="2" t="s">
        <v>112</v>
      </c>
      <c r="BZ2061" s="2" t="s">
        <v>100</v>
      </c>
    </row>
    <row r="2062">
      <c r="A2062" s="2" t="s">
        <v>7100</v>
      </c>
      <c r="B2062" s="2" t="s">
        <v>6747</v>
      </c>
      <c r="C2062" s="2" t="s">
        <v>2831</v>
      </c>
      <c r="D2062" s="2" t="s">
        <v>7035</v>
      </c>
      <c r="E2062" s="2" t="s">
        <v>7036</v>
      </c>
      <c r="F2062" s="2" t="s">
        <v>7000</v>
      </c>
      <c r="G2062" s="2" t="s">
        <v>7000</v>
      </c>
      <c r="H2062" s="2" t="s">
        <v>7000</v>
      </c>
      <c r="I2062" s="2" t="s">
        <v>7041</v>
      </c>
      <c r="J2062" s="2" t="s">
        <v>3385</v>
      </c>
      <c r="K2062" s="2" t="s">
        <v>96</v>
      </c>
      <c r="L2062" s="3">
        <v>195</v>
      </c>
      <c r="M2062" s="3">
        <v>204.75</v>
      </c>
      <c r="N2062" s="3">
        <v>409</v>
      </c>
      <c r="O2062" s="2" t="s">
        <v>97</v>
      </c>
      <c r="P2062" s="2" t="s">
        <v>707</v>
      </c>
      <c r="Q2062" s="2" t="s">
        <v>99</v>
      </c>
      <c r="R2062" s="2" t="s">
        <v>100</v>
      </c>
      <c r="S2062" s="2" t="s">
        <v>7101</v>
      </c>
      <c r="T2062" s="2" t="s">
        <v>100</v>
      </c>
      <c r="U2062" s="2" t="s">
        <v>100</v>
      </c>
      <c r="V2062" s="2" t="s">
        <v>461</v>
      </c>
      <c r="W2062" s="2" t="s">
        <v>3394</v>
      </c>
      <c r="X2062" s="2" t="s">
        <v>100</v>
      </c>
      <c r="Y2062" s="2" t="s">
        <v>144</v>
      </c>
      <c r="Z2062" s="4">
        <v>78</v>
      </c>
      <c r="AA2062" s="4">
        <f>=ROUNDDOWN(19.5,0)</f>
      </c>
      <c r="AB2062" s="5">
        <v>4</v>
      </c>
      <c r="AC2062" s="2" t="s">
        <v>1238</v>
      </c>
      <c r="AD2062" s="4">
        <v>176</v>
      </c>
      <c r="AE2062" s="4">
        <v>176</v>
      </c>
      <c r="AF2062" s="6">
        <v>76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/>
      <c r="BD2062" s="8"/>
      <c r="BE2062" s="4"/>
      <c r="BF2062" s="8"/>
      <c r="BG2062" s="7"/>
      <c r="BH2062" s="7"/>
      <c r="BI2062" s="7"/>
      <c r="BJ2062" s="4">
        <v>5</v>
      </c>
      <c r="BK2062" s="8">
        <v>790.4</v>
      </c>
      <c r="BL2062" s="2" t="s">
        <v>7102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2526</v>
      </c>
      <c r="BV2062" s="2" t="s">
        <v>97</v>
      </c>
      <c r="BW2062" s="2" t="s">
        <v>100</v>
      </c>
      <c r="BX2062" s="2" t="s">
        <v>100</v>
      </c>
      <c r="BY2062" s="2" t="s">
        <v>112</v>
      </c>
      <c r="BZ2062" s="2" t="s">
        <v>100</v>
      </c>
    </row>
    <row r="2063">
      <c r="A2063" s="2" t="s">
        <v>7103</v>
      </c>
      <c r="B2063" s="2" t="s">
        <v>6747</v>
      </c>
      <c r="C2063" s="2" t="s">
        <v>2831</v>
      </c>
      <c r="D2063" s="2" t="s">
        <v>7104</v>
      </c>
      <c r="E2063" s="2" t="s">
        <v>7105</v>
      </c>
      <c r="F2063" s="2" t="s">
        <v>7014</v>
      </c>
      <c r="G2063" s="2" t="s">
        <v>100</v>
      </c>
      <c r="H2063" s="2" t="s">
        <v>100</v>
      </c>
      <c r="I2063" s="2" t="s">
        <v>7106</v>
      </c>
      <c r="J2063" s="2" t="s">
        <v>3385</v>
      </c>
      <c r="K2063" s="2" t="s">
        <v>6935</v>
      </c>
      <c r="L2063" s="3">
        <v>180.5</v>
      </c>
      <c r="M2063" s="3">
        <v>189.52</v>
      </c>
      <c r="N2063" s="3">
        <v>379</v>
      </c>
      <c r="O2063" s="2" t="s">
        <v>97</v>
      </c>
      <c r="P2063" s="2" t="s">
        <v>707</v>
      </c>
      <c r="Q2063" s="2" t="s">
        <v>99</v>
      </c>
      <c r="R2063" s="2" t="s">
        <v>100</v>
      </c>
      <c r="S2063" s="2" t="s">
        <v>7107</v>
      </c>
      <c r="T2063" s="2" t="s">
        <v>100</v>
      </c>
      <c r="U2063" s="2" t="s">
        <v>100</v>
      </c>
      <c r="V2063" s="2" t="s">
        <v>461</v>
      </c>
      <c r="W2063" s="2" t="s">
        <v>2835</v>
      </c>
      <c r="X2063" s="2" t="s">
        <v>100</v>
      </c>
      <c r="Y2063" s="2" t="s">
        <v>144</v>
      </c>
      <c r="Z2063" s="4">
        <v>84</v>
      </c>
      <c r="AA2063" s="4">
        <f>=ROUNDDOWN(42,0)</f>
      </c>
      <c r="AB2063" s="5">
        <v>2</v>
      </c>
      <c r="AC2063" s="2" t="s">
        <v>7108</v>
      </c>
      <c r="AD2063" s="4">
        <v>99</v>
      </c>
      <c r="AE2063" s="4">
        <v>99</v>
      </c>
      <c r="AF2063" s="6">
        <v>74</v>
      </c>
      <c r="AG2063" s="6">
        <v>60</v>
      </c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/>
      <c r="AW2063" s="8"/>
      <c r="AX2063" s="4"/>
      <c r="AY2063" s="8"/>
      <c r="AZ2063" s="7"/>
      <c r="BA2063" s="7"/>
      <c r="BB2063" s="7"/>
      <c r="BC2063" s="4"/>
      <c r="BD2063" s="8"/>
      <c r="BE2063" s="4"/>
      <c r="BF2063" s="8"/>
      <c r="BG2063" s="7"/>
      <c r="BH2063" s="7"/>
      <c r="BI2063" s="7"/>
      <c r="BJ2063" s="4">
        <v>8</v>
      </c>
      <c r="BK2063" s="8">
        <v>1361.34</v>
      </c>
      <c r="BL2063" s="2" t="s">
        <v>7109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2526</v>
      </c>
      <c r="BV2063" s="2" t="s">
        <v>97</v>
      </c>
      <c r="BW2063" s="2" t="s">
        <v>100</v>
      </c>
      <c r="BX2063" s="2" t="s">
        <v>100</v>
      </c>
      <c r="BY2063" s="2" t="s">
        <v>112</v>
      </c>
      <c r="BZ2063" s="2" t="s">
        <v>100</v>
      </c>
    </row>
    <row r="2064">
      <c r="A2064" s="2" t="s">
        <v>7110</v>
      </c>
      <c r="B2064" s="2" t="s">
        <v>6747</v>
      </c>
      <c r="C2064" s="2" t="s">
        <v>2831</v>
      </c>
      <c r="D2064" s="2" t="s">
        <v>7104</v>
      </c>
      <c r="E2064" s="2" t="s">
        <v>7105</v>
      </c>
      <c r="F2064" s="2" t="s">
        <v>3821</v>
      </c>
      <c r="G2064" s="2" t="s">
        <v>3821</v>
      </c>
      <c r="H2064" s="2" t="s">
        <v>3821</v>
      </c>
      <c r="I2064" s="2" t="s">
        <v>7111</v>
      </c>
      <c r="J2064" s="2" t="s">
        <v>3385</v>
      </c>
      <c r="K2064" s="2" t="s">
        <v>6935</v>
      </c>
      <c r="L2064" s="3">
        <v>256.68</v>
      </c>
      <c r="M2064" s="3">
        <v>269.51</v>
      </c>
      <c r="N2064" s="3">
        <v>549</v>
      </c>
      <c r="O2064" s="2" t="s">
        <v>97</v>
      </c>
      <c r="P2064" s="2" t="s">
        <v>707</v>
      </c>
      <c r="Q2064" s="2" t="s">
        <v>99</v>
      </c>
      <c r="R2064" s="2" t="s">
        <v>100</v>
      </c>
      <c r="S2064" s="2" t="s">
        <v>100</v>
      </c>
      <c r="T2064" s="2" t="s">
        <v>100</v>
      </c>
      <c r="U2064" s="2" t="s">
        <v>100</v>
      </c>
      <c r="V2064" s="2" t="s">
        <v>3412</v>
      </c>
      <c r="W2064" s="2" t="s">
        <v>493</v>
      </c>
      <c r="X2064" s="2" t="s">
        <v>2835</v>
      </c>
      <c r="Y2064" s="2" t="s">
        <v>7112</v>
      </c>
      <c r="Z2064" s="4">
        <v>121</v>
      </c>
      <c r="AA2064" s="4">
        <f>=ROUNDDOWN(60.5,0)</f>
      </c>
      <c r="AB2064" s="5">
        <v>2</v>
      </c>
      <c r="AC2064" s="2" t="s">
        <v>100</v>
      </c>
      <c r="AD2064" s="4"/>
      <c r="AE2064" s="4"/>
      <c r="AF2064" s="6">
        <v>74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/>
      <c r="BD2064" s="8"/>
      <c r="BE2064" s="4"/>
      <c r="BF2064" s="8"/>
      <c r="BG2064" s="7"/>
      <c r="BH2064" s="7"/>
      <c r="BI2064" s="7"/>
      <c r="BJ2064" s="4">
        <v>7</v>
      </c>
      <c r="BK2064" s="8">
        <v>2016.13</v>
      </c>
      <c r="BL2064" s="2" t="s">
        <v>4250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2526</v>
      </c>
      <c r="BV2064" s="2" t="s">
        <v>97</v>
      </c>
      <c r="BW2064" s="2" t="s">
        <v>100</v>
      </c>
      <c r="BX2064" s="2" t="s">
        <v>100</v>
      </c>
      <c r="BY2064" s="2" t="s">
        <v>112</v>
      </c>
      <c r="BZ2064" s="2" t="s">
        <v>100</v>
      </c>
    </row>
    <row r="2065">
      <c r="A2065" s="2" t="s">
        <v>7113</v>
      </c>
      <c r="B2065" s="2" t="s">
        <v>6747</v>
      </c>
      <c r="C2065" s="2" t="s">
        <v>2831</v>
      </c>
      <c r="D2065" s="2" t="s">
        <v>7104</v>
      </c>
      <c r="E2065" s="2" t="s">
        <v>7105</v>
      </c>
      <c r="F2065" s="2" t="s">
        <v>7114</v>
      </c>
      <c r="G2065" s="2" t="s">
        <v>7114</v>
      </c>
      <c r="H2065" s="2" t="s">
        <v>7114</v>
      </c>
      <c r="I2065" s="2" t="s">
        <v>7115</v>
      </c>
      <c r="J2065" s="2" t="s">
        <v>3385</v>
      </c>
      <c r="K2065" s="2" t="s">
        <v>6935</v>
      </c>
      <c r="L2065" s="3">
        <v>262.2</v>
      </c>
      <c r="M2065" s="3">
        <v>275.31</v>
      </c>
      <c r="N2065" s="3">
        <v>549</v>
      </c>
      <c r="O2065" s="2" t="s">
        <v>97</v>
      </c>
      <c r="P2065" s="2" t="s">
        <v>98</v>
      </c>
      <c r="Q2065" s="2" t="s">
        <v>99</v>
      </c>
      <c r="R2065" s="2" t="s">
        <v>100</v>
      </c>
      <c r="S2065" s="2" t="s">
        <v>100</v>
      </c>
      <c r="T2065" s="2" t="s">
        <v>100</v>
      </c>
      <c r="U2065" s="2" t="s">
        <v>1776</v>
      </c>
      <c r="V2065" s="2" t="s">
        <v>3412</v>
      </c>
      <c r="W2065" s="2" t="s">
        <v>493</v>
      </c>
      <c r="X2065" s="2" t="s">
        <v>609</v>
      </c>
      <c r="Y2065" s="2" t="s">
        <v>7116</v>
      </c>
      <c r="Z2065" s="4">
        <v>59</v>
      </c>
      <c r="AA2065" s="4">
        <f>=ROUNDDOWN(14.75,0)</f>
      </c>
      <c r="AB2065" s="5">
        <v>4</v>
      </c>
      <c r="AC2065" s="2" t="s">
        <v>7071</v>
      </c>
      <c r="AD2065" s="4">
        <v>155</v>
      </c>
      <c r="AE2065" s="4">
        <v>155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/>
      <c r="BD2065" s="8"/>
      <c r="BE2065" s="4"/>
      <c r="BF2065" s="8"/>
      <c r="BG2065" s="7"/>
      <c r="BH2065" s="7"/>
      <c r="BI2065" s="7"/>
      <c r="BJ2065" s="4">
        <v>9</v>
      </c>
      <c r="BK2065" s="8">
        <v>2419.43</v>
      </c>
      <c r="BL2065" s="2" t="s">
        <v>3201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2551</v>
      </c>
      <c r="BV2065" s="2" t="s">
        <v>97</v>
      </c>
      <c r="BW2065" s="2" t="s">
        <v>100</v>
      </c>
      <c r="BX2065" s="2" t="s">
        <v>100</v>
      </c>
      <c r="BY2065" s="2" t="s">
        <v>112</v>
      </c>
      <c r="BZ2065" s="2" t="s">
        <v>100</v>
      </c>
    </row>
    <row r="2066">
      <c r="A2066" s="2" t="s">
        <v>7117</v>
      </c>
      <c r="B2066" s="2" t="s">
        <v>6747</v>
      </c>
      <c r="C2066" s="2" t="s">
        <v>2831</v>
      </c>
      <c r="D2066" s="2" t="s">
        <v>7104</v>
      </c>
      <c r="E2066" s="2" t="s">
        <v>7105</v>
      </c>
      <c r="F2066" s="2" t="s">
        <v>6965</v>
      </c>
      <c r="G2066" s="2" t="s">
        <v>100</v>
      </c>
      <c r="H2066" s="2" t="s">
        <v>100</v>
      </c>
      <c r="I2066" s="2" t="s">
        <v>7118</v>
      </c>
      <c r="J2066" s="2" t="s">
        <v>3385</v>
      </c>
      <c r="K2066" s="2" t="s">
        <v>1026</v>
      </c>
      <c r="L2066" s="3">
        <v>451.25</v>
      </c>
      <c r="M2066" s="3">
        <v>473.81</v>
      </c>
      <c r="N2066" s="3">
        <v>949</v>
      </c>
      <c r="O2066" s="2" t="s">
        <v>97</v>
      </c>
      <c r="P2066" s="2" t="s">
        <v>707</v>
      </c>
      <c r="Q2066" s="2" t="s">
        <v>99</v>
      </c>
      <c r="R2066" s="2" t="s">
        <v>100</v>
      </c>
      <c r="S2066" s="2" t="s">
        <v>7119</v>
      </c>
      <c r="T2066" s="2" t="s">
        <v>100</v>
      </c>
      <c r="U2066" s="2" t="s">
        <v>100</v>
      </c>
      <c r="V2066" s="2" t="s">
        <v>461</v>
      </c>
      <c r="W2066" s="2" t="s">
        <v>3394</v>
      </c>
      <c r="X2066" s="2" t="s">
        <v>100</v>
      </c>
      <c r="Y2066" s="2" t="s">
        <v>144</v>
      </c>
      <c r="Z2066" s="4">
        <v>117</v>
      </c>
      <c r="AA2066" s="4">
        <f>=ROUNDDOWN(58.5,0)</f>
      </c>
      <c r="AB2066" s="5">
        <v>2</v>
      </c>
      <c r="AC2066" s="2" t="s">
        <v>100</v>
      </c>
      <c r="AD2066" s="4"/>
      <c r="AE2066" s="4"/>
      <c r="AF2066" s="6">
        <v>74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/>
      <c r="AW2066" s="8"/>
      <c r="AX2066" s="4"/>
      <c r="AY2066" s="8"/>
      <c r="AZ2066" s="7"/>
      <c r="BA2066" s="7"/>
      <c r="BB2066" s="7"/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/>
      <c r="BJ2066" s="4">
        <v>9</v>
      </c>
      <c r="BK2066" s="8">
        <v>3852.46</v>
      </c>
      <c r="BL2066" s="2" t="s">
        <v>6895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2526</v>
      </c>
      <c r="BV2066" s="2" t="s">
        <v>97</v>
      </c>
      <c r="BW2066" s="2" t="s">
        <v>100</v>
      </c>
      <c r="BX2066" s="2" t="s">
        <v>100</v>
      </c>
      <c r="BY2066" s="2" t="s">
        <v>112</v>
      </c>
      <c r="BZ2066" s="2" t="s">
        <v>100</v>
      </c>
    </row>
    <row r="2067">
      <c r="A2067" s="2" t="s">
        <v>7120</v>
      </c>
      <c r="B2067" s="2" t="s">
        <v>6747</v>
      </c>
      <c r="C2067" s="2" t="s">
        <v>2831</v>
      </c>
      <c r="D2067" s="2" t="s">
        <v>7104</v>
      </c>
      <c r="E2067" s="2" t="s">
        <v>7105</v>
      </c>
      <c r="F2067" s="2" t="s">
        <v>6965</v>
      </c>
      <c r="G2067" s="2" t="s">
        <v>6965</v>
      </c>
      <c r="H2067" s="2" t="s">
        <v>100</v>
      </c>
      <c r="I2067" s="2" t="s">
        <v>7121</v>
      </c>
      <c r="J2067" s="2" t="s">
        <v>3385</v>
      </c>
      <c r="K2067" s="2" t="s">
        <v>6967</v>
      </c>
      <c r="L2067" s="3">
        <v>380</v>
      </c>
      <c r="M2067" s="3">
        <v>399</v>
      </c>
      <c r="N2067" s="3">
        <v>799</v>
      </c>
      <c r="O2067" s="2" t="s">
        <v>97</v>
      </c>
      <c r="P2067" s="2" t="s">
        <v>98</v>
      </c>
      <c r="Q2067" s="2" t="s">
        <v>99</v>
      </c>
      <c r="R2067" s="2" t="s">
        <v>100</v>
      </c>
      <c r="S2067" s="2" t="s">
        <v>7122</v>
      </c>
      <c r="T2067" s="2" t="s">
        <v>100</v>
      </c>
      <c r="U2067" s="2" t="s">
        <v>100</v>
      </c>
      <c r="V2067" s="2" t="s">
        <v>461</v>
      </c>
      <c r="W2067" s="2" t="s">
        <v>3394</v>
      </c>
      <c r="X2067" s="2" t="s">
        <v>100</v>
      </c>
      <c r="Y2067" s="2" t="s">
        <v>144</v>
      </c>
      <c r="Z2067" s="4">
        <v>211</v>
      </c>
      <c r="AA2067" s="4">
        <f>=ROUNDDOWN(43.9583333333333,0)</f>
      </c>
      <c r="AB2067" s="5">
        <v>4.8</v>
      </c>
      <c r="AC2067" s="2" t="s">
        <v>100</v>
      </c>
      <c r="AD2067" s="4"/>
      <c r="AE2067" s="4"/>
      <c r="AF2067" s="6">
        <v>74</v>
      </c>
      <c r="AG2067" s="6">
        <v>60</v>
      </c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/>
      <c r="BJ2067" s="4">
        <v>20</v>
      </c>
      <c r="BK2067" s="8">
        <v>7581.62</v>
      </c>
      <c r="BL2067" s="2" t="s">
        <v>2765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2551</v>
      </c>
      <c r="BV2067" s="2" t="s">
        <v>97</v>
      </c>
      <c r="BW2067" s="2" t="s">
        <v>100</v>
      </c>
      <c r="BX2067" s="2" t="s">
        <v>100</v>
      </c>
      <c r="BY2067" s="2" t="s">
        <v>112</v>
      </c>
      <c r="BZ2067" s="2" t="s">
        <v>100</v>
      </c>
    </row>
    <row r="2068">
      <c r="A2068" s="2" t="s">
        <v>7123</v>
      </c>
      <c r="B2068" s="2" t="s">
        <v>6747</v>
      </c>
      <c r="C2068" s="2" t="s">
        <v>2831</v>
      </c>
      <c r="D2068" s="2" t="s">
        <v>7104</v>
      </c>
      <c r="E2068" s="2" t="s">
        <v>7105</v>
      </c>
      <c r="F2068" s="2" t="s">
        <v>1132</v>
      </c>
      <c r="G2068" s="2" t="s">
        <v>1132</v>
      </c>
      <c r="H2068" s="2" t="s">
        <v>1132</v>
      </c>
      <c r="I2068" s="2" t="s">
        <v>7124</v>
      </c>
      <c r="J2068" s="2" t="s">
        <v>3385</v>
      </c>
      <c r="K2068" s="2" t="s">
        <v>165</v>
      </c>
      <c r="L2068" s="3">
        <v>405</v>
      </c>
      <c r="M2068" s="3">
        <v>425.25</v>
      </c>
      <c r="N2068" s="3">
        <v>849</v>
      </c>
      <c r="O2068" s="2" t="s">
        <v>97</v>
      </c>
      <c r="P2068" s="2" t="s">
        <v>707</v>
      </c>
      <c r="Q2068" s="2" t="s">
        <v>99</v>
      </c>
      <c r="R2068" s="2" t="s">
        <v>100</v>
      </c>
      <c r="S2068" s="2" t="s">
        <v>100</v>
      </c>
      <c r="T2068" s="2" t="s">
        <v>100</v>
      </c>
      <c r="U2068" s="2" t="s">
        <v>100</v>
      </c>
      <c r="V2068" s="2" t="s">
        <v>3412</v>
      </c>
      <c r="W2068" s="2" t="s">
        <v>2835</v>
      </c>
      <c r="X2068" s="2" t="s">
        <v>493</v>
      </c>
      <c r="Y2068" s="2" t="s">
        <v>931</v>
      </c>
      <c r="Z2068" s="4">
        <v>124</v>
      </c>
      <c r="AA2068" s="4">
        <f>=ROUNDDOWN(82.6666666666667,0)</f>
      </c>
      <c r="AB2068" s="5">
        <v>1.5</v>
      </c>
      <c r="AC2068" s="2" t="s">
        <v>1398</v>
      </c>
      <c r="AD2068" s="4">
        <v>100</v>
      </c>
      <c r="AE2068" s="4">
        <v>100</v>
      </c>
      <c r="AF2068" s="6">
        <v>74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/>
      <c r="AW2068" s="8"/>
      <c r="AX2068" s="4"/>
      <c r="AY2068" s="8"/>
      <c r="AZ2068" s="7"/>
      <c r="BA2068" s="7"/>
      <c r="BB2068" s="7"/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/>
      <c r="BJ2068" s="4">
        <v>11</v>
      </c>
      <c r="BK2068" s="8">
        <v>4002.89</v>
      </c>
      <c r="BL2068" s="2" t="s">
        <v>6821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2526</v>
      </c>
      <c r="BV2068" s="2" t="s">
        <v>97</v>
      </c>
      <c r="BW2068" s="2" t="s">
        <v>100</v>
      </c>
      <c r="BX2068" s="2" t="s">
        <v>100</v>
      </c>
      <c r="BY2068" s="2" t="s">
        <v>112</v>
      </c>
      <c r="BZ2068" s="2" t="s">
        <v>100</v>
      </c>
    </row>
    <row r="2069">
      <c r="A2069" s="2" t="s">
        <v>7125</v>
      </c>
      <c r="B2069" s="2" t="s">
        <v>6747</v>
      </c>
      <c r="C2069" s="2" t="s">
        <v>2831</v>
      </c>
      <c r="D2069" s="2" t="s">
        <v>7104</v>
      </c>
      <c r="E2069" s="2" t="s">
        <v>7105</v>
      </c>
      <c r="F2069" s="2" t="s">
        <v>1132</v>
      </c>
      <c r="G2069" s="2" t="s">
        <v>1132</v>
      </c>
      <c r="H2069" s="2" t="s">
        <v>1132</v>
      </c>
      <c r="I2069" s="2" t="s">
        <v>7124</v>
      </c>
      <c r="J2069" s="2" t="s">
        <v>3385</v>
      </c>
      <c r="K2069" s="2" t="s">
        <v>3543</v>
      </c>
      <c r="L2069" s="3">
        <v>405</v>
      </c>
      <c r="M2069" s="3">
        <v>425.25</v>
      </c>
      <c r="N2069" s="3">
        <v>849</v>
      </c>
      <c r="O2069" s="2" t="s">
        <v>97</v>
      </c>
      <c r="P2069" s="2" t="s">
        <v>98</v>
      </c>
      <c r="Q2069" s="2" t="s">
        <v>99</v>
      </c>
      <c r="R2069" s="2" t="s">
        <v>100</v>
      </c>
      <c r="S2069" s="2" t="s">
        <v>6945</v>
      </c>
      <c r="T2069" s="2" t="s">
        <v>100</v>
      </c>
      <c r="U2069" s="2" t="s">
        <v>100</v>
      </c>
      <c r="V2069" s="2" t="s">
        <v>461</v>
      </c>
      <c r="W2069" s="2" t="s">
        <v>2835</v>
      </c>
      <c r="X2069" s="2" t="s">
        <v>100</v>
      </c>
      <c r="Y2069" s="2" t="s">
        <v>144</v>
      </c>
      <c r="Z2069" s="4">
        <v>122</v>
      </c>
      <c r="AA2069" s="4">
        <f>=ROUNDDOWN(53.0434782608696,0)</f>
      </c>
      <c r="AB2069" s="5">
        <v>2.3</v>
      </c>
      <c r="AC2069" s="2" t="s">
        <v>7126</v>
      </c>
      <c r="AD2069" s="4">
        <v>100</v>
      </c>
      <c r="AE2069" s="4">
        <v>100</v>
      </c>
      <c r="AF2069" s="6">
        <v>74</v>
      </c>
      <c r="AG2069" s="6">
        <v>60</v>
      </c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/>
      <c r="AW2069" s="8"/>
      <c r="AX2069" s="4"/>
      <c r="AY2069" s="8"/>
      <c r="AZ2069" s="7"/>
      <c r="BA2069" s="7"/>
      <c r="BB2069" s="7"/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/>
      <c r="BJ2069" s="4">
        <v>9</v>
      </c>
      <c r="BK2069" s="8">
        <v>3043.04</v>
      </c>
      <c r="BL2069" s="2" t="s">
        <v>6821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2551</v>
      </c>
      <c r="BV2069" s="2" t="s">
        <v>97</v>
      </c>
      <c r="BW2069" s="2" t="s">
        <v>100</v>
      </c>
      <c r="BX2069" s="2" t="s">
        <v>100</v>
      </c>
      <c r="BY2069" s="2" t="s">
        <v>112</v>
      </c>
      <c r="BZ2069" s="2" t="s">
        <v>100</v>
      </c>
    </row>
    <row r="2070">
      <c r="A2070" s="2" t="s">
        <v>7127</v>
      </c>
      <c r="B2070" s="2" t="s">
        <v>6747</v>
      </c>
      <c r="C2070" s="2" t="s">
        <v>2831</v>
      </c>
      <c r="D2070" s="2" t="s">
        <v>7104</v>
      </c>
      <c r="E2070" s="2" t="s">
        <v>7105</v>
      </c>
      <c r="F2070" s="2" t="s">
        <v>7083</v>
      </c>
      <c r="G2070" s="2" t="s">
        <v>7083</v>
      </c>
      <c r="H2070" s="2" t="s">
        <v>7083</v>
      </c>
      <c r="I2070" s="2" t="s">
        <v>7128</v>
      </c>
      <c r="J2070" s="2" t="s">
        <v>3385</v>
      </c>
      <c r="K2070" s="2" t="s">
        <v>96</v>
      </c>
      <c r="L2070" s="3">
        <v>313.5</v>
      </c>
      <c r="M2070" s="3">
        <v>329.18</v>
      </c>
      <c r="N2070" s="3">
        <v>659</v>
      </c>
      <c r="O2070" s="2" t="s">
        <v>97</v>
      </c>
      <c r="P2070" s="2" t="s">
        <v>98</v>
      </c>
      <c r="Q2070" s="2" t="s">
        <v>99</v>
      </c>
      <c r="R2070" s="2" t="s">
        <v>100</v>
      </c>
      <c r="S2070" s="2" t="s">
        <v>100</v>
      </c>
      <c r="T2070" s="2" t="s">
        <v>100</v>
      </c>
      <c r="U2070" s="2" t="s">
        <v>100</v>
      </c>
      <c r="V2070" s="2" t="s">
        <v>461</v>
      </c>
      <c r="W2070" s="2" t="s">
        <v>3394</v>
      </c>
      <c r="X2070" s="2" t="s">
        <v>100</v>
      </c>
      <c r="Y2070" s="2" t="s">
        <v>231</v>
      </c>
      <c r="Z2070" s="4">
        <v>130</v>
      </c>
      <c r="AA2070" s="4">
        <f>=ROUNDDOWN(26,0)</f>
      </c>
      <c r="AB2070" s="5">
        <v>5</v>
      </c>
      <c r="AC2070" s="2" t="s">
        <v>389</v>
      </c>
      <c r="AD2070" s="4">
        <v>100</v>
      </c>
      <c r="AE2070" s="4">
        <v>100</v>
      </c>
      <c r="AF2070" s="6">
        <v>74</v>
      </c>
      <c r="AG2070" s="6">
        <v>60</v>
      </c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/>
      <c r="BD2070" s="8"/>
      <c r="BE2070" s="4"/>
      <c r="BF2070" s="8"/>
      <c r="BG2070" s="7"/>
      <c r="BH2070" s="7"/>
      <c r="BI2070" s="7"/>
      <c r="BJ2070" s="4">
        <v>11</v>
      </c>
      <c r="BK2070" s="8">
        <v>3411.94</v>
      </c>
      <c r="BL2070" s="2" t="s">
        <v>7129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2551</v>
      </c>
      <c r="BV2070" s="2" t="s">
        <v>97</v>
      </c>
      <c r="BW2070" s="2" t="s">
        <v>100</v>
      </c>
      <c r="BX2070" s="2" t="s">
        <v>100</v>
      </c>
      <c r="BY2070" s="2" t="s">
        <v>112</v>
      </c>
      <c r="BZ2070" s="2" t="s">
        <v>100</v>
      </c>
    </row>
    <row r="2071">
      <c r="A2071" s="2" t="s">
        <v>7130</v>
      </c>
      <c r="B2071" s="2" t="s">
        <v>6747</v>
      </c>
      <c r="C2071" s="2" t="s">
        <v>2831</v>
      </c>
      <c r="D2071" s="2" t="s">
        <v>7104</v>
      </c>
      <c r="E2071" s="2" t="s">
        <v>7105</v>
      </c>
      <c r="F2071" s="2" t="s">
        <v>4874</v>
      </c>
      <c r="G2071" s="2" t="s">
        <v>4874</v>
      </c>
      <c r="H2071" s="2" t="s">
        <v>100</v>
      </c>
      <c r="I2071" s="2" t="s">
        <v>7131</v>
      </c>
      <c r="J2071" s="2" t="s">
        <v>3385</v>
      </c>
      <c r="K2071" s="2" t="s">
        <v>6828</v>
      </c>
      <c r="L2071" s="3">
        <v>120</v>
      </c>
      <c r="M2071" s="3">
        <v>126</v>
      </c>
      <c r="N2071" s="3">
        <v>249</v>
      </c>
      <c r="O2071" s="2" t="s">
        <v>97</v>
      </c>
      <c r="P2071" s="2" t="s">
        <v>98</v>
      </c>
      <c r="Q2071" s="2" t="s">
        <v>99</v>
      </c>
      <c r="R2071" s="2" t="s">
        <v>100</v>
      </c>
      <c r="S2071" s="2" t="s">
        <v>7132</v>
      </c>
      <c r="T2071" s="2" t="s">
        <v>100</v>
      </c>
      <c r="U2071" s="2" t="s">
        <v>100</v>
      </c>
      <c r="V2071" s="2" t="s">
        <v>461</v>
      </c>
      <c r="W2071" s="2" t="s">
        <v>3394</v>
      </c>
      <c r="X2071" s="2" t="s">
        <v>100</v>
      </c>
      <c r="Y2071" s="2" t="s">
        <v>144</v>
      </c>
      <c r="Z2071" s="4">
        <v>154</v>
      </c>
      <c r="AA2071" s="4">
        <f>=ROUNDDOWN(770,0)</f>
      </c>
      <c r="AB2071" s="5">
        <v>0.2</v>
      </c>
      <c r="AC2071" s="2" t="s">
        <v>100</v>
      </c>
      <c r="AD2071" s="4"/>
      <c r="AE2071" s="4"/>
      <c r="AF2071" s="6">
        <v>74</v>
      </c>
      <c r="AG2071" s="6">
        <v>60</v>
      </c>
      <c r="AH2071" s="7">
        <v>1</v>
      </c>
      <c r="AI2071" s="4"/>
      <c r="AJ2071" s="4">
        <f>=ROUNDDOWN({0},0)</f>
      </c>
      <c r="AK2071" s="5"/>
      <c r="AL2071" s="2" t="s">
        <v>312</v>
      </c>
      <c r="AM2071" s="4">
        <v>110</v>
      </c>
      <c r="AN2071" s="4">
        <v>110</v>
      </c>
      <c r="AO2071" s="7">
        <v>0</v>
      </c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/>
      <c r="BD2071" s="8"/>
      <c r="BE2071" s="4"/>
      <c r="BF2071" s="8"/>
      <c r="BG2071" s="7"/>
      <c r="BH2071" s="7"/>
      <c r="BI2071" s="7"/>
      <c r="BJ2071" s="4">
        <v>70</v>
      </c>
      <c r="BK2071" s="8">
        <v>7426.17</v>
      </c>
      <c r="BL2071" s="2" t="s">
        <v>7133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2551</v>
      </c>
      <c r="BV2071" s="2" t="s">
        <v>97</v>
      </c>
      <c r="BW2071" s="2" t="s">
        <v>100</v>
      </c>
      <c r="BX2071" s="2" t="s">
        <v>100</v>
      </c>
      <c r="BY2071" s="2" t="s">
        <v>112</v>
      </c>
      <c r="BZ2071" s="2" t="s">
        <v>100</v>
      </c>
    </row>
    <row r="2072">
      <c r="A2072" s="2" t="s">
        <v>7134</v>
      </c>
      <c r="B2072" s="2" t="s">
        <v>6747</v>
      </c>
      <c r="C2072" s="2" t="s">
        <v>2831</v>
      </c>
      <c r="D2072" s="2" t="s">
        <v>7104</v>
      </c>
      <c r="E2072" s="2" t="s">
        <v>7105</v>
      </c>
      <c r="F2072" s="2" t="s">
        <v>7029</v>
      </c>
      <c r="G2072" s="2" t="s">
        <v>7029</v>
      </c>
      <c r="H2072" s="2" t="s">
        <v>7029</v>
      </c>
      <c r="I2072" s="2" t="s">
        <v>7118</v>
      </c>
      <c r="J2072" s="2" t="s">
        <v>3385</v>
      </c>
      <c r="K2072" s="2" t="s">
        <v>446</v>
      </c>
      <c r="L2072" s="3">
        <v>285.2</v>
      </c>
      <c r="M2072" s="3">
        <v>299.46</v>
      </c>
      <c r="N2072" s="3">
        <v>599</v>
      </c>
      <c r="O2072" s="2" t="s">
        <v>97</v>
      </c>
      <c r="P2072" s="2" t="s">
        <v>98</v>
      </c>
      <c r="Q2072" s="2" t="s">
        <v>99</v>
      </c>
      <c r="R2072" s="2" t="s">
        <v>100</v>
      </c>
      <c r="S2072" s="2" t="s">
        <v>100</v>
      </c>
      <c r="T2072" s="2" t="s">
        <v>100</v>
      </c>
      <c r="U2072" s="2" t="s">
        <v>100</v>
      </c>
      <c r="V2072" s="2" t="s">
        <v>461</v>
      </c>
      <c r="W2072" s="2" t="s">
        <v>3394</v>
      </c>
      <c r="X2072" s="2" t="s">
        <v>100</v>
      </c>
      <c r="Y2072" s="2" t="s">
        <v>231</v>
      </c>
      <c r="Z2072" s="4">
        <v>155</v>
      </c>
      <c r="AA2072" s="4">
        <f>=ROUNDDOWN(43.0555555555556,0)</f>
      </c>
      <c r="AB2072" s="5">
        <v>3.6</v>
      </c>
      <c r="AC2072" s="2" t="s">
        <v>2709</v>
      </c>
      <c r="AD2072" s="4">
        <v>35</v>
      </c>
      <c r="AE2072" s="4">
        <v>35</v>
      </c>
      <c r="AF2072" s="6">
        <v>74</v>
      </c>
      <c r="AG2072" s="6">
        <v>60</v>
      </c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/>
      <c r="BJ2072" s="4">
        <v>39</v>
      </c>
      <c r="BK2072" s="8">
        <v>10913.57</v>
      </c>
      <c r="BL2072" s="2" t="s">
        <v>7135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2551</v>
      </c>
      <c r="BV2072" s="2" t="s">
        <v>97</v>
      </c>
      <c r="BW2072" s="2" t="s">
        <v>100</v>
      </c>
      <c r="BX2072" s="2" t="s">
        <v>100</v>
      </c>
      <c r="BY2072" s="2" t="s">
        <v>112</v>
      </c>
      <c r="BZ2072" s="2" t="s">
        <v>100</v>
      </c>
    </row>
    <row r="2073">
      <c r="A2073" s="2" t="s">
        <v>7136</v>
      </c>
      <c r="B2073" s="2" t="s">
        <v>6747</v>
      </c>
      <c r="C2073" s="2" t="s">
        <v>2831</v>
      </c>
      <c r="D2073" s="2" t="s">
        <v>7104</v>
      </c>
      <c r="E2073" s="2" t="s">
        <v>7105</v>
      </c>
      <c r="F2073" s="2" t="s">
        <v>7029</v>
      </c>
      <c r="G2073" s="2" t="s">
        <v>7029</v>
      </c>
      <c r="H2073" s="2" t="s">
        <v>7029</v>
      </c>
      <c r="I2073" s="2" t="s">
        <v>7118</v>
      </c>
      <c r="J2073" s="2" t="s">
        <v>3385</v>
      </c>
      <c r="K2073" s="2" t="s">
        <v>3564</v>
      </c>
      <c r="L2073" s="3">
        <v>285.2</v>
      </c>
      <c r="M2073" s="3">
        <v>299.46</v>
      </c>
      <c r="N2073" s="3">
        <v>599</v>
      </c>
      <c r="O2073" s="2" t="s">
        <v>97</v>
      </c>
      <c r="P2073" s="2" t="s">
        <v>707</v>
      </c>
      <c r="Q2073" s="2" t="s">
        <v>99</v>
      </c>
      <c r="R2073" s="2" t="s">
        <v>100</v>
      </c>
      <c r="S2073" s="2" t="s">
        <v>100</v>
      </c>
      <c r="T2073" s="2" t="s">
        <v>100</v>
      </c>
      <c r="U2073" s="2" t="s">
        <v>1776</v>
      </c>
      <c r="V2073" s="2" t="s">
        <v>461</v>
      </c>
      <c r="W2073" s="2" t="s">
        <v>3394</v>
      </c>
      <c r="X2073" s="2" t="s">
        <v>493</v>
      </c>
      <c r="Y2073" s="2" t="s">
        <v>7098</v>
      </c>
      <c r="Z2073" s="4">
        <v>90</v>
      </c>
      <c r="AA2073" s="4">
        <f>=ROUNDDOWN(45,0)</f>
      </c>
      <c r="AB2073" s="5">
        <v>2</v>
      </c>
      <c r="AC2073" s="2" t="s">
        <v>3024</v>
      </c>
      <c r="AD2073" s="4">
        <v>100</v>
      </c>
      <c r="AE2073" s="4">
        <v>100</v>
      </c>
      <c r="AF2073" s="6">
        <v>74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/>
      <c r="AW2073" s="8"/>
      <c r="AX2073" s="4"/>
      <c r="AY2073" s="8"/>
      <c r="AZ2073" s="7"/>
      <c r="BA2073" s="7"/>
      <c r="BB2073" s="7"/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/>
      <c r="BJ2073" s="4">
        <v>10</v>
      </c>
      <c r="BK2073" s="8">
        <v>2974.59</v>
      </c>
      <c r="BL2073" s="2" t="s">
        <v>6884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2526</v>
      </c>
      <c r="BV2073" s="2" t="s">
        <v>97</v>
      </c>
      <c r="BW2073" s="2" t="s">
        <v>100</v>
      </c>
      <c r="BX2073" s="2" t="s">
        <v>100</v>
      </c>
      <c r="BY2073" s="2" t="s">
        <v>112</v>
      </c>
      <c r="BZ2073" s="2" t="s">
        <v>100</v>
      </c>
    </row>
    <row r="2074">
      <c r="A2074" s="2" t="s">
        <v>7137</v>
      </c>
      <c r="B2074" s="2" t="s">
        <v>6747</v>
      </c>
      <c r="C2074" s="2" t="s">
        <v>2831</v>
      </c>
      <c r="D2074" s="2" t="s">
        <v>7104</v>
      </c>
      <c r="E2074" s="2" t="s">
        <v>7105</v>
      </c>
      <c r="F2074" s="2" t="s">
        <v>7029</v>
      </c>
      <c r="G2074" s="2" t="s">
        <v>7029</v>
      </c>
      <c r="H2074" s="2" t="s">
        <v>7029</v>
      </c>
      <c r="I2074" s="2" t="s">
        <v>7118</v>
      </c>
      <c r="J2074" s="2" t="s">
        <v>3385</v>
      </c>
      <c r="K2074" s="2" t="s">
        <v>7031</v>
      </c>
      <c r="L2074" s="3">
        <v>285.2</v>
      </c>
      <c r="M2074" s="3">
        <v>299.46</v>
      </c>
      <c r="N2074" s="3">
        <v>599</v>
      </c>
      <c r="O2074" s="2" t="s">
        <v>97</v>
      </c>
      <c r="P2074" s="2" t="s">
        <v>707</v>
      </c>
      <c r="Q2074" s="2" t="s">
        <v>99</v>
      </c>
      <c r="R2074" s="2" t="s">
        <v>100</v>
      </c>
      <c r="S2074" s="2" t="s">
        <v>100</v>
      </c>
      <c r="T2074" s="2" t="s">
        <v>100</v>
      </c>
      <c r="U2074" s="2" t="s">
        <v>1776</v>
      </c>
      <c r="V2074" s="2" t="s">
        <v>461</v>
      </c>
      <c r="W2074" s="2" t="s">
        <v>3394</v>
      </c>
      <c r="X2074" s="2" t="s">
        <v>493</v>
      </c>
      <c r="Y2074" s="2" t="s">
        <v>7032</v>
      </c>
      <c r="Z2074" s="4">
        <v>66</v>
      </c>
      <c r="AA2074" s="4">
        <f>=ROUNDDOWN(22,0)</f>
      </c>
      <c r="AB2074" s="5">
        <v>3</v>
      </c>
      <c r="AC2074" s="2" t="s">
        <v>3271</v>
      </c>
      <c r="AD2074" s="4">
        <v>74</v>
      </c>
      <c r="AE2074" s="4">
        <v>100</v>
      </c>
      <c r="AF2074" s="6">
        <v>74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/>
      <c r="AW2074" s="8"/>
      <c r="AX2074" s="4"/>
      <c r="AY2074" s="8"/>
      <c r="AZ2074" s="7"/>
      <c r="BA2074" s="7"/>
      <c r="BB2074" s="7"/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/>
      <c r="BJ2074" s="4">
        <v>12</v>
      </c>
      <c r="BK2074" s="8">
        <v>3324.58</v>
      </c>
      <c r="BL2074" s="2" t="s">
        <v>7138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2526</v>
      </c>
      <c r="BV2074" s="2" t="s">
        <v>97</v>
      </c>
      <c r="BW2074" s="2" t="s">
        <v>100</v>
      </c>
      <c r="BX2074" s="2" t="s">
        <v>100</v>
      </c>
      <c r="BY2074" s="2" t="s">
        <v>112</v>
      </c>
      <c r="BZ2074" s="2" t="s">
        <v>100</v>
      </c>
    </row>
    <row r="2075">
      <c r="A2075" s="2" t="s">
        <v>7139</v>
      </c>
      <c r="B2075" s="2" t="s">
        <v>6747</v>
      </c>
      <c r="C2075" s="2" t="s">
        <v>2831</v>
      </c>
      <c r="D2075" s="2" t="s">
        <v>7140</v>
      </c>
      <c r="E2075" s="2" t="s">
        <v>7141</v>
      </c>
      <c r="F2075" s="2" t="s">
        <v>6921</v>
      </c>
      <c r="G2075" s="2" t="s">
        <v>6921</v>
      </c>
      <c r="H2075" s="2" t="s">
        <v>6921</v>
      </c>
      <c r="I2075" s="2" t="s">
        <v>7142</v>
      </c>
      <c r="J2075" s="2" t="s">
        <v>3385</v>
      </c>
      <c r="K2075" s="2" t="s">
        <v>446</v>
      </c>
      <c r="L2075" s="3">
        <v>192.78</v>
      </c>
      <c r="M2075" s="3">
        <v>202.42</v>
      </c>
      <c r="N2075" s="3">
        <v>399</v>
      </c>
      <c r="O2075" s="2" t="s">
        <v>97</v>
      </c>
      <c r="P2075" s="2" t="s">
        <v>707</v>
      </c>
      <c r="Q2075" s="2" t="s">
        <v>99</v>
      </c>
      <c r="R2075" s="2" t="s">
        <v>100</v>
      </c>
      <c r="S2075" s="2" t="s">
        <v>100</v>
      </c>
      <c r="T2075" s="2" t="s">
        <v>100</v>
      </c>
      <c r="U2075" s="2" t="s">
        <v>100</v>
      </c>
      <c r="V2075" s="2" t="s">
        <v>3412</v>
      </c>
      <c r="W2075" s="2" t="s">
        <v>493</v>
      </c>
      <c r="X2075" s="2" t="s">
        <v>7143</v>
      </c>
      <c r="Y2075" s="2" t="s">
        <v>6923</v>
      </c>
      <c r="Z2075" s="4">
        <v>60</v>
      </c>
      <c r="AA2075" s="4">
        <f>=ROUNDDOWN(20,0)</f>
      </c>
      <c r="AB2075" s="5">
        <v>3</v>
      </c>
      <c r="AC2075" s="2" t="s">
        <v>100</v>
      </c>
      <c r="AD2075" s="4"/>
      <c r="AE2075" s="4"/>
      <c r="AF2075" s="6">
        <v>76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/>
      <c r="AW2075" s="8"/>
      <c r="AX2075" s="4"/>
      <c r="AY2075" s="8"/>
      <c r="AZ2075" s="7"/>
      <c r="BA2075" s="7"/>
      <c r="BB2075" s="7"/>
      <c r="BC2075" s="4"/>
      <c r="BD2075" s="8"/>
      <c r="BE2075" s="4"/>
      <c r="BF2075" s="8"/>
      <c r="BG2075" s="7"/>
      <c r="BH2075" s="7"/>
      <c r="BI2075" s="7"/>
      <c r="BJ2075" s="4">
        <v>13</v>
      </c>
      <c r="BK2075" s="8">
        <v>2571.9</v>
      </c>
      <c r="BL2075" s="2" t="s">
        <v>7144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2526</v>
      </c>
      <c r="BV2075" s="2" t="s">
        <v>97</v>
      </c>
      <c r="BW2075" s="2" t="s">
        <v>100</v>
      </c>
      <c r="BX2075" s="2" t="s">
        <v>100</v>
      </c>
      <c r="BY2075" s="2" t="s">
        <v>112</v>
      </c>
      <c r="BZ2075" s="2" t="s">
        <v>100</v>
      </c>
    </row>
    <row r="2076">
      <c r="A2076" s="2" t="s">
        <v>7145</v>
      </c>
      <c r="B2076" s="2" t="s">
        <v>6747</v>
      </c>
      <c r="C2076" s="2" t="s">
        <v>2831</v>
      </c>
      <c r="D2076" s="2" t="s">
        <v>7146</v>
      </c>
      <c r="E2076" s="2" t="s">
        <v>7147</v>
      </c>
      <c r="F2076" s="2" t="s">
        <v>6882</v>
      </c>
      <c r="G2076" s="2" t="s">
        <v>6882</v>
      </c>
      <c r="H2076" s="2" t="s">
        <v>6882</v>
      </c>
      <c r="I2076" s="2" t="s">
        <v>7148</v>
      </c>
      <c r="J2076" s="2" t="s">
        <v>3385</v>
      </c>
      <c r="K2076" s="2" t="s">
        <v>179</v>
      </c>
      <c r="L2076" s="3">
        <v>230.85</v>
      </c>
      <c r="M2076" s="3">
        <v>242.39</v>
      </c>
      <c r="N2076" s="3">
        <v>479</v>
      </c>
      <c r="O2076" s="2" t="s">
        <v>97</v>
      </c>
      <c r="P2076" s="2" t="s">
        <v>707</v>
      </c>
      <c r="Q2076" s="2" t="s">
        <v>99</v>
      </c>
      <c r="R2076" s="2" t="s">
        <v>100</v>
      </c>
      <c r="S2076" s="2" t="s">
        <v>7149</v>
      </c>
      <c r="T2076" s="2" t="s">
        <v>100</v>
      </c>
      <c r="U2076" s="2" t="s">
        <v>100</v>
      </c>
      <c r="V2076" s="2" t="s">
        <v>461</v>
      </c>
      <c r="W2076" s="2" t="s">
        <v>3394</v>
      </c>
      <c r="X2076" s="2" t="s">
        <v>100</v>
      </c>
      <c r="Y2076" s="2" t="s">
        <v>7150</v>
      </c>
      <c r="Z2076" s="4">
        <v>89</v>
      </c>
      <c r="AA2076" s="4">
        <f>=ROUNDDOWN(17.8,0)</f>
      </c>
      <c r="AB2076" s="5">
        <v>5</v>
      </c>
      <c r="AC2076" s="2" t="s">
        <v>7091</v>
      </c>
      <c r="AD2076" s="4">
        <v>100</v>
      </c>
      <c r="AE2076" s="4">
        <v>100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/>
      <c r="BD2076" s="8"/>
      <c r="BE2076" s="4"/>
      <c r="BF2076" s="8"/>
      <c r="BG2076" s="7"/>
      <c r="BH2076" s="7"/>
      <c r="BI2076" s="7"/>
      <c r="BJ2076" s="4">
        <v>10</v>
      </c>
      <c r="BK2076" s="8">
        <v>2284.83</v>
      </c>
      <c r="BL2076" s="2" t="s">
        <v>6953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2526</v>
      </c>
      <c r="BV2076" s="2" t="s">
        <v>97</v>
      </c>
      <c r="BW2076" s="2" t="s">
        <v>100</v>
      </c>
      <c r="BX2076" s="2" t="s">
        <v>100</v>
      </c>
      <c r="BY2076" s="2" t="s">
        <v>112</v>
      </c>
      <c r="BZ2076" s="2" t="s">
        <v>100</v>
      </c>
    </row>
    <row r="2077">
      <c r="A2077" s="2" t="s">
        <v>7151</v>
      </c>
      <c r="B2077" s="2" t="s">
        <v>6747</v>
      </c>
      <c r="C2077" s="2" t="s">
        <v>2831</v>
      </c>
      <c r="D2077" s="2" t="s">
        <v>7152</v>
      </c>
      <c r="E2077" s="2" t="s">
        <v>7153</v>
      </c>
      <c r="F2077" s="2" t="s">
        <v>7154</v>
      </c>
      <c r="G2077" s="2" t="s">
        <v>7154</v>
      </c>
      <c r="H2077" s="2" t="s">
        <v>7154</v>
      </c>
      <c r="I2077" s="2" t="s">
        <v>7155</v>
      </c>
      <c r="J2077" s="2" t="s">
        <v>3385</v>
      </c>
      <c r="K2077" s="2" t="s">
        <v>3876</v>
      </c>
      <c r="L2077" s="3">
        <v>213.75</v>
      </c>
      <c r="M2077" s="3">
        <v>224.44</v>
      </c>
      <c r="N2077" s="3">
        <v>449</v>
      </c>
      <c r="O2077" s="2" t="s">
        <v>97</v>
      </c>
      <c r="P2077" s="2" t="s">
        <v>98</v>
      </c>
      <c r="Q2077" s="2" t="s">
        <v>99</v>
      </c>
      <c r="R2077" s="2" t="s">
        <v>100</v>
      </c>
      <c r="S2077" s="2" t="s">
        <v>100</v>
      </c>
      <c r="T2077" s="2" t="s">
        <v>100</v>
      </c>
      <c r="U2077" s="2" t="s">
        <v>1776</v>
      </c>
      <c r="V2077" s="2" t="s">
        <v>3412</v>
      </c>
      <c r="W2077" s="2" t="s">
        <v>142</v>
      </c>
      <c r="X2077" s="2" t="s">
        <v>609</v>
      </c>
      <c r="Y2077" s="2" t="s">
        <v>7156</v>
      </c>
      <c r="Z2077" s="4">
        <v>178</v>
      </c>
      <c r="AA2077" s="4">
        <f>=ROUNDDOWN(29.6666666666667,0)</f>
      </c>
      <c r="AB2077" s="5">
        <v>6</v>
      </c>
      <c r="AC2077" s="2" t="s">
        <v>100</v>
      </c>
      <c r="AD2077" s="4"/>
      <c r="AE2077" s="4"/>
      <c r="AF2077" s="6">
        <v>74</v>
      </c>
      <c r="AG2077" s="6"/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/>
      <c r="AW2077" s="8"/>
      <c r="AX2077" s="4"/>
      <c r="AY2077" s="8"/>
      <c r="AZ2077" s="7"/>
      <c r="BA2077" s="7"/>
      <c r="BB2077" s="7"/>
      <c r="BC2077" s="4"/>
      <c r="BD2077" s="8"/>
      <c r="BE2077" s="4"/>
      <c r="BF2077" s="8"/>
      <c r="BG2077" s="7"/>
      <c r="BH2077" s="7"/>
      <c r="BI2077" s="7"/>
      <c r="BJ2077" s="4">
        <v>5</v>
      </c>
      <c r="BK2077" s="8">
        <v>1153.36</v>
      </c>
      <c r="BL2077" s="2" t="s">
        <v>3425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2551</v>
      </c>
      <c r="BV2077" s="2" t="s">
        <v>97</v>
      </c>
      <c r="BW2077" s="2" t="s">
        <v>100</v>
      </c>
      <c r="BX2077" s="2" t="s">
        <v>100</v>
      </c>
      <c r="BY2077" s="2" t="s">
        <v>112</v>
      </c>
      <c r="BZ2077" s="2" t="s">
        <v>100</v>
      </c>
    </row>
    <row r="2078">
      <c r="A2078" s="2" t="s">
        <v>7157</v>
      </c>
      <c r="B2078" s="2" t="s">
        <v>6747</v>
      </c>
      <c r="C2078" s="2" t="s">
        <v>2831</v>
      </c>
      <c r="D2078" s="2" t="s">
        <v>7152</v>
      </c>
      <c r="E2078" s="2" t="s">
        <v>7153</v>
      </c>
      <c r="F2078" s="2" t="s">
        <v>7158</v>
      </c>
      <c r="G2078" s="2" t="s">
        <v>7158</v>
      </c>
      <c r="H2078" s="2" t="s">
        <v>7158</v>
      </c>
      <c r="I2078" s="2" t="s">
        <v>7159</v>
      </c>
      <c r="J2078" s="2" t="s">
        <v>3385</v>
      </c>
      <c r="K2078" s="2" t="s">
        <v>7160</v>
      </c>
      <c r="L2078" s="3">
        <v>238</v>
      </c>
      <c r="M2078" s="3">
        <v>249.9</v>
      </c>
      <c r="N2078" s="3">
        <v>499</v>
      </c>
      <c r="O2078" s="2" t="s">
        <v>97</v>
      </c>
      <c r="P2078" s="2" t="s">
        <v>707</v>
      </c>
      <c r="Q2078" s="2" t="s">
        <v>99</v>
      </c>
      <c r="R2078" s="2" t="s">
        <v>100</v>
      </c>
      <c r="S2078" s="2" t="s">
        <v>100</v>
      </c>
      <c r="T2078" s="2" t="s">
        <v>100</v>
      </c>
      <c r="U2078" s="2" t="s">
        <v>1776</v>
      </c>
      <c r="V2078" s="2" t="s">
        <v>461</v>
      </c>
      <c r="W2078" s="2" t="s">
        <v>2835</v>
      </c>
      <c r="X2078" s="2" t="s">
        <v>100</v>
      </c>
      <c r="Y2078" s="2" t="s">
        <v>6863</v>
      </c>
      <c r="Z2078" s="4">
        <v>54</v>
      </c>
      <c r="AA2078" s="4">
        <f>=ROUNDDOWN(27,0)</f>
      </c>
      <c r="AB2078" s="5">
        <v>2</v>
      </c>
      <c r="AC2078" s="2" t="s">
        <v>2008</v>
      </c>
      <c r="AD2078" s="4">
        <v>78</v>
      </c>
      <c r="AE2078" s="4">
        <v>78</v>
      </c>
      <c r="AF2078" s="6">
        <v>65</v>
      </c>
      <c r="AG2078" s="6">
        <v>48</v>
      </c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/>
      <c r="AW2078" s="8"/>
      <c r="AX2078" s="4"/>
      <c r="AY2078" s="8"/>
      <c r="AZ2078" s="7"/>
      <c r="BA2078" s="7"/>
      <c r="BB2078" s="7"/>
      <c r="BC2078" s="4"/>
      <c r="BD2078" s="8"/>
      <c r="BE2078" s="4"/>
      <c r="BF2078" s="8"/>
      <c r="BG2078" s="7"/>
      <c r="BH2078" s="7"/>
      <c r="BI2078" s="7"/>
      <c r="BJ2078" s="4">
        <v>11</v>
      </c>
      <c r="BK2078" s="8">
        <v>2252.1</v>
      </c>
      <c r="BL2078" s="2" t="s">
        <v>6821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2526</v>
      </c>
      <c r="BV2078" s="2" t="s">
        <v>97</v>
      </c>
      <c r="BW2078" s="2" t="s">
        <v>100</v>
      </c>
      <c r="BX2078" s="2" t="s">
        <v>100</v>
      </c>
      <c r="BY2078" s="2" t="s">
        <v>112</v>
      </c>
      <c r="BZ2078" s="2" t="s">
        <v>100</v>
      </c>
    </row>
    <row r="2079">
      <c r="A2079" s="2" t="s">
        <v>7161</v>
      </c>
      <c r="B2079" s="2" t="s">
        <v>6747</v>
      </c>
      <c r="C2079" s="2" t="s">
        <v>2831</v>
      </c>
      <c r="D2079" s="2" t="s">
        <v>7162</v>
      </c>
      <c r="E2079" s="2" t="s">
        <v>7163</v>
      </c>
      <c r="F2079" s="2" t="s">
        <v>7164</v>
      </c>
      <c r="G2079" s="2" t="s">
        <v>7164</v>
      </c>
      <c r="H2079" s="2" t="s">
        <v>7164</v>
      </c>
      <c r="I2079" s="2" t="s">
        <v>7165</v>
      </c>
      <c r="J2079" s="2" t="s">
        <v>3385</v>
      </c>
      <c r="K2079" s="2" t="s">
        <v>446</v>
      </c>
      <c r="L2079" s="3">
        <v>145</v>
      </c>
      <c r="M2079" s="3">
        <v>152.25</v>
      </c>
      <c r="N2079" s="3">
        <v>299</v>
      </c>
      <c r="O2079" s="2" t="s">
        <v>97</v>
      </c>
      <c r="P2079" s="2" t="s">
        <v>98</v>
      </c>
      <c r="Q2079" s="2" t="s">
        <v>99</v>
      </c>
      <c r="R2079" s="2" t="s">
        <v>100</v>
      </c>
      <c r="S2079" s="2" t="s">
        <v>100</v>
      </c>
      <c r="T2079" s="2" t="s">
        <v>100</v>
      </c>
      <c r="U2079" s="2" t="s">
        <v>100</v>
      </c>
      <c r="V2079" s="2" t="s">
        <v>3412</v>
      </c>
      <c r="W2079" s="2" t="s">
        <v>2835</v>
      </c>
      <c r="X2079" s="2" t="s">
        <v>493</v>
      </c>
      <c r="Y2079" s="2" t="s">
        <v>7166</v>
      </c>
      <c r="Z2079" s="4">
        <v>91</v>
      </c>
      <c r="AA2079" s="4">
        <f>=ROUNDDOWN(11.375,0)</f>
      </c>
      <c r="AB2079" s="5">
        <v>8</v>
      </c>
      <c r="AC2079" s="2" t="s">
        <v>5741</v>
      </c>
      <c r="AD2079" s="4">
        <v>150</v>
      </c>
      <c r="AE2079" s="4">
        <v>150</v>
      </c>
      <c r="AF2079" s="6">
        <v>74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/>
      <c r="AW2079" s="8"/>
      <c r="AX2079" s="4"/>
      <c r="AY2079" s="8"/>
      <c r="AZ2079" s="7"/>
      <c r="BA2079" s="7"/>
      <c r="BB2079" s="7"/>
      <c r="BC2079" s="4"/>
      <c r="BD2079" s="8"/>
      <c r="BE2079" s="4"/>
      <c r="BF2079" s="8"/>
      <c r="BG2079" s="7"/>
      <c r="BH2079" s="7"/>
      <c r="BI2079" s="7"/>
      <c r="BJ2079" s="4">
        <v>21</v>
      </c>
      <c r="BK2079" s="8">
        <v>3249.1</v>
      </c>
      <c r="BL2079" s="2" t="s">
        <v>2807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2551</v>
      </c>
      <c r="BV2079" s="2" t="s">
        <v>97</v>
      </c>
      <c r="BW2079" s="2" t="s">
        <v>100</v>
      </c>
      <c r="BX2079" s="2" t="s">
        <v>100</v>
      </c>
      <c r="BY2079" s="2" t="s">
        <v>112</v>
      </c>
      <c r="BZ2079" s="2" t="s">
        <v>100</v>
      </c>
    </row>
    <row r="2080">
      <c r="A2080" s="2" t="s">
        <v>7167</v>
      </c>
      <c r="B2080" s="2" t="s">
        <v>6747</v>
      </c>
      <c r="C2080" s="2" t="s">
        <v>2831</v>
      </c>
      <c r="D2080" s="2" t="s">
        <v>7162</v>
      </c>
      <c r="E2080" s="2" t="s">
        <v>7163</v>
      </c>
      <c r="F2080" s="2" t="s">
        <v>7168</v>
      </c>
      <c r="G2080" s="2" t="s">
        <v>7168</v>
      </c>
      <c r="H2080" s="2" t="s">
        <v>7168</v>
      </c>
      <c r="I2080" s="2" t="s">
        <v>7169</v>
      </c>
      <c r="J2080" s="2" t="s">
        <v>3385</v>
      </c>
      <c r="K2080" s="2" t="s">
        <v>7170</v>
      </c>
      <c r="L2080" s="3">
        <v>135.85</v>
      </c>
      <c r="M2080" s="3">
        <v>142.64</v>
      </c>
      <c r="N2080" s="3">
        <v>289</v>
      </c>
      <c r="O2080" s="2" t="s">
        <v>97</v>
      </c>
      <c r="P2080" s="2" t="s">
        <v>98</v>
      </c>
      <c r="Q2080" s="2" t="s">
        <v>99</v>
      </c>
      <c r="R2080" s="2" t="s">
        <v>100</v>
      </c>
      <c r="S2080" s="2" t="s">
        <v>100</v>
      </c>
      <c r="T2080" s="2" t="s">
        <v>100</v>
      </c>
      <c r="U2080" s="2" t="s">
        <v>100</v>
      </c>
      <c r="V2080" s="2" t="s">
        <v>461</v>
      </c>
      <c r="W2080" s="2" t="s">
        <v>2835</v>
      </c>
      <c r="X2080" s="2" t="s">
        <v>100</v>
      </c>
      <c r="Y2080" s="2" t="s">
        <v>2271</v>
      </c>
      <c r="Z2080" s="4">
        <v>217</v>
      </c>
      <c r="AA2080" s="4">
        <f>=ROUNDDOWN(43.4,0)</f>
      </c>
      <c r="AB2080" s="5">
        <v>5</v>
      </c>
      <c r="AC2080" s="2" t="s">
        <v>100</v>
      </c>
      <c r="AD2080" s="4"/>
      <c r="AE2080" s="4"/>
      <c r="AF2080" s="6">
        <v>74</v>
      </c>
      <c r="AG2080" s="6">
        <v>60</v>
      </c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/>
      <c r="AW2080" s="8"/>
      <c r="AX2080" s="4"/>
      <c r="AY2080" s="8"/>
      <c r="AZ2080" s="7"/>
      <c r="BA2080" s="7"/>
      <c r="BB2080" s="7"/>
      <c r="BC2080" s="4"/>
      <c r="BD2080" s="8"/>
      <c r="BE2080" s="4"/>
      <c r="BF2080" s="8"/>
      <c r="BG2080" s="7"/>
      <c r="BH2080" s="7"/>
      <c r="BI2080" s="7"/>
      <c r="BJ2080" s="4">
        <v>20</v>
      </c>
      <c r="BK2080" s="8">
        <v>2882.87</v>
      </c>
      <c r="BL2080" s="2" t="s">
        <v>7144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2551</v>
      </c>
      <c r="BV2080" s="2" t="s">
        <v>97</v>
      </c>
      <c r="BW2080" s="2" t="s">
        <v>100</v>
      </c>
      <c r="BX2080" s="2" t="s">
        <v>100</v>
      </c>
      <c r="BY2080" s="2" t="s">
        <v>112</v>
      </c>
      <c r="BZ2080" s="2" t="s">
        <v>100</v>
      </c>
    </row>
    <row r="2081">
      <c r="A2081" s="2" t="s">
        <v>7171</v>
      </c>
      <c r="B2081" s="2" t="s">
        <v>6747</v>
      </c>
      <c r="C2081" s="2" t="s">
        <v>2831</v>
      </c>
      <c r="D2081" s="2" t="s">
        <v>7162</v>
      </c>
      <c r="E2081" s="2" t="s">
        <v>7163</v>
      </c>
      <c r="F2081" s="2" t="s">
        <v>4874</v>
      </c>
      <c r="G2081" s="2" t="s">
        <v>4874</v>
      </c>
      <c r="H2081" s="2" t="s">
        <v>100</v>
      </c>
      <c r="I2081" s="2" t="s">
        <v>7172</v>
      </c>
      <c r="J2081" s="2" t="s">
        <v>3385</v>
      </c>
      <c r="K2081" s="2" t="s">
        <v>7173</v>
      </c>
      <c r="L2081" s="3">
        <v>100.1</v>
      </c>
      <c r="M2081" s="3">
        <v>105.1</v>
      </c>
      <c r="N2081" s="3">
        <v>209</v>
      </c>
      <c r="O2081" s="2" t="s">
        <v>97</v>
      </c>
      <c r="P2081" s="2" t="s">
        <v>707</v>
      </c>
      <c r="Q2081" s="2" t="s">
        <v>99</v>
      </c>
      <c r="R2081" s="2" t="s">
        <v>100</v>
      </c>
      <c r="S2081" s="2" t="s">
        <v>7174</v>
      </c>
      <c r="T2081" s="2" t="s">
        <v>100</v>
      </c>
      <c r="U2081" s="2" t="s">
        <v>100</v>
      </c>
      <c r="V2081" s="2" t="s">
        <v>461</v>
      </c>
      <c r="W2081" s="2" t="s">
        <v>3394</v>
      </c>
      <c r="X2081" s="2" t="s">
        <v>100</v>
      </c>
      <c r="Y2081" s="2" t="s">
        <v>144</v>
      </c>
      <c r="Z2081" s="4">
        <v>144</v>
      </c>
      <c r="AA2081" s="4">
        <f>=ROUNDDOWN(18,0)</f>
      </c>
      <c r="AB2081" s="5">
        <v>8</v>
      </c>
      <c r="AC2081" s="2" t="s">
        <v>389</v>
      </c>
      <c r="AD2081" s="4">
        <v>100</v>
      </c>
      <c r="AE2081" s="4">
        <v>100</v>
      </c>
      <c r="AF2081" s="6">
        <v>74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/>
      <c r="BD2081" s="8"/>
      <c r="BE2081" s="4"/>
      <c r="BF2081" s="8"/>
      <c r="BG2081" s="7"/>
      <c r="BH2081" s="7"/>
      <c r="BI2081" s="7"/>
      <c r="BJ2081" s="4">
        <v>32</v>
      </c>
      <c r="BK2081" s="8">
        <v>3446.19</v>
      </c>
      <c r="BL2081" s="2" t="s">
        <v>7175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2526</v>
      </c>
      <c r="BV2081" s="2" t="s">
        <v>97</v>
      </c>
      <c r="BW2081" s="2" t="s">
        <v>100</v>
      </c>
      <c r="BX2081" s="2" t="s">
        <v>100</v>
      </c>
      <c r="BY2081" s="2" t="s">
        <v>112</v>
      </c>
      <c r="BZ2081" s="2" t="s">
        <v>100</v>
      </c>
    </row>
    <row r="2082">
      <c r="A2082" s="2" t="s">
        <v>7176</v>
      </c>
      <c r="B2082" s="2" t="s">
        <v>6747</v>
      </c>
      <c r="C2082" s="2" t="s">
        <v>2831</v>
      </c>
      <c r="D2082" s="2" t="s">
        <v>7162</v>
      </c>
      <c r="E2082" s="2" t="s">
        <v>7163</v>
      </c>
      <c r="F2082" s="2" t="s">
        <v>7021</v>
      </c>
      <c r="G2082" s="2" t="s">
        <v>7021</v>
      </c>
      <c r="H2082" s="2" t="s">
        <v>7021</v>
      </c>
      <c r="I2082" s="2" t="s">
        <v>7177</v>
      </c>
      <c r="J2082" s="2" t="s">
        <v>3385</v>
      </c>
      <c r="K2082" s="2" t="s">
        <v>138</v>
      </c>
      <c r="L2082" s="3">
        <v>143</v>
      </c>
      <c r="M2082" s="3">
        <v>150.15</v>
      </c>
      <c r="N2082" s="3">
        <v>299</v>
      </c>
      <c r="O2082" s="2" t="s">
        <v>97</v>
      </c>
      <c r="P2082" s="2" t="s">
        <v>707</v>
      </c>
      <c r="Q2082" s="2" t="s">
        <v>99</v>
      </c>
      <c r="R2082" s="2" t="s">
        <v>100</v>
      </c>
      <c r="S2082" s="2" t="s">
        <v>100</v>
      </c>
      <c r="T2082" s="2" t="s">
        <v>100</v>
      </c>
      <c r="U2082" s="2" t="s">
        <v>100</v>
      </c>
      <c r="V2082" s="2" t="s">
        <v>3412</v>
      </c>
      <c r="W2082" s="2" t="s">
        <v>493</v>
      </c>
      <c r="X2082" s="2" t="s">
        <v>100</v>
      </c>
      <c r="Y2082" s="2" t="s">
        <v>7027</v>
      </c>
      <c r="Z2082" s="4">
        <v>33</v>
      </c>
      <c r="AA2082" s="4">
        <f>=ROUNDDOWN(16.5,0)</f>
      </c>
      <c r="AB2082" s="5">
        <v>2</v>
      </c>
      <c r="AC2082" s="2" t="s">
        <v>6903</v>
      </c>
      <c r="AD2082" s="4">
        <v>100</v>
      </c>
      <c r="AE2082" s="4">
        <v>100</v>
      </c>
      <c r="AF2082" s="6">
        <v>74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/>
      <c r="BD2082" s="8"/>
      <c r="BE2082" s="4"/>
      <c r="BF2082" s="8"/>
      <c r="BG2082" s="7"/>
      <c r="BH2082" s="7"/>
      <c r="BI2082" s="7"/>
      <c r="BJ2082" s="4">
        <v>4</v>
      </c>
      <c r="BK2082" s="8">
        <v>677.67</v>
      </c>
      <c r="BL2082" s="2" t="s">
        <v>3477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2526</v>
      </c>
      <c r="BV2082" s="2" t="s">
        <v>97</v>
      </c>
      <c r="BW2082" s="2" t="s">
        <v>100</v>
      </c>
      <c r="BX2082" s="2" t="s">
        <v>100</v>
      </c>
      <c r="BY2082" s="2" t="s">
        <v>112</v>
      </c>
      <c r="BZ2082" s="2" t="s">
        <v>100</v>
      </c>
    </row>
    <row r="2083">
      <c r="A2083" s="2" t="s">
        <v>7178</v>
      </c>
      <c r="B2083" s="2" t="s">
        <v>6747</v>
      </c>
      <c r="C2083" s="2" t="s">
        <v>2831</v>
      </c>
      <c r="D2083" s="2" t="s">
        <v>7179</v>
      </c>
      <c r="E2083" s="2" t="s">
        <v>7180</v>
      </c>
      <c r="F2083" s="2" t="s">
        <v>7181</v>
      </c>
      <c r="G2083" s="2" t="s">
        <v>7181</v>
      </c>
      <c r="H2083" s="2" t="s">
        <v>7181</v>
      </c>
      <c r="I2083" s="2" t="s">
        <v>7182</v>
      </c>
      <c r="J2083" s="2" t="s">
        <v>3385</v>
      </c>
      <c r="K2083" s="2" t="s">
        <v>138</v>
      </c>
      <c r="L2083" s="3">
        <v>99.18</v>
      </c>
      <c r="M2083" s="3">
        <v>104.14</v>
      </c>
      <c r="N2083" s="3">
        <v>209</v>
      </c>
      <c r="O2083" s="2" t="s">
        <v>97</v>
      </c>
      <c r="P2083" s="2" t="s">
        <v>139</v>
      </c>
      <c r="Q2083" s="2" t="s">
        <v>99</v>
      </c>
      <c r="R2083" s="2" t="s">
        <v>100</v>
      </c>
      <c r="S2083" s="2" t="s">
        <v>7183</v>
      </c>
      <c r="T2083" s="2" t="s">
        <v>100</v>
      </c>
      <c r="U2083" s="2" t="s">
        <v>100</v>
      </c>
      <c r="V2083" s="2" t="s">
        <v>461</v>
      </c>
      <c r="W2083" s="2" t="s">
        <v>2835</v>
      </c>
      <c r="X2083" s="2" t="s">
        <v>100</v>
      </c>
      <c r="Y2083" s="2" t="s">
        <v>144</v>
      </c>
      <c r="Z2083" s="4">
        <v>813</v>
      </c>
      <c r="AA2083" s="4">
        <f>=ROUNDDOWN(16.9375,0)</f>
      </c>
      <c r="AB2083" s="5">
        <v>48</v>
      </c>
      <c r="AC2083" s="2" t="s">
        <v>2709</v>
      </c>
      <c r="AD2083" s="4">
        <v>420</v>
      </c>
      <c r="AE2083" s="4">
        <v>840</v>
      </c>
      <c r="AF2083" s="6">
        <v>74</v>
      </c>
      <c r="AG2083" s="6">
        <v>60</v>
      </c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/>
      <c r="BJ2083" s="4">
        <v>182</v>
      </c>
      <c r="BK2083" s="8">
        <v>19422.43</v>
      </c>
      <c r="BL2083" s="2" t="s">
        <v>7184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2551</v>
      </c>
      <c r="BV2083" s="2" t="s">
        <v>97</v>
      </c>
      <c r="BW2083" s="2" t="s">
        <v>100</v>
      </c>
      <c r="BX2083" s="2" t="s">
        <v>100</v>
      </c>
      <c r="BY2083" s="2" t="s">
        <v>112</v>
      </c>
      <c r="BZ2083" s="2" t="s">
        <v>100</v>
      </c>
    </row>
    <row r="2084">
      <c r="A2084" s="2" t="s">
        <v>7185</v>
      </c>
      <c r="B2084" s="2" t="s">
        <v>6747</v>
      </c>
      <c r="C2084" s="2" t="s">
        <v>2831</v>
      </c>
      <c r="D2084" s="2" t="s">
        <v>7179</v>
      </c>
      <c r="E2084" s="2" t="s">
        <v>7180</v>
      </c>
      <c r="F2084" s="2" t="s">
        <v>7181</v>
      </c>
      <c r="G2084" s="2" t="s">
        <v>7181</v>
      </c>
      <c r="H2084" s="2" t="s">
        <v>7181</v>
      </c>
      <c r="I2084" s="2" t="s">
        <v>7182</v>
      </c>
      <c r="J2084" s="2" t="s">
        <v>3385</v>
      </c>
      <c r="K2084" s="2" t="s">
        <v>6828</v>
      </c>
      <c r="L2084" s="3">
        <v>99.18</v>
      </c>
      <c r="M2084" s="3">
        <v>104.14</v>
      </c>
      <c r="N2084" s="3">
        <v>209</v>
      </c>
      <c r="O2084" s="2" t="s">
        <v>97</v>
      </c>
      <c r="P2084" s="2" t="s">
        <v>123</v>
      </c>
      <c r="Q2084" s="2" t="s">
        <v>99</v>
      </c>
      <c r="R2084" s="2" t="s">
        <v>100</v>
      </c>
      <c r="S2084" s="2" t="s">
        <v>100</v>
      </c>
      <c r="T2084" s="2" t="s">
        <v>100</v>
      </c>
      <c r="U2084" s="2" t="s">
        <v>1776</v>
      </c>
      <c r="V2084" s="2" t="s">
        <v>461</v>
      </c>
      <c r="W2084" s="2" t="s">
        <v>2835</v>
      </c>
      <c r="X2084" s="2" t="s">
        <v>493</v>
      </c>
      <c r="Y2084" s="2" t="s">
        <v>7186</v>
      </c>
      <c r="Z2084" s="4">
        <v>212</v>
      </c>
      <c r="AA2084" s="4">
        <f>=ROUNDDOWN(10.6,0)</f>
      </c>
      <c r="AB2084" s="5">
        <v>20</v>
      </c>
      <c r="AC2084" s="2" t="s">
        <v>2709</v>
      </c>
      <c r="AD2084" s="4">
        <v>160</v>
      </c>
      <c r="AE2084" s="4">
        <v>460</v>
      </c>
      <c r="AF2084" s="6">
        <v>74</v>
      </c>
      <c r="AG2084" s="6">
        <v>60</v>
      </c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/>
      <c r="BJ2084" s="4">
        <v>45</v>
      </c>
      <c r="BK2084" s="8">
        <v>4844.2</v>
      </c>
      <c r="BL2084" s="2" t="s">
        <v>7187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2551</v>
      </c>
      <c r="BV2084" s="2" t="s">
        <v>97</v>
      </c>
      <c r="BW2084" s="2" t="s">
        <v>100</v>
      </c>
      <c r="BX2084" s="2" t="s">
        <v>100</v>
      </c>
      <c r="BY2084" s="2" t="s">
        <v>112</v>
      </c>
      <c r="BZ2084" s="2" t="s">
        <v>100</v>
      </c>
    </row>
    <row r="2085">
      <c r="A2085" s="2" t="s">
        <v>7188</v>
      </c>
      <c r="B2085" s="2" t="s">
        <v>6747</v>
      </c>
      <c r="C2085" s="2" t="s">
        <v>2831</v>
      </c>
      <c r="D2085" s="2" t="s">
        <v>7179</v>
      </c>
      <c r="E2085" s="2" t="s">
        <v>7180</v>
      </c>
      <c r="F2085" s="2" t="s">
        <v>7189</v>
      </c>
      <c r="G2085" s="2" t="s">
        <v>7189</v>
      </c>
      <c r="H2085" s="2" t="s">
        <v>7189</v>
      </c>
      <c r="I2085" s="2" t="s">
        <v>7190</v>
      </c>
      <c r="J2085" s="2" t="s">
        <v>3385</v>
      </c>
      <c r="K2085" s="2" t="s">
        <v>446</v>
      </c>
      <c r="L2085" s="3">
        <v>189</v>
      </c>
      <c r="M2085" s="3">
        <v>198.45</v>
      </c>
      <c r="N2085" s="3">
        <v>399</v>
      </c>
      <c r="O2085" s="2" t="s">
        <v>97</v>
      </c>
      <c r="P2085" s="2" t="s">
        <v>98</v>
      </c>
      <c r="Q2085" s="2" t="s">
        <v>99</v>
      </c>
      <c r="R2085" s="2" t="s">
        <v>100</v>
      </c>
      <c r="S2085" s="2" t="s">
        <v>100</v>
      </c>
      <c r="T2085" s="2" t="s">
        <v>100</v>
      </c>
      <c r="U2085" s="2" t="s">
        <v>1776</v>
      </c>
      <c r="V2085" s="2" t="s">
        <v>3412</v>
      </c>
      <c r="W2085" s="2" t="s">
        <v>493</v>
      </c>
      <c r="X2085" s="2" t="s">
        <v>100</v>
      </c>
      <c r="Y2085" s="2" t="s">
        <v>7191</v>
      </c>
      <c r="Z2085" s="4">
        <v>43</v>
      </c>
      <c r="AA2085" s="4">
        <f>=ROUNDDOWN(14.3333333333333,0)</f>
      </c>
      <c r="AB2085" s="5">
        <v>3</v>
      </c>
      <c r="AC2085" s="2" t="s">
        <v>7091</v>
      </c>
      <c r="AD2085" s="4">
        <v>100</v>
      </c>
      <c r="AE2085" s="4">
        <v>100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/>
      <c r="BD2085" s="8"/>
      <c r="BE2085" s="4"/>
      <c r="BF2085" s="8"/>
      <c r="BG2085" s="7"/>
      <c r="BH2085" s="7"/>
      <c r="BI2085" s="7"/>
      <c r="BJ2085" s="4">
        <v>14</v>
      </c>
      <c r="BK2085" s="8">
        <v>2877.3</v>
      </c>
      <c r="BL2085" s="2" t="s">
        <v>7109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2551</v>
      </c>
      <c r="BV2085" s="2" t="s">
        <v>97</v>
      </c>
      <c r="BW2085" s="2" t="s">
        <v>100</v>
      </c>
      <c r="BX2085" s="2" t="s">
        <v>100</v>
      </c>
      <c r="BY2085" s="2" t="s">
        <v>112</v>
      </c>
      <c r="BZ2085" s="2" t="s">
        <v>100</v>
      </c>
    </row>
    <row r="2086">
      <c r="A2086" s="2" t="s">
        <v>7192</v>
      </c>
      <c r="B2086" s="2" t="s">
        <v>6747</v>
      </c>
      <c r="C2086" s="2" t="s">
        <v>2831</v>
      </c>
      <c r="D2086" s="2" t="s">
        <v>7179</v>
      </c>
      <c r="E2086" s="2" t="s">
        <v>7180</v>
      </c>
      <c r="F2086" s="2" t="s">
        <v>1132</v>
      </c>
      <c r="G2086" s="2" t="s">
        <v>1132</v>
      </c>
      <c r="H2086" s="2" t="s">
        <v>1132</v>
      </c>
      <c r="I2086" s="2" t="s">
        <v>7180</v>
      </c>
      <c r="J2086" s="2" t="s">
        <v>3385</v>
      </c>
      <c r="K2086" s="2" t="s">
        <v>165</v>
      </c>
      <c r="L2086" s="3">
        <v>194.75</v>
      </c>
      <c r="M2086" s="3">
        <v>204.49</v>
      </c>
      <c r="N2086" s="3">
        <v>409</v>
      </c>
      <c r="O2086" s="2" t="s">
        <v>97</v>
      </c>
      <c r="P2086" s="2" t="s">
        <v>707</v>
      </c>
      <c r="Q2086" s="2" t="s">
        <v>99</v>
      </c>
      <c r="R2086" s="2" t="s">
        <v>100</v>
      </c>
      <c r="S2086" s="2" t="s">
        <v>100</v>
      </c>
      <c r="T2086" s="2" t="s">
        <v>100</v>
      </c>
      <c r="U2086" s="2" t="s">
        <v>1776</v>
      </c>
      <c r="V2086" s="2" t="s">
        <v>461</v>
      </c>
      <c r="W2086" s="2" t="s">
        <v>2835</v>
      </c>
      <c r="X2086" s="2" t="s">
        <v>493</v>
      </c>
      <c r="Y2086" s="2" t="s">
        <v>6929</v>
      </c>
      <c r="Z2086" s="4">
        <v>71</v>
      </c>
      <c r="AA2086" s="4">
        <f>=ROUNDDOWN(23.6666666666667,0)</f>
      </c>
      <c r="AB2086" s="5">
        <v>3</v>
      </c>
      <c r="AC2086" s="2" t="s">
        <v>7017</v>
      </c>
      <c r="AD2086" s="4">
        <v>100</v>
      </c>
      <c r="AE2086" s="4">
        <v>100</v>
      </c>
      <c r="AF2086" s="6">
        <v>74</v>
      </c>
      <c r="AG2086" s="6"/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/>
      <c r="BJ2086" s="4">
        <v>13</v>
      </c>
      <c r="BK2086" s="8">
        <v>2238.99</v>
      </c>
      <c r="BL2086" s="2" t="s">
        <v>7193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2526</v>
      </c>
      <c r="BV2086" s="2" t="s">
        <v>97</v>
      </c>
      <c r="BW2086" s="2" t="s">
        <v>100</v>
      </c>
      <c r="BX2086" s="2" t="s">
        <v>100</v>
      </c>
      <c r="BY2086" s="2" t="s">
        <v>112</v>
      </c>
      <c r="BZ2086" s="2" t="s">
        <v>100</v>
      </c>
    </row>
    <row r="2087">
      <c r="A2087" s="2" t="s">
        <v>7194</v>
      </c>
      <c r="B2087" s="2" t="s">
        <v>6747</v>
      </c>
      <c r="C2087" s="2" t="s">
        <v>2831</v>
      </c>
      <c r="D2087" s="2" t="s">
        <v>7179</v>
      </c>
      <c r="E2087" s="2" t="s">
        <v>7180</v>
      </c>
      <c r="F2087" s="2" t="s">
        <v>1132</v>
      </c>
      <c r="G2087" s="2" t="s">
        <v>1132</v>
      </c>
      <c r="H2087" s="2" t="s">
        <v>100</v>
      </c>
      <c r="I2087" s="2" t="s">
        <v>7180</v>
      </c>
      <c r="J2087" s="2" t="s">
        <v>3385</v>
      </c>
      <c r="K2087" s="2" t="s">
        <v>3543</v>
      </c>
      <c r="L2087" s="3">
        <v>194.75</v>
      </c>
      <c r="M2087" s="3">
        <v>204.49</v>
      </c>
      <c r="N2087" s="3">
        <v>409</v>
      </c>
      <c r="O2087" s="2" t="s">
        <v>97</v>
      </c>
      <c r="P2087" s="2" t="s">
        <v>98</v>
      </c>
      <c r="Q2087" s="2" t="s">
        <v>99</v>
      </c>
      <c r="R2087" s="2" t="s">
        <v>100</v>
      </c>
      <c r="S2087" s="2" t="s">
        <v>6945</v>
      </c>
      <c r="T2087" s="2" t="s">
        <v>100</v>
      </c>
      <c r="U2087" s="2" t="s">
        <v>100</v>
      </c>
      <c r="V2087" s="2" t="s">
        <v>461</v>
      </c>
      <c r="W2087" s="2" t="s">
        <v>2835</v>
      </c>
      <c r="X2087" s="2" t="s">
        <v>100</v>
      </c>
      <c r="Y2087" s="2" t="s">
        <v>144</v>
      </c>
      <c r="Z2087" s="4">
        <v>79</v>
      </c>
      <c r="AA2087" s="4">
        <f>=ROUNDDOWN(11.2857142857143,0)</f>
      </c>
      <c r="AB2087" s="5">
        <v>7</v>
      </c>
      <c r="AC2087" s="2" t="s">
        <v>550</v>
      </c>
      <c r="AD2087" s="4">
        <v>100</v>
      </c>
      <c r="AE2087" s="4">
        <v>100</v>
      </c>
      <c r="AF2087" s="6">
        <v>74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/>
      <c r="BJ2087" s="4">
        <v>41</v>
      </c>
      <c r="BK2087" s="8">
        <v>6942.71</v>
      </c>
      <c r="BL2087" s="2" t="s">
        <v>7109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2551</v>
      </c>
      <c r="BV2087" s="2" t="s">
        <v>97</v>
      </c>
      <c r="BW2087" s="2" t="s">
        <v>100</v>
      </c>
      <c r="BX2087" s="2" t="s">
        <v>100</v>
      </c>
      <c r="BY2087" s="2" t="s">
        <v>112</v>
      </c>
      <c r="BZ2087" s="2" t="s">
        <v>100</v>
      </c>
    </row>
    <row r="2088">
      <c r="A2088" s="2" t="s">
        <v>7195</v>
      </c>
      <c r="B2088" s="2" t="s">
        <v>6747</v>
      </c>
      <c r="C2088" s="2" t="s">
        <v>2831</v>
      </c>
      <c r="D2088" s="2" t="s">
        <v>7179</v>
      </c>
      <c r="E2088" s="2" t="s">
        <v>7180</v>
      </c>
      <c r="F2088" s="2" t="s">
        <v>6882</v>
      </c>
      <c r="G2088" s="2" t="s">
        <v>6882</v>
      </c>
      <c r="H2088" s="2" t="s">
        <v>6882</v>
      </c>
      <c r="I2088" s="2" t="s">
        <v>7196</v>
      </c>
      <c r="J2088" s="2" t="s">
        <v>3385</v>
      </c>
      <c r="K2088" s="2" t="s">
        <v>6935</v>
      </c>
      <c r="L2088" s="3">
        <v>237.5</v>
      </c>
      <c r="M2088" s="3">
        <v>249.38</v>
      </c>
      <c r="N2088" s="3">
        <v>499</v>
      </c>
      <c r="O2088" s="2" t="s">
        <v>97</v>
      </c>
      <c r="P2088" s="2" t="s">
        <v>123</v>
      </c>
      <c r="Q2088" s="2" t="s">
        <v>99</v>
      </c>
      <c r="R2088" s="2" t="s">
        <v>100</v>
      </c>
      <c r="S2088" s="2" t="s">
        <v>7197</v>
      </c>
      <c r="T2088" s="2" t="s">
        <v>100</v>
      </c>
      <c r="U2088" s="2" t="s">
        <v>100</v>
      </c>
      <c r="V2088" s="2" t="s">
        <v>461</v>
      </c>
      <c r="W2088" s="2" t="s">
        <v>2835</v>
      </c>
      <c r="X2088" s="2" t="s">
        <v>100</v>
      </c>
      <c r="Y2088" s="2" t="s">
        <v>144</v>
      </c>
      <c r="Z2088" s="4">
        <v>293</v>
      </c>
      <c r="AA2088" s="4">
        <f>=ROUNDDOWN(16.2777777777778,0)</f>
      </c>
      <c r="AB2088" s="5">
        <v>18</v>
      </c>
      <c r="AC2088" s="2" t="s">
        <v>1094</v>
      </c>
      <c r="AD2088" s="4">
        <v>130</v>
      </c>
      <c r="AE2088" s="4">
        <v>290</v>
      </c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/>
      <c r="BD2088" s="8"/>
      <c r="BE2088" s="4"/>
      <c r="BF2088" s="8"/>
      <c r="BG2088" s="7"/>
      <c r="BH2088" s="7"/>
      <c r="BI2088" s="7"/>
      <c r="BJ2088" s="4">
        <v>53</v>
      </c>
      <c r="BK2088" s="8">
        <v>12824.92</v>
      </c>
      <c r="BL2088" s="2" t="s">
        <v>7198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2551</v>
      </c>
      <c r="BV2088" s="2" t="s">
        <v>97</v>
      </c>
      <c r="BW2088" s="2" t="s">
        <v>100</v>
      </c>
      <c r="BX2088" s="2" t="s">
        <v>100</v>
      </c>
      <c r="BY2088" s="2" t="s">
        <v>112</v>
      </c>
      <c r="BZ2088" s="2" t="s">
        <v>100</v>
      </c>
    </row>
    <row r="2089">
      <c r="A2089" s="2" t="s">
        <v>7199</v>
      </c>
      <c r="B2089" s="2" t="s">
        <v>6747</v>
      </c>
      <c r="C2089" s="2" t="s">
        <v>2831</v>
      </c>
      <c r="D2089" s="2" t="s">
        <v>7179</v>
      </c>
      <c r="E2089" s="2" t="s">
        <v>7180</v>
      </c>
      <c r="F2089" s="2" t="s">
        <v>7200</v>
      </c>
      <c r="G2089" s="2" t="s">
        <v>7200</v>
      </c>
      <c r="H2089" s="2" t="s">
        <v>7200</v>
      </c>
      <c r="I2089" s="2" t="s">
        <v>7180</v>
      </c>
      <c r="J2089" s="2" t="s">
        <v>3385</v>
      </c>
      <c r="K2089" s="2" t="s">
        <v>138</v>
      </c>
      <c r="L2089" s="3">
        <v>125.54</v>
      </c>
      <c r="M2089" s="3">
        <v>131.82</v>
      </c>
      <c r="N2089" s="3">
        <v>269</v>
      </c>
      <c r="O2089" s="2" t="s">
        <v>97</v>
      </c>
      <c r="P2089" s="2" t="s">
        <v>123</v>
      </c>
      <c r="Q2089" s="2" t="s">
        <v>99</v>
      </c>
      <c r="R2089" s="2" t="s">
        <v>100</v>
      </c>
      <c r="S2089" s="2" t="s">
        <v>7201</v>
      </c>
      <c r="T2089" s="2" t="s">
        <v>100</v>
      </c>
      <c r="U2089" s="2" t="s">
        <v>100</v>
      </c>
      <c r="V2089" s="2" t="s">
        <v>461</v>
      </c>
      <c r="W2089" s="2" t="s">
        <v>3394</v>
      </c>
      <c r="X2089" s="2" t="s">
        <v>100</v>
      </c>
      <c r="Y2089" s="2" t="s">
        <v>7003</v>
      </c>
      <c r="Z2089" s="4">
        <v>461</v>
      </c>
      <c r="AA2089" s="4">
        <f>=ROUNDDOWN(25.6111111111111,0)</f>
      </c>
      <c r="AB2089" s="5">
        <v>18</v>
      </c>
      <c r="AC2089" s="2" t="s">
        <v>2709</v>
      </c>
      <c r="AD2089" s="4">
        <v>30</v>
      </c>
      <c r="AE2089" s="4">
        <v>30</v>
      </c>
      <c r="AF2089" s="6">
        <v>74</v>
      </c>
      <c r="AG2089" s="6">
        <v>60</v>
      </c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/>
      <c r="BD2089" s="8"/>
      <c r="BE2089" s="4"/>
      <c r="BF2089" s="8"/>
      <c r="BG2089" s="7"/>
      <c r="BH2089" s="7"/>
      <c r="BI2089" s="7"/>
      <c r="BJ2089" s="4">
        <v>79</v>
      </c>
      <c r="BK2089" s="8">
        <v>9494.04</v>
      </c>
      <c r="BL2089" s="2" t="s">
        <v>7202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2551</v>
      </c>
      <c r="BV2089" s="2" t="s">
        <v>97</v>
      </c>
      <c r="BW2089" s="2" t="s">
        <v>100</v>
      </c>
      <c r="BX2089" s="2" t="s">
        <v>100</v>
      </c>
      <c r="BY2089" s="2" t="s">
        <v>112</v>
      </c>
      <c r="BZ2089" s="2" t="s">
        <v>100</v>
      </c>
    </row>
    <row r="2090">
      <c r="A2090" s="2" t="s">
        <v>7203</v>
      </c>
      <c r="B2090" s="2" t="s">
        <v>6747</v>
      </c>
      <c r="C2090" s="2" t="s">
        <v>2831</v>
      </c>
      <c r="D2090" s="2" t="s">
        <v>7179</v>
      </c>
      <c r="E2090" s="2" t="s">
        <v>7204</v>
      </c>
      <c r="F2090" s="2" t="s">
        <v>7205</v>
      </c>
      <c r="G2090" s="2" t="s">
        <v>7205</v>
      </c>
      <c r="H2090" s="2" t="s">
        <v>7205</v>
      </c>
      <c r="I2090" s="2" t="s">
        <v>7206</v>
      </c>
      <c r="J2090" s="2" t="s">
        <v>7207</v>
      </c>
      <c r="K2090" s="2" t="s">
        <v>138</v>
      </c>
      <c r="L2090" s="3">
        <v>237.5</v>
      </c>
      <c r="M2090" s="3">
        <v>249.38</v>
      </c>
      <c r="N2090" s="3">
        <v>499</v>
      </c>
      <c r="O2090" s="2" t="s">
        <v>97</v>
      </c>
      <c r="P2090" s="2" t="s">
        <v>123</v>
      </c>
      <c r="Q2090" s="2" t="s">
        <v>99</v>
      </c>
      <c r="R2090" s="2" t="s">
        <v>100</v>
      </c>
      <c r="S2090" s="2" t="s">
        <v>7208</v>
      </c>
      <c r="T2090" s="2" t="s">
        <v>100</v>
      </c>
      <c r="U2090" s="2" t="s">
        <v>1776</v>
      </c>
      <c r="V2090" s="2" t="s">
        <v>461</v>
      </c>
      <c r="W2090" s="2" t="s">
        <v>493</v>
      </c>
      <c r="X2090" s="2" t="s">
        <v>609</v>
      </c>
      <c r="Y2090" s="2" t="s">
        <v>5176</v>
      </c>
      <c r="Z2090" s="4">
        <v>234</v>
      </c>
      <c r="AA2090" s="4">
        <f>=ROUNDDOWN(14.625,0)</f>
      </c>
      <c r="AB2090" s="5">
        <v>16</v>
      </c>
      <c r="AC2090" s="2" t="s">
        <v>262</v>
      </c>
      <c r="AD2090" s="4">
        <v>88</v>
      </c>
      <c r="AE2090" s="4">
        <v>438</v>
      </c>
      <c r="AF2090" s="6">
        <v>74</v>
      </c>
      <c r="AG2090" s="6">
        <v>60</v>
      </c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100</v>
      </c>
      <c r="AW2090" s="8" t="s">
        <v>100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/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/>
      <c r="BJ2090" s="4">
        <v>65</v>
      </c>
      <c r="BK2090" s="8">
        <v>14806.25</v>
      </c>
      <c r="BL2090" s="2" t="s">
        <v>7209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2551</v>
      </c>
      <c r="BV2090" s="2" t="s">
        <v>97</v>
      </c>
      <c r="BW2090" s="2" t="s">
        <v>100</v>
      </c>
      <c r="BX2090" s="2" t="s">
        <v>100</v>
      </c>
      <c r="BY2090" s="2" t="s">
        <v>112</v>
      </c>
      <c r="BZ2090" s="2" t="s">
        <v>100</v>
      </c>
    </row>
    <row r="2091">
      <c r="A2091" s="2" t="s">
        <v>7210</v>
      </c>
      <c r="B2091" s="2" t="s">
        <v>6747</v>
      </c>
      <c r="C2091" s="2" t="s">
        <v>2831</v>
      </c>
      <c r="D2091" s="2" t="s">
        <v>7179</v>
      </c>
      <c r="E2091" s="2" t="s">
        <v>7204</v>
      </c>
      <c r="F2091" s="2" t="s">
        <v>7205</v>
      </c>
      <c r="G2091" s="2" t="s">
        <v>7205</v>
      </c>
      <c r="H2091" s="2" t="s">
        <v>7205</v>
      </c>
      <c r="I2091" s="2" t="s">
        <v>7211</v>
      </c>
      <c r="J2091" s="2" t="s">
        <v>7212</v>
      </c>
      <c r="K2091" s="2" t="s">
        <v>138</v>
      </c>
      <c r="L2091" s="3">
        <v>218.5</v>
      </c>
      <c r="M2091" s="3">
        <v>229.42</v>
      </c>
      <c r="N2091" s="3">
        <v>459</v>
      </c>
      <c r="O2091" s="2" t="s">
        <v>97</v>
      </c>
      <c r="P2091" s="2" t="s">
        <v>123</v>
      </c>
      <c r="Q2091" s="2" t="s">
        <v>99</v>
      </c>
      <c r="R2091" s="2" t="s">
        <v>100</v>
      </c>
      <c r="S2091" s="2" t="s">
        <v>100</v>
      </c>
      <c r="T2091" s="2" t="s">
        <v>100</v>
      </c>
      <c r="U2091" s="2" t="s">
        <v>1776</v>
      </c>
      <c r="V2091" s="2" t="s">
        <v>3412</v>
      </c>
      <c r="W2091" s="2" t="s">
        <v>493</v>
      </c>
      <c r="X2091" s="2" t="s">
        <v>609</v>
      </c>
      <c r="Y2091" s="2" t="s">
        <v>7112</v>
      </c>
      <c r="Z2091" s="4">
        <v>121</v>
      </c>
      <c r="AA2091" s="4">
        <f>=ROUNDDOWN(10.0833333333333,0)</f>
      </c>
      <c r="AB2091" s="5">
        <v>12</v>
      </c>
      <c r="AC2091" s="2" t="s">
        <v>903</v>
      </c>
      <c r="AD2091" s="4">
        <v>156</v>
      </c>
      <c r="AE2091" s="4">
        <v>306</v>
      </c>
      <c r="AF2091" s="6">
        <v>74</v>
      </c>
      <c r="AG2091" s="6">
        <v>60</v>
      </c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/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/>
      <c r="BJ2091" s="4">
        <v>37</v>
      </c>
      <c r="BK2091" s="8">
        <v>8137.16</v>
      </c>
      <c r="BL2091" s="2" t="s">
        <v>7213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2551</v>
      </c>
      <c r="BV2091" s="2" t="s">
        <v>97</v>
      </c>
      <c r="BW2091" s="2" t="s">
        <v>100</v>
      </c>
      <c r="BX2091" s="2" t="s">
        <v>100</v>
      </c>
      <c r="BY2091" s="2" t="s">
        <v>112</v>
      </c>
      <c r="BZ2091" s="2" t="s">
        <v>100</v>
      </c>
    </row>
    <row r="2092">
      <c r="A2092" s="2" t="s">
        <v>7214</v>
      </c>
      <c r="B2092" s="2" t="s">
        <v>6747</v>
      </c>
      <c r="C2092" s="2" t="s">
        <v>2831</v>
      </c>
      <c r="D2092" s="2" t="s">
        <v>7179</v>
      </c>
      <c r="E2092" s="2" t="s">
        <v>7204</v>
      </c>
      <c r="F2092" s="2" t="s">
        <v>7205</v>
      </c>
      <c r="G2092" s="2" t="s">
        <v>7205</v>
      </c>
      <c r="H2092" s="2" t="s">
        <v>7205</v>
      </c>
      <c r="I2092" s="2" t="s">
        <v>7206</v>
      </c>
      <c r="J2092" s="2" t="s">
        <v>7207</v>
      </c>
      <c r="K2092" s="2" t="s">
        <v>446</v>
      </c>
      <c r="L2092" s="3">
        <v>237.5</v>
      </c>
      <c r="M2092" s="3">
        <v>249.38</v>
      </c>
      <c r="N2092" s="3">
        <v>499</v>
      </c>
      <c r="O2092" s="2" t="s">
        <v>97</v>
      </c>
      <c r="P2092" s="2" t="s">
        <v>139</v>
      </c>
      <c r="Q2092" s="2" t="s">
        <v>99</v>
      </c>
      <c r="R2092" s="2" t="s">
        <v>100</v>
      </c>
      <c r="S2092" s="2" t="s">
        <v>100</v>
      </c>
      <c r="T2092" s="2" t="s">
        <v>100</v>
      </c>
      <c r="U2092" s="2" t="s">
        <v>1776</v>
      </c>
      <c r="V2092" s="2" t="s">
        <v>3412</v>
      </c>
      <c r="W2092" s="2" t="s">
        <v>493</v>
      </c>
      <c r="X2092" s="2" t="s">
        <v>609</v>
      </c>
      <c r="Y2092" s="2" t="s">
        <v>6431</v>
      </c>
      <c r="Z2092" s="4">
        <v>406</v>
      </c>
      <c r="AA2092" s="4">
        <f>=ROUNDDOWN(13.0967741935484,0)</f>
      </c>
      <c r="AB2092" s="5">
        <v>31</v>
      </c>
      <c r="AC2092" s="2" t="s">
        <v>262</v>
      </c>
      <c r="AD2092" s="4">
        <v>100</v>
      </c>
      <c r="AE2092" s="4">
        <v>866</v>
      </c>
      <c r="AF2092" s="6">
        <v>74</v>
      </c>
      <c r="AG2092" s="6">
        <v>60</v>
      </c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/>
      <c r="BJ2092" s="4">
        <v>115</v>
      </c>
      <c r="BK2092" s="8">
        <v>27038.7</v>
      </c>
      <c r="BL2092" s="2" t="s">
        <v>7215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2551</v>
      </c>
      <c r="BV2092" s="2" t="s">
        <v>97</v>
      </c>
      <c r="BW2092" s="2" t="s">
        <v>100</v>
      </c>
      <c r="BX2092" s="2" t="s">
        <v>100</v>
      </c>
      <c r="BY2092" s="2" t="s">
        <v>112</v>
      </c>
      <c r="BZ2092" s="2" t="s">
        <v>100</v>
      </c>
    </row>
    <row r="2093">
      <c r="A2093" s="2" t="s">
        <v>7216</v>
      </c>
      <c r="B2093" s="2" t="s">
        <v>6747</v>
      </c>
      <c r="C2093" s="2" t="s">
        <v>2831</v>
      </c>
      <c r="D2093" s="2" t="s">
        <v>7179</v>
      </c>
      <c r="E2093" s="2" t="s">
        <v>6932</v>
      </c>
      <c r="F2093" s="2" t="s">
        <v>7181</v>
      </c>
      <c r="G2093" s="2" t="s">
        <v>7181</v>
      </c>
      <c r="H2093" s="2" t="s">
        <v>7181</v>
      </c>
      <c r="I2093" s="2" t="s">
        <v>7217</v>
      </c>
      <c r="J2093" s="2" t="s">
        <v>3385</v>
      </c>
      <c r="K2093" s="2" t="s">
        <v>138</v>
      </c>
      <c r="L2093" s="3">
        <v>71.25</v>
      </c>
      <c r="M2093" s="3">
        <v>74.81</v>
      </c>
      <c r="N2093" s="3">
        <v>149</v>
      </c>
      <c r="O2093" s="2" t="s">
        <v>97</v>
      </c>
      <c r="P2093" s="2" t="s">
        <v>139</v>
      </c>
      <c r="Q2093" s="2" t="s">
        <v>99</v>
      </c>
      <c r="R2093" s="2" t="s">
        <v>100</v>
      </c>
      <c r="S2093" s="2" t="s">
        <v>7218</v>
      </c>
      <c r="T2093" s="2" t="s">
        <v>100</v>
      </c>
      <c r="U2093" s="2" t="s">
        <v>100</v>
      </c>
      <c r="V2093" s="2" t="s">
        <v>461</v>
      </c>
      <c r="W2093" s="2" t="s">
        <v>2835</v>
      </c>
      <c r="X2093" s="2" t="s">
        <v>100</v>
      </c>
      <c r="Y2093" s="2" t="s">
        <v>144</v>
      </c>
      <c r="Z2093" s="4">
        <v>818</v>
      </c>
      <c r="AA2093" s="4">
        <f>=ROUNDDOWN(16.0392156862745,0)</f>
      </c>
      <c r="AB2093" s="5">
        <v>51</v>
      </c>
      <c r="AC2093" s="2" t="s">
        <v>2581</v>
      </c>
      <c r="AD2093" s="4">
        <v>20</v>
      </c>
      <c r="AE2093" s="4">
        <v>990</v>
      </c>
      <c r="AF2093" s="6">
        <v>74</v>
      </c>
      <c r="AG2093" s="6">
        <v>60</v>
      </c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/>
      <c r="AW2093" s="8"/>
      <c r="AX2093" s="4"/>
      <c r="AY2093" s="8"/>
      <c r="AZ2093" s="7"/>
      <c r="BA2093" s="7"/>
      <c r="BB2093" s="7"/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/>
      <c r="BJ2093" s="4">
        <v>169</v>
      </c>
      <c r="BK2093" s="8">
        <v>13612.46</v>
      </c>
      <c r="BL2093" s="2" t="s">
        <v>7219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2551</v>
      </c>
      <c r="BV2093" s="2" t="s">
        <v>97</v>
      </c>
      <c r="BW2093" s="2" t="s">
        <v>100</v>
      </c>
      <c r="BX2093" s="2" t="s">
        <v>100</v>
      </c>
      <c r="BY2093" s="2" t="s">
        <v>112</v>
      </c>
      <c r="BZ2093" s="2" t="s">
        <v>100</v>
      </c>
    </row>
    <row r="2094">
      <c r="A2094" s="2" t="s">
        <v>7220</v>
      </c>
      <c r="B2094" s="2" t="s">
        <v>6747</v>
      </c>
      <c r="C2094" s="2" t="s">
        <v>2831</v>
      </c>
      <c r="D2094" s="2" t="s">
        <v>7179</v>
      </c>
      <c r="E2094" s="2" t="s">
        <v>6932</v>
      </c>
      <c r="F2094" s="2" t="s">
        <v>7181</v>
      </c>
      <c r="G2094" s="2" t="s">
        <v>7181</v>
      </c>
      <c r="H2094" s="2" t="s">
        <v>7181</v>
      </c>
      <c r="I2094" s="2" t="s">
        <v>7217</v>
      </c>
      <c r="J2094" s="2" t="s">
        <v>3385</v>
      </c>
      <c r="K2094" s="2" t="s">
        <v>6828</v>
      </c>
      <c r="L2094" s="3">
        <v>71.25</v>
      </c>
      <c r="M2094" s="3">
        <v>74.81</v>
      </c>
      <c r="N2094" s="3">
        <v>149</v>
      </c>
      <c r="O2094" s="2" t="s">
        <v>97</v>
      </c>
      <c r="P2094" s="2" t="s">
        <v>123</v>
      </c>
      <c r="Q2094" s="2" t="s">
        <v>99</v>
      </c>
      <c r="R2094" s="2" t="s">
        <v>100</v>
      </c>
      <c r="S2094" s="2" t="s">
        <v>100</v>
      </c>
      <c r="T2094" s="2" t="s">
        <v>100</v>
      </c>
      <c r="U2094" s="2" t="s">
        <v>1776</v>
      </c>
      <c r="V2094" s="2" t="s">
        <v>461</v>
      </c>
      <c r="W2094" s="2" t="s">
        <v>2835</v>
      </c>
      <c r="X2094" s="2" t="s">
        <v>493</v>
      </c>
      <c r="Y2094" s="2" t="s">
        <v>7186</v>
      </c>
      <c r="Z2094" s="4">
        <v>403</v>
      </c>
      <c r="AA2094" s="4">
        <f>=ROUNDDOWN(21.2105263157895,0)</f>
      </c>
      <c r="AB2094" s="5">
        <v>19</v>
      </c>
      <c r="AC2094" s="2" t="s">
        <v>3024</v>
      </c>
      <c r="AD2094" s="4">
        <v>160</v>
      </c>
      <c r="AE2094" s="4">
        <v>160</v>
      </c>
      <c r="AF2094" s="6">
        <v>74</v>
      </c>
      <c r="AG2094" s="6">
        <v>60</v>
      </c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/>
      <c r="AW2094" s="8"/>
      <c r="AX2094" s="4"/>
      <c r="AY2094" s="8"/>
      <c r="AZ2094" s="7"/>
      <c r="BA2094" s="7"/>
      <c r="BB2094" s="7"/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/>
      <c r="BJ2094" s="4">
        <v>60</v>
      </c>
      <c r="BK2094" s="8">
        <v>4893.55</v>
      </c>
      <c r="BL2094" s="2" t="s">
        <v>7221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2551</v>
      </c>
      <c r="BV2094" s="2" t="s">
        <v>97</v>
      </c>
      <c r="BW2094" s="2" t="s">
        <v>100</v>
      </c>
      <c r="BX2094" s="2" t="s">
        <v>100</v>
      </c>
      <c r="BY2094" s="2" t="s">
        <v>112</v>
      </c>
      <c r="BZ2094" s="2" t="s">
        <v>100</v>
      </c>
    </row>
    <row r="2095">
      <c r="A2095" s="2" t="s">
        <v>7222</v>
      </c>
      <c r="B2095" s="2" t="s">
        <v>6747</v>
      </c>
      <c r="C2095" s="2" t="s">
        <v>2831</v>
      </c>
      <c r="D2095" s="2" t="s">
        <v>7223</v>
      </c>
      <c r="E2095" s="2" t="s">
        <v>7224</v>
      </c>
      <c r="F2095" s="2" t="s">
        <v>651</v>
      </c>
      <c r="G2095" s="2" t="s">
        <v>651</v>
      </c>
      <c r="H2095" s="2" t="s">
        <v>651</v>
      </c>
      <c r="I2095" s="2" t="s">
        <v>7225</v>
      </c>
      <c r="J2095" s="2" t="s">
        <v>3385</v>
      </c>
      <c r="K2095" s="2" t="s">
        <v>7226</v>
      </c>
      <c r="L2095" s="3">
        <v>61.84</v>
      </c>
      <c r="M2095" s="3">
        <v>64.93</v>
      </c>
      <c r="N2095" s="3">
        <v>129</v>
      </c>
      <c r="O2095" s="2" t="s">
        <v>97</v>
      </c>
      <c r="P2095" s="2" t="s">
        <v>707</v>
      </c>
      <c r="Q2095" s="2" t="s">
        <v>99</v>
      </c>
      <c r="R2095" s="2" t="s">
        <v>100</v>
      </c>
      <c r="S2095" s="2" t="s">
        <v>100</v>
      </c>
      <c r="T2095" s="2" t="s">
        <v>100</v>
      </c>
      <c r="U2095" s="2" t="s">
        <v>100</v>
      </c>
      <c r="V2095" s="2" t="s">
        <v>461</v>
      </c>
      <c r="W2095" s="2" t="s">
        <v>2835</v>
      </c>
      <c r="X2095" s="2" t="s">
        <v>100</v>
      </c>
      <c r="Y2095" s="2" t="s">
        <v>7003</v>
      </c>
      <c r="Z2095" s="4">
        <v>60</v>
      </c>
      <c r="AA2095" s="4">
        <f>=ROUNDDOWN(8.57142857142857,0)</f>
      </c>
      <c r="AB2095" s="5">
        <v>7</v>
      </c>
      <c r="AC2095" s="2" t="s">
        <v>173</v>
      </c>
      <c r="AD2095" s="4">
        <v>80</v>
      </c>
      <c r="AE2095" s="4">
        <v>80</v>
      </c>
      <c r="AF2095" s="6">
        <v>66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/>
      <c r="AW2095" s="8"/>
      <c r="AX2095" s="4"/>
      <c r="AY2095" s="8"/>
      <c r="AZ2095" s="7"/>
      <c r="BA2095" s="7"/>
      <c r="BB2095" s="7"/>
      <c r="BC2095" s="4"/>
      <c r="BD2095" s="8"/>
      <c r="BE2095" s="4"/>
      <c r="BF2095" s="8"/>
      <c r="BG2095" s="7"/>
      <c r="BH2095" s="7"/>
      <c r="BI2095" s="7"/>
      <c r="BJ2095" s="4">
        <v>18</v>
      </c>
      <c r="BK2095" s="8">
        <v>1161.88</v>
      </c>
      <c r="BL2095" s="2" t="s">
        <v>1070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2526</v>
      </c>
      <c r="BV2095" s="2" t="s">
        <v>97</v>
      </c>
      <c r="BW2095" s="2" t="s">
        <v>100</v>
      </c>
      <c r="BX2095" s="2" t="s">
        <v>100</v>
      </c>
      <c r="BY2095" s="2" t="s">
        <v>112</v>
      </c>
      <c r="BZ2095" s="2" t="s">
        <v>100</v>
      </c>
    </row>
    <row r="2096">
      <c r="A2096" s="2" t="s">
        <v>7227</v>
      </c>
      <c r="B2096" s="2" t="s">
        <v>6747</v>
      </c>
      <c r="C2096" s="2" t="s">
        <v>2831</v>
      </c>
      <c r="D2096" s="2" t="s">
        <v>7228</v>
      </c>
      <c r="E2096" s="2" t="s">
        <v>6790</v>
      </c>
      <c r="F2096" s="2" t="s">
        <v>7229</v>
      </c>
      <c r="G2096" s="2" t="s">
        <v>7229</v>
      </c>
      <c r="H2096" s="2" t="s">
        <v>7229</v>
      </c>
      <c r="I2096" s="2" t="s">
        <v>7230</v>
      </c>
      <c r="J2096" s="2" t="s">
        <v>7231</v>
      </c>
      <c r="K2096" s="2" t="s">
        <v>5996</v>
      </c>
      <c r="L2096" s="3">
        <v>157.5</v>
      </c>
      <c r="M2096" s="3">
        <v>165.38</v>
      </c>
      <c r="N2096" s="3">
        <v>329</v>
      </c>
      <c r="O2096" s="2" t="s">
        <v>97</v>
      </c>
      <c r="P2096" s="2" t="s">
        <v>707</v>
      </c>
      <c r="Q2096" s="2" t="s">
        <v>99</v>
      </c>
      <c r="R2096" s="2" t="s">
        <v>100</v>
      </c>
      <c r="S2096" s="2" t="s">
        <v>100</v>
      </c>
      <c r="T2096" s="2" t="s">
        <v>100</v>
      </c>
      <c r="U2096" s="2" t="s">
        <v>1776</v>
      </c>
      <c r="V2096" s="2" t="s">
        <v>3412</v>
      </c>
      <c r="W2096" s="2" t="s">
        <v>493</v>
      </c>
      <c r="X2096" s="2" t="s">
        <v>609</v>
      </c>
      <c r="Y2096" s="2" t="s">
        <v>7232</v>
      </c>
      <c r="Z2096" s="4">
        <v>110</v>
      </c>
      <c r="AA2096" s="4">
        <f>=ROUNDDOWN(36.6666666666667,0)</f>
      </c>
      <c r="AB2096" s="5">
        <v>3</v>
      </c>
      <c r="AC2096" s="2" t="s">
        <v>2581</v>
      </c>
      <c r="AD2096" s="4">
        <v>100</v>
      </c>
      <c r="AE2096" s="4">
        <v>100</v>
      </c>
      <c r="AF2096" s="6">
        <v>74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/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/>
      <c r="BJ2096" s="4">
        <v>13</v>
      </c>
      <c r="BK2096" s="8">
        <v>2188.65</v>
      </c>
      <c r="BL2096" s="2" t="s">
        <v>3477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2526</v>
      </c>
      <c r="BV2096" s="2" t="s">
        <v>97</v>
      </c>
      <c r="BW2096" s="2" t="s">
        <v>100</v>
      </c>
      <c r="BX2096" s="2" t="s">
        <v>100</v>
      </c>
      <c r="BY2096" s="2" t="s">
        <v>112</v>
      </c>
      <c r="BZ2096" s="2" t="s">
        <v>100</v>
      </c>
    </row>
    <row r="2097">
      <c r="A2097" s="2" t="s">
        <v>7233</v>
      </c>
      <c r="B2097" s="2" t="s">
        <v>6747</v>
      </c>
      <c r="C2097" s="2" t="s">
        <v>2831</v>
      </c>
      <c r="D2097" s="2" t="s">
        <v>7228</v>
      </c>
      <c r="E2097" s="2" t="s">
        <v>6790</v>
      </c>
      <c r="F2097" s="2" t="s">
        <v>7229</v>
      </c>
      <c r="G2097" s="2" t="s">
        <v>7229</v>
      </c>
      <c r="H2097" s="2" t="s">
        <v>7229</v>
      </c>
      <c r="I2097" s="2" t="s">
        <v>7234</v>
      </c>
      <c r="J2097" s="2" t="s">
        <v>7235</v>
      </c>
      <c r="K2097" s="2" t="s">
        <v>5996</v>
      </c>
      <c r="L2097" s="3">
        <v>166.5</v>
      </c>
      <c r="M2097" s="3">
        <v>174.82</v>
      </c>
      <c r="N2097" s="3">
        <v>349</v>
      </c>
      <c r="O2097" s="2" t="s">
        <v>97</v>
      </c>
      <c r="P2097" s="2" t="s">
        <v>707</v>
      </c>
      <c r="Q2097" s="2" t="s">
        <v>99</v>
      </c>
      <c r="R2097" s="2" t="s">
        <v>100</v>
      </c>
      <c r="S2097" s="2" t="s">
        <v>100</v>
      </c>
      <c r="T2097" s="2" t="s">
        <v>100</v>
      </c>
      <c r="U2097" s="2" t="s">
        <v>1776</v>
      </c>
      <c r="V2097" s="2" t="s">
        <v>3412</v>
      </c>
      <c r="W2097" s="2" t="s">
        <v>493</v>
      </c>
      <c r="X2097" s="2" t="s">
        <v>609</v>
      </c>
      <c r="Y2097" s="2" t="s">
        <v>7232</v>
      </c>
      <c r="Z2097" s="4">
        <v>66</v>
      </c>
      <c r="AA2097" s="4">
        <f>=ROUNDDOWN(22,0)</f>
      </c>
      <c r="AB2097" s="5">
        <v>3</v>
      </c>
      <c r="AC2097" s="2" t="s">
        <v>6903</v>
      </c>
      <c r="AD2097" s="4">
        <v>72</v>
      </c>
      <c r="AE2097" s="4">
        <v>72</v>
      </c>
      <c r="AF2097" s="6">
        <v>74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/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/>
      <c r="BJ2097" s="4">
        <v>13</v>
      </c>
      <c r="BK2097" s="8">
        <v>2456.76</v>
      </c>
      <c r="BL2097" s="2" t="s">
        <v>3477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2526</v>
      </c>
      <c r="BV2097" s="2" t="s">
        <v>97</v>
      </c>
      <c r="BW2097" s="2" t="s">
        <v>100</v>
      </c>
      <c r="BX2097" s="2" t="s">
        <v>100</v>
      </c>
      <c r="BY2097" s="2" t="s">
        <v>112</v>
      </c>
      <c r="BZ2097" s="2" t="s">
        <v>100</v>
      </c>
    </row>
    <row r="2098">
      <c r="A2098" s="2" t="s">
        <v>7236</v>
      </c>
      <c r="B2098" s="2" t="s">
        <v>6747</v>
      </c>
      <c r="C2098" s="2" t="s">
        <v>2831</v>
      </c>
      <c r="D2098" s="2" t="s">
        <v>7228</v>
      </c>
      <c r="E2098" s="2" t="s">
        <v>7224</v>
      </c>
      <c r="F2098" s="2" t="s">
        <v>7229</v>
      </c>
      <c r="G2098" s="2" t="s">
        <v>7229</v>
      </c>
      <c r="H2098" s="2" t="s">
        <v>7229</v>
      </c>
      <c r="I2098" s="2" t="s">
        <v>7237</v>
      </c>
      <c r="J2098" s="2" t="s">
        <v>7224</v>
      </c>
      <c r="K2098" s="2" t="s">
        <v>5996</v>
      </c>
      <c r="L2098" s="3">
        <v>118.8</v>
      </c>
      <c r="M2098" s="3">
        <v>124.74</v>
      </c>
      <c r="N2098" s="3">
        <v>249</v>
      </c>
      <c r="O2098" s="2" t="s">
        <v>97</v>
      </c>
      <c r="P2098" s="2" t="s">
        <v>707</v>
      </c>
      <c r="Q2098" s="2" t="s">
        <v>99</v>
      </c>
      <c r="R2098" s="2" t="s">
        <v>100</v>
      </c>
      <c r="S2098" s="2" t="s">
        <v>100</v>
      </c>
      <c r="T2098" s="2" t="s">
        <v>100</v>
      </c>
      <c r="U2098" s="2" t="s">
        <v>1776</v>
      </c>
      <c r="V2098" s="2" t="s">
        <v>3412</v>
      </c>
      <c r="W2098" s="2" t="s">
        <v>493</v>
      </c>
      <c r="X2098" s="2" t="s">
        <v>609</v>
      </c>
      <c r="Y2098" s="2" t="s">
        <v>7232</v>
      </c>
      <c r="Z2098" s="4">
        <v>52</v>
      </c>
      <c r="AA2098" s="4">
        <f>=ROUNDDOWN(26,0)</f>
      </c>
      <c r="AB2098" s="5">
        <v>2</v>
      </c>
      <c r="AC2098" s="2" t="s">
        <v>100</v>
      </c>
      <c r="AD2098" s="4"/>
      <c r="AE2098" s="4"/>
      <c r="AF2098" s="6">
        <v>74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/>
      <c r="AW2098" s="8"/>
      <c r="AX2098" s="4"/>
      <c r="AY2098" s="8"/>
      <c r="AZ2098" s="7"/>
      <c r="BA2098" s="7"/>
      <c r="BB2098" s="7"/>
      <c r="BC2098" s="4"/>
      <c r="BD2098" s="8"/>
      <c r="BE2098" s="4"/>
      <c r="BF2098" s="8"/>
      <c r="BG2098" s="7"/>
      <c r="BH2098" s="7"/>
      <c r="BI2098" s="7"/>
      <c r="BJ2098" s="4">
        <v>6</v>
      </c>
      <c r="BK2098" s="8">
        <v>787.71</v>
      </c>
      <c r="BL2098" s="2" t="s">
        <v>6821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2526</v>
      </c>
      <c r="BV2098" s="2" t="s">
        <v>97</v>
      </c>
      <c r="BW2098" s="2" t="s">
        <v>100</v>
      </c>
      <c r="BX2098" s="2" t="s">
        <v>100</v>
      </c>
      <c r="BY2098" s="2" t="s">
        <v>112</v>
      </c>
      <c r="BZ2098" s="2" t="s">
        <v>100</v>
      </c>
    </row>
    <row r="2099">
      <c r="A2099" s="2" t="s">
        <v>7238</v>
      </c>
      <c r="B2099" s="2" t="s">
        <v>6747</v>
      </c>
      <c r="C2099" s="2" t="s">
        <v>88</v>
      </c>
      <c r="D2099" s="2" t="s">
        <v>6748</v>
      </c>
      <c r="E2099" s="2" t="s">
        <v>6749</v>
      </c>
      <c r="F2099" s="2" t="s">
        <v>7239</v>
      </c>
      <c r="G2099" s="2" t="s">
        <v>7240</v>
      </c>
      <c r="H2099" s="2" t="s">
        <v>2519</v>
      </c>
      <c r="I2099" s="2" t="s">
        <v>7241</v>
      </c>
      <c r="J2099" s="2" t="s">
        <v>3385</v>
      </c>
      <c r="K2099" s="2" t="s">
        <v>545</v>
      </c>
      <c r="L2099" s="3">
        <v>156.75</v>
      </c>
      <c r="M2099" s="3">
        <v>164.59</v>
      </c>
      <c r="N2099" s="3">
        <v>329</v>
      </c>
      <c r="O2099" s="2" t="s">
        <v>97</v>
      </c>
      <c r="P2099" s="2" t="s">
        <v>98</v>
      </c>
      <c r="Q2099" s="2" t="s">
        <v>99</v>
      </c>
      <c r="R2099" s="2" t="s">
        <v>100</v>
      </c>
      <c r="S2099" s="2" t="s">
        <v>100</v>
      </c>
      <c r="T2099" s="2" t="s">
        <v>100</v>
      </c>
      <c r="U2099" s="2" t="s">
        <v>1776</v>
      </c>
      <c r="V2099" s="2" t="s">
        <v>3412</v>
      </c>
      <c r="W2099" s="2" t="s">
        <v>142</v>
      </c>
      <c r="X2099" s="2" t="s">
        <v>2835</v>
      </c>
      <c r="Y2099" s="2" t="s">
        <v>7242</v>
      </c>
      <c r="Z2099" s="4">
        <v>36</v>
      </c>
      <c r="AA2099" s="4">
        <f>=ROUNDDOWN(7.2,0)</f>
      </c>
      <c r="AB2099" s="5">
        <v>5</v>
      </c>
      <c r="AC2099" s="2" t="s">
        <v>932</v>
      </c>
      <c r="AD2099" s="4">
        <v>60</v>
      </c>
      <c r="AE2099" s="4">
        <v>90</v>
      </c>
      <c r="AF2099" s="6">
        <v>66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/>
      <c r="AW2099" s="8"/>
      <c r="AX2099" s="4"/>
      <c r="AY2099" s="8"/>
      <c r="AZ2099" s="7"/>
      <c r="BA2099" s="7"/>
      <c r="BB2099" s="7"/>
      <c r="BC2099" s="4"/>
      <c r="BD2099" s="8"/>
      <c r="BE2099" s="4"/>
      <c r="BF2099" s="8"/>
      <c r="BG2099" s="7"/>
      <c r="BH2099" s="7"/>
      <c r="BI2099" s="7"/>
      <c r="BJ2099" s="4">
        <v>20</v>
      </c>
      <c r="BK2099" s="8">
        <v>3554.56</v>
      </c>
      <c r="BL2099" s="2" t="s">
        <v>7243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2526</v>
      </c>
      <c r="BV2099" s="2" t="s">
        <v>97</v>
      </c>
      <c r="BW2099" s="2" t="s">
        <v>100</v>
      </c>
      <c r="BX2099" s="2" t="s">
        <v>100</v>
      </c>
      <c r="BY2099" s="2" t="s">
        <v>112</v>
      </c>
      <c r="BZ2099" s="2" t="s">
        <v>100</v>
      </c>
    </row>
    <row r="2100">
      <c r="A2100" s="2" t="s">
        <v>7244</v>
      </c>
      <c r="B2100" s="2" t="s">
        <v>6747</v>
      </c>
      <c r="C2100" s="2" t="s">
        <v>88</v>
      </c>
      <c r="D2100" s="2" t="s">
        <v>6748</v>
      </c>
      <c r="E2100" s="2" t="s">
        <v>6749</v>
      </c>
      <c r="F2100" s="2" t="s">
        <v>7245</v>
      </c>
      <c r="G2100" s="2" t="s">
        <v>7246</v>
      </c>
      <c r="H2100" s="2" t="s">
        <v>7247</v>
      </c>
      <c r="I2100" s="2" t="s">
        <v>7248</v>
      </c>
      <c r="J2100" s="2" t="s">
        <v>3385</v>
      </c>
      <c r="K2100" s="2" t="s">
        <v>7249</v>
      </c>
      <c r="L2100" s="3">
        <v>165</v>
      </c>
      <c r="M2100" s="3">
        <v>173.25</v>
      </c>
      <c r="N2100" s="3">
        <v>349</v>
      </c>
      <c r="O2100" s="2" t="s">
        <v>97</v>
      </c>
      <c r="P2100" s="2" t="s">
        <v>98</v>
      </c>
      <c r="Q2100" s="2" t="s">
        <v>99</v>
      </c>
      <c r="R2100" s="2" t="s">
        <v>100</v>
      </c>
      <c r="S2100" s="2" t="s">
        <v>100</v>
      </c>
      <c r="T2100" s="2" t="s">
        <v>100</v>
      </c>
      <c r="U2100" s="2" t="s">
        <v>1776</v>
      </c>
      <c r="V2100" s="2" t="s">
        <v>461</v>
      </c>
      <c r="W2100" s="2" t="s">
        <v>142</v>
      </c>
      <c r="X2100" s="2" t="s">
        <v>594</v>
      </c>
      <c r="Y2100" s="2" t="s">
        <v>7250</v>
      </c>
      <c r="Z2100" s="4"/>
      <c r="AA2100" s="4">
        <f>=ROUNDDOWN({0},0)</f>
      </c>
      <c r="AB2100" s="5">
        <v>3</v>
      </c>
      <c r="AC2100" s="2" t="s">
        <v>3200</v>
      </c>
      <c r="AD2100" s="4">
        <v>110</v>
      </c>
      <c r="AE2100" s="4">
        <v>110</v>
      </c>
      <c r="AF2100" s="6">
        <v>65</v>
      </c>
      <c r="AG2100" s="6"/>
      <c r="AH2100" s="7">
        <v>0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/>
      <c r="AW2100" s="8"/>
      <c r="AX2100" s="4"/>
      <c r="AY2100" s="8"/>
      <c r="AZ2100" s="7"/>
      <c r="BA2100" s="7"/>
      <c r="BB2100" s="7"/>
      <c r="BC2100" s="4"/>
      <c r="BD2100" s="8"/>
      <c r="BE2100" s="4"/>
      <c r="BF2100" s="8"/>
      <c r="BG2100" s="7"/>
      <c r="BH2100" s="7"/>
      <c r="BI2100" s="7"/>
      <c r="BJ2100" s="4"/>
      <c r="BK2100" s="8"/>
      <c r="BL2100" s="2" t="s">
        <v>100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2526</v>
      </c>
      <c r="BV2100" s="2" t="s">
        <v>97</v>
      </c>
      <c r="BW2100" s="2" t="s">
        <v>100</v>
      </c>
      <c r="BX2100" s="2" t="s">
        <v>100</v>
      </c>
      <c r="BY2100" s="2" t="s">
        <v>112</v>
      </c>
      <c r="BZ2100" s="2" t="s">
        <v>100</v>
      </c>
    </row>
    <row r="2101">
      <c r="A2101" s="2" t="s">
        <v>7251</v>
      </c>
      <c r="B2101" s="2" t="s">
        <v>6747</v>
      </c>
      <c r="C2101" s="2" t="s">
        <v>88</v>
      </c>
      <c r="D2101" s="2" t="s">
        <v>6748</v>
      </c>
      <c r="E2101" s="2" t="s">
        <v>6749</v>
      </c>
      <c r="F2101" s="2" t="s">
        <v>7252</v>
      </c>
      <c r="G2101" s="2" t="s">
        <v>7253</v>
      </c>
      <c r="H2101" s="2" t="s">
        <v>7254</v>
      </c>
      <c r="I2101" s="2" t="s">
        <v>7255</v>
      </c>
      <c r="J2101" s="2" t="s">
        <v>3385</v>
      </c>
      <c r="K2101" s="2" t="s">
        <v>1173</v>
      </c>
      <c r="L2101" s="3">
        <v>118.8</v>
      </c>
      <c r="M2101" s="3">
        <v>124.74</v>
      </c>
      <c r="N2101" s="3">
        <v>249</v>
      </c>
      <c r="O2101" s="2" t="s">
        <v>97</v>
      </c>
      <c r="P2101" s="2" t="s">
        <v>707</v>
      </c>
      <c r="Q2101" s="2" t="s">
        <v>99</v>
      </c>
      <c r="R2101" s="2" t="s">
        <v>100</v>
      </c>
      <c r="S2101" s="2" t="s">
        <v>100</v>
      </c>
      <c r="T2101" s="2" t="s">
        <v>100</v>
      </c>
      <c r="U2101" s="2" t="s">
        <v>1776</v>
      </c>
      <c r="V2101" s="2" t="s">
        <v>3412</v>
      </c>
      <c r="W2101" s="2" t="s">
        <v>1136</v>
      </c>
      <c r="X2101" s="2" t="s">
        <v>493</v>
      </c>
      <c r="Y2101" s="2" t="s">
        <v>7242</v>
      </c>
      <c r="Z2101" s="4">
        <v>92</v>
      </c>
      <c r="AA2101" s="4">
        <f>=ROUNDDOWN(51.1111111111111,0)</f>
      </c>
      <c r="AB2101" s="5">
        <v>1.8</v>
      </c>
      <c r="AC2101" s="2" t="s">
        <v>100</v>
      </c>
      <c r="AD2101" s="4"/>
      <c r="AE2101" s="4"/>
      <c r="AF2101" s="6">
        <v>66</v>
      </c>
      <c r="AG2101" s="6"/>
      <c r="AH2101" s="7">
        <v>0.871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/>
      <c r="AW2101" s="8"/>
      <c r="AX2101" s="4"/>
      <c r="AY2101" s="8"/>
      <c r="AZ2101" s="7"/>
      <c r="BA2101" s="7"/>
      <c r="BB2101" s="7"/>
      <c r="BC2101" s="4"/>
      <c r="BD2101" s="8"/>
      <c r="BE2101" s="4"/>
      <c r="BF2101" s="8"/>
      <c r="BG2101" s="7"/>
      <c r="BH2101" s="7"/>
      <c r="BI2101" s="7"/>
      <c r="BJ2101" s="4">
        <v>11</v>
      </c>
      <c r="BK2101" s="8">
        <v>1377.25</v>
      </c>
      <c r="BL2101" s="2" t="s">
        <v>1811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2526</v>
      </c>
      <c r="BV2101" s="2" t="s">
        <v>97</v>
      </c>
      <c r="BW2101" s="2" t="s">
        <v>100</v>
      </c>
      <c r="BX2101" s="2" t="s">
        <v>100</v>
      </c>
      <c r="BY2101" s="2" t="s">
        <v>112</v>
      </c>
      <c r="BZ2101" s="2" t="s">
        <v>100</v>
      </c>
    </row>
    <row r="2102">
      <c r="A2102" s="2" t="s">
        <v>7256</v>
      </c>
      <c r="B2102" s="2" t="s">
        <v>6747</v>
      </c>
      <c r="C2102" s="2" t="s">
        <v>88</v>
      </c>
      <c r="D2102" s="2" t="s">
        <v>6748</v>
      </c>
      <c r="E2102" s="2" t="s">
        <v>6765</v>
      </c>
      <c r="F2102" s="2" t="s">
        <v>7257</v>
      </c>
      <c r="G2102" s="2" t="s">
        <v>2039</v>
      </c>
      <c r="H2102" s="2" t="s">
        <v>7258</v>
      </c>
      <c r="I2102" s="2" t="s">
        <v>7259</v>
      </c>
      <c r="J2102" s="2" t="s">
        <v>3385</v>
      </c>
      <c r="K2102" s="2" t="s">
        <v>6752</v>
      </c>
      <c r="L2102" s="3">
        <v>135.85</v>
      </c>
      <c r="M2102" s="3">
        <v>142.64</v>
      </c>
      <c r="N2102" s="3">
        <v>289</v>
      </c>
      <c r="O2102" s="2" t="s">
        <v>97</v>
      </c>
      <c r="P2102" s="2" t="s">
        <v>98</v>
      </c>
      <c r="Q2102" s="2" t="s">
        <v>99</v>
      </c>
      <c r="R2102" s="2" t="s">
        <v>100</v>
      </c>
      <c r="S2102" s="2" t="s">
        <v>7260</v>
      </c>
      <c r="T2102" s="2" t="s">
        <v>100</v>
      </c>
      <c r="U2102" s="2" t="s">
        <v>100</v>
      </c>
      <c r="V2102" s="2" t="s">
        <v>461</v>
      </c>
      <c r="W2102" s="2" t="s">
        <v>104</v>
      </c>
      <c r="X2102" s="2" t="s">
        <v>100</v>
      </c>
      <c r="Y2102" s="2" t="s">
        <v>144</v>
      </c>
      <c r="Z2102" s="4">
        <v>71</v>
      </c>
      <c r="AA2102" s="4">
        <f>=ROUNDDOWN(6.45454545454546,0)</f>
      </c>
      <c r="AB2102" s="5">
        <v>11</v>
      </c>
      <c r="AC2102" s="2" t="s">
        <v>312</v>
      </c>
      <c r="AD2102" s="4">
        <v>97</v>
      </c>
      <c r="AE2102" s="4">
        <v>241</v>
      </c>
      <c r="AF2102" s="6">
        <v>66</v>
      </c>
      <c r="AG2102" s="6"/>
      <c r="AH2102" s="7">
        <v>0.871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/>
      <c r="AW2102" s="8"/>
      <c r="AX2102" s="4"/>
      <c r="AY2102" s="8"/>
      <c r="AZ2102" s="7"/>
      <c r="BA2102" s="7"/>
      <c r="BB2102" s="7"/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/>
      <c r="BJ2102" s="4">
        <v>22</v>
      </c>
      <c r="BK2102" s="8">
        <v>2995.9</v>
      </c>
      <c r="BL2102" s="2" t="s">
        <v>7261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2526</v>
      </c>
      <c r="BV2102" s="2" t="s">
        <v>97</v>
      </c>
      <c r="BW2102" s="2" t="s">
        <v>100</v>
      </c>
      <c r="BX2102" s="2" t="s">
        <v>100</v>
      </c>
      <c r="BY2102" s="2" t="s">
        <v>112</v>
      </c>
      <c r="BZ2102" s="2" t="s">
        <v>100</v>
      </c>
    </row>
    <row r="2103">
      <c r="A2103" s="2" t="s">
        <v>7262</v>
      </c>
      <c r="B2103" s="2" t="s">
        <v>6747</v>
      </c>
      <c r="C2103" s="2" t="s">
        <v>88</v>
      </c>
      <c r="D2103" s="2" t="s">
        <v>6748</v>
      </c>
      <c r="E2103" s="2" t="s">
        <v>6765</v>
      </c>
      <c r="F2103" s="2" t="s">
        <v>7257</v>
      </c>
      <c r="G2103" s="2" t="s">
        <v>2039</v>
      </c>
      <c r="H2103" s="2" t="s">
        <v>7258</v>
      </c>
      <c r="I2103" s="2" t="s">
        <v>7259</v>
      </c>
      <c r="J2103" s="2" t="s">
        <v>3385</v>
      </c>
      <c r="K2103" s="2" t="s">
        <v>446</v>
      </c>
      <c r="L2103" s="3">
        <v>135.85</v>
      </c>
      <c r="M2103" s="3">
        <v>142.64</v>
      </c>
      <c r="N2103" s="3">
        <v>289</v>
      </c>
      <c r="O2103" s="2" t="s">
        <v>97</v>
      </c>
      <c r="P2103" s="2" t="s">
        <v>123</v>
      </c>
      <c r="Q2103" s="2" t="s">
        <v>99</v>
      </c>
      <c r="R2103" s="2" t="s">
        <v>100</v>
      </c>
      <c r="S2103" s="2" t="s">
        <v>100</v>
      </c>
      <c r="T2103" s="2" t="s">
        <v>100</v>
      </c>
      <c r="U2103" s="2" t="s">
        <v>1776</v>
      </c>
      <c r="V2103" s="2" t="s">
        <v>461</v>
      </c>
      <c r="W2103" s="2" t="s">
        <v>142</v>
      </c>
      <c r="X2103" s="2" t="s">
        <v>100</v>
      </c>
      <c r="Y2103" s="2" t="s">
        <v>7263</v>
      </c>
      <c r="Z2103" s="4">
        <v>127</v>
      </c>
      <c r="AA2103" s="4">
        <f>=ROUNDDOWN(6.35,0)</f>
      </c>
      <c r="AB2103" s="5">
        <v>20</v>
      </c>
      <c r="AC2103" s="2" t="s">
        <v>725</v>
      </c>
      <c r="AD2103" s="4">
        <v>198</v>
      </c>
      <c r="AE2103" s="4">
        <v>436</v>
      </c>
      <c r="AF2103" s="6">
        <v>66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/>
      <c r="AW2103" s="8"/>
      <c r="AX2103" s="4"/>
      <c r="AY2103" s="8"/>
      <c r="AZ2103" s="7"/>
      <c r="BA2103" s="7"/>
      <c r="BB2103" s="7"/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/>
      <c r="BJ2103" s="4">
        <v>81</v>
      </c>
      <c r="BK2103" s="8">
        <v>10731</v>
      </c>
      <c r="BL2103" s="2" t="s">
        <v>7264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2526</v>
      </c>
      <c r="BV2103" s="2" t="s">
        <v>97</v>
      </c>
      <c r="BW2103" s="2" t="s">
        <v>100</v>
      </c>
      <c r="BX2103" s="2" t="s">
        <v>100</v>
      </c>
      <c r="BY2103" s="2" t="s">
        <v>112</v>
      </c>
      <c r="BZ2103" s="2" t="s">
        <v>100</v>
      </c>
    </row>
    <row r="2104">
      <c r="A2104" s="2" t="s">
        <v>7265</v>
      </c>
      <c r="B2104" s="2" t="s">
        <v>6747</v>
      </c>
      <c r="C2104" s="2" t="s">
        <v>88</v>
      </c>
      <c r="D2104" s="2" t="s">
        <v>6748</v>
      </c>
      <c r="E2104" s="2" t="s">
        <v>6765</v>
      </c>
      <c r="F2104" s="2" t="s">
        <v>7266</v>
      </c>
      <c r="G2104" s="2" t="s">
        <v>7267</v>
      </c>
      <c r="H2104" s="2" t="s">
        <v>7268</v>
      </c>
      <c r="I2104" s="2" t="s">
        <v>7259</v>
      </c>
      <c r="J2104" s="2" t="s">
        <v>3385</v>
      </c>
      <c r="K2104" s="2" t="s">
        <v>96</v>
      </c>
      <c r="L2104" s="3">
        <v>187.91</v>
      </c>
      <c r="M2104" s="3">
        <v>197.31</v>
      </c>
      <c r="N2104" s="3">
        <v>399</v>
      </c>
      <c r="O2104" s="2" t="s">
        <v>97</v>
      </c>
      <c r="P2104" s="2" t="s">
        <v>707</v>
      </c>
      <c r="Q2104" s="2" t="s">
        <v>99</v>
      </c>
      <c r="R2104" s="2" t="s">
        <v>100</v>
      </c>
      <c r="S2104" s="2" t="s">
        <v>7269</v>
      </c>
      <c r="T2104" s="2" t="s">
        <v>100</v>
      </c>
      <c r="U2104" s="2" t="s">
        <v>100</v>
      </c>
      <c r="V2104" s="2" t="s">
        <v>461</v>
      </c>
      <c r="W2104" s="2" t="s">
        <v>142</v>
      </c>
      <c r="X2104" s="2" t="s">
        <v>100</v>
      </c>
      <c r="Y2104" s="2" t="s">
        <v>6779</v>
      </c>
      <c r="Z2104" s="4">
        <v>59</v>
      </c>
      <c r="AA2104" s="4">
        <f>=ROUNDDOWN(29.5,0)</f>
      </c>
      <c r="AB2104" s="5">
        <v>2</v>
      </c>
      <c r="AC2104" s="2" t="s">
        <v>1471</v>
      </c>
      <c r="AD2104" s="4">
        <v>35</v>
      </c>
      <c r="AE2104" s="4">
        <v>62</v>
      </c>
      <c r="AF2104" s="6">
        <v>66</v>
      </c>
      <c r="AG2104" s="6"/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/>
      <c r="AW2104" s="8"/>
      <c r="AX2104" s="4"/>
      <c r="AY2104" s="8"/>
      <c r="AZ2104" s="7"/>
      <c r="BA2104" s="7"/>
      <c r="BB2104" s="7"/>
      <c r="BC2104" s="4"/>
      <c r="BD2104" s="8"/>
      <c r="BE2104" s="4"/>
      <c r="BF2104" s="8"/>
      <c r="BG2104" s="7"/>
      <c r="BH2104" s="7"/>
      <c r="BI2104" s="7"/>
      <c r="BJ2104" s="4">
        <v>5</v>
      </c>
      <c r="BK2104" s="8">
        <v>1028.01</v>
      </c>
      <c r="BL2104" s="2" t="s">
        <v>7270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2526</v>
      </c>
      <c r="BV2104" s="2" t="s">
        <v>97</v>
      </c>
      <c r="BW2104" s="2" t="s">
        <v>100</v>
      </c>
      <c r="BX2104" s="2" t="s">
        <v>100</v>
      </c>
      <c r="BY2104" s="2" t="s">
        <v>112</v>
      </c>
      <c r="BZ2104" s="2" t="s">
        <v>100</v>
      </c>
    </row>
    <row r="2105">
      <c r="A2105" s="2" t="s">
        <v>7271</v>
      </c>
      <c r="B2105" s="2" t="s">
        <v>6747</v>
      </c>
      <c r="C2105" s="2" t="s">
        <v>88</v>
      </c>
      <c r="D2105" s="2" t="s">
        <v>6748</v>
      </c>
      <c r="E2105" s="2" t="s">
        <v>6765</v>
      </c>
      <c r="F2105" s="2" t="s">
        <v>7272</v>
      </c>
      <c r="G2105" s="2" t="s">
        <v>7273</v>
      </c>
      <c r="H2105" s="2" t="s">
        <v>7274</v>
      </c>
      <c r="I2105" s="2" t="s">
        <v>6751</v>
      </c>
      <c r="J2105" s="2" t="s">
        <v>3385</v>
      </c>
      <c r="K2105" s="2" t="s">
        <v>1090</v>
      </c>
      <c r="L2105" s="3">
        <v>171</v>
      </c>
      <c r="M2105" s="3">
        <v>179.55</v>
      </c>
      <c r="N2105" s="3">
        <v>359</v>
      </c>
      <c r="O2105" s="2" t="s">
        <v>97</v>
      </c>
      <c r="P2105" s="2" t="s">
        <v>98</v>
      </c>
      <c r="Q2105" s="2" t="s">
        <v>99</v>
      </c>
      <c r="R2105" s="2" t="s">
        <v>100</v>
      </c>
      <c r="S2105" s="2" t="s">
        <v>100</v>
      </c>
      <c r="T2105" s="2" t="s">
        <v>100</v>
      </c>
      <c r="U2105" s="2" t="s">
        <v>1776</v>
      </c>
      <c r="V2105" s="2" t="s">
        <v>461</v>
      </c>
      <c r="W2105" s="2" t="s">
        <v>142</v>
      </c>
      <c r="X2105" s="2" t="s">
        <v>104</v>
      </c>
      <c r="Y2105" s="2" t="s">
        <v>7275</v>
      </c>
      <c r="Z2105" s="4">
        <v>61</v>
      </c>
      <c r="AA2105" s="4">
        <f>=ROUNDDOWN(7.625,0)</f>
      </c>
      <c r="AB2105" s="5">
        <v>8</v>
      </c>
      <c r="AC2105" s="2" t="s">
        <v>2772</v>
      </c>
      <c r="AD2105" s="4">
        <v>111</v>
      </c>
      <c r="AE2105" s="4">
        <v>150</v>
      </c>
      <c r="AF2105" s="6">
        <v>65</v>
      </c>
      <c r="AG2105" s="6">
        <v>48</v>
      </c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/>
      <c r="BD2105" s="8"/>
      <c r="BE2105" s="4"/>
      <c r="BF2105" s="8"/>
      <c r="BG2105" s="7"/>
      <c r="BH2105" s="7"/>
      <c r="BI2105" s="7"/>
      <c r="BJ2105" s="4">
        <v>30</v>
      </c>
      <c r="BK2105" s="8">
        <v>4753.81</v>
      </c>
      <c r="BL2105" s="2" t="s">
        <v>7276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2526</v>
      </c>
      <c r="BV2105" s="2" t="s">
        <v>97</v>
      </c>
      <c r="BW2105" s="2" t="s">
        <v>100</v>
      </c>
      <c r="BX2105" s="2" t="s">
        <v>100</v>
      </c>
      <c r="BY2105" s="2" t="s">
        <v>112</v>
      </c>
      <c r="BZ2105" s="2" t="s">
        <v>100</v>
      </c>
    </row>
    <row r="2106">
      <c r="A2106" s="2" t="s">
        <v>7277</v>
      </c>
      <c r="B2106" s="2" t="s">
        <v>6747</v>
      </c>
      <c r="C2106" s="2" t="s">
        <v>88</v>
      </c>
      <c r="D2106" s="2" t="s">
        <v>6748</v>
      </c>
      <c r="E2106" s="2" t="s">
        <v>6765</v>
      </c>
      <c r="F2106" s="2" t="s">
        <v>7278</v>
      </c>
      <c r="G2106" s="2" t="s">
        <v>7279</v>
      </c>
      <c r="H2106" s="2" t="s">
        <v>7280</v>
      </c>
      <c r="I2106" s="2" t="s">
        <v>7259</v>
      </c>
      <c r="J2106" s="2" t="s">
        <v>3385</v>
      </c>
      <c r="K2106" s="2" t="s">
        <v>1090</v>
      </c>
      <c r="L2106" s="3">
        <v>128.7</v>
      </c>
      <c r="M2106" s="3">
        <v>135.14</v>
      </c>
      <c r="N2106" s="3">
        <v>269</v>
      </c>
      <c r="O2106" s="2" t="s">
        <v>97</v>
      </c>
      <c r="P2106" s="2" t="s">
        <v>98</v>
      </c>
      <c r="Q2106" s="2" t="s">
        <v>99</v>
      </c>
      <c r="R2106" s="2" t="s">
        <v>100</v>
      </c>
      <c r="S2106" s="2" t="s">
        <v>7281</v>
      </c>
      <c r="T2106" s="2" t="s">
        <v>100</v>
      </c>
      <c r="U2106" s="2" t="s">
        <v>100</v>
      </c>
      <c r="V2106" s="2" t="s">
        <v>461</v>
      </c>
      <c r="W2106" s="2" t="s">
        <v>493</v>
      </c>
      <c r="X2106" s="2" t="s">
        <v>100</v>
      </c>
      <c r="Y2106" s="2" t="s">
        <v>144</v>
      </c>
      <c r="Z2106" s="4">
        <v>177</v>
      </c>
      <c r="AA2106" s="4">
        <f>=ROUNDDOWN(17.7,0)</f>
      </c>
      <c r="AB2106" s="5">
        <v>10</v>
      </c>
      <c r="AC2106" s="2" t="s">
        <v>1142</v>
      </c>
      <c r="AD2106" s="4">
        <v>160</v>
      </c>
      <c r="AE2106" s="4">
        <v>160</v>
      </c>
      <c r="AF2106" s="6">
        <v>66</v>
      </c>
      <c r="AG2106" s="6">
        <v>49</v>
      </c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/>
      <c r="AW2106" s="8"/>
      <c r="AX2106" s="4"/>
      <c r="AY2106" s="8"/>
      <c r="AZ2106" s="7"/>
      <c r="BA2106" s="7"/>
      <c r="BB2106" s="7"/>
      <c r="BC2106" s="4"/>
      <c r="BD2106" s="8"/>
      <c r="BE2106" s="4"/>
      <c r="BF2106" s="8"/>
      <c r="BG2106" s="7"/>
      <c r="BH2106" s="7"/>
      <c r="BI2106" s="7"/>
      <c r="BJ2106" s="4">
        <v>38</v>
      </c>
      <c r="BK2106" s="8">
        <v>4797.36</v>
      </c>
      <c r="BL2106" s="2" t="s">
        <v>7282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2526</v>
      </c>
      <c r="BV2106" s="2" t="s">
        <v>97</v>
      </c>
      <c r="BW2106" s="2" t="s">
        <v>100</v>
      </c>
      <c r="BX2106" s="2" t="s">
        <v>100</v>
      </c>
      <c r="BY2106" s="2" t="s">
        <v>112</v>
      </c>
      <c r="BZ2106" s="2" t="s">
        <v>100</v>
      </c>
    </row>
    <row r="2107">
      <c r="A2107" s="2" t="s">
        <v>7283</v>
      </c>
      <c r="B2107" s="2" t="s">
        <v>6747</v>
      </c>
      <c r="C2107" s="2" t="s">
        <v>88</v>
      </c>
      <c r="D2107" s="2" t="s">
        <v>6748</v>
      </c>
      <c r="E2107" s="2" t="s">
        <v>6765</v>
      </c>
      <c r="F2107" s="2" t="s">
        <v>7284</v>
      </c>
      <c r="G2107" s="2" t="s">
        <v>7285</v>
      </c>
      <c r="H2107" s="2" t="s">
        <v>7286</v>
      </c>
      <c r="I2107" s="2" t="s">
        <v>7287</v>
      </c>
      <c r="J2107" s="2" t="s">
        <v>3385</v>
      </c>
      <c r="K2107" s="2" t="s">
        <v>7288</v>
      </c>
      <c r="L2107" s="3">
        <v>108</v>
      </c>
      <c r="M2107" s="3">
        <v>113.4</v>
      </c>
      <c r="N2107" s="3">
        <v>229</v>
      </c>
      <c r="O2107" s="2" t="s">
        <v>97</v>
      </c>
      <c r="P2107" s="2" t="s">
        <v>707</v>
      </c>
      <c r="Q2107" s="2" t="s">
        <v>99</v>
      </c>
      <c r="R2107" s="2" t="s">
        <v>100</v>
      </c>
      <c r="S2107" s="2" t="s">
        <v>100</v>
      </c>
      <c r="T2107" s="2" t="s">
        <v>100</v>
      </c>
      <c r="U2107" s="2" t="s">
        <v>1776</v>
      </c>
      <c r="V2107" s="2" t="s">
        <v>461</v>
      </c>
      <c r="W2107" s="2" t="s">
        <v>2835</v>
      </c>
      <c r="X2107" s="2" t="s">
        <v>493</v>
      </c>
      <c r="Y2107" s="2" t="s">
        <v>4799</v>
      </c>
      <c r="Z2107" s="4">
        <v>163</v>
      </c>
      <c r="AA2107" s="4">
        <f>=ROUNDDOWN(32.6,0)</f>
      </c>
      <c r="AB2107" s="5">
        <v>5</v>
      </c>
      <c r="AC2107" s="2" t="s">
        <v>145</v>
      </c>
      <c r="AD2107" s="4">
        <v>220</v>
      </c>
      <c r="AE2107" s="4">
        <v>220</v>
      </c>
      <c r="AF2107" s="6">
        <v>66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/>
      <c r="AW2107" s="8"/>
      <c r="AX2107" s="4"/>
      <c r="AY2107" s="8"/>
      <c r="AZ2107" s="7"/>
      <c r="BA2107" s="7"/>
      <c r="BB2107" s="7"/>
      <c r="BC2107" s="4"/>
      <c r="BD2107" s="8"/>
      <c r="BE2107" s="4"/>
      <c r="BF2107" s="8"/>
      <c r="BG2107" s="7"/>
      <c r="BH2107" s="7"/>
      <c r="BI2107" s="7"/>
      <c r="BJ2107" s="4">
        <v>10</v>
      </c>
      <c r="BK2107" s="8">
        <v>1108.49</v>
      </c>
      <c r="BL2107" s="2" t="s">
        <v>3560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2526</v>
      </c>
      <c r="BV2107" s="2" t="s">
        <v>97</v>
      </c>
      <c r="BW2107" s="2" t="s">
        <v>100</v>
      </c>
      <c r="BX2107" s="2" t="s">
        <v>100</v>
      </c>
      <c r="BY2107" s="2" t="s">
        <v>112</v>
      </c>
      <c r="BZ2107" s="2" t="s">
        <v>100</v>
      </c>
    </row>
    <row r="2108">
      <c r="A2108" s="2" t="s">
        <v>7289</v>
      </c>
      <c r="B2108" s="2" t="s">
        <v>6747</v>
      </c>
      <c r="C2108" s="2" t="s">
        <v>88</v>
      </c>
      <c r="D2108" s="2" t="s">
        <v>6748</v>
      </c>
      <c r="E2108" s="2" t="s">
        <v>6765</v>
      </c>
      <c r="F2108" s="2" t="s">
        <v>7290</v>
      </c>
      <c r="G2108" s="2" t="s">
        <v>7291</v>
      </c>
      <c r="H2108" s="2" t="s">
        <v>7292</v>
      </c>
      <c r="I2108" s="2" t="s">
        <v>6761</v>
      </c>
      <c r="J2108" s="2" t="s">
        <v>3385</v>
      </c>
      <c r="K2108" s="2" t="s">
        <v>96</v>
      </c>
      <c r="L2108" s="3">
        <v>141.28</v>
      </c>
      <c r="M2108" s="3">
        <v>148.34</v>
      </c>
      <c r="N2108" s="3">
        <v>299</v>
      </c>
      <c r="O2108" s="2" t="s">
        <v>97</v>
      </c>
      <c r="P2108" s="2" t="s">
        <v>707</v>
      </c>
      <c r="Q2108" s="2" t="s">
        <v>99</v>
      </c>
      <c r="R2108" s="2" t="s">
        <v>100</v>
      </c>
      <c r="S2108" s="2" t="s">
        <v>7293</v>
      </c>
      <c r="T2108" s="2" t="s">
        <v>100</v>
      </c>
      <c r="U2108" s="2" t="s">
        <v>1776</v>
      </c>
      <c r="V2108" s="2" t="s">
        <v>461</v>
      </c>
      <c r="W2108" s="2" t="s">
        <v>493</v>
      </c>
      <c r="X2108" s="2" t="s">
        <v>142</v>
      </c>
      <c r="Y2108" s="2" t="s">
        <v>7294</v>
      </c>
      <c r="Z2108" s="4">
        <v>71</v>
      </c>
      <c r="AA2108" s="4">
        <f>=ROUNDDOWN(17.75,0)</f>
      </c>
      <c r="AB2108" s="5">
        <v>4</v>
      </c>
      <c r="AC2108" s="2" t="s">
        <v>1471</v>
      </c>
      <c r="AD2108" s="4">
        <v>60</v>
      </c>
      <c r="AE2108" s="4">
        <v>60</v>
      </c>
      <c r="AF2108" s="6">
        <v>66</v>
      </c>
      <c r="AG2108" s="6">
        <v>49</v>
      </c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/>
      <c r="AW2108" s="8"/>
      <c r="AX2108" s="4"/>
      <c r="AY2108" s="8"/>
      <c r="AZ2108" s="7"/>
      <c r="BA2108" s="7"/>
      <c r="BB2108" s="7"/>
      <c r="BC2108" s="4"/>
      <c r="BD2108" s="8"/>
      <c r="BE2108" s="4"/>
      <c r="BF2108" s="8"/>
      <c r="BG2108" s="7"/>
      <c r="BH2108" s="7"/>
      <c r="BI2108" s="7"/>
      <c r="BJ2108" s="4">
        <v>14</v>
      </c>
      <c r="BK2108" s="8">
        <v>2002.88</v>
      </c>
      <c r="BL2108" s="2" t="s">
        <v>7295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2526</v>
      </c>
      <c r="BV2108" s="2" t="s">
        <v>97</v>
      </c>
      <c r="BW2108" s="2" t="s">
        <v>100</v>
      </c>
      <c r="BX2108" s="2" t="s">
        <v>100</v>
      </c>
      <c r="BY2108" s="2" t="s">
        <v>112</v>
      </c>
      <c r="BZ2108" s="2" t="s">
        <v>100</v>
      </c>
    </row>
    <row r="2109">
      <c r="A2109" s="2" t="s">
        <v>7296</v>
      </c>
      <c r="B2109" s="2" t="s">
        <v>6747</v>
      </c>
      <c r="C2109" s="2" t="s">
        <v>88</v>
      </c>
      <c r="D2109" s="2" t="s">
        <v>6748</v>
      </c>
      <c r="E2109" s="2" t="s">
        <v>6765</v>
      </c>
      <c r="F2109" s="2" t="s">
        <v>7297</v>
      </c>
      <c r="G2109" s="2" t="s">
        <v>7298</v>
      </c>
      <c r="H2109" s="2" t="s">
        <v>7299</v>
      </c>
      <c r="I2109" s="2" t="s">
        <v>7300</v>
      </c>
      <c r="J2109" s="2" t="s">
        <v>3385</v>
      </c>
      <c r="K2109" s="2" t="s">
        <v>138</v>
      </c>
      <c r="L2109" s="3">
        <v>144.5</v>
      </c>
      <c r="M2109" s="3">
        <v>151.72</v>
      </c>
      <c r="N2109" s="3">
        <v>299</v>
      </c>
      <c r="O2109" s="2" t="s">
        <v>97</v>
      </c>
      <c r="P2109" s="2" t="s">
        <v>707</v>
      </c>
      <c r="Q2109" s="2" t="s">
        <v>99</v>
      </c>
      <c r="R2109" s="2" t="s">
        <v>100</v>
      </c>
      <c r="S2109" s="2" t="s">
        <v>100</v>
      </c>
      <c r="T2109" s="2" t="s">
        <v>100</v>
      </c>
      <c r="U2109" s="2" t="s">
        <v>1776</v>
      </c>
      <c r="V2109" s="2" t="s">
        <v>3412</v>
      </c>
      <c r="W2109" s="2" t="s">
        <v>493</v>
      </c>
      <c r="X2109" s="2" t="s">
        <v>609</v>
      </c>
      <c r="Y2109" s="2" t="s">
        <v>7156</v>
      </c>
      <c r="Z2109" s="4">
        <v>43</v>
      </c>
      <c r="AA2109" s="4">
        <f>=ROUNDDOWN(7.16666666666667,0)</f>
      </c>
      <c r="AB2109" s="5">
        <v>6</v>
      </c>
      <c r="AC2109" s="2" t="s">
        <v>3271</v>
      </c>
      <c r="AD2109" s="4">
        <v>100</v>
      </c>
      <c r="AE2109" s="4">
        <v>100</v>
      </c>
      <c r="AF2109" s="6">
        <v>74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/>
      <c r="AW2109" s="8"/>
      <c r="AX2109" s="4"/>
      <c r="AY2109" s="8"/>
      <c r="AZ2109" s="7"/>
      <c r="BA2109" s="7"/>
      <c r="BB2109" s="7"/>
      <c r="BC2109" s="4"/>
      <c r="BD2109" s="8"/>
      <c r="BE2109" s="4"/>
      <c r="BF2109" s="8"/>
      <c r="BG2109" s="7"/>
      <c r="BH2109" s="7"/>
      <c r="BI2109" s="7"/>
      <c r="BJ2109" s="4">
        <v>14</v>
      </c>
      <c r="BK2109" s="8">
        <v>2092.61</v>
      </c>
      <c r="BL2109" s="2" t="s">
        <v>7301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2526</v>
      </c>
      <c r="BV2109" s="2" t="s">
        <v>97</v>
      </c>
      <c r="BW2109" s="2" t="s">
        <v>100</v>
      </c>
      <c r="BX2109" s="2" t="s">
        <v>100</v>
      </c>
      <c r="BY2109" s="2" t="s">
        <v>112</v>
      </c>
      <c r="BZ2109" s="2" t="s">
        <v>100</v>
      </c>
    </row>
    <row r="2110">
      <c r="A2110" s="2" t="s">
        <v>7302</v>
      </c>
      <c r="B2110" s="2" t="s">
        <v>6747</v>
      </c>
      <c r="C2110" s="2" t="s">
        <v>88</v>
      </c>
      <c r="D2110" s="2" t="s">
        <v>6748</v>
      </c>
      <c r="E2110" s="2" t="s">
        <v>6765</v>
      </c>
      <c r="F2110" s="2" t="s">
        <v>7303</v>
      </c>
      <c r="G2110" s="2" t="s">
        <v>2223</v>
      </c>
      <c r="H2110" s="2" t="s">
        <v>7304</v>
      </c>
      <c r="I2110" s="2" t="s">
        <v>7305</v>
      </c>
      <c r="J2110" s="2" t="s">
        <v>3385</v>
      </c>
      <c r="K2110" s="2" t="s">
        <v>179</v>
      </c>
      <c r="L2110" s="3">
        <v>114</v>
      </c>
      <c r="M2110" s="3">
        <v>119.7</v>
      </c>
      <c r="N2110" s="3">
        <v>239</v>
      </c>
      <c r="O2110" s="2" t="s">
        <v>97</v>
      </c>
      <c r="P2110" s="2" t="s">
        <v>98</v>
      </c>
      <c r="Q2110" s="2" t="s">
        <v>99</v>
      </c>
      <c r="R2110" s="2" t="s">
        <v>100</v>
      </c>
      <c r="S2110" s="2" t="s">
        <v>7306</v>
      </c>
      <c r="T2110" s="2" t="s">
        <v>100</v>
      </c>
      <c r="U2110" s="2" t="s">
        <v>100</v>
      </c>
      <c r="V2110" s="2" t="s">
        <v>461</v>
      </c>
      <c r="W2110" s="2" t="s">
        <v>142</v>
      </c>
      <c r="X2110" s="2" t="s">
        <v>100</v>
      </c>
      <c r="Y2110" s="2" t="s">
        <v>144</v>
      </c>
      <c r="Z2110" s="4">
        <v>167</v>
      </c>
      <c r="AA2110" s="4">
        <f>=ROUNDDOWN(27.8333333333333,0)</f>
      </c>
      <c r="AB2110" s="5">
        <v>6</v>
      </c>
      <c r="AC2110" s="2" t="s">
        <v>6780</v>
      </c>
      <c r="AD2110" s="4">
        <v>116</v>
      </c>
      <c r="AE2110" s="4">
        <v>191</v>
      </c>
      <c r="AF2110" s="6">
        <v>76</v>
      </c>
      <c r="AG2110" s="6">
        <v>67</v>
      </c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/>
      <c r="AW2110" s="8"/>
      <c r="AX2110" s="4"/>
      <c r="AY2110" s="8"/>
      <c r="AZ2110" s="7"/>
      <c r="BA2110" s="7"/>
      <c r="BB2110" s="7"/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/>
      <c r="BJ2110" s="4">
        <v>27</v>
      </c>
      <c r="BK2110" s="8">
        <v>3109.44</v>
      </c>
      <c r="BL2110" s="2" t="s">
        <v>7307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2526</v>
      </c>
      <c r="BV2110" s="2" t="s">
        <v>97</v>
      </c>
      <c r="BW2110" s="2" t="s">
        <v>100</v>
      </c>
      <c r="BX2110" s="2" t="s">
        <v>100</v>
      </c>
      <c r="BY2110" s="2" t="s">
        <v>112</v>
      </c>
      <c r="BZ2110" s="2" t="s">
        <v>100</v>
      </c>
    </row>
    <row r="2111">
      <c r="A2111" s="2" t="s">
        <v>7308</v>
      </c>
      <c r="B2111" s="2" t="s">
        <v>6747</v>
      </c>
      <c r="C2111" s="2" t="s">
        <v>88</v>
      </c>
      <c r="D2111" s="2" t="s">
        <v>6748</v>
      </c>
      <c r="E2111" s="2" t="s">
        <v>6765</v>
      </c>
      <c r="F2111" s="2" t="s">
        <v>7303</v>
      </c>
      <c r="G2111" s="2" t="s">
        <v>2223</v>
      </c>
      <c r="H2111" s="2" t="s">
        <v>7304</v>
      </c>
      <c r="I2111" s="2" t="s">
        <v>7305</v>
      </c>
      <c r="J2111" s="2" t="s">
        <v>3385</v>
      </c>
      <c r="K2111" s="2" t="s">
        <v>4362</v>
      </c>
      <c r="L2111" s="3">
        <v>114</v>
      </c>
      <c r="M2111" s="3">
        <v>119.7</v>
      </c>
      <c r="N2111" s="3">
        <v>239</v>
      </c>
      <c r="O2111" s="2" t="s">
        <v>97</v>
      </c>
      <c r="P2111" s="2" t="s">
        <v>98</v>
      </c>
      <c r="Q2111" s="2" t="s">
        <v>99</v>
      </c>
      <c r="R2111" s="2" t="s">
        <v>100</v>
      </c>
      <c r="S2111" s="2" t="s">
        <v>7309</v>
      </c>
      <c r="T2111" s="2" t="s">
        <v>100</v>
      </c>
      <c r="U2111" s="2" t="s">
        <v>100</v>
      </c>
      <c r="V2111" s="2" t="s">
        <v>461</v>
      </c>
      <c r="W2111" s="2" t="s">
        <v>142</v>
      </c>
      <c r="X2111" s="2" t="s">
        <v>100</v>
      </c>
      <c r="Y2111" s="2" t="s">
        <v>1695</v>
      </c>
      <c r="Z2111" s="4">
        <v>359</v>
      </c>
      <c r="AA2111" s="4">
        <f>=ROUNDDOWN(22.4375,0)</f>
      </c>
      <c r="AB2111" s="5">
        <v>16</v>
      </c>
      <c r="AC2111" s="2" t="s">
        <v>2709</v>
      </c>
      <c r="AD2111" s="4">
        <v>5</v>
      </c>
      <c r="AE2111" s="4">
        <v>221</v>
      </c>
      <c r="AF2111" s="6">
        <v>76</v>
      </c>
      <c r="AG2111" s="6">
        <v>67</v>
      </c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/>
      <c r="AW2111" s="8"/>
      <c r="AX2111" s="4"/>
      <c r="AY2111" s="8"/>
      <c r="AZ2111" s="7"/>
      <c r="BA2111" s="7"/>
      <c r="BB2111" s="7"/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/>
      <c r="BJ2111" s="4">
        <v>30</v>
      </c>
      <c r="BK2111" s="8">
        <v>3552.05</v>
      </c>
      <c r="BL2111" s="2" t="s">
        <v>7310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2526</v>
      </c>
      <c r="BV2111" s="2" t="s">
        <v>97</v>
      </c>
      <c r="BW2111" s="2" t="s">
        <v>100</v>
      </c>
      <c r="BX2111" s="2" t="s">
        <v>100</v>
      </c>
      <c r="BY2111" s="2" t="s">
        <v>112</v>
      </c>
      <c r="BZ2111" s="2" t="s">
        <v>100</v>
      </c>
    </row>
    <row r="2112">
      <c r="A2112" s="2" t="s">
        <v>7311</v>
      </c>
      <c r="B2112" s="2" t="s">
        <v>6747</v>
      </c>
      <c r="C2112" s="2" t="s">
        <v>88</v>
      </c>
      <c r="D2112" s="2" t="s">
        <v>6748</v>
      </c>
      <c r="E2112" s="2" t="s">
        <v>6765</v>
      </c>
      <c r="F2112" s="2" t="s">
        <v>7303</v>
      </c>
      <c r="G2112" s="2" t="s">
        <v>2223</v>
      </c>
      <c r="H2112" s="2" t="s">
        <v>7304</v>
      </c>
      <c r="I2112" s="2" t="s">
        <v>7305</v>
      </c>
      <c r="J2112" s="2" t="s">
        <v>3385</v>
      </c>
      <c r="K2112" s="2" t="s">
        <v>96</v>
      </c>
      <c r="L2112" s="3">
        <v>114</v>
      </c>
      <c r="M2112" s="3">
        <v>119.7</v>
      </c>
      <c r="N2112" s="3">
        <v>239</v>
      </c>
      <c r="O2112" s="2" t="s">
        <v>97</v>
      </c>
      <c r="P2112" s="2" t="s">
        <v>123</v>
      </c>
      <c r="Q2112" s="2" t="s">
        <v>99</v>
      </c>
      <c r="R2112" s="2" t="s">
        <v>100</v>
      </c>
      <c r="S2112" s="2" t="s">
        <v>7312</v>
      </c>
      <c r="T2112" s="2" t="s">
        <v>100</v>
      </c>
      <c r="U2112" s="2" t="s">
        <v>100</v>
      </c>
      <c r="V2112" s="2" t="s">
        <v>461</v>
      </c>
      <c r="W2112" s="2" t="s">
        <v>493</v>
      </c>
      <c r="X2112" s="2" t="s">
        <v>100</v>
      </c>
      <c r="Y2112" s="2" t="s">
        <v>144</v>
      </c>
      <c r="Z2112" s="4">
        <v>338</v>
      </c>
      <c r="AA2112" s="4">
        <f>=ROUNDDOWN(30.1785714285714,0)</f>
      </c>
      <c r="AB2112" s="5">
        <v>11.2</v>
      </c>
      <c r="AC2112" s="2" t="s">
        <v>307</v>
      </c>
      <c r="AD2112" s="4">
        <v>189</v>
      </c>
      <c r="AE2112" s="4">
        <v>416</v>
      </c>
      <c r="AF2112" s="6">
        <v>76</v>
      </c>
      <c r="AG2112" s="6">
        <v>67</v>
      </c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/>
      <c r="AW2112" s="8"/>
      <c r="AX2112" s="4"/>
      <c r="AY2112" s="8"/>
      <c r="AZ2112" s="7"/>
      <c r="BA2112" s="7"/>
      <c r="BB2112" s="7"/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/>
      <c r="BJ2112" s="4">
        <v>54</v>
      </c>
      <c r="BK2112" s="8">
        <v>6187.53</v>
      </c>
      <c r="BL2112" s="2" t="s">
        <v>7313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2526</v>
      </c>
      <c r="BV2112" s="2" t="s">
        <v>97</v>
      </c>
      <c r="BW2112" s="2" t="s">
        <v>100</v>
      </c>
      <c r="BX2112" s="2" t="s">
        <v>100</v>
      </c>
      <c r="BY2112" s="2" t="s">
        <v>112</v>
      </c>
      <c r="BZ2112" s="2" t="s">
        <v>100</v>
      </c>
    </row>
    <row r="2113">
      <c r="A2113" s="2" t="s">
        <v>7314</v>
      </c>
      <c r="B2113" s="2" t="s">
        <v>6747</v>
      </c>
      <c r="C2113" s="2" t="s">
        <v>88</v>
      </c>
      <c r="D2113" s="2" t="s">
        <v>6748</v>
      </c>
      <c r="E2113" s="2" t="s">
        <v>6765</v>
      </c>
      <c r="F2113" s="2" t="s">
        <v>7303</v>
      </c>
      <c r="G2113" s="2" t="s">
        <v>2223</v>
      </c>
      <c r="H2113" s="2" t="s">
        <v>7304</v>
      </c>
      <c r="I2113" s="2" t="s">
        <v>7305</v>
      </c>
      <c r="J2113" s="2" t="s">
        <v>3385</v>
      </c>
      <c r="K2113" s="2" t="s">
        <v>446</v>
      </c>
      <c r="L2113" s="3">
        <v>114</v>
      </c>
      <c r="M2113" s="3">
        <v>119.7</v>
      </c>
      <c r="N2113" s="3">
        <v>239</v>
      </c>
      <c r="O2113" s="2" t="s">
        <v>97</v>
      </c>
      <c r="P2113" s="2" t="s">
        <v>98</v>
      </c>
      <c r="Q2113" s="2" t="s">
        <v>99</v>
      </c>
      <c r="R2113" s="2" t="s">
        <v>100</v>
      </c>
      <c r="S2113" s="2" t="s">
        <v>100</v>
      </c>
      <c r="T2113" s="2" t="s">
        <v>100</v>
      </c>
      <c r="U2113" s="2" t="s">
        <v>100</v>
      </c>
      <c r="V2113" s="2" t="s">
        <v>461</v>
      </c>
      <c r="W2113" s="2" t="s">
        <v>142</v>
      </c>
      <c r="X2113" s="2" t="s">
        <v>100</v>
      </c>
      <c r="Y2113" s="2" t="s">
        <v>6427</v>
      </c>
      <c r="Z2113" s="4">
        <v>193</v>
      </c>
      <c r="AA2113" s="4">
        <f>=ROUNDDOWN(19.3,0)</f>
      </c>
      <c r="AB2113" s="5">
        <v>10</v>
      </c>
      <c r="AC2113" s="2" t="s">
        <v>783</v>
      </c>
      <c r="AD2113" s="4">
        <v>70</v>
      </c>
      <c r="AE2113" s="4">
        <v>375</v>
      </c>
      <c r="AF2113" s="6">
        <v>76</v>
      </c>
      <c r="AG2113" s="6">
        <v>67</v>
      </c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/>
      <c r="AW2113" s="8"/>
      <c r="AX2113" s="4"/>
      <c r="AY2113" s="8"/>
      <c r="AZ2113" s="7"/>
      <c r="BA2113" s="7"/>
      <c r="BB2113" s="7"/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/>
      <c r="BJ2113" s="4">
        <v>40</v>
      </c>
      <c r="BK2113" s="8">
        <v>4369.67</v>
      </c>
      <c r="BL2113" s="2" t="s">
        <v>7315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2526</v>
      </c>
      <c r="BV2113" s="2" t="s">
        <v>97</v>
      </c>
      <c r="BW2113" s="2" t="s">
        <v>100</v>
      </c>
      <c r="BX2113" s="2" t="s">
        <v>100</v>
      </c>
      <c r="BY2113" s="2" t="s">
        <v>112</v>
      </c>
      <c r="BZ2113" s="2" t="s">
        <v>100</v>
      </c>
    </row>
    <row r="2114">
      <c r="A2114" s="2" t="s">
        <v>7316</v>
      </c>
      <c r="B2114" s="2" t="s">
        <v>6747</v>
      </c>
      <c r="C2114" s="2" t="s">
        <v>88</v>
      </c>
      <c r="D2114" s="2" t="s">
        <v>6748</v>
      </c>
      <c r="E2114" s="2" t="s">
        <v>6765</v>
      </c>
      <c r="F2114" s="2" t="s">
        <v>7303</v>
      </c>
      <c r="G2114" s="2" t="s">
        <v>2223</v>
      </c>
      <c r="H2114" s="2" t="s">
        <v>7304</v>
      </c>
      <c r="I2114" s="2" t="s">
        <v>7305</v>
      </c>
      <c r="J2114" s="2" t="s">
        <v>3385</v>
      </c>
      <c r="K2114" s="2" t="s">
        <v>223</v>
      </c>
      <c r="L2114" s="3">
        <v>114</v>
      </c>
      <c r="M2114" s="3">
        <v>119.7</v>
      </c>
      <c r="N2114" s="3">
        <v>239</v>
      </c>
      <c r="O2114" s="2" t="s">
        <v>97</v>
      </c>
      <c r="P2114" s="2" t="s">
        <v>98</v>
      </c>
      <c r="Q2114" s="2" t="s">
        <v>99</v>
      </c>
      <c r="R2114" s="2" t="s">
        <v>100</v>
      </c>
      <c r="S2114" s="2" t="s">
        <v>7317</v>
      </c>
      <c r="T2114" s="2" t="s">
        <v>100</v>
      </c>
      <c r="U2114" s="2" t="s">
        <v>100</v>
      </c>
      <c r="V2114" s="2" t="s">
        <v>461</v>
      </c>
      <c r="W2114" s="2" t="s">
        <v>493</v>
      </c>
      <c r="X2114" s="2" t="s">
        <v>100</v>
      </c>
      <c r="Y2114" s="2" t="s">
        <v>144</v>
      </c>
      <c r="Z2114" s="4">
        <v>150</v>
      </c>
      <c r="AA2114" s="4">
        <f>=ROUNDDOWN(19.2307692307692,0)</f>
      </c>
      <c r="AB2114" s="5">
        <v>7.8</v>
      </c>
      <c r="AC2114" s="2" t="s">
        <v>7318</v>
      </c>
      <c r="AD2114" s="4">
        <v>101</v>
      </c>
      <c r="AE2114" s="4">
        <v>217</v>
      </c>
      <c r="AF2114" s="6">
        <v>76</v>
      </c>
      <c r="AG2114" s="6">
        <v>67</v>
      </c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/>
      <c r="AW2114" s="8"/>
      <c r="AX2114" s="4"/>
      <c r="AY2114" s="8"/>
      <c r="AZ2114" s="7"/>
      <c r="BA2114" s="7"/>
      <c r="BB2114" s="7"/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/>
      <c r="BJ2114" s="4">
        <v>36</v>
      </c>
      <c r="BK2114" s="8">
        <v>4277.43</v>
      </c>
      <c r="BL2114" s="2" t="s">
        <v>7319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2526</v>
      </c>
      <c r="BV2114" s="2" t="s">
        <v>97</v>
      </c>
      <c r="BW2114" s="2" t="s">
        <v>100</v>
      </c>
      <c r="BX2114" s="2" t="s">
        <v>100</v>
      </c>
      <c r="BY2114" s="2" t="s">
        <v>112</v>
      </c>
      <c r="BZ2114" s="2" t="s">
        <v>100</v>
      </c>
    </row>
    <row r="2115">
      <c r="A2115" s="2" t="s">
        <v>7320</v>
      </c>
      <c r="B2115" s="2" t="s">
        <v>6747</v>
      </c>
      <c r="C2115" s="2" t="s">
        <v>88</v>
      </c>
      <c r="D2115" s="2" t="s">
        <v>6748</v>
      </c>
      <c r="E2115" s="2" t="s">
        <v>6765</v>
      </c>
      <c r="F2115" s="2" t="s">
        <v>7303</v>
      </c>
      <c r="G2115" s="2" t="s">
        <v>2223</v>
      </c>
      <c r="H2115" s="2" t="s">
        <v>7304</v>
      </c>
      <c r="I2115" s="2" t="s">
        <v>7305</v>
      </c>
      <c r="J2115" s="2" t="s">
        <v>3385</v>
      </c>
      <c r="K2115" s="2" t="s">
        <v>7321</v>
      </c>
      <c r="L2115" s="3">
        <v>114</v>
      </c>
      <c r="M2115" s="3">
        <v>119.7</v>
      </c>
      <c r="N2115" s="3">
        <v>239</v>
      </c>
      <c r="O2115" s="2" t="s">
        <v>97</v>
      </c>
      <c r="P2115" s="2" t="s">
        <v>98</v>
      </c>
      <c r="Q2115" s="2" t="s">
        <v>99</v>
      </c>
      <c r="R2115" s="2" t="s">
        <v>100</v>
      </c>
      <c r="S2115" s="2" t="s">
        <v>7322</v>
      </c>
      <c r="T2115" s="2" t="s">
        <v>100</v>
      </c>
      <c r="U2115" s="2" t="s">
        <v>100</v>
      </c>
      <c r="V2115" s="2" t="s">
        <v>461</v>
      </c>
      <c r="W2115" s="2" t="s">
        <v>142</v>
      </c>
      <c r="X2115" s="2" t="s">
        <v>100</v>
      </c>
      <c r="Y2115" s="2" t="s">
        <v>144</v>
      </c>
      <c r="Z2115" s="4">
        <v>114</v>
      </c>
      <c r="AA2115" s="4">
        <f>=ROUNDDOWN(22.8,0)</f>
      </c>
      <c r="AB2115" s="5">
        <v>5</v>
      </c>
      <c r="AC2115" s="2" t="s">
        <v>783</v>
      </c>
      <c r="AD2115" s="4">
        <v>77</v>
      </c>
      <c r="AE2115" s="4">
        <v>110</v>
      </c>
      <c r="AF2115" s="6">
        <v>76</v>
      </c>
      <c r="AG2115" s="6">
        <v>67</v>
      </c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/>
      <c r="AW2115" s="8"/>
      <c r="AX2115" s="4"/>
      <c r="AY2115" s="8"/>
      <c r="AZ2115" s="7"/>
      <c r="BA2115" s="7"/>
      <c r="BB2115" s="7"/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/>
      <c r="BJ2115" s="4">
        <v>18</v>
      </c>
      <c r="BK2115" s="8">
        <v>2036.37</v>
      </c>
      <c r="BL2115" s="2" t="s">
        <v>7323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2526</v>
      </c>
      <c r="BV2115" s="2" t="s">
        <v>97</v>
      </c>
      <c r="BW2115" s="2" t="s">
        <v>100</v>
      </c>
      <c r="BX2115" s="2" t="s">
        <v>100</v>
      </c>
      <c r="BY2115" s="2" t="s">
        <v>112</v>
      </c>
      <c r="BZ2115" s="2" t="s">
        <v>100</v>
      </c>
    </row>
    <row r="2116">
      <c r="A2116" s="2" t="s">
        <v>7324</v>
      </c>
      <c r="B2116" s="2" t="s">
        <v>6747</v>
      </c>
      <c r="C2116" s="2" t="s">
        <v>88</v>
      </c>
      <c r="D2116" s="2" t="s">
        <v>6748</v>
      </c>
      <c r="E2116" s="2" t="s">
        <v>6765</v>
      </c>
      <c r="F2116" s="2" t="s">
        <v>7303</v>
      </c>
      <c r="G2116" s="2" t="s">
        <v>2223</v>
      </c>
      <c r="H2116" s="2" t="s">
        <v>7304</v>
      </c>
      <c r="I2116" s="2" t="s">
        <v>7305</v>
      </c>
      <c r="J2116" s="2" t="s">
        <v>3385</v>
      </c>
      <c r="K2116" s="2" t="s">
        <v>4743</v>
      </c>
      <c r="L2116" s="3">
        <v>114</v>
      </c>
      <c r="M2116" s="3">
        <v>119.7</v>
      </c>
      <c r="N2116" s="3">
        <v>239</v>
      </c>
      <c r="O2116" s="2" t="s">
        <v>97</v>
      </c>
      <c r="P2116" s="2" t="s">
        <v>98</v>
      </c>
      <c r="Q2116" s="2" t="s">
        <v>99</v>
      </c>
      <c r="R2116" s="2" t="s">
        <v>100</v>
      </c>
      <c r="S2116" s="2" t="s">
        <v>7325</v>
      </c>
      <c r="T2116" s="2" t="s">
        <v>100</v>
      </c>
      <c r="U2116" s="2" t="s">
        <v>100</v>
      </c>
      <c r="V2116" s="2" t="s">
        <v>461</v>
      </c>
      <c r="W2116" s="2" t="s">
        <v>493</v>
      </c>
      <c r="X2116" s="2" t="s">
        <v>100</v>
      </c>
      <c r="Y2116" s="2" t="s">
        <v>144</v>
      </c>
      <c r="Z2116" s="4">
        <v>279</v>
      </c>
      <c r="AA2116" s="4">
        <f>=ROUNDDOWN(23.25,0)</f>
      </c>
      <c r="AB2116" s="5">
        <v>12</v>
      </c>
      <c r="AC2116" s="2" t="s">
        <v>7326</v>
      </c>
      <c r="AD2116" s="4">
        <v>166</v>
      </c>
      <c r="AE2116" s="4">
        <v>166</v>
      </c>
      <c r="AF2116" s="6">
        <v>76</v>
      </c>
      <c r="AG2116" s="6">
        <v>67</v>
      </c>
      <c r="AH2116" s="7">
        <v>0.1613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/>
      <c r="AW2116" s="8"/>
      <c r="AX2116" s="4"/>
      <c r="AY2116" s="8"/>
      <c r="AZ2116" s="7"/>
      <c r="BA2116" s="7"/>
      <c r="BB2116" s="7"/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/>
      <c r="BJ2116" s="4">
        <v>19</v>
      </c>
      <c r="BK2116" s="8">
        <v>2226.89</v>
      </c>
      <c r="BL2116" s="2" t="s">
        <v>7327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2526</v>
      </c>
      <c r="BV2116" s="2" t="s">
        <v>97</v>
      </c>
      <c r="BW2116" s="2" t="s">
        <v>100</v>
      </c>
      <c r="BX2116" s="2" t="s">
        <v>100</v>
      </c>
      <c r="BY2116" s="2" t="s">
        <v>112</v>
      </c>
      <c r="BZ2116" s="2" t="s">
        <v>100</v>
      </c>
    </row>
    <row r="2117">
      <c r="A2117" s="2" t="s">
        <v>7328</v>
      </c>
      <c r="B2117" s="2" t="s">
        <v>6747</v>
      </c>
      <c r="C2117" s="2" t="s">
        <v>88</v>
      </c>
      <c r="D2117" s="2" t="s">
        <v>6748</v>
      </c>
      <c r="E2117" s="2" t="s">
        <v>6765</v>
      </c>
      <c r="F2117" s="2" t="s">
        <v>7329</v>
      </c>
      <c r="G2117" s="2" t="s">
        <v>7330</v>
      </c>
      <c r="H2117" s="2" t="s">
        <v>7331</v>
      </c>
      <c r="I2117" s="2" t="s">
        <v>7305</v>
      </c>
      <c r="J2117" s="2" t="s">
        <v>3385</v>
      </c>
      <c r="K2117" s="2" t="s">
        <v>179</v>
      </c>
      <c r="L2117" s="3">
        <v>85.5</v>
      </c>
      <c r="M2117" s="3">
        <v>89.78</v>
      </c>
      <c r="N2117" s="3">
        <v>179</v>
      </c>
      <c r="O2117" s="2" t="s">
        <v>97</v>
      </c>
      <c r="P2117" s="2" t="s">
        <v>98</v>
      </c>
      <c r="Q2117" s="2" t="s">
        <v>99</v>
      </c>
      <c r="R2117" s="2" t="s">
        <v>100</v>
      </c>
      <c r="S2117" s="2" t="s">
        <v>7332</v>
      </c>
      <c r="T2117" s="2" t="s">
        <v>100</v>
      </c>
      <c r="U2117" s="2" t="s">
        <v>100</v>
      </c>
      <c r="V2117" s="2" t="s">
        <v>461</v>
      </c>
      <c r="W2117" s="2" t="s">
        <v>493</v>
      </c>
      <c r="X2117" s="2" t="s">
        <v>100</v>
      </c>
      <c r="Y2117" s="2" t="s">
        <v>144</v>
      </c>
      <c r="Z2117" s="4">
        <v>111</v>
      </c>
      <c r="AA2117" s="4">
        <f>=ROUNDDOWN(19.4736842105263,0)</f>
      </c>
      <c r="AB2117" s="5">
        <v>5.7</v>
      </c>
      <c r="AC2117" s="2" t="s">
        <v>7318</v>
      </c>
      <c r="AD2117" s="4">
        <v>110</v>
      </c>
      <c r="AE2117" s="4">
        <v>185</v>
      </c>
      <c r="AF2117" s="6">
        <v>76</v>
      </c>
      <c r="AG2117" s="6">
        <v>67</v>
      </c>
      <c r="AH2117" s="7">
        <v>0.4516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/>
      <c r="AW2117" s="8"/>
      <c r="AX2117" s="4"/>
      <c r="AY2117" s="8"/>
      <c r="AZ2117" s="7"/>
      <c r="BA2117" s="7"/>
      <c r="BB2117" s="7"/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/>
      <c r="BJ2117" s="4">
        <v>7</v>
      </c>
      <c r="BK2117" s="8">
        <v>643.91</v>
      </c>
      <c r="BL2117" s="2" t="s">
        <v>7333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2526</v>
      </c>
      <c r="BV2117" s="2" t="s">
        <v>97</v>
      </c>
      <c r="BW2117" s="2" t="s">
        <v>100</v>
      </c>
      <c r="BX2117" s="2" t="s">
        <v>100</v>
      </c>
      <c r="BY2117" s="2" t="s">
        <v>112</v>
      </c>
      <c r="BZ2117" s="2" t="s">
        <v>100</v>
      </c>
    </row>
    <row r="2118">
      <c r="A2118" s="2" t="s">
        <v>7334</v>
      </c>
      <c r="B2118" s="2" t="s">
        <v>6747</v>
      </c>
      <c r="C2118" s="2" t="s">
        <v>88</v>
      </c>
      <c r="D2118" s="2" t="s">
        <v>6748</v>
      </c>
      <c r="E2118" s="2" t="s">
        <v>6765</v>
      </c>
      <c r="F2118" s="2" t="s">
        <v>7329</v>
      </c>
      <c r="G2118" s="2" t="s">
        <v>7330</v>
      </c>
      <c r="H2118" s="2" t="s">
        <v>7331</v>
      </c>
      <c r="I2118" s="2" t="s">
        <v>7305</v>
      </c>
      <c r="J2118" s="2" t="s">
        <v>3385</v>
      </c>
      <c r="K2118" s="2" t="s">
        <v>4362</v>
      </c>
      <c r="L2118" s="3">
        <v>85.5</v>
      </c>
      <c r="M2118" s="3">
        <v>89.78</v>
      </c>
      <c r="N2118" s="3">
        <v>179</v>
      </c>
      <c r="O2118" s="2" t="s">
        <v>97</v>
      </c>
      <c r="P2118" s="2" t="s">
        <v>98</v>
      </c>
      <c r="Q2118" s="2" t="s">
        <v>99</v>
      </c>
      <c r="R2118" s="2" t="s">
        <v>100</v>
      </c>
      <c r="S2118" s="2" t="s">
        <v>7335</v>
      </c>
      <c r="T2118" s="2" t="s">
        <v>100</v>
      </c>
      <c r="U2118" s="2" t="s">
        <v>100</v>
      </c>
      <c r="V2118" s="2" t="s">
        <v>461</v>
      </c>
      <c r="W2118" s="2" t="s">
        <v>493</v>
      </c>
      <c r="X2118" s="2" t="s">
        <v>100</v>
      </c>
      <c r="Y2118" s="2" t="s">
        <v>144</v>
      </c>
      <c r="Z2118" s="4">
        <v>227</v>
      </c>
      <c r="AA2118" s="4">
        <f>=ROUNDDOWN(28.375,0)</f>
      </c>
      <c r="AB2118" s="5">
        <v>8</v>
      </c>
      <c r="AC2118" s="2" t="s">
        <v>7326</v>
      </c>
      <c r="AD2118" s="4">
        <v>250</v>
      </c>
      <c r="AE2118" s="4">
        <v>250</v>
      </c>
      <c r="AF2118" s="6">
        <v>76</v>
      </c>
      <c r="AG2118" s="6">
        <v>67</v>
      </c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/>
      <c r="AW2118" s="8"/>
      <c r="AX2118" s="4"/>
      <c r="AY2118" s="8"/>
      <c r="AZ2118" s="7"/>
      <c r="BA2118" s="7"/>
      <c r="BB2118" s="7"/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/>
      <c r="BJ2118" s="4">
        <v>21</v>
      </c>
      <c r="BK2118" s="8">
        <v>1860.99</v>
      </c>
      <c r="BL2118" s="2" t="s">
        <v>7336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2526</v>
      </c>
      <c r="BV2118" s="2" t="s">
        <v>97</v>
      </c>
      <c r="BW2118" s="2" t="s">
        <v>100</v>
      </c>
      <c r="BX2118" s="2" t="s">
        <v>100</v>
      </c>
      <c r="BY2118" s="2" t="s">
        <v>112</v>
      </c>
      <c r="BZ2118" s="2" t="s">
        <v>100</v>
      </c>
    </row>
    <row r="2119">
      <c r="A2119" s="2" t="s">
        <v>7337</v>
      </c>
      <c r="B2119" s="2" t="s">
        <v>6747</v>
      </c>
      <c r="C2119" s="2" t="s">
        <v>88</v>
      </c>
      <c r="D2119" s="2" t="s">
        <v>6748</v>
      </c>
      <c r="E2119" s="2" t="s">
        <v>6765</v>
      </c>
      <c r="F2119" s="2" t="s">
        <v>7329</v>
      </c>
      <c r="G2119" s="2" t="s">
        <v>7330</v>
      </c>
      <c r="H2119" s="2" t="s">
        <v>7331</v>
      </c>
      <c r="I2119" s="2" t="s">
        <v>7305</v>
      </c>
      <c r="J2119" s="2" t="s">
        <v>3385</v>
      </c>
      <c r="K2119" s="2" t="s">
        <v>4488</v>
      </c>
      <c r="L2119" s="3">
        <v>85.5</v>
      </c>
      <c r="M2119" s="3">
        <v>89.78</v>
      </c>
      <c r="N2119" s="3">
        <v>179</v>
      </c>
      <c r="O2119" s="2" t="s">
        <v>97</v>
      </c>
      <c r="P2119" s="2" t="s">
        <v>98</v>
      </c>
      <c r="Q2119" s="2" t="s">
        <v>99</v>
      </c>
      <c r="R2119" s="2" t="s">
        <v>100</v>
      </c>
      <c r="S2119" s="2" t="s">
        <v>7338</v>
      </c>
      <c r="T2119" s="2" t="s">
        <v>100</v>
      </c>
      <c r="U2119" s="2" t="s">
        <v>100</v>
      </c>
      <c r="V2119" s="2" t="s">
        <v>461</v>
      </c>
      <c r="W2119" s="2" t="s">
        <v>142</v>
      </c>
      <c r="X2119" s="2" t="s">
        <v>100</v>
      </c>
      <c r="Y2119" s="2" t="s">
        <v>1688</v>
      </c>
      <c r="Z2119" s="4">
        <v>344</v>
      </c>
      <c r="AA2119" s="4">
        <f>=ROUNDDOWN(127.407407407407,0)</f>
      </c>
      <c r="AB2119" s="5">
        <v>2.7</v>
      </c>
      <c r="AC2119" s="2" t="s">
        <v>262</v>
      </c>
      <c r="AD2119" s="4">
        <v>95</v>
      </c>
      <c r="AE2119" s="4">
        <v>255</v>
      </c>
      <c r="AF2119" s="6">
        <v>76</v>
      </c>
      <c r="AG2119" s="6">
        <v>67</v>
      </c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/>
      <c r="AW2119" s="8"/>
      <c r="AX2119" s="4"/>
      <c r="AY2119" s="8"/>
      <c r="AZ2119" s="7"/>
      <c r="BA2119" s="7"/>
      <c r="BB2119" s="7"/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/>
      <c r="BJ2119" s="4">
        <v>17</v>
      </c>
      <c r="BK2119" s="8">
        <v>1531.51</v>
      </c>
      <c r="BL2119" s="2" t="s">
        <v>7339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2526</v>
      </c>
      <c r="BV2119" s="2" t="s">
        <v>97</v>
      </c>
      <c r="BW2119" s="2" t="s">
        <v>100</v>
      </c>
      <c r="BX2119" s="2" t="s">
        <v>100</v>
      </c>
      <c r="BY2119" s="2" t="s">
        <v>112</v>
      </c>
      <c r="BZ2119" s="2" t="s">
        <v>100</v>
      </c>
    </row>
    <row r="2120">
      <c r="A2120" s="2" t="s">
        <v>7340</v>
      </c>
      <c r="B2120" s="2" t="s">
        <v>6747</v>
      </c>
      <c r="C2120" s="2" t="s">
        <v>88</v>
      </c>
      <c r="D2120" s="2" t="s">
        <v>6748</v>
      </c>
      <c r="E2120" s="2" t="s">
        <v>6765</v>
      </c>
      <c r="F2120" s="2" t="s">
        <v>7329</v>
      </c>
      <c r="G2120" s="2" t="s">
        <v>7330</v>
      </c>
      <c r="H2120" s="2" t="s">
        <v>7331</v>
      </c>
      <c r="I2120" s="2" t="s">
        <v>7305</v>
      </c>
      <c r="J2120" s="2" t="s">
        <v>3385</v>
      </c>
      <c r="K2120" s="2" t="s">
        <v>673</v>
      </c>
      <c r="L2120" s="3">
        <v>85.5</v>
      </c>
      <c r="M2120" s="3">
        <v>89.78</v>
      </c>
      <c r="N2120" s="3">
        <v>179</v>
      </c>
      <c r="O2120" s="2" t="s">
        <v>97</v>
      </c>
      <c r="P2120" s="2" t="s">
        <v>98</v>
      </c>
      <c r="Q2120" s="2" t="s">
        <v>99</v>
      </c>
      <c r="R2120" s="2" t="s">
        <v>100</v>
      </c>
      <c r="S2120" s="2" t="s">
        <v>7341</v>
      </c>
      <c r="T2120" s="2" t="s">
        <v>100</v>
      </c>
      <c r="U2120" s="2" t="s">
        <v>100</v>
      </c>
      <c r="V2120" s="2" t="s">
        <v>461</v>
      </c>
      <c r="W2120" s="2" t="s">
        <v>493</v>
      </c>
      <c r="X2120" s="2" t="s">
        <v>100</v>
      </c>
      <c r="Y2120" s="2" t="s">
        <v>144</v>
      </c>
      <c r="Z2120" s="4">
        <v>105</v>
      </c>
      <c r="AA2120" s="4">
        <f>=ROUNDDOWN(15,0)</f>
      </c>
      <c r="AB2120" s="5">
        <v>7</v>
      </c>
      <c r="AC2120" s="2" t="s">
        <v>783</v>
      </c>
      <c r="AD2120" s="4">
        <v>48</v>
      </c>
      <c r="AE2120" s="4">
        <v>215</v>
      </c>
      <c r="AF2120" s="6">
        <v>76</v>
      </c>
      <c r="AG2120" s="6">
        <v>67</v>
      </c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/>
      <c r="AW2120" s="8"/>
      <c r="AX2120" s="4"/>
      <c r="AY2120" s="8"/>
      <c r="AZ2120" s="7"/>
      <c r="BA2120" s="7"/>
      <c r="BB2120" s="7"/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/>
      <c r="BJ2120" s="4">
        <v>29</v>
      </c>
      <c r="BK2120" s="8">
        <v>2739.65</v>
      </c>
      <c r="BL2120" s="2" t="s">
        <v>7342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2526</v>
      </c>
      <c r="BV2120" s="2" t="s">
        <v>97</v>
      </c>
      <c r="BW2120" s="2" t="s">
        <v>100</v>
      </c>
      <c r="BX2120" s="2" t="s">
        <v>100</v>
      </c>
      <c r="BY2120" s="2" t="s">
        <v>112</v>
      </c>
      <c r="BZ2120" s="2" t="s">
        <v>100</v>
      </c>
    </row>
    <row r="2121">
      <c r="A2121" s="2" t="s">
        <v>7343</v>
      </c>
      <c r="B2121" s="2" t="s">
        <v>6747</v>
      </c>
      <c r="C2121" s="2" t="s">
        <v>88</v>
      </c>
      <c r="D2121" s="2" t="s">
        <v>6748</v>
      </c>
      <c r="E2121" s="2" t="s">
        <v>6765</v>
      </c>
      <c r="F2121" s="2" t="s">
        <v>7344</v>
      </c>
      <c r="G2121" s="2" t="s">
        <v>7345</v>
      </c>
      <c r="H2121" s="2" t="s">
        <v>7346</v>
      </c>
      <c r="I2121" s="2" t="s">
        <v>6751</v>
      </c>
      <c r="J2121" s="2" t="s">
        <v>3385</v>
      </c>
      <c r="K2121" s="2" t="s">
        <v>179</v>
      </c>
      <c r="L2121" s="3">
        <v>114</v>
      </c>
      <c r="M2121" s="3">
        <v>119.7</v>
      </c>
      <c r="N2121" s="3">
        <v>239</v>
      </c>
      <c r="O2121" s="2" t="s">
        <v>97</v>
      </c>
      <c r="P2121" s="2" t="s">
        <v>98</v>
      </c>
      <c r="Q2121" s="2" t="s">
        <v>99</v>
      </c>
      <c r="R2121" s="2" t="s">
        <v>100</v>
      </c>
      <c r="S2121" s="2" t="s">
        <v>100</v>
      </c>
      <c r="T2121" s="2" t="s">
        <v>100</v>
      </c>
      <c r="U2121" s="2" t="s">
        <v>1776</v>
      </c>
      <c r="V2121" s="2" t="s">
        <v>461</v>
      </c>
      <c r="W2121" s="2" t="s">
        <v>142</v>
      </c>
      <c r="X2121" s="2" t="s">
        <v>104</v>
      </c>
      <c r="Y2121" s="2" t="s">
        <v>7347</v>
      </c>
      <c r="Z2121" s="4">
        <v>31</v>
      </c>
      <c r="AA2121" s="4">
        <f>=ROUNDDOWN(3.44444444444444,0)</f>
      </c>
      <c r="AB2121" s="5">
        <v>9</v>
      </c>
      <c r="AC2121" s="2" t="s">
        <v>932</v>
      </c>
      <c r="AD2121" s="4">
        <v>66</v>
      </c>
      <c r="AE2121" s="4">
        <v>220</v>
      </c>
      <c r="AF2121" s="6">
        <v>74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/>
      <c r="AW2121" s="8"/>
      <c r="AX2121" s="4"/>
      <c r="AY2121" s="8"/>
      <c r="AZ2121" s="7"/>
      <c r="BA2121" s="7"/>
      <c r="BB2121" s="7"/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/>
      <c r="BJ2121" s="4">
        <v>39</v>
      </c>
      <c r="BK2121" s="8">
        <v>4319.29</v>
      </c>
      <c r="BL2121" s="2" t="s">
        <v>7348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2526</v>
      </c>
      <c r="BV2121" s="2" t="s">
        <v>97</v>
      </c>
      <c r="BW2121" s="2" t="s">
        <v>100</v>
      </c>
      <c r="BX2121" s="2" t="s">
        <v>100</v>
      </c>
      <c r="BY2121" s="2" t="s">
        <v>112</v>
      </c>
      <c r="BZ2121" s="2" t="s">
        <v>100</v>
      </c>
    </row>
    <row r="2122">
      <c r="A2122" s="2" t="s">
        <v>7349</v>
      </c>
      <c r="B2122" s="2" t="s">
        <v>6747</v>
      </c>
      <c r="C2122" s="2" t="s">
        <v>88</v>
      </c>
      <c r="D2122" s="2" t="s">
        <v>6748</v>
      </c>
      <c r="E2122" s="2" t="s">
        <v>6765</v>
      </c>
      <c r="F2122" s="2" t="s">
        <v>7344</v>
      </c>
      <c r="G2122" s="2" t="s">
        <v>7345</v>
      </c>
      <c r="H2122" s="2" t="s">
        <v>7346</v>
      </c>
      <c r="I2122" s="2" t="s">
        <v>6751</v>
      </c>
      <c r="J2122" s="2" t="s">
        <v>3385</v>
      </c>
      <c r="K2122" s="2" t="s">
        <v>96</v>
      </c>
      <c r="L2122" s="3">
        <v>114</v>
      </c>
      <c r="M2122" s="3">
        <v>119.7</v>
      </c>
      <c r="N2122" s="3">
        <v>239</v>
      </c>
      <c r="O2122" s="2" t="s">
        <v>97</v>
      </c>
      <c r="P2122" s="2" t="s">
        <v>123</v>
      </c>
      <c r="Q2122" s="2" t="s">
        <v>99</v>
      </c>
      <c r="R2122" s="2" t="s">
        <v>100</v>
      </c>
      <c r="S2122" s="2" t="s">
        <v>7350</v>
      </c>
      <c r="T2122" s="2" t="s">
        <v>100</v>
      </c>
      <c r="U2122" s="2" t="s">
        <v>100</v>
      </c>
      <c r="V2122" s="2" t="s">
        <v>461</v>
      </c>
      <c r="W2122" s="2" t="s">
        <v>142</v>
      </c>
      <c r="X2122" s="2" t="s">
        <v>100</v>
      </c>
      <c r="Y2122" s="2" t="s">
        <v>1935</v>
      </c>
      <c r="Z2122" s="4">
        <v>484</v>
      </c>
      <c r="AA2122" s="4">
        <f>=ROUNDDOWN(25.8823529411765,0)</f>
      </c>
      <c r="AB2122" s="5">
        <v>18.7</v>
      </c>
      <c r="AC2122" s="2" t="s">
        <v>932</v>
      </c>
      <c r="AD2122" s="4">
        <v>152</v>
      </c>
      <c r="AE2122" s="4">
        <v>1034</v>
      </c>
      <c r="AF2122" s="6">
        <v>74</v>
      </c>
      <c r="AG2122" s="6">
        <v>60</v>
      </c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/>
      <c r="AW2122" s="8"/>
      <c r="AX2122" s="4"/>
      <c r="AY2122" s="8"/>
      <c r="AZ2122" s="7"/>
      <c r="BA2122" s="7"/>
      <c r="BB2122" s="7"/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/>
      <c r="BJ2122" s="4">
        <v>95</v>
      </c>
      <c r="BK2122" s="8">
        <v>11351.9</v>
      </c>
      <c r="BL2122" s="2" t="s">
        <v>7351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2526</v>
      </c>
      <c r="BV2122" s="2" t="s">
        <v>97</v>
      </c>
      <c r="BW2122" s="2" t="s">
        <v>100</v>
      </c>
      <c r="BX2122" s="2" t="s">
        <v>100</v>
      </c>
      <c r="BY2122" s="2" t="s">
        <v>112</v>
      </c>
      <c r="BZ2122" s="2" t="s">
        <v>100</v>
      </c>
    </row>
    <row r="2123">
      <c r="A2123" s="2" t="s">
        <v>7352</v>
      </c>
      <c r="B2123" s="2" t="s">
        <v>6747</v>
      </c>
      <c r="C2123" s="2" t="s">
        <v>88</v>
      </c>
      <c r="D2123" s="2" t="s">
        <v>6748</v>
      </c>
      <c r="E2123" s="2" t="s">
        <v>6765</v>
      </c>
      <c r="F2123" s="2" t="s">
        <v>7344</v>
      </c>
      <c r="G2123" s="2" t="s">
        <v>7345</v>
      </c>
      <c r="H2123" s="2" t="s">
        <v>7346</v>
      </c>
      <c r="I2123" s="2" t="s">
        <v>6751</v>
      </c>
      <c r="J2123" s="2" t="s">
        <v>3385</v>
      </c>
      <c r="K2123" s="2" t="s">
        <v>4391</v>
      </c>
      <c r="L2123" s="3">
        <v>114</v>
      </c>
      <c r="M2123" s="3">
        <v>119.7</v>
      </c>
      <c r="N2123" s="3">
        <v>239</v>
      </c>
      <c r="O2123" s="2" t="s">
        <v>97</v>
      </c>
      <c r="P2123" s="2" t="s">
        <v>123</v>
      </c>
      <c r="Q2123" s="2" t="s">
        <v>99</v>
      </c>
      <c r="R2123" s="2" t="s">
        <v>100</v>
      </c>
      <c r="S2123" s="2" t="s">
        <v>100</v>
      </c>
      <c r="T2123" s="2" t="s">
        <v>100</v>
      </c>
      <c r="U2123" s="2" t="s">
        <v>1776</v>
      </c>
      <c r="V2123" s="2" t="s">
        <v>461</v>
      </c>
      <c r="W2123" s="2" t="s">
        <v>142</v>
      </c>
      <c r="X2123" s="2" t="s">
        <v>100</v>
      </c>
      <c r="Y2123" s="2" t="s">
        <v>7353</v>
      </c>
      <c r="Z2123" s="4">
        <v>282</v>
      </c>
      <c r="AA2123" s="4">
        <f>=ROUNDDOWN(16.7857142857143,0)</f>
      </c>
      <c r="AB2123" s="5">
        <v>16.8</v>
      </c>
      <c r="AC2123" s="2" t="s">
        <v>932</v>
      </c>
      <c r="AD2123" s="4">
        <v>122</v>
      </c>
      <c r="AE2123" s="4">
        <v>582</v>
      </c>
      <c r="AF2123" s="6">
        <v>74</v>
      </c>
      <c r="AG2123" s="6">
        <v>60</v>
      </c>
      <c r="AH2123" s="7">
        <v>1</v>
      </c>
      <c r="AI2123" s="4"/>
      <c r="AJ2123" s="4">
        <f>=ROUNDDOWN({0},0)</f>
      </c>
      <c r="AK2123" s="5"/>
      <c r="AL2123" s="2" t="s">
        <v>1353</v>
      </c>
      <c r="AM2123" s="4">
        <v>65</v>
      </c>
      <c r="AN2123" s="4">
        <v>65</v>
      </c>
      <c r="AO2123" s="7">
        <v>0</v>
      </c>
      <c r="AP2123" s="4"/>
      <c r="AQ2123" s="8"/>
      <c r="AR2123" s="4"/>
      <c r="AS2123" s="8"/>
      <c r="AT2123" s="7"/>
      <c r="AU2123" s="7"/>
      <c r="AV2123" s="4"/>
      <c r="AW2123" s="8"/>
      <c r="AX2123" s="4"/>
      <c r="AY2123" s="8"/>
      <c r="AZ2123" s="7"/>
      <c r="BA2123" s="7"/>
      <c r="BB2123" s="7"/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/>
      <c r="BJ2123" s="4">
        <v>118</v>
      </c>
      <c r="BK2123" s="8">
        <v>15632.44</v>
      </c>
      <c r="BL2123" s="2" t="s">
        <v>7354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2526</v>
      </c>
      <c r="BV2123" s="2" t="s">
        <v>97</v>
      </c>
      <c r="BW2123" s="2" t="s">
        <v>100</v>
      </c>
      <c r="BX2123" s="2" t="s">
        <v>100</v>
      </c>
      <c r="BY2123" s="2" t="s">
        <v>112</v>
      </c>
      <c r="BZ2123" s="2" t="s">
        <v>100</v>
      </c>
    </row>
    <row r="2124">
      <c r="A2124" s="2" t="s">
        <v>7355</v>
      </c>
      <c r="B2124" s="2" t="s">
        <v>6747</v>
      </c>
      <c r="C2124" s="2" t="s">
        <v>88</v>
      </c>
      <c r="D2124" s="2" t="s">
        <v>6748</v>
      </c>
      <c r="E2124" s="2" t="s">
        <v>6765</v>
      </c>
      <c r="F2124" s="2" t="s">
        <v>7344</v>
      </c>
      <c r="G2124" s="2" t="s">
        <v>7345</v>
      </c>
      <c r="H2124" s="2" t="s">
        <v>7346</v>
      </c>
      <c r="I2124" s="2" t="s">
        <v>6751</v>
      </c>
      <c r="J2124" s="2" t="s">
        <v>3385</v>
      </c>
      <c r="K2124" s="2" t="s">
        <v>523</v>
      </c>
      <c r="L2124" s="3">
        <v>114</v>
      </c>
      <c r="M2124" s="3">
        <v>119.7</v>
      </c>
      <c r="N2124" s="3">
        <v>239</v>
      </c>
      <c r="O2124" s="2" t="s">
        <v>97</v>
      </c>
      <c r="P2124" s="2" t="s">
        <v>123</v>
      </c>
      <c r="Q2124" s="2" t="s">
        <v>99</v>
      </c>
      <c r="R2124" s="2" t="s">
        <v>100</v>
      </c>
      <c r="S2124" s="2" t="s">
        <v>7356</v>
      </c>
      <c r="T2124" s="2" t="s">
        <v>100</v>
      </c>
      <c r="U2124" s="2" t="s">
        <v>100</v>
      </c>
      <c r="V2124" s="2" t="s">
        <v>461</v>
      </c>
      <c r="W2124" s="2" t="s">
        <v>142</v>
      </c>
      <c r="X2124" s="2" t="s">
        <v>100</v>
      </c>
      <c r="Y2124" s="2" t="s">
        <v>6779</v>
      </c>
      <c r="Z2124" s="4">
        <v>259</v>
      </c>
      <c r="AA2124" s="4">
        <f>=ROUNDDOWN(10.9282700421941,0)</f>
      </c>
      <c r="AB2124" s="5">
        <v>23.7</v>
      </c>
      <c r="AC2124" s="2" t="s">
        <v>932</v>
      </c>
      <c r="AD2124" s="4">
        <v>260</v>
      </c>
      <c r="AE2124" s="4">
        <v>1001</v>
      </c>
      <c r="AF2124" s="6">
        <v>74</v>
      </c>
      <c r="AG2124" s="6">
        <v>60</v>
      </c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/>
      <c r="AW2124" s="8"/>
      <c r="AX2124" s="4"/>
      <c r="AY2124" s="8"/>
      <c r="AZ2124" s="7"/>
      <c r="BA2124" s="7"/>
      <c r="BB2124" s="7"/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/>
      <c r="BJ2124" s="4">
        <v>134</v>
      </c>
      <c r="BK2124" s="8">
        <v>17199.52</v>
      </c>
      <c r="BL2124" s="2" t="s">
        <v>7357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2526</v>
      </c>
      <c r="BV2124" s="2" t="s">
        <v>97</v>
      </c>
      <c r="BW2124" s="2" t="s">
        <v>100</v>
      </c>
      <c r="BX2124" s="2" t="s">
        <v>100</v>
      </c>
      <c r="BY2124" s="2" t="s">
        <v>112</v>
      </c>
      <c r="BZ2124" s="2" t="s">
        <v>100</v>
      </c>
    </row>
    <row r="2125">
      <c r="A2125" s="2" t="s">
        <v>7358</v>
      </c>
      <c r="B2125" s="2" t="s">
        <v>6747</v>
      </c>
      <c r="C2125" s="2" t="s">
        <v>88</v>
      </c>
      <c r="D2125" s="2" t="s">
        <v>6748</v>
      </c>
      <c r="E2125" s="2" t="s">
        <v>6765</v>
      </c>
      <c r="F2125" s="2" t="s">
        <v>7344</v>
      </c>
      <c r="G2125" s="2" t="s">
        <v>7345</v>
      </c>
      <c r="H2125" s="2" t="s">
        <v>7346</v>
      </c>
      <c r="I2125" s="2" t="s">
        <v>6751</v>
      </c>
      <c r="J2125" s="2" t="s">
        <v>3385</v>
      </c>
      <c r="K2125" s="2" t="s">
        <v>7359</v>
      </c>
      <c r="L2125" s="3">
        <v>114</v>
      </c>
      <c r="M2125" s="3">
        <v>119.7</v>
      </c>
      <c r="N2125" s="3">
        <v>239</v>
      </c>
      <c r="O2125" s="2" t="s">
        <v>97</v>
      </c>
      <c r="P2125" s="2" t="s">
        <v>98</v>
      </c>
      <c r="Q2125" s="2" t="s">
        <v>99</v>
      </c>
      <c r="R2125" s="2" t="s">
        <v>100</v>
      </c>
      <c r="S2125" s="2" t="s">
        <v>100</v>
      </c>
      <c r="T2125" s="2" t="s">
        <v>100</v>
      </c>
      <c r="U2125" s="2" t="s">
        <v>1776</v>
      </c>
      <c r="V2125" s="2" t="s">
        <v>473</v>
      </c>
      <c r="W2125" s="2" t="s">
        <v>142</v>
      </c>
      <c r="X2125" s="2" t="s">
        <v>100</v>
      </c>
      <c r="Y2125" s="2" t="s">
        <v>7360</v>
      </c>
      <c r="Z2125" s="4">
        <v>82</v>
      </c>
      <c r="AA2125" s="4">
        <f>=ROUNDDOWN(6.16541353383459,0)</f>
      </c>
      <c r="AB2125" s="5">
        <v>13.3</v>
      </c>
      <c r="AC2125" s="2" t="s">
        <v>932</v>
      </c>
      <c r="AD2125" s="4">
        <v>52</v>
      </c>
      <c r="AE2125" s="4">
        <v>357</v>
      </c>
      <c r="AF2125" s="6">
        <v>74</v>
      </c>
      <c r="AG2125" s="6">
        <v>60</v>
      </c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/>
      <c r="AW2125" s="8"/>
      <c r="AX2125" s="4"/>
      <c r="AY2125" s="8"/>
      <c r="AZ2125" s="7"/>
      <c r="BA2125" s="7"/>
      <c r="BB2125" s="7"/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/>
      <c r="BJ2125" s="4">
        <v>46</v>
      </c>
      <c r="BK2125" s="8">
        <v>5456.65</v>
      </c>
      <c r="BL2125" s="2" t="s">
        <v>7361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2526</v>
      </c>
      <c r="BV2125" s="2" t="s">
        <v>97</v>
      </c>
      <c r="BW2125" s="2" t="s">
        <v>100</v>
      </c>
      <c r="BX2125" s="2" t="s">
        <v>100</v>
      </c>
      <c r="BY2125" s="2" t="s">
        <v>112</v>
      </c>
      <c r="BZ2125" s="2" t="s">
        <v>100</v>
      </c>
    </row>
    <row r="2126">
      <c r="A2126" s="2" t="s">
        <v>7362</v>
      </c>
      <c r="B2126" s="2" t="s">
        <v>6747</v>
      </c>
      <c r="C2126" s="2" t="s">
        <v>88</v>
      </c>
      <c r="D2126" s="2" t="s">
        <v>6789</v>
      </c>
      <c r="E2126" s="2" t="s">
        <v>6800</v>
      </c>
      <c r="F2126" s="2" t="s">
        <v>7363</v>
      </c>
      <c r="G2126" s="2" t="s">
        <v>7364</v>
      </c>
      <c r="H2126" s="2" t="s">
        <v>7365</v>
      </c>
      <c r="I2126" s="2" t="s">
        <v>7366</v>
      </c>
      <c r="J2126" s="2" t="s">
        <v>3385</v>
      </c>
      <c r="K2126" s="2" t="s">
        <v>96</v>
      </c>
      <c r="L2126" s="3">
        <v>228</v>
      </c>
      <c r="M2126" s="3">
        <v>239.4</v>
      </c>
      <c r="N2126" s="3">
        <v>479</v>
      </c>
      <c r="O2126" s="2" t="s">
        <v>97</v>
      </c>
      <c r="P2126" s="2" t="s">
        <v>707</v>
      </c>
      <c r="Q2126" s="2" t="s">
        <v>99</v>
      </c>
      <c r="R2126" s="2" t="s">
        <v>100</v>
      </c>
      <c r="S2126" s="2" t="s">
        <v>7367</v>
      </c>
      <c r="T2126" s="2" t="s">
        <v>100</v>
      </c>
      <c r="U2126" s="2" t="s">
        <v>100</v>
      </c>
      <c r="V2126" s="2" t="s">
        <v>461</v>
      </c>
      <c r="W2126" s="2" t="s">
        <v>142</v>
      </c>
      <c r="X2126" s="2" t="s">
        <v>100</v>
      </c>
      <c r="Y2126" s="2" t="s">
        <v>144</v>
      </c>
      <c r="Z2126" s="4">
        <v>210</v>
      </c>
      <c r="AA2126" s="4">
        <f>=ROUNDDOWN(70,0)</f>
      </c>
      <c r="AB2126" s="5">
        <v>3</v>
      </c>
      <c r="AC2126" s="2" t="s">
        <v>100</v>
      </c>
      <c r="AD2126" s="4"/>
      <c r="AE2126" s="4"/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/>
      <c r="AW2126" s="8"/>
      <c r="AX2126" s="4"/>
      <c r="AY2126" s="8"/>
      <c r="AZ2126" s="7"/>
      <c r="BA2126" s="7"/>
      <c r="BB2126" s="7"/>
      <c r="BC2126" s="4"/>
      <c r="BD2126" s="8"/>
      <c r="BE2126" s="4"/>
      <c r="BF2126" s="8"/>
      <c r="BG2126" s="7"/>
      <c r="BH2126" s="7"/>
      <c r="BI2126" s="7"/>
      <c r="BJ2126" s="4">
        <v>4</v>
      </c>
      <c r="BK2126" s="8">
        <v>914.1</v>
      </c>
      <c r="BL2126" s="2" t="s">
        <v>7368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2526</v>
      </c>
      <c r="BV2126" s="2" t="s">
        <v>97</v>
      </c>
      <c r="BW2126" s="2" t="s">
        <v>100</v>
      </c>
      <c r="BX2126" s="2" t="s">
        <v>100</v>
      </c>
      <c r="BY2126" s="2" t="s">
        <v>112</v>
      </c>
      <c r="BZ2126" s="2" t="s">
        <v>100</v>
      </c>
    </row>
    <row r="2127">
      <c r="A2127" s="2" t="s">
        <v>7369</v>
      </c>
      <c r="B2127" s="2" t="s">
        <v>6747</v>
      </c>
      <c r="C2127" s="2" t="s">
        <v>88</v>
      </c>
      <c r="D2127" s="2" t="s">
        <v>6789</v>
      </c>
      <c r="E2127" s="2" t="s">
        <v>6800</v>
      </c>
      <c r="F2127" s="2" t="s">
        <v>7370</v>
      </c>
      <c r="G2127" s="2" t="s">
        <v>7371</v>
      </c>
      <c r="H2127" s="2" t="s">
        <v>7372</v>
      </c>
      <c r="I2127" s="2" t="s">
        <v>7373</v>
      </c>
      <c r="J2127" s="2" t="s">
        <v>3385</v>
      </c>
      <c r="K2127" s="2" t="s">
        <v>96</v>
      </c>
      <c r="L2127" s="3">
        <v>182.75</v>
      </c>
      <c r="M2127" s="3">
        <v>191.89</v>
      </c>
      <c r="N2127" s="3">
        <v>379</v>
      </c>
      <c r="O2127" s="2" t="s">
        <v>97</v>
      </c>
      <c r="P2127" s="2" t="s">
        <v>98</v>
      </c>
      <c r="Q2127" s="2" t="s">
        <v>99</v>
      </c>
      <c r="R2127" s="2" t="s">
        <v>100</v>
      </c>
      <c r="S2127" s="2" t="s">
        <v>7374</v>
      </c>
      <c r="T2127" s="2" t="s">
        <v>100</v>
      </c>
      <c r="U2127" s="2" t="s">
        <v>100</v>
      </c>
      <c r="V2127" s="2" t="s">
        <v>461</v>
      </c>
      <c r="W2127" s="2" t="s">
        <v>142</v>
      </c>
      <c r="X2127" s="2" t="s">
        <v>100</v>
      </c>
      <c r="Y2127" s="2" t="s">
        <v>144</v>
      </c>
      <c r="Z2127" s="4">
        <v>183</v>
      </c>
      <c r="AA2127" s="4">
        <f>=ROUNDDOWN(25.7746478873239,0)</f>
      </c>
      <c r="AB2127" s="5">
        <v>7.1</v>
      </c>
      <c r="AC2127" s="2" t="s">
        <v>201</v>
      </c>
      <c r="AD2127" s="4">
        <v>272</v>
      </c>
      <c r="AE2127" s="4">
        <v>279</v>
      </c>
      <c r="AF2127" s="6">
        <v>74</v>
      </c>
      <c r="AG2127" s="6">
        <v>60</v>
      </c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/>
      <c r="AW2127" s="8"/>
      <c r="AX2127" s="4"/>
      <c r="AY2127" s="8"/>
      <c r="AZ2127" s="7"/>
      <c r="BA2127" s="7"/>
      <c r="BB2127" s="7"/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/>
      <c r="BJ2127" s="4">
        <v>28</v>
      </c>
      <c r="BK2127" s="8">
        <v>5873.64</v>
      </c>
      <c r="BL2127" s="2" t="s">
        <v>7375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2526</v>
      </c>
      <c r="BV2127" s="2" t="s">
        <v>97</v>
      </c>
      <c r="BW2127" s="2" t="s">
        <v>100</v>
      </c>
      <c r="BX2127" s="2" t="s">
        <v>100</v>
      </c>
      <c r="BY2127" s="2" t="s">
        <v>112</v>
      </c>
      <c r="BZ2127" s="2" t="s">
        <v>100</v>
      </c>
    </row>
    <row r="2128">
      <c r="A2128" s="2" t="s">
        <v>7376</v>
      </c>
      <c r="B2128" s="2" t="s">
        <v>6747</v>
      </c>
      <c r="C2128" s="2" t="s">
        <v>88</v>
      </c>
      <c r="D2128" s="2" t="s">
        <v>6789</v>
      </c>
      <c r="E2128" s="2" t="s">
        <v>6800</v>
      </c>
      <c r="F2128" s="2" t="s">
        <v>7370</v>
      </c>
      <c r="G2128" s="2" t="s">
        <v>7371</v>
      </c>
      <c r="H2128" s="2" t="s">
        <v>7372</v>
      </c>
      <c r="I2128" s="2" t="s">
        <v>7373</v>
      </c>
      <c r="J2128" s="2" t="s">
        <v>3385</v>
      </c>
      <c r="K2128" s="2" t="s">
        <v>7377</v>
      </c>
      <c r="L2128" s="3">
        <v>182.75</v>
      </c>
      <c r="M2128" s="3">
        <v>191.89</v>
      </c>
      <c r="N2128" s="3">
        <v>379</v>
      </c>
      <c r="O2128" s="2" t="s">
        <v>97</v>
      </c>
      <c r="P2128" s="2" t="s">
        <v>98</v>
      </c>
      <c r="Q2128" s="2" t="s">
        <v>99</v>
      </c>
      <c r="R2128" s="2" t="s">
        <v>100</v>
      </c>
      <c r="S2128" s="2" t="s">
        <v>7378</v>
      </c>
      <c r="T2128" s="2" t="s">
        <v>100</v>
      </c>
      <c r="U2128" s="2" t="s">
        <v>100</v>
      </c>
      <c r="V2128" s="2" t="s">
        <v>4636</v>
      </c>
      <c r="W2128" s="2" t="s">
        <v>142</v>
      </c>
      <c r="X2128" s="2" t="s">
        <v>100</v>
      </c>
      <c r="Y2128" s="2" t="s">
        <v>151</v>
      </c>
      <c r="Z2128" s="4">
        <v>150</v>
      </c>
      <c r="AA2128" s="4">
        <f>=ROUNDDOWN(37.5,0)</f>
      </c>
      <c r="AB2128" s="5">
        <v>4</v>
      </c>
      <c r="AC2128" s="2" t="s">
        <v>6903</v>
      </c>
      <c r="AD2128" s="4">
        <v>100</v>
      </c>
      <c r="AE2128" s="4">
        <v>100</v>
      </c>
      <c r="AF2128" s="6">
        <v>74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/>
      <c r="AW2128" s="8"/>
      <c r="AX2128" s="4"/>
      <c r="AY2128" s="8"/>
      <c r="AZ2128" s="7"/>
      <c r="BA2128" s="7"/>
      <c r="BB2128" s="7"/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/>
      <c r="BJ2128" s="4">
        <v>20</v>
      </c>
      <c r="BK2128" s="8">
        <v>3661.58</v>
      </c>
      <c r="BL2128" s="2" t="s">
        <v>7379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2526</v>
      </c>
      <c r="BV2128" s="2" t="s">
        <v>97</v>
      </c>
      <c r="BW2128" s="2" t="s">
        <v>100</v>
      </c>
      <c r="BX2128" s="2" t="s">
        <v>100</v>
      </c>
      <c r="BY2128" s="2" t="s">
        <v>112</v>
      </c>
      <c r="BZ2128" s="2" t="s">
        <v>100</v>
      </c>
    </row>
    <row r="2129">
      <c r="A2129" s="2" t="s">
        <v>7380</v>
      </c>
      <c r="B2129" s="2" t="s">
        <v>6747</v>
      </c>
      <c r="C2129" s="2" t="s">
        <v>88</v>
      </c>
      <c r="D2129" s="2" t="s">
        <v>6789</v>
      </c>
      <c r="E2129" s="2" t="s">
        <v>6800</v>
      </c>
      <c r="F2129" s="2" t="s">
        <v>7370</v>
      </c>
      <c r="G2129" s="2" t="s">
        <v>7371</v>
      </c>
      <c r="H2129" s="2" t="s">
        <v>7372</v>
      </c>
      <c r="I2129" s="2" t="s">
        <v>7373</v>
      </c>
      <c r="J2129" s="2" t="s">
        <v>3385</v>
      </c>
      <c r="K2129" s="2" t="s">
        <v>2548</v>
      </c>
      <c r="L2129" s="3">
        <v>182.75</v>
      </c>
      <c r="M2129" s="3">
        <v>191.89</v>
      </c>
      <c r="N2129" s="3">
        <v>379</v>
      </c>
      <c r="O2129" s="2" t="s">
        <v>97</v>
      </c>
      <c r="P2129" s="2" t="s">
        <v>98</v>
      </c>
      <c r="Q2129" s="2" t="s">
        <v>99</v>
      </c>
      <c r="R2129" s="2" t="s">
        <v>100</v>
      </c>
      <c r="S2129" s="2" t="s">
        <v>100</v>
      </c>
      <c r="T2129" s="2" t="s">
        <v>100</v>
      </c>
      <c r="U2129" s="2" t="s">
        <v>100</v>
      </c>
      <c r="V2129" s="2" t="s">
        <v>269</v>
      </c>
      <c r="W2129" s="2" t="s">
        <v>142</v>
      </c>
      <c r="X2129" s="2" t="s">
        <v>100</v>
      </c>
      <c r="Y2129" s="2" t="s">
        <v>957</v>
      </c>
      <c r="Z2129" s="4">
        <v>143</v>
      </c>
      <c r="AA2129" s="4">
        <f>=ROUNDDOWN(17.875,0)</f>
      </c>
      <c r="AB2129" s="5">
        <v>8</v>
      </c>
      <c r="AC2129" s="2" t="s">
        <v>958</v>
      </c>
      <c r="AD2129" s="4">
        <v>82</v>
      </c>
      <c r="AE2129" s="4">
        <v>82</v>
      </c>
      <c r="AF2129" s="6">
        <v>74</v>
      </c>
      <c r="AG2129" s="6">
        <v>60</v>
      </c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/>
      <c r="AW2129" s="8"/>
      <c r="AX2129" s="4"/>
      <c r="AY2129" s="8"/>
      <c r="AZ2129" s="7"/>
      <c r="BA2129" s="7"/>
      <c r="BB2129" s="7"/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/>
      <c r="BJ2129" s="4">
        <v>34</v>
      </c>
      <c r="BK2129" s="8">
        <v>6577</v>
      </c>
      <c r="BL2129" s="2" t="s">
        <v>7381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2526</v>
      </c>
      <c r="BV2129" s="2" t="s">
        <v>97</v>
      </c>
      <c r="BW2129" s="2" t="s">
        <v>100</v>
      </c>
      <c r="BX2129" s="2" t="s">
        <v>100</v>
      </c>
      <c r="BY2129" s="2" t="s">
        <v>112</v>
      </c>
      <c r="BZ2129" s="2" t="s">
        <v>100</v>
      </c>
    </row>
    <row r="2130">
      <c r="A2130" s="2" t="s">
        <v>7382</v>
      </c>
      <c r="B2130" s="2" t="s">
        <v>6747</v>
      </c>
      <c r="C2130" s="2" t="s">
        <v>88</v>
      </c>
      <c r="D2130" s="2" t="s">
        <v>6789</v>
      </c>
      <c r="E2130" s="2" t="s">
        <v>6800</v>
      </c>
      <c r="F2130" s="2" t="s">
        <v>7370</v>
      </c>
      <c r="G2130" s="2" t="s">
        <v>7371</v>
      </c>
      <c r="H2130" s="2" t="s">
        <v>7372</v>
      </c>
      <c r="I2130" s="2" t="s">
        <v>7373</v>
      </c>
      <c r="J2130" s="2" t="s">
        <v>3385</v>
      </c>
      <c r="K2130" s="2" t="s">
        <v>706</v>
      </c>
      <c r="L2130" s="3">
        <v>182.75</v>
      </c>
      <c r="M2130" s="3">
        <v>191.89</v>
      </c>
      <c r="N2130" s="3">
        <v>379</v>
      </c>
      <c r="O2130" s="2" t="s">
        <v>97</v>
      </c>
      <c r="P2130" s="2" t="s">
        <v>98</v>
      </c>
      <c r="Q2130" s="2" t="s">
        <v>99</v>
      </c>
      <c r="R2130" s="2" t="s">
        <v>100</v>
      </c>
      <c r="S2130" s="2" t="s">
        <v>7383</v>
      </c>
      <c r="T2130" s="2" t="s">
        <v>100</v>
      </c>
      <c r="U2130" s="2" t="s">
        <v>100</v>
      </c>
      <c r="V2130" s="2" t="s">
        <v>4636</v>
      </c>
      <c r="W2130" s="2" t="s">
        <v>142</v>
      </c>
      <c r="X2130" s="2" t="s">
        <v>100</v>
      </c>
      <c r="Y2130" s="2" t="s">
        <v>144</v>
      </c>
      <c r="Z2130" s="4">
        <v>257</v>
      </c>
      <c r="AA2130" s="4">
        <f>=ROUNDDOWN(28.5555555555556,0)</f>
      </c>
      <c r="AB2130" s="5">
        <v>9</v>
      </c>
      <c r="AC2130" s="2" t="s">
        <v>3271</v>
      </c>
      <c r="AD2130" s="4">
        <v>30</v>
      </c>
      <c r="AE2130" s="4">
        <v>195</v>
      </c>
      <c r="AF2130" s="6">
        <v>74</v>
      </c>
      <c r="AG2130" s="6">
        <v>60</v>
      </c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/>
      <c r="AW2130" s="8"/>
      <c r="AX2130" s="4"/>
      <c r="AY2130" s="8"/>
      <c r="AZ2130" s="7"/>
      <c r="BA2130" s="7"/>
      <c r="BB2130" s="7"/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/>
      <c r="BJ2130" s="4">
        <v>36</v>
      </c>
      <c r="BK2130" s="8">
        <v>6522.99</v>
      </c>
      <c r="BL2130" s="2" t="s">
        <v>7384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2526</v>
      </c>
      <c r="BV2130" s="2" t="s">
        <v>97</v>
      </c>
      <c r="BW2130" s="2" t="s">
        <v>100</v>
      </c>
      <c r="BX2130" s="2" t="s">
        <v>100</v>
      </c>
      <c r="BY2130" s="2" t="s">
        <v>112</v>
      </c>
      <c r="BZ2130" s="2" t="s">
        <v>100</v>
      </c>
    </row>
    <row r="2131">
      <c r="A2131" s="2" t="s">
        <v>7385</v>
      </c>
      <c r="B2131" s="2" t="s">
        <v>6747</v>
      </c>
      <c r="C2131" s="2" t="s">
        <v>88</v>
      </c>
      <c r="D2131" s="2" t="s">
        <v>6789</v>
      </c>
      <c r="E2131" s="2" t="s">
        <v>6800</v>
      </c>
      <c r="F2131" s="2" t="s">
        <v>7370</v>
      </c>
      <c r="G2131" s="2" t="s">
        <v>7371</v>
      </c>
      <c r="H2131" s="2" t="s">
        <v>7372</v>
      </c>
      <c r="I2131" s="2" t="s">
        <v>7373</v>
      </c>
      <c r="J2131" s="2" t="s">
        <v>3385</v>
      </c>
      <c r="K2131" s="2" t="s">
        <v>7359</v>
      </c>
      <c r="L2131" s="3">
        <v>182.75</v>
      </c>
      <c r="M2131" s="3">
        <v>191.89</v>
      </c>
      <c r="N2131" s="3">
        <v>379</v>
      </c>
      <c r="O2131" s="2" t="s">
        <v>97</v>
      </c>
      <c r="P2131" s="2" t="s">
        <v>98</v>
      </c>
      <c r="Q2131" s="2" t="s">
        <v>99</v>
      </c>
      <c r="R2131" s="2" t="s">
        <v>100</v>
      </c>
      <c r="S2131" s="2" t="s">
        <v>100</v>
      </c>
      <c r="T2131" s="2" t="s">
        <v>100</v>
      </c>
      <c r="U2131" s="2" t="s">
        <v>100</v>
      </c>
      <c r="V2131" s="2" t="s">
        <v>461</v>
      </c>
      <c r="W2131" s="2" t="s">
        <v>142</v>
      </c>
      <c r="X2131" s="2" t="s">
        <v>100</v>
      </c>
      <c r="Y2131" s="2" t="s">
        <v>957</v>
      </c>
      <c r="Z2131" s="4">
        <v>62</v>
      </c>
      <c r="AA2131" s="4">
        <f>=ROUNDDOWN(12.4,0)</f>
      </c>
      <c r="AB2131" s="5">
        <v>5</v>
      </c>
      <c r="AC2131" s="2" t="s">
        <v>1468</v>
      </c>
      <c r="AD2131" s="4">
        <v>87</v>
      </c>
      <c r="AE2131" s="4">
        <v>180</v>
      </c>
      <c r="AF2131" s="6">
        <v>74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/>
      <c r="AW2131" s="8"/>
      <c r="AX2131" s="4"/>
      <c r="AY2131" s="8"/>
      <c r="AZ2131" s="7"/>
      <c r="BA2131" s="7"/>
      <c r="BB2131" s="7"/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/>
      <c r="BJ2131" s="4">
        <v>21</v>
      </c>
      <c r="BK2131" s="8">
        <v>4133.49</v>
      </c>
      <c r="BL2131" s="2" t="s">
        <v>2742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2526</v>
      </c>
      <c r="BV2131" s="2" t="s">
        <v>97</v>
      </c>
      <c r="BW2131" s="2" t="s">
        <v>100</v>
      </c>
      <c r="BX2131" s="2" t="s">
        <v>100</v>
      </c>
      <c r="BY2131" s="2" t="s">
        <v>112</v>
      </c>
      <c r="BZ2131" s="2" t="s">
        <v>100</v>
      </c>
    </row>
    <row r="2132">
      <c r="A2132" s="2" t="s">
        <v>7386</v>
      </c>
      <c r="B2132" s="2" t="s">
        <v>6747</v>
      </c>
      <c r="C2132" s="2" t="s">
        <v>88</v>
      </c>
      <c r="D2132" s="2" t="s">
        <v>6789</v>
      </c>
      <c r="E2132" s="2" t="s">
        <v>6800</v>
      </c>
      <c r="F2132" s="2" t="s">
        <v>7387</v>
      </c>
      <c r="G2132" s="2" t="s">
        <v>7388</v>
      </c>
      <c r="H2132" s="2" t="s">
        <v>7389</v>
      </c>
      <c r="I2132" s="2" t="s">
        <v>6834</v>
      </c>
      <c r="J2132" s="2" t="s">
        <v>3385</v>
      </c>
      <c r="K2132" s="2" t="s">
        <v>7390</v>
      </c>
      <c r="L2132" s="3">
        <v>180.5</v>
      </c>
      <c r="M2132" s="3">
        <v>189.52</v>
      </c>
      <c r="N2132" s="3">
        <v>379</v>
      </c>
      <c r="O2132" s="2" t="s">
        <v>97</v>
      </c>
      <c r="P2132" s="2" t="s">
        <v>98</v>
      </c>
      <c r="Q2132" s="2" t="s">
        <v>99</v>
      </c>
      <c r="R2132" s="2" t="s">
        <v>100</v>
      </c>
      <c r="S2132" s="2" t="s">
        <v>7391</v>
      </c>
      <c r="T2132" s="2" t="s">
        <v>100</v>
      </c>
      <c r="U2132" s="2" t="s">
        <v>100</v>
      </c>
      <c r="V2132" s="2" t="s">
        <v>4636</v>
      </c>
      <c r="W2132" s="2" t="s">
        <v>104</v>
      </c>
      <c r="X2132" s="2" t="s">
        <v>100</v>
      </c>
      <c r="Y2132" s="2" t="s">
        <v>144</v>
      </c>
      <c r="Z2132" s="4">
        <v>73</v>
      </c>
      <c r="AA2132" s="4">
        <f>=ROUNDDOWN(17.3809523809524,0)</f>
      </c>
      <c r="AB2132" s="5">
        <v>4.2</v>
      </c>
      <c r="AC2132" s="2" t="s">
        <v>2709</v>
      </c>
      <c r="AD2132" s="4">
        <v>60</v>
      </c>
      <c r="AE2132" s="4">
        <v>260</v>
      </c>
      <c r="AF2132" s="6">
        <v>65</v>
      </c>
      <c r="AG2132" s="6">
        <v>48</v>
      </c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/>
      <c r="AW2132" s="8"/>
      <c r="AX2132" s="4"/>
      <c r="AY2132" s="8"/>
      <c r="AZ2132" s="7"/>
      <c r="BA2132" s="7"/>
      <c r="BB2132" s="7"/>
      <c r="BC2132" s="4"/>
      <c r="BD2132" s="8"/>
      <c r="BE2132" s="4"/>
      <c r="BF2132" s="8"/>
      <c r="BG2132" s="7"/>
      <c r="BH2132" s="7"/>
      <c r="BI2132" s="7"/>
      <c r="BJ2132" s="4">
        <v>16</v>
      </c>
      <c r="BK2132" s="8">
        <v>2874.58</v>
      </c>
      <c r="BL2132" s="2" t="s">
        <v>7392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171</v>
      </c>
      <c r="BV2132" s="2" t="s">
        <v>97</v>
      </c>
      <c r="BW2132" s="2" t="s">
        <v>100</v>
      </c>
      <c r="BX2132" s="2" t="s">
        <v>100</v>
      </c>
      <c r="BY2132" s="2" t="s">
        <v>112</v>
      </c>
      <c r="BZ2132" s="2" t="s">
        <v>100</v>
      </c>
    </row>
    <row r="2133">
      <c r="A2133" s="2" t="s">
        <v>7393</v>
      </c>
      <c r="B2133" s="2" t="s">
        <v>6747</v>
      </c>
      <c r="C2133" s="2" t="s">
        <v>88</v>
      </c>
      <c r="D2133" s="2" t="s">
        <v>6789</v>
      </c>
      <c r="E2133" s="2" t="s">
        <v>6800</v>
      </c>
      <c r="F2133" s="2" t="s">
        <v>7394</v>
      </c>
      <c r="G2133" s="2" t="s">
        <v>7395</v>
      </c>
      <c r="H2133" s="2" t="s">
        <v>7396</v>
      </c>
      <c r="I2133" s="2" t="s">
        <v>7366</v>
      </c>
      <c r="J2133" s="2" t="s">
        <v>3385</v>
      </c>
      <c r="K2133" s="2" t="s">
        <v>179</v>
      </c>
      <c r="L2133" s="3">
        <v>204.25</v>
      </c>
      <c r="M2133" s="3">
        <v>214.46</v>
      </c>
      <c r="N2133" s="3">
        <v>429</v>
      </c>
      <c r="O2133" s="2" t="s">
        <v>97</v>
      </c>
      <c r="P2133" s="2" t="s">
        <v>98</v>
      </c>
      <c r="Q2133" s="2" t="s">
        <v>99</v>
      </c>
      <c r="R2133" s="2" t="s">
        <v>100</v>
      </c>
      <c r="S2133" s="2" t="s">
        <v>7397</v>
      </c>
      <c r="T2133" s="2" t="s">
        <v>100</v>
      </c>
      <c r="U2133" s="2" t="s">
        <v>100</v>
      </c>
      <c r="V2133" s="2" t="s">
        <v>461</v>
      </c>
      <c r="W2133" s="2" t="s">
        <v>493</v>
      </c>
      <c r="X2133" s="2" t="s">
        <v>100</v>
      </c>
      <c r="Y2133" s="2" t="s">
        <v>144</v>
      </c>
      <c r="Z2133" s="4">
        <v>45</v>
      </c>
      <c r="AA2133" s="4">
        <f>=ROUNDDOWN(11.25,0)</f>
      </c>
      <c r="AB2133" s="5">
        <v>4</v>
      </c>
      <c r="AC2133" s="2" t="s">
        <v>312</v>
      </c>
      <c r="AD2133" s="4">
        <v>96</v>
      </c>
      <c r="AE2133" s="4">
        <v>96</v>
      </c>
      <c r="AF2133" s="6">
        <v>66</v>
      </c>
      <c r="AG2133" s="6">
        <v>49</v>
      </c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/>
      <c r="AW2133" s="8"/>
      <c r="AX2133" s="4"/>
      <c r="AY2133" s="8"/>
      <c r="AZ2133" s="7"/>
      <c r="BA2133" s="7"/>
      <c r="BB2133" s="7"/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/>
      <c r="BJ2133" s="4">
        <v>12</v>
      </c>
      <c r="BK2133" s="8">
        <v>2326.08</v>
      </c>
      <c r="BL2133" s="2" t="s">
        <v>7398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2526</v>
      </c>
      <c r="BV2133" s="2" t="s">
        <v>97</v>
      </c>
      <c r="BW2133" s="2" t="s">
        <v>100</v>
      </c>
      <c r="BX2133" s="2" t="s">
        <v>100</v>
      </c>
      <c r="BY2133" s="2" t="s">
        <v>112</v>
      </c>
      <c r="BZ2133" s="2" t="s">
        <v>100</v>
      </c>
    </row>
    <row r="2134">
      <c r="A2134" s="2" t="s">
        <v>7399</v>
      </c>
      <c r="B2134" s="2" t="s">
        <v>6747</v>
      </c>
      <c r="C2134" s="2" t="s">
        <v>88</v>
      </c>
      <c r="D2134" s="2" t="s">
        <v>6789</v>
      </c>
      <c r="E2134" s="2" t="s">
        <v>6800</v>
      </c>
      <c r="F2134" s="2" t="s">
        <v>7394</v>
      </c>
      <c r="G2134" s="2" t="s">
        <v>7395</v>
      </c>
      <c r="H2134" s="2" t="s">
        <v>7396</v>
      </c>
      <c r="I2134" s="2" t="s">
        <v>7366</v>
      </c>
      <c r="J2134" s="2" t="s">
        <v>3385</v>
      </c>
      <c r="K2134" s="2" t="s">
        <v>987</v>
      </c>
      <c r="L2134" s="3">
        <v>204.25</v>
      </c>
      <c r="M2134" s="3">
        <v>214.46</v>
      </c>
      <c r="N2134" s="3">
        <v>429</v>
      </c>
      <c r="O2134" s="2" t="s">
        <v>97</v>
      </c>
      <c r="P2134" s="2" t="s">
        <v>98</v>
      </c>
      <c r="Q2134" s="2" t="s">
        <v>99</v>
      </c>
      <c r="R2134" s="2" t="s">
        <v>100</v>
      </c>
      <c r="S2134" s="2" t="s">
        <v>7400</v>
      </c>
      <c r="T2134" s="2" t="s">
        <v>100</v>
      </c>
      <c r="U2134" s="2" t="s">
        <v>100</v>
      </c>
      <c r="V2134" s="2" t="s">
        <v>461</v>
      </c>
      <c r="W2134" s="2" t="s">
        <v>493</v>
      </c>
      <c r="X2134" s="2" t="s">
        <v>100</v>
      </c>
      <c r="Y2134" s="2" t="s">
        <v>144</v>
      </c>
      <c r="Z2134" s="4">
        <v>89</v>
      </c>
      <c r="AA2134" s="4">
        <f>=ROUNDDOWN(29.6666666666667,0)</f>
      </c>
      <c r="AB2134" s="5">
        <v>3</v>
      </c>
      <c r="AC2134" s="2" t="s">
        <v>1468</v>
      </c>
      <c r="AD2134" s="4">
        <v>100</v>
      </c>
      <c r="AE2134" s="4">
        <v>100</v>
      </c>
      <c r="AF2134" s="6">
        <v>66</v>
      </c>
      <c r="AG2134" s="6"/>
      <c r="AH2134" s="7">
        <v>0.871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/>
      <c r="AW2134" s="8"/>
      <c r="AX2134" s="4"/>
      <c r="AY2134" s="8"/>
      <c r="AZ2134" s="7"/>
      <c r="BA2134" s="7"/>
      <c r="BB2134" s="7"/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/>
      <c r="BJ2134" s="4">
        <v>6</v>
      </c>
      <c r="BK2134" s="8">
        <v>1215.8</v>
      </c>
      <c r="BL2134" s="2" t="s">
        <v>7401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2526</v>
      </c>
      <c r="BV2134" s="2" t="s">
        <v>97</v>
      </c>
      <c r="BW2134" s="2" t="s">
        <v>100</v>
      </c>
      <c r="BX2134" s="2" t="s">
        <v>100</v>
      </c>
      <c r="BY2134" s="2" t="s">
        <v>112</v>
      </c>
      <c r="BZ2134" s="2" t="s">
        <v>100</v>
      </c>
    </row>
    <row r="2135">
      <c r="A2135" s="2" t="s">
        <v>7402</v>
      </c>
      <c r="B2135" s="2" t="s">
        <v>6747</v>
      </c>
      <c r="C2135" s="2" t="s">
        <v>88</v>
      </c>
      <c r="D2135" s="2" t="s">
        <v>6789</v>
      </c>
      <c r="E2135" s="2" t="s">
        <v>6800</v>
      </c>
      <c r="F2135" s="2" t="s">
        <v>7394</v>
      </c>
      <c r="G2135" s="2" t="s">
        <v>7395</v>
      </c>
      <c r="H2135" s="2" t="s">
        <v>7396</v>
      </c>
      <c r="I2135" s="2" t="s">
        <v>7366</v>
      </c>
      <c r="J2135" s="2" t="s">
        <v>3385</v>
      </c>
      <c r="K2135" s="2" t="s">
        <v>2548</v>
      </c>
      <c r="L2135" s="3">
        <v>204.25</v>
      </c>
      <c r="M2135" s="3">
        <v>214.46</v>
      </c>
      <c r="N2135" s="3">
        <v>429</v>
      </c>
      <c r="O2135" s="2" t="s">
        <v>97</v>
      </c>
      <c r="P2135" s="2" t="s">
        <v>98</v>
      </c>
      <c r="Q2135" s="2" t="s">
        <v>99</v>
      </c>
      <c r="R2135" s="2" t="s">
        <v>100</v>
      </c>
      <c r="S2135" s="2" t="s">
        <v>7403</v>
      </c>
      <c r="T2135" s="2" t="s">
        <v>100</v>
      </c>
      <c r="U2135" s="2" t="s">
        <v>100</v>
      </c>
      <c r="V2135" s="2" t="s">
        <v>461</v>
      </c>
      <c r="W2135" s="2" t="s">
        <v>493</v>
      </c>
      <c r="X2135" s="2" t="s">
        <v>100</v>
      </c>
      <c r="Y2135" s="2" t="s">
        <v>144</v>
      </c>
      <c r="Z2135" s="4">
        <v>143</v>
      </c>
      <c r="AA2135" s="4">
        <f>=ROUNDDOWN(27.5,0)</f>
      </c>
      <c r="AB2135" s="5">
        <v>5.2</v>
      </c>
      <c r="AC2135" s="2" t="s">
        <v>875</v>
      </c>
      <c r="AD2135" s="4">
        <v>69</v>
      </c>
      <c r="AE2135" s="4">
        <v>69</v>
      </c>
      <c r="AF2135" s="6">
        <v>66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/>
      <c r="AW2135" s="8"/>
      <c r="AX2135" s="4"/>
      <c r="AY2135" s="8"/>
      <c r="AZ2135" s="7"/>
      <c r="BA2135" s="7"/>
      <c r="BB2135" s="7"/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/>
      <c r="BJ2135" s="4">
        <v>15</v>
      </c>
      <c r="BK2135" s="8">
        <v>2912.77</v>
      </c>
      <c r="BL2135" s="2" t="s">
        <v>7404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2526</v>
      </c>
      <c r="BV2135" s="2" t="s">
        <v>97</v>
      </c>
      <c r="BW2135" s="2" t="s">
        <v>100</v>
      </c>
      <c r="BX2135" s="2" t="s">
        <v>100</v>
      </c>
      <c r="BY2135" s="2" t="s">
        <v>112</v>
      </c>
      <c r="BZ2135" s="2" t="s">
        <v>100</v>
      </c>
    </row>
    <row r="2136">
      <c r="A2136" s="2" t="s">
        <v>7405</v>
      </c>
      <c r="B2136" s="2" t="s">
        <v>6747</v>
      </c>
      <c r="C2136" s="2" t="s">
        <v>88</v>
      </c>
      <c r="D2136" s="2" t="s">
        <v>6789</v>
      </c>
      <c r="E2136" s="2" t="s">
        <v>6800</v>
      </c>
      <c r="F2136" s="2" t="s">
        <v>7394</v>
      </c>
      <c r="G2136" s="2" t="s">
        <v>7395</v>
      </c>
      <c r="H2136" s="2" t="s">
        <v>7396</v>
      </c>
      <c r="I2136" s="2" t="s">
        <v>7366</v>
      </c>
      <c r="J2136" s="2" t="s">
        <v>3385</v>
      </c>
      <c r="K2136" s="2" t="s">
        <v>673</v>
      </c>
      <c r="L2136" s="3">
        <v>204.25</v>
      </c>
      <c r="M2136" s="3">
        <v>214.46</v>
      </c>
      <c r="N2136" s="3">
        <v>429</v>
      </c>
      <c r="O2136" s="2" t="s">
        <v>97</v>
      </c>
      <c r="P2136" s="2" t="s">
        <v>707</v>
      </c>
      <c r="Q2136" s="2" t="s">
        <v>99</v>
      </c>
      <c r="R2136" s="2" t="s">
        <v>100</v>
      </c>
      <c r="S2136" s="2" t="s">
        <v>7406</v>
      </c>
      <c r="T2136" s="2" t="s">
        <v>100</v>
      </c>
      <c r="U2136" s="2" t="s">
        <v>100</v>
      </c>
      <c r="V2136" s="2" t="s">
        <v>461</v>
      </c>
      <c r="W2136" s="2" t="s">
        <v>493</v>
      </c>
      <c r="X2136" s="2" t="s">
        <v>100</v>
      </c>
      <c r="Y2136" s="2" t="s">
        <v>144</v>
      </c>
      <c r="Z2136" s="4">
        <v>35</v>
      </c>
      <c r="AA2136" s="4">
        <f>=ROUNDDOWN(11.6666666666667,0)</f>
      </c>
      <c r="AB2136" s="5">
        <v>3</v>
      </c>
      <c r="AC2136" s="2" t="s">
        <v>201</v>
      </c>
      <c r="AD2136" s="4">
        <v>100</v>
      </c>
      <c r="AE2136" s="4">
        <v>100</v>
      </c>
      <c r="AF2136" s="6">
        <v>66</v>
      </c>
      <c r="AG2136" s="6">
        <v>49</v>
      </c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/>
      <c r="AW2136" s="8"/>
      <c r="AX2136" s="4"/>
      <c r="AY2136" s="8"/>
      <c r="AZ2136" s="7"/>
      <c r="BA2136" s="7"/>
      <c r="BB2136" s="7"/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/>
      <c r="BJ2136" s="4">
        <v>7</v>
      </c>
      <c r="BK2136" s="8">
        <v>1457.65</v>
      </c>
      <c r="BL2136" s="2" t="s">
        <v>6821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2526</v>
      </c>
      <c r="BV2136" s="2" t="s">
        <v>97</v>
      </c>
      <c r="BW2136" s="2" t="s">
        <v>100</v>
      </c>
      <c r="BX2136" s="2" t="s">
        <v>100</v>
      </c>
      <c r="BY2136" s="2" t="s">
        <v>112</v>
      </c>
      <c r="BZ2136" s="2" t="s">
        <v>100</v>
      </c>
    </row>
    <row r="2137">
      <c r="A2137" s="2" t="s">
        <v>7407</v>
      </c>
      <c r="B2137" s="2" t="s">
        <v>6747</v>
      </c>
      <c r="C2137" s="2" t="s">
        <v>88</v>
      </c>
      <c r="D2137" s="2" t="s">
        <v>6789</v>
      </c>
      <c r="E2137" s="2" t="s">
        <v>6800</v>
      </c>
      <c r="F2137" s="2" t="s">
        <v>7394</v>
      </c>
      <c r="G2137" s="2" t="s">
        <v>7395</v>
      </c>
      <c r="H2137" s="2" t="s">
        <v>7396</v>
      </c>
      <c r="I2137" s="2" t="s">
        <v>7366</v>
      </c>
      <c r="J2137" s="2" t="s">
        <v>3385</v>
      </c>
      <c r="K2137" s="2" t="s">
        <v>626</v>
      </c>
      <c r="L2137" s="3">
        <v>204.25</v>
      </c>
      <c r="M2137" s="3">
        <v>214.46</v>
      </c>
      <c r="N2137" s="3">
        <v>429</v>
      </c>
      <c r="O2137" s="2" t="s">
        <v>97</v>
      </c>
      <c r="P2137" s="2" t="s">
        <v>707</v>
      </c>
      <c r="Q2137" s="2" t="s">
        <v>99</v>
      </c>
      <c r="R2137" s="2" t="s">
        <v>100</v>
      </c>
      <c r="S2137" s="2" t="s">
        <v>7408</v>
      </c>
      <c r="T2137" s="2" t="s">
        <v>100</v>
      </c>
      <c r="U2137" s="2" t="s">
        <v>100</v>
      </c>
      <c r="V2137" s="2" t="s">
        <v>4636</v>
      </c>
      <c r="W2137" s="2" t="s">
        <v>493</v>
      </c>
      <c r="X2137" s="2" t="s">
        <v>100</v>
      </c>
      <c r="Y2137" s="2" t="s">
        <v>144</v>
      </c>
      <c r="Z2137" s="4">
        <v>142</v>
      </c>
      <c r="AA2137" s="4">
        <f>=ROUNDDOWN(47.3333333333333,0)</f>
      </c>
      <c r="AB2137" s="5">
        <v>3</v>
      </c>
      <c r="AC2137" s="2" t="s">
        <v>100</v>
      </c>
      <c r="AD2137" s="4"/>
      <c r="AE2137" s="4"/>
      <c r="AF2137" s="6">
        <v>66</v>
      </c>
      <c r="AG2137" s="6">
        <v>49</v>
      </c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/>
      <c r="AW2137" s="8"/>
      <c r="AX2137" s="4"/>
      <c r="AY2137" s="8"/>
      <c r="AZ2137" s="7"/>
      <c r="BA2137" s="7"/>
      <c r="BB2137" s="7"/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/>
      <c r="BJ2137" s="4">
        <v>13</v>
      </c>
      <c r="BK2137" s="8">
        <v>2394.46</v>
      </c>
      <c r="BL2137" s="2" t="s">
        <v>7409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2526</v>
      </c>
      <c r="BV2137" s="2" t="s">
        <v>97</v>
      </c>
      <c r="BW2137" s="2" t="s">
        <v>100</v>
      </c>
      <c r="BX2137" s="2" t="s">
        <v>100</v>
      </c>
      <c r="BY2137" s="2" t="s">
        <v>112</v>
      </c>
      <c r="BZ2137" s="2" t="s">
        <v>100</v>
      </c>
    </row>
    <row r="2138">
      <c r="A2138" s="2" t="s">
        <v>7410</v>
      </c>
      <c r="B2138" s="2" t="s">
        <v>6747</v>
      </c>
      <c r="C2138" s="2" t="s">
        <v>88</v>
      </c>
      <c r="D2138" s="2" t="s">
        <v>6789</v>
      </c>
      <c r="E2138" s="2" t="s">
        <v>6800</v>
      </c>
      <c r="F2138" s="2" t="s">
        <v>7411</v>
      </c>
      <c r="G2138" s="2" t="s">
        <v>7412</v>
      </c>
      <c r="H2138" s="2" t="s">
        <v>7413</v>
      </c>
      <c r="I2138" s="2" t="s">
        <v>6790</v>
      </c>
      <c r="J2138" s="2" t="s">
        <v>3385</v>
      </c>
      <c r="K2138" s="2" t="s">
        <v>96</v>
      </c>
      <c r="L2138" s="3">
        <v>276</v>
      </c>
      <c r="M2138" s="3">
        <v>289.8</v>
      </c>
      <c r="N2138" s="3">
        <v>579</v>
      </c>
      <c r="O2138" s="2" t="s">
        <v>97</v>
      </c>
      <c r="P2138" s="2" t="s">
        <v>707</v>
      </c>
      <c r="Q2138" s="2" t="s">
        <v>99</v>
      </c>
      <c r="R2138" s="2" t="s">
        <v>100</v>
      </c>
      <c r="S2138" s="2" t="s">
        <v>7414</v>
      </c>
      <c r="T2138" s="2" t="s">
        <v>100</v>
      </c>
      <c r="U2138" s="2" t="s">
        <v>1776</v>
      </c>
      <c r="V2138" s="2" t="s">
        <v>461</v>
      </c>
      <c r="W2138" s="2" t="s">
        <v>142</v>
      </c>
      <c r="X2138" s="2" t="s">
        <v>100</v>
      </c>
      <c r="Y2138" s="2" t="s">
        <v>5032</v>
      </c>
      <c r="Z2138" s="4">
        <v>78</v>
      </c>
      <c r="AA2138" s="4">
        <f>=ROUNDDOWN(19.5,0)</f>
      </c>
      <c r="AB2138" s="5">
        <v>4</v>
      </c>
      <c r="AC2138" s="2" t="s">
        <v>676</v>
      </c>
      <c r="AD2138" s="4">
        <v>100</v>
      </c>
      <c r="AE2138" s="4">
        <v>100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/>
      <c r="AW2138" s="8"/>
      <c r="AX2138" s="4"/>
      <c r="AY2138" s="8"/>
      <c r="AZ2138" s="7"/>
      <c r="BA2138" s="7"/>
      <c r="BB2138" s="7"/>
      <c r="BC2138" s="4"/>
      <c r="BD2138" s="8"/>
      <c r="BE2138" s="4"/>
      <c r="BF2138" s="8"/>
      <c r="BG2138" s="7"/>
      <c r="BH2138" s="7"/>
      <c r="BI2138" s="7"/>
      <c r="BJ2138" s="4">
        <v>8</v>
      </c>
      <c r="BK2138" s="8">
        <v>2258.59</v>
      </c>
      <c r="BL2138" s="2" t="s">
        <v>2619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2526</v>
      </c>
      <c r="BV2138" s="2" t="s">
        <v>97</v>
      </c>
      <c r="BW2138" s="2" t="s">
        <v>100</v>
      </c>
      <c r="BX2138" s="2" t="s">
        <v>100</v>
      </c>
      <c r="BY2138" s="2" t="s">
        <v>112</v>
      </c>
      <c r="BZ2138" s="2" t="s">
        <v>100</v>
      </c>
    </row>
    <row r="2139">
      <c r="A2139" s="2" t="s">
        <v>7415</v>
      </c>
      <c r="B2139" s="2" t="s">
        <v>6747</v>
      </c>
      <c r="C2139" s="2" t="s">
        <v>88</v>
      </c>
      <c r="D2139" s="2" t="s">
        <v>6789</v>
      </c>
      <c r="E2139" s="2" t="s">
        <v>6800</v>
      </c>
      <c r="F2139" s="2" t="s">
        <v>7416</v>
      </c>
      <c r="G2139" s="2" t="s">
        <v>7417</v>
      </c>
      <c r="H2139" s="2" t="s">
        <v>1683</v>
      </c>
      <c r="I2139" s="2" t="s">
        <v>7418</v>
      </c>
      <c r="J2139" s="2" t="s">
        <v>3385</v>
      </c>
      <c r="K2139" s="2" t="s">
        <v>3876</v>
      </c>
      <c r="L2139" s="3">
        <v>171</v>
      </c>
      <c r="M2139" s="3">
        <v>179.55</v>
      </c>
      <c r="N2139" s="3">
        <v>359</v>
      </c>
      <c r="O2139" s="2" t="s">
        <v>97</v>
      </c>
      <c r="P2139" s="2" t="s">
        <v>98</v>
      </c>
      <c r="Q2139" s="2" t="s">
        <v>99</v>
      </c>
      <c r="R2139" s="2" t="s">
        <v>100</v>
      </c>
      <c r="S2139" s="2" t="s">
        <v>7419</v>
      </c>
      <c r="T2139" s="2" t="s">
        <v>100</v>
      </c>
      <c r="U2139" s="2" t="s">
        <v>100</v>
      </c>
      <c r="V2139" s="2" t="s">
        <v>461</v>
      </c>
      <c r="W2139" s="2" t="s">
        <v>142</v>
      </c>
      <c r="X2139" s="2" t="s">
        <v>100</v>
      </c>
      <c r="Y2139" s="2" t="s">
        <v>7420</v>
      </c>
      <c r="Z2139" s="4">
        <v>92</v>
      </c>
      <c r="AA2139" s="4">
        <f>=ROUNDDOWN(13.1428571428571,0)</f>
      </c>
      <c r="AB2139" s="5">
        <v>7</v>
      </c>
      <c r="AC2139" s="2" t="s">
        <v>2772</v>
      </c>
      <c r="AD2139" s="4">
        <v>100</v>
      </c>
      <c r="AE2139" s="4">
        <v>200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/>
      <c r="AW2139" s="8"/>
      <c r="AX2139" s="4"/>
      <c r="AY2139" s="8"/>
      <c r="AZ2139" s="7"/>
      <c r="BA2139" s="7"/>
      <c r="BB2139" s="7"/>
      <c r="BC2139" s="4"/>
      <c r="BD2139" s="8"/>
      <c r="BE2139" s="4"/>
      <c r="BF2139" s="8"/>
      <c r="BG2139" s="7"/>
      <c r="BH2139" s="7"/>
      <c r="BI2139" s="7"/>
      <c r="BJ2139" s="4">
        <v>40</v>
      </c>
      <c r="BK2139" s="8">
        <v>6995.07</v>
      </c>
      <c r="BL2139" s="2" t="s">
        <v>7421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2526</v>
      </c>
      <c r="BV2139" s="2" t="s">
        <v>97</v>
      </c>
      <c r="BW2139" s="2" t="s">
        <v>100</v>
      </c>
      <c r="BX2139" s="2" t="s">
        <v>100</v>
      </c>
      <c r="BY2139" s="2" t="s">
        <v>112</v>
      </c>
      <c r="BZ2139" s="2" t="s">
        <v>100</v>
      </c>
    </row>
    <row r="2140">
      <c r="A2140" s="2" t="s">
        <v>7422</v>
      </c>
      <c r="B2140" s="2" t="s">
        <v>6747</v>
      </c>
      <c r="C2140" s="2" t="s">
        <v>88</v>
      </c>
      <c r="D2140" s="2" t="s">
        <v>6789</v>
      </c>
      <c r="E2140" s="2" t="s">
        <v>6800</v>
      </c>
      <c r="F2140" s="2" t="s">
        <v>7423</v>
      </c>
      <c r="G2140" s="2" t="s">
        <v>7424</v>
      </c>
      <c r="H2140" s="2" t="s">
        <v>7425</v>
      </c>
      <c r="I2140" s="2" t="s">
        <v>7426</v>
      </c>
      <c r="J2140" s="2" t="s">
        <v>3385</v>
      </c>
      <c r="K2140" s="2" t="s">
        <v>96</v>
      </c>
      <c r="L2140" s="3">
        <v>162.45</v>
      </c>
      <c r="M2140" s="3">
        <v>170.57</v>
      </c>
      <c r="N2140" s="3">
        <v>339</v>
      </c>
      <c r="O2140" s="2" t="s">
        <v>97</v>
      </c>
      <c r="P2140" s="2" t="s">
        <v>98</v>
      </c>
      <c r="Q2140" s="2" t="s">
        <v>99</v>
      </c>
      <c r="R2140" s="2" t="s">
        <v>100</v>
      </c>
      <c r="S2140" s="2" t="s">
        <v>7427</v>
      </c>
      <c r="T2140" s="2" t="s">
        <v>100</v>
      </c>
      <c r="U2140" s="2" t="s">
        <v>100</v>
      </c>
      <c r="V2140" s="2" t="s">
        <v>4636</v>
      </c>
      <c r="W2140" s="2" t="s">
        <v>493</v>
      </c>
      <c r="X2140" s="2" t="s">
        <v>100</v>
      </c>
      <c r="Y2140" s="2" t="s">
        <v>144</v>
      </c>
      <c r="Z2140" s="4">
        <v>45</v>
      </c>
      <c r="AA2140" s="4">
        <f>=ROUNDDOWN(5.625,0)</f>
      </c>
      <c r="AB2140" s="5">
        <v>8</v>
      </c>
      <c r="AC2140" s="2" t="s">
        <v>2581</v>
      </c>
      <c r="AD2140" s="4">
        <v>58</v>
      </c>
      <c r="AE2140" s="4">
        <v>262</v>
      </c>
      <c r="AF2140" s="6">
        <v>74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/>
      <c r="AW2140" s="8"/>
      <c r="AX2140" s="4"/>
      <c r="AY2140" s="8"/>
      <c r="AZ2140" s="7"/>
      <c r="BA2140" s="7"/>
      <c r="BB2140" s="7"/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/>
      <c r="BJ2140" s="4">
        <v>16</v>
      </c>
      <c r="BK2140" s="8">
        <v>2770.91</v>
      </c>
      <c r="BL2140" s="2" t="s">
        <v>7428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2526</v>
      </c>
      <c r="BV2140" s="2" t="s">
        <v>97</v>
      </c>
      <c r="BW2140" s="2" t="s">
        <v>100</v>
      </c>
      <c r="BX2140" s="2" t="s">
        <v>100</v>
      </c>
      <c r="BY2140" s="2" t="s">
        <v>112</v>
      </c>
      <c r="BZ2140" s="2" t="s">
        <v>100</v>
      </c>
    </row>
    <row r="2141">
      <c r="A2141" s="2" t="s">
        <v>7429</v>
      </c>
      <c r="B2141" s="2" t="s">
        <v>6747</v>
      </c>
      <c r="C2141" s="2" t="s">
        <v>88</v>
      </c>
      <c r="D2141" s="2" t="s">
        <v>6789</v>
      </c>
      <c r="E2141" s="2" t="s">
        <v>6800</v>
      </c>
      <c r="F2141" s="2" t="s">
        <v>7423</v>
      </c>
      <c r="G2141" s="2" t="s">
        <v>7424</v>
      </c>
      <c r="H2141" s="2" t="s">
        <v>7425</v>
      </c>
      <c r="I2141" s="2" t="s">
        <v>7426</v>
      </c>
      <c r="J2141" s="2" t="s">
        <v>3385</v>
      </c>
      <c r="K2141" s="2" t="s">
        <v>446</v>
      </c>
      <c r="L2141" s="3">
        <v>162.45</v>
      </c>
      <c r="M2141" s="3">
        <v>170.57</v>
      </c>
      <c r="N2141" s="3">
        <v>339</v>
      </c>
      <c r="O2141" s="2" t="s">
        <v>97</v>
      </c>
      <c r="P2141" s="2" t="s">
        <v>98</v>
      </c>
      <c r="Q2141" s="2" t="s">
        <v>99</v>
      </c>
      <c r="R2141" s="2" t="s">
        <v>100</v>
      </c>
      <c r="S2141" s="2" t="s">
        <v>100</v>
      </c>
      <c r="T2141" s="2" t="s">
        <v>100</v>
      </c>
      <c r="U2141" s="2" t="s">
        <v>100</v>
      </c>
      <c r="V2141" s="2" t="s">
        <v>473</v>
      </c>
      <c r="W2141" s="2" t="s">
        <v>142</v>
      </c>
      <c r="X2141" s="2" t="s">
        <v>100</v>
      </c>
      <c r="Y2141" s="2" t="s">
        <v>4000</v>
      </c>
      <c r="Z2141" s="4">
        <v>1</v>
      </c>
      <c r="AA2141" s="4">
        <f>=ROUNDDOWN(0.125,0)</f>
      </c>
      <c r="AB2141" s="5">
        <v>8</v>
      </c>
      <c r="AC2141" s="2" t="s">
        <v>2581</v>
      </c>
      <c r="AD2141" s="4">
        <v>110</v>
      </c>
      <c r="AE2141" s="4">
        <v>310</v>
      </c>
      <c r="AF2141" s="6">
        <v>74</v>
      </c>
      <c r="AG2141" s="6"/>
      <c r="AH2141" s="7">
        <v>0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/>
      <c r="AW2141" s="8"/>
      <c r="AX2141" s="4"/>
      <c r="AY2141" s="8"/>
      <c r="AZ2141" s="7"/>
      <c r="BA2141" s="7"/>
      <c r="BB2141" s="7"/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/>
      <c r="BJ2141" s="4">
        <v>2</v>
      </c>
      <c r="BK2141" s="8">
        <v>341.14</v>
      </c>
      <c r="BL2141" s="2" t="s">
        <v>3477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2526</v>
      </c>
      <c r="BV2141" s="2" t="s">
        <v>97</v>
      </c>
      <c r="BW2141" s="2" t="s">
        <v>100</v>
      </c>
      <c r="BX2141" s="2" t="s">
        <v>100</v>
      </c>
      <c r="BY2141" s="2" t="s">
        <v>112</v>
      </c>
      <c r="BZ2141" s="2" t="s">
        <v>100</v>
      </c>
    </row>
    <row r="2142">
      <c r="A2142" s="2" t="s">
        <v>7430</v>
      </c>
      <c r="B2142" s="2" t="s">
        <v>6747</v>
      </c>
      <c r="C2142" s="2" t="s">
        <v>88</v>
      </c>
      <c r="D2142" s="2" t="s">
        <v>6789</v>
      </c>
      <c r="E2142" s="2" t="s">
        <v>6800</v>
      </c>
      <c r="F2142" s="2" t="s">
        <v>7423</v>
      </c>
      <c r="G2142" s="2" t="s">
        <v>7424</v>
      </c>
      <c r="H2142" s="2" t="s">
        <v>7425</v>
      </c>
      <c r="I2142" s="2" t="s">
        <v>7426</v>
      </c>
      <c r="J2142" s="2" t="s">
        <v>3385</v>
      </c>
      <c r="K2142" s="2" t="s">
        <v>223</v>
      </c>
      <c r="L2142" s="3">
        <v>162.45</v>
      </c>
      <c r="M2142" s="3">
        <v>170.57</v>
      </c>
      <c r="N2142" s="3">
        <v>339</v>
      </c>
      <c r="O2142" s="2" t="s">
        <v>97</v>
      </c>
      <c r="P2142" s="2" t="s">
        <v>98</v>
      </c>
      <c r="Q2142" s="2" t="s">
        <v>99</v>
      </c>
      <c r="R2142" s="2" t="s">
        <v>100</v>
      </c>
      <c r="S2142" s="2" t="s">
        <v>7431</v>
      </c>
      <c r="T2142" s="2" t="s">
        <v>100</v>
      </c>
      <c r="U2142" s="2" t="s">
        <v>100</v>
      </c>
      <c r="V2142" s="2" t="s">
        <v>4636</v>
      </c>
      <c r="W2142" s="2" t="s">
        <v>493</v>
      </c>
      <c r="X2142" s="2" t="s">
        <v>100</v>
      </c>
      <c r="Y2142" s="2" t="s">
        <v>144</v>
      </c>
      <c r="Z2142" s="4">
        <v>60</v>
      </c>
      <c r="AA2142" s="4">
        <f>=ROUNDDOWN(8.57142857142857,0)</f>
      </c>
      <c r="AB2142" s="5">
        <v>7</v>
      </c>
      <c r="AC2142" s="2" t="s">
        <v>550</v>
      </c>
      <c r="AD2142" s="4">
        <v>100</v>
      </c>
      <c r="AE2142" s="4">
        <v>268</v>
      </c>
      <c r="AF2142" s="6">
        <v>74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/>
      <c r="AW2142" s="8"/>
      <c r="AX2142" s="4"/>
      <c r="AY2142" s="8"/>
      <c r="AZ2142" s="7"/>
      <c r="BA2142" s="7"/>
      <c r="BB2142" s="7"/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/>
      <c r="BJ2142" s="4">
        <v>9</v>
      </c>
      <c r="BK2142" s="8">
        <v>1609.66</v>
      </c>
      <c r="BL2142" s="2" t="s">
        <v>7432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2526</v>
      </c>
      <c r="BV2142" s="2" t="s">
        <v>97</v>
      </c>
      <c r="BW2142" s="2" t="s">
        <v>100</v>
      </c>
      <c r="BX2142" s="2" t="s">
        <v>100</v>
      </c>
      <c r="BY2142" s="2" t="s">
        <v>112</v>
      </c>
      <c r="BZ2142" s="2" t="s">
        <v>100</v>
      </c>
    </row>
    <row r="2143">
      <c r="A2143" s="2" t="s">
        <v>7433</v>
      </c>
      <c r="B2143" s="2" t="s">
        <v>6747</v>
      </c>
      <c r="C2143" s="2" t="s">
        <v>88</v>
      </c>
      <c r="D2143" s="2" t="s">
        <v>6789</v>
      </c>
      <c r="E2143" s="2" t="s">
        <v>6800</v>
      </c>
      <c r="F2143" s="2" t="s">
        <v>7434</v>
      </c>
      <c r="G2143" s="2" t="s">
        <v>1890</v>
      </c>
      <c r="H2143" s="2" t="s">
        <v>7435</v>
      </c>
      <c r="I2143" s="2" t="s">
        <v>7436</v>
      </c>
      <c r="J2143" s="2" t="s">
        <v>3385</v>
      </c>
      <c r="K2143" s="2" t="s">
        <v>3876</v>
      </c>
      <c r="L2143" s="3">
        <v>180.5</v>
      </c>
      <c r="M2143" s="3">
        <v>189.52</v>
      </c>
      <c r="N2143" s="3">
        <v>379</v>
      </c>
      <c r="O2143" s="2" t="s">
        <v>97</v>
      </c>
      <c r="P2143" s="2" t="s">
        <v>707</v>
      </c>
      <c r="Q2143" s="2" t="s">
        <v>99</v>
      </c>
      <c r="R2143" s="2" t="s">
        <v>100</v>
      </c>
      <c r="S2143" s="2" t="s">
        <v>100</v>
      </c>
      <c r="T2143" s="2" t="s">
        <v>100</v>
      </c>
      <c r="U2143" s="2" t="s">
        <v>100</v>
      </c>
      <c r="V2143" s="2" t="s">
        <v>3412</v>
      </c>
      <c r="W2143" s="2" t="s">
        <v>493</v>
      </c>
      <c r="X2143" s="2" t="s">
        <v>100</v>
      </c>
      <c r="Y2143" s="2" t="s">
        <v>2080</v>
      </c>
      <c r="Z2143" s="4">
        <v>137</v>
      </c>
      <c r="AA2143" s="4">
        <f>=ROUNDDOWN(26.3461538461538,0)</f>
      </c>
      <c r="AB2143" s="5">
        <v>5.2</v>
      </c>
      <c r="AC2143" s="2" t="s">
        <v>100</v>
      </c>
      <c r="AD2143" s="4"/>
      <c r="AE2143" s="4"/>
      <c r="AF2143" s="6">
        <v>66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/>
      <c r="AW2143" s="8"/>
      <c r="AX2143" s="4"/>
      <c r="AY2143" s="8"/>
      <c r="AZ2143" s="7"/>
      <c r="BA2143" s="7"/>
      <c r="BB2143" s="7"/>
      <c r="BC2143" s="4"/>
      <c r="BD2143" s="8"/>
      <c r="BE2143" s="4"/>
      <c r="BF2143" s="8"/>
      <c r="BG2143" s="7"/>
      <c r="BH2143" s="7"/>
      <c r="BI2143" s="7"/>
      <c r="BJ2143" s="4">
        <v>18</v>
      </c>
      <c r="BK2143" s="8">
        <v>3316.18</v>
      </c>
      <c r="BL2143" s="2" t="s">
        <v>7437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2526</v>
      </c>
      <c r="BV2143" s="2" t="s">
        <v>97</v>
      </c>
      <c r="BW2143" s="2" t="s">
        <v>100</v>
      </c>
      <c r="BX2143" s="2" t="s">
        <v>100</v>
      </c>
      <c r="BY2143" s="2" t="s">
        <v>112</v>
      </c>
      <c r="BZ2143" s="2" t="s">
        <v>100</v>
      </c>
    </row>
    <row r="2144">
      <c r="A2144" s="2" t="s">
        <v>7438</v>
      </c>
      <c r="B2144" s="2" t="s">
        <v>6747</v>
      </c>
      <c r="C2144" s="2" t="s">
        <v>88</v>
      </c>
      <c r="D2144" s="2" t="s">
        <v>6789</v>
      </c>
      <c r="E2144" s="2" t="s">
        <v>6800</v>
      </c>
      <c r="F2144" s="2" t="s">
        <v>7439</v>
      </c>
      <c r="G2144" s="2" t="s">
        <v>7440</v>
      </c>
      <c r="H2144" s="2" t="s">
        <v>7441</v>
      </c>
      <c r="I2144" s="2" t="s">
        <v>6790</v>
      </c>
      <c r="J2144" s="2" t="s">
        <v>3385</v>
      </c>
      <c r="K2144" s="2" t="s">
        <v>446</v>
      </c>
      <c r="L2144" s="3">
        <v>214.2</v>
      </c>
      <c r="M2144" s="3">
        <v>224.91</v>
      </c>
      <c r="N2144" s="3">
        <v>449</v>
      </c>
      <c r="O2144" s="2" t="s">
        <v>97</v>
      </c>
      <c r="P2144" s="2" t="s">
        <v>98</v>
      </c>
      <c r="Q2144" s="2" t="s">
        <v>99</v>
      </c>
      <c r="R2144" s="2" t="s">
        <v>100</v>
      </c>
      <c r="S2144" s="2" t="s">
        <v>100</v>
      </c>
      <c r="T2144" s="2" t="s">
        <v>100</v>
      </c>
      <c r="U2144" s="2" t="s">
        <v>1776</v>
      </c>
      <c r="V2144" s="2" t="s">
        <v>461</v>
      </c>
      <c r="W2144" s="2" t="s">
        <v>717</v>
      </c>
      <c r="X2144" s="2" t="s">
        <v>142</v>
      </c>
      <c r="Y2144" s="2" t="s">
        <v>3974</v>
      </c>
      <c r="Z2144" s="4">
        <v>82</v>
      </c>
      <c r="AA2144" s="4">
        <f>=ROUNDDOWN(13.6666666666667,0)</f>
      </c>
      <c r="AB2144" s="5">
        <v>6</v>
      </c>
      <c r="AC2144" s="2" t="s">
        <v>1353</v>
      </c>
      <c r="AD2144" s="4">
        <v>72</v>
      </c>
      <c r="AE2144" s="4">
        <v>221</v>
      </c>
      <c r="AF2144" s="6">
        <v>76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/>
      <c r="AW2144" s="8"/>
      <c r="AX2144" s="4"/>
      <c r="AY2144" s="8"/>
      <c r="AZ2144" s="7"/>
      <c r="BA2144" s="7"/>
      <c r="BB2144" s="7"/>
      <c r="BC2144" s="4"/>
      <c r="BD2144" s="8"/>
      <c r="BE2144" s="4"/>
      <c r="BF2144" s="8"/>
      <c r="BG2144" s="7"/>
      <c r="BH2144" s="7"/>
      <c r="BI2144" s="7"/>
      <c r="BJ2144" s="4">
        <v>19</v>
      </c>
      <c r="BK2144" s="8">
        <v>4163.17</v>
      </c>
      <c r="BL2144" s="2" t="s">
        <v>7442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2526</v>
      </c>
      <c r="BV2144" s="2" t="s">
        <v>97</v>
      </c>
      <c r="BW2144" s="2" t="s">
        <v>100</v>
      </c>
      <c r="BX2144" s="2" t="s">
        <v>100</v>
      </c>
      <c r="BY2144" s="2" t="s">
        <v>112</v>
      </c>
      <c r="BZ2144" s="2" t="s">
        <v>100</v>
      </c>
    </row>
    <row r="2145">
      <c r="A2145" s="2" t="s">
        <v>7443</v>
      </c>
      <c r="B2145" s="2" t="s">
        <v>6747</v>
      </c>
      <c r="C2145" s="2" t="s">
        <v>88</v>
      </c>
      <c r="D2145" s="2" t="s">
        <v>6789</v>
      </c>
      <c r="E2145" s="2" t="s">
        <v>6800</v>
      </c>
      <c r="F2145" s="2" t="s">
        <v>7396</v>
      </c>
      <c r="G2145" s="2" t="s">
        <v>7444</v>
      </c>
      <c r="H2145" s="2" t="s">
        <v>7445</v>
      </c>
      <c r="I2145" s="2" t="s">
        <v>6790</v>
      </c>
      <c r="J2145" s="2" t="s">
        <v>3385</v>
      </c>
      <c r="K2145" s="2" t="s">
        <v>1090</v>
      </c>
      <c r="L2145" s="3">
        <v>189</v>
      </c>
      <c r="M2145" s="3">
        <v>198.45</v>
      </c>
      <c r="N2145" s="3">
        <v>399</v>
      </c>
      <c r="O2145" s="2" t="s">
        <v>97</v>
      </c>
      <c r="P2145" s="2" t="s">
        <v>98</v>
      </c>
      <c r="Q2145" s="2" t="s">
        <v>99</v>
      </c>
      <c r="R2145" s="2" t="s">
        <v>100</v>
      </c>
      <c r="S2145" s="2" t="s">
        <v>7446</v>
      </c>
      <c r="T2145" s="2" t="s">
        <v>100</v>
      </c>
      <c r="U2145" s="2" t="s">
        <v>100</v>
      </c>
      <c r="V2145" s="2" t="s">
        <v>4636</v>
      </c>
      <c r="W2145" s="2" t="s">
        <v>142</v>
      </c>
      <c r="X2145" s="2" t="s">
        <v>100</v>
      </c>
      <c r="Y2145" s="2" t="s">
        <v>1935</v>
      </c>
      <c r="Z2145" s="4">
        <v>125</v>
      </c>
      <c r="AA2145" s="4">
        <f>=ROUNDDOWN(17.8571428571429,0)</f>
      </c>
      <c r="AB2145" s="5">
        <v>7</v>
      </c>
      <c r="AC2145" s="2" t="s">
        <v>7108</v>
      </c>
      <c r="AD2145" s="4">
        <v>110</v>
      </c>
      <c r="AE2145" s="4">
        <v>110</v>
      </c>
      <c r="AF2145" s="6">
        <v>74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/>
      <c r="AW2145" s="8"/>
      <c r="AX2145" s="4"/>
      <c r="AY2145" s="8"/>
      <c r="AZ2145" s="7"/>
      <c r="BA2145" s="7"/>
      <c r="BB2145" s="7"/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/>
      <c r="BJ2145" s="4">
        <v>20</v>
      </c>
      <c r="BK2145" s="8">
        <v>3604.11</v>
      </c>
      <c r="BL2145" s="2" t="s">
        <v>7447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2526</v>
      </c>
      <c r="BV2145" s="2" t="s">
        <v>97</v>
      </c>
      <c r="BW2145" s="2" t="s">
        <v>100</v>
      </c>
      <c r="BX2145" s="2" t="s">
        <v>100</v>
      </c>
      <c r="BY2145" s="2" t="s">
        <v>112</v>
      </c>
      <c r="BZ2145" s="2" t="s">
        <v>100</v>
      </c>
    </row>
    <row r="2146">
      <c r="A2146" s="2" t="s">
        <v>7448</v>
      </c>
      <c r="B2146" s="2" t="s">
        <v>6747</v>
      </c>
      <c r="C2146" s="2" t="s">
        <v>88</v>
      </c>
      <c r="D2146" s="2" t="s">
        <v>6789</v>
      </c>
      <c r="E2146" s="2" t="s">
        <v>6800</v>
      </c>
      <c r="F2146" s="2" t="s">
        <v>7396</v>
      </c>
      <c r="G2146" s="2" t="s">
        <v>7444</v>
      </c>
      <c r="H2146" s="2" t="s">
        <v>7445</v>
      </c>
      <c r="I2146" s="2" t="s">
        <v>7449</v>
      </c>
      <c r="J2146" s="2" t="s">
        <v>3385</v>
      </c>
      <c r="K2146" s="2" t="s">
        <v>446</v>
      </c>
      <c r="L2146" s="3">
        <v>189</v>
      </c>
      <c r="M2146" s="3">
        <v>198.45</v>
      </c>
      <c r="N2146" s="3">
        <v>399</v>
      </c>
      <c r="O2146" s="2" t="s">
        <v>97</v>
      </c>
      <c r="P2146" s="2" t="s">
        <v>98</v>
      </c>
      <c r="Q2146" s="2" t="s">
        <v>99</v>
      </c>
      <c r="R2146" s="2" t="s">
        <v>100</v>
      </c>
      <c r="S2146" s="2" t="s">
        <v>100</v>
      </c>
      <c r="T2146" s="2" t="s">
        <v>100</v>
      </c>
      <c r="U2146" s="2" t="s">
        <v>1776</v>
      </c>
      <c r="V2146" s="2" t="s">
        <v>461</v>
      </c>
      <c r="W2146" s="2" t="s">
        <v>142</v>
      </c>
      <c r="X2146" s="2" t="s">
        <v>100</v>
      </c>
      <c r="Y2146" s="2" t="s">
        <v>4931</v>
      </c>
      <c r="Z2146" s="4">
        <v>130</v>
      </c>
      <c r="AA2146" s="4">
        <f>=ROUNDDOWN(32.5,0)</f>
      </c>
      <c r="AB2146" s="5">
        <v>4</v>
      </c>
      <c r="AC2146" s="2" t="s">
        <v>3024</v>
      </c>
      <c r="AD2146" s="4">
        <v>100</v>
      </c>
      <c r="AE2146" s="4">
        <v>100</v>
      </c>
      <c r="AF2146" s="6">
        <v>74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/>
      <c r="AW2146" s="8"/>
      <c r="AX2146" s="4"/>
      <c r="AY2146" s="8"/>
      <c r="AZ2146" s="7"/>
      <c r="BA2146" s="7"/>
      <c r="BB2146" s="7"/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/>
      <c r="BJ2146" s="4">
        <v>14</v>
      </c>
      <c r="BK2146" s="8">
        <v>2792.24</v>
      </c>
      <c r="BL2146" s="2" t="s">
        <v>7450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2526</v>
      </c>
      <c r="BV2146" s="2" t="s">
        <v>97</v>
      </c>
      <c r="BW2146" s="2" t="s">
        <v>100</v>
      </c>
      <c r="BX2146" s="2" t="s">
        <v>100</v>
      </c>
      <c r="BY2146" s="2" t="s">
        <v>112</v>
      </c>
      <c r="BZ2146" s="2" t="s">
        <v>100</v>
      </c>
    </row>
    <row r="2147">
      <c r="A2147" s="2" t="s">
        <v>7451</v>
      </c>
      <c r="B2147" s="2" t="s">
        <v>6747</v>
      </c>
      <c r="C2147" s="2" t="s">
        <v>88</v>
      </c>
      <c r="D2147" s="2" t="s">
        <v>6789</v>
      </c>
      <c r="E2147" s="2" t="s">
        <v>6800</v>
      </c>
      <c r="F2147" s="2" t="s">
        <v>7452</v>
      </c>
      <c r="G2147" s="2" t="s">
        <v>5060</v>
      </c>
      <c r="H2147" s="2" t="s">
        <v>997</v>
      </c>
      <c r="I2147" s="2" t="s">
        <v>7453</v>
      </c>
      <c r="J2147" s="2" t="s">
        <v>3385</v>
      </c>
      <c r="K2147" s="2" t="s">
        <v>179</v>
      </c>
      <c r="L2147" s="3">
        <v>180.5</v>
      </c>
      <c r="M2147" s="3">
        <v>189.52</v>
      </c>
      <c r="N2147" s="3">
        <v>379</v>
      </c>
      <c r="O2147" s="2" t="s">
        <v>97</v>
      </c>
      <c r="P2147" s="2" t="s">
        <v>98</v>
      </c>
      <c r="Q2147" s="2" t="s">
        <v>99</v>
      </c>
      <c r="R2147" s="2" t="s">
        <v>100</v>
      </c>
      <c r="S2147" s="2" t="s">
        <v>7454</v>
      </c>
      <c r="T2147" s="2" t="s">
        <v>100</v>
      </c>
      <c r="U2147" s="2" t="s">
        <v>100</v>
      </c>
      <c r="V2147" s="2" t="s">
        <v>461</v>
      </c>
      <c r="W2147" s="2" t="s">
        <v>142</v>
      </c>
      <c r="X2147" s="2" t="s">
        <v>100</v>
      </c>
      <c r="Y2147" s="2" t="s">
        <v>144</v>
      </c>
      <c r="Z2147" s="4">
        <v>3</v>
      </c>
      <c r="AA2147" s="4">
        <f>=ROUNDDOWN(0.6,0)</f>
      </c>
      <c r="AB2147" s="5">
        <v>5</v>
      </c>
      <c r="AC2147" s="2" t="s">
        <v>875</v>
      </c>
      <c r="AD2147" s="4">
        <v>74</v>
      </c>
      <c r="AE2147" s="4">
        <v>136</v>
      </c>
      <c r="AF2147" s="6">
        <v>65</v>
      </c>
      <c r="AG2147" s="6">
        <v>48</v>
      </c>
      <c r="AH2147" s="7">
        <v>0.3548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/>
      <c r="AW2147" s="8"/>
      <c r="AX2147" s="4"/>
      <c r="AY2147" s="8"/>
      <c r="AZ2147" s="7"/>
      <c r="BA2147" s="7"/>
      <c r="BB2147" s="7"/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/>
      <c r="BJ2147" s="4">
        <v>7</v>
      </c>
      <c r="BK2147" s="8">
        <v>1236.58</v>
      </c>
      <c r="BL2147" s="2" t="s">
        <v>7455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2526</v>
      </c>
      <c r="BV2147" s="2" t="s">
        <v>97</v>
      </c>
      <c r="BW2147" s="2" t="s">
        <v>100</v>
      </c>
      <c r="BX2147" s="2" t="s">
        <v>100</v>
      </c>
      <c r="BY2147" s="2" t="s">
        <v>112</v>
      </c>
      <c r="BZ2147" s="2" t="s">
        <v>100</v>
      </c>
    </row>
    <row r="2148">
      <c r="A2148" s="2" t="s">
        <v>7456</v>
      </c>
      <c r="B2148" s="2" t="s">
        <v>6747</v>
      </c>
      <c r="C2148" s="2" t="s">
        <v>88</v>
      </c>
      <c r="D2148" s="2" t="s">
        <v>6789</v>
      </c>
      <c r="E2148" s="2" t="s">
        <v>6800</v>
      </c>
      <c r="F2148" s="2" t="s">
        <v>7452</v>
      </c>
      <c r="G2148" s="2" t="s">
        <v>5060</v>
      </c>
      <c r="H2148" s="2" t="s">
        <v>997</v>
      </c>
      <c r="I2148" s="2" t="s">
        <v>7453</v>
      </c>
      <c r="J2148" s="2" t="s">
        <v>3385</v>
      </c>
      <c r="K2148" s="2" t="s">
        <v>96</v>
      </c>
      <c r="L2148" s="3">
        <v>180.5</v>
      </c>
      <c r="M2148" s="3">
        <v>189.52</v>
      </c>
      <c r="N2148" s="3">
        <v>379</v>
      </c>
      <c r="O2148" s="2" t="s">
        <v>97</v>
      </c>
      <c r="P2148" s="2" t="s">
        <v>98</v>
      </c>
      <c r="Q2148" s="2" t="s">
        <v>99</v>
      </c>
      <c r="R2148" s="2" t="s">
        <v>100</v>
      </c>
      <c r="S2148" s="2" t="s">
        <v>7457</v>
      </c>
      <c r="T2148" s="2" t="s">
        <v>100</v>
      </c>
      <c r="U2148" s="2" t="s">
        <v>100</v>
      </c>
      <c r="V2148" s="2" t="s">
        <v>461</v>
      </c>
      <c r="W2148" s="2" t="s">
        <v>142</v>
      </c>
      <c r="X2148" s="2" t="s">
        <v>100</v>
      </c>
      <c r="Y2148" s="2" t="s">
        <v>144</v>
      </c>
      <c r="Z2148" s="4">
        <v>86</v>
      </c>
      <c r="AA2148" s="4">
        <f>=ROUNDDOWN(12.2857142857143,0)</f>
      </c>
      <c r="AB2148" s="5">
        <v>7</v>
      </c>
      <c r="AC2148" s="2" t="s">
        <v>875</v>
      </c>
      <c r="AD2148" s="4">
        <v>96</v>
      </c>
      <c r="AE2148" s="4">
        <v>96</v>
      </c>
      <c r="AF2148" s="6">
        <v>65</v>
      </c>
      <c r="AG2148" s="6">
        <v>48</v>
      </c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/>
      <c r="AW2148" s="8"/>
      <c r="AX2148" s="4"/>
      <c r="AY2148" s="8"/>
      <c r="AZ2148" s="7"/>
      <c r="BA2148" s="7"/>
      <c r="BB2148" s="7"/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/>
      <c r="BJ2148" s="4">
        <v>21</v>
      </c>
      <c r="BK2148" s="8">
        <v>3500.97</v>
      </c>
      <c r="BL2148" s="2" t="s">
        <v>7458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2526</v>
      </c>
      <c r="BV2148" s="2" t="s">
        <v>97</v>
      </c>
      <c r="BW2148" s="2" t="s">
        <v>100</v>
      </c>
      <c r="BX2148" s="2" t="s">
        <v>100</v>
      </c>
      <c r="BY2148" s="2" t="s">
        <v>112</v>
      </c>
      <c r="BZ2148" s="2" t="s">
        <v>100</v>
      </c>
    </row>
    <row r="2149">
      <c r="A2149" s="2" t="s">
        <v>7459</v>
      </c>
      <c r="B2149" s="2" t="s">
        <v>6747</v>
      </c>
      <c r="C2149" s="2" t="s">
        <v>88</v>
      </c>
      <c r="D2149" s="2" t="s">
        <v>6789</v>
      </c>
      <c r="E2149" s="2" t="s">
        <v>6800</v>
      </c>
      <c r="F2149" s="2" t="s">
        <v>7452</v>
      </c>
      <c r="G2149" s="2" t="s">
        <v>5060</v>
      </c>
      <c r="H2149" s="2" t="s">
        <v>997</v>
      </c>
      <c r="I2149" s="2" t="s">
        <v>7453</v>
      </c>
      <c r="J2149" s="2" t="s">
        <v>3385</v>
      </c>
      <c r="K2149" s="2" t="s">
        <v>6752</v>
      </c>
      <c r="L2149" s="3">
        <v>180.5</v>
      </c>
      <c r="M2149" s="3">
        <v>189.52</v>
      </c>
      <c r="N2149" s="3">
        <v>379</v>
      </c>
      <c r="O2149" s="2" t="s">
        <v>97</v>
      </c>
      <c r="P2149" s="2" t="s">
        <v>98</v>
      </c>
      <c r="Q2149" s="2" t="s">
        <v>99</v>
      </c>
      <c r="R2149" s="2" t="s">
        <v>100</v>
      </c>
      <c r="S2149" s="2" t="s">
        <v>7460</v>
      </c>
      <c r="T2149" s="2" t="s">
        <v>100</v>
      </c>
      <c r="U2149" s="2" t="s">
        <v>100</v>
      </c>
      <c r="V2149" s="2" t="s">
        <v>3412</v>
      </c>
      <c r="W2149" s="2" t="s">
        <v>104</v>
      </c>
      <c r="X2149" s="2" t="s">
        <v>100</v>
      </c>
      <c r="Y2149" s="2" t="s">
        <v>144</v>
      </c>
      <c r="Z2149" s="4">
        <v>71</v>
      </c>
      <c r="AA2149" s="4">
        <f>=ROUNDDOWN(8.16091954022989,0)</f>
      </c>
      <c r="AB2149" s="5">
        <v>8.7</v>
      </c>
      <c r="AC2149" s="2" t="s">
        <v>6903</v>
      </c>
      <c r="AD2149" s="4">
        <v>92</v>
      </c>
      <c r="AE2149" s="4">
        <v>92</v>
      </c>
      <c r="AF2149" s="6">
        <v>65</v>
      </c>
      <c r="AG2149" s="6">
        <v>48</v>
      </c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/>
      <c r="AW2149" s="8"/>
      <c r="AX2149" s="4"/>
      <c r="AY2149" s="8"/>
      <c r="AZ2149" s="7"/>
      <c r="BA2149" s="7"/>
      <c r="BB2149" s="7"/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/>
      <c r="BJ2149" s="4">
        <v>33</v>
      </c>
      <c r="BK2149" s="8">
        <v>5635.26</v>
      </c>
      <c r="BL2149" s="2" t="s">
        <v>7461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2526</v>
      </c>
      <c r="BV2149" s="2" t="s">
        <v>97</v>
      </c>
      <c r="BW2149" s="2" t="s">
        <v>100</v>
      </c>
      <c r="BX2149" s="2" t="s">
        <v>100</v>
      </c>
      <c r="BY2149" s="2" t="s">
        <v>112</v>
      </c>
      <c r="BZ2149" s="2" t="s">
        <v>100</v>
      </c>
    </row>
    <row r="2150">
      <c r="A2150" s="2" t="s">
        <v>7462</v>
      </c>
      <c r="B2150" s="2" t="s">
        <v>6747</v>
      </c>
      <c r="C2150" s="2" t="s">
        <v>88</v>
      </c>
      <c r="D2150" s="2" t="s">
        <v>6789</v>
      </c>
      <c r="E2150" s="2" t="s">
        <v>6800</v>
      </c>
      <c r="F2150" s="2" t="s">
        <v>7452</v>
      </c>
      <c r="G2150" s="2" t="s">
        <v>5060</v>
      </c>
      <c r="H2150" s="2" t="s">
        <v>997</v>
      </c>
      <c r="I2150" s="2" t="s">
        <v>7453</v>
      </c>
      <c r="J2150" s="2" t="s">
        <v>3385</v>
      </c>
      <c r="K2150" s="2" t="s">
        <v>4743</v>
      </c>
      <c r="L2150" s="3">
        <v>180.5</v>
      </c>
      <c r="M2150" s="3">
        <v>189.52</v>
      </c>
      <c r="N2150" s="3">
        <v>379</v>
      </c>
      <c r="O2150" s="2" t="s">
        <v>97</v>
      </c>
      <c r="P2150" s="2" t="s">
        <v>98</v>
      </c>
      <c r="Q2150" s="2" t="s">
        <v>99</v>
      </c>
      <c r="R2150" s="2" t="s">
        <v>100</v>
      </c>
      <c r="S2150" s="2" t="s">
        <v>7463</v>
      </c>
      <c r="T2150" s="2" t="s">
        <v>100</v>
      </c>
      <c r="U2150" s="2" t="s">
        <v>100</v>
      </c>
      <c r="V2150" s="2" t="s">
        <v>461</v>
      </c>
      <c r="W2150" s="2" t="s">
        <v>142</v>
      </c>
      <c r="X2150" s="2" t="s">
        <v>100</v>
      </c>
      <c r="Y2150" s="2" t="s">
        <v>144</v>
      </c>
      <c r="Z2150" s="4">
        <v>3</v>
      </c>
      <c r="AA2150" s="4">
        <f>=ROUNDDOWN(0.428571428571429,0)</f>
      </c>
      <c r="AB2150" s="5">
        <v>7</v>
      </c>
      <c r="AC2150" s="2" t="s">
        <v>2008</v>
      </c>
      <c r="AD2150" s="4">
        <v>78</v>
      </c>
      <c r="AE2150" s="4">
        <v>148</v>
      </c>
      <c r="AF2150" s="6">
        <v>65</v>
      </c>
      <c r="AG2150" s="6"/>
      <c r="AH2150" s="7">
        <v>0.2258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/>
      <c r="AW2150" s="8"/>
      <c r="AX2150" s="4"/>
      <c r="AY2150" s="8"/>
      <c r="AZ2150" s="7"/>
      <c r="BA2150" s="7"/>
      <c r="BB2150" s="7"/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/>
      <c r="BJ2150" s="4">
        <v>5</v>
      </c>
      <c r="BK2150" s="8">
        <v>896.91</v>
      </c>
      <c r="BL2150" s="2" t="s">
        <v>6821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2526</v>
      </c>
      <c r="BV2150" s="2" t="s">
        <v>97</v>
      </c>
      <c r="BW2150" s="2" t="s">
        <v>100</v>
      </c>
      <c r="BX2150" s="2" t="s">
        <v>100</v>
      </c>
      <c r="BY2150" s="2" t="s">
        <v>112</v>
      </c>
      <c r="BZ2150" s="2" t="s">
        <v>100</v>
      </c>
    </row>
    <row r="2151">
      <c r="A2151" s="2" t="s">
        <v>7464</v>
      </c>
      <c r="B2151" s="2" t="s">
        <v>6747</v>
      </c>
      <c r="C2151" s="2" t="s">
        <v>88</v>
      </c>
      <c r="D2151" s="2" t="s">
        <v>6789</v>
      </c>
      <c r="E2151" s="2" t="s">
        <v>6800</v>
      </c>
      <c r="F2151" s="2" t="s">
        <v>7465</v>
      </c>
      <c r="G2151" s="2" t="s">
        <v>7466</v>
      </c>
      <c r="H2151" s="2" t="s">
        <v>7467</v>
      </c>
      <c r="I2151" s="2" t="s">
        <v>7468</v>
      </c>
      <c r="J2151" s="2" t="s">
        <v>3385</v>
      </c>
      <c r="K2151" s="2" t="s">
        <v>7469</v>
      </c>
      <c r="L2151" s="3">
        <v>207</v>
      </c>
      <c r="M2151" s="3">
        <v>217.35</v>
      </c>
      <c r="N2151" s="3">
        <v>439</v>
      </c>
      <c r="O2151" s="2" t="s">
        <v>97</v>
      </c>
      <c r="P2151" s="2" t="s">
        <v>707</v>
      </c>
      <c r="Q2151" s="2" t="s">
        <v>99</v>
      </c>
      <c r="R2151" s="2" t="s">
        <v>100</v>
      </c>
      <c r="S2151" s="2" t="s">
        <v>7470</v>
      </c>
      <c r="T2151" s="2" t="s">
        <v>100</v>
      </c>
      <c r="U2151" s="2" t="s">
        <v>100</v>
      </c>
      <c r="V2151" s="2" t="s">
        <v>461</v>
      </c>
      <c r="W2151" s="2" t="s">
        <v>2835</v>
      </c>
      <c r="X2151" s="2" t="s">
        <v>100</v>
      </c>
      <c r="Y2151" s="2" t="s">
        <v>144</v>
      </c>
      <c r="Z2151" s="4">
        <v>76</v>
      </c>
      <c r="AA2151" s="4">
        <f>=ROUNDDOWN(13.5714285714286,0)</f>
      </c>
      <c r="AB2151" s="5">
        <v>5.6</v>
      </c>
      <c r="AC2151" s="2" t="s">
        <v>1468</v>
      </c>
      <c r="AD2151" s="4">
        <v>92</v>
      </c>
      <c r="AE2151" s="4">
        <v>92</v>
      </c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/>
      <c r="AW2151" s="8"/>
      <c r="AX2151" s="4"/>
      <c r="AY2151" s="8"/>
      <c r="AZ2151" s="7"/>
      <c r="BA2151" s="7"/>
      <c r="BB2151" s="7"/>
      <c r="BC2151" s="4"/>
      <c r="BD2151" s="8"/>
      <c r="BE2151" s="4"/>
      <c r="BF2151" s="8"/>
      <c r="BG2151" s="7"/>
      <c r="BH2151" s="7"/>
      <c r="BI2151" s="7"/>
      <c r="BJ2151" s="4">
        <v>16</v>
      </c>
      <c r="BK2151" s="8">
        <v>3186.82</v>
      </c>
      <c r="BL2151" s="2" t="s">
        <v>6806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2526</v>
      </c>
      <c r="BV2151" s="2" t="s">
        <v>97</v>
      </c>
      <c r="BW2151" s="2" t="s">
        <v>100</v>
      </c>
      <c r="BX2151" s="2" t="s">
        <v>100</v>
      </c>
      <c r="BY2151" s="2" t="s">
        <v>112</v>
      </c>
      <c r="BZ2151" s="2" t="s">
        <v>100</v>
      </c>
    </row>
    <row r="2152">
      <c r="A2152" s="2" t="s">
        <v>7471</v>
      </c>
      <c r="B2152" s="2" t="s">
        <v>6747</v>
      </c>
      <c r="C2152" s="2" t="s">
        <v>88</v>
      </c>
      <c r="D2152" s="2" t="s">
        <v>6789</v>
      </c>
      <c r="E2152" s="2" t="s">
        <v>6800</v>
      </c>
      <c r="F2152" s="2" t="s">
        <v>7472</v>
      </c>
      <c r="G2152" s="2" t="s">
        <v>7473</v>
      </c>
      <c r="H2152" s="2" t="s">
        <v>7474</v>
      </c>
      <c r="I2152" s="2" t="s">
        <v>7475</v>
      </c>
      <c r="J2152" s="2" t="s">
        <v>3385</v>
      </c>
      <c r="K2152" s="2" t="s">
        <v>706</v>
      </c>
      <c r="L2152" s="3">
        <v>202.5</v>
      </c>
      <c r="M2152" s="3">
        <v>212.62</v>
      </c>
      <c r="N2152" s="3">
        <v>429</v>
      </c>
      <c r="O2152" s="2" t="s">
        <v>97</v>
      </c>
      <c r="P2152" s="2" t="s">
        <v>707</v>
      </c>
      <c r="Q2152" s="2" t="s">
        <v>99</v>
      </c>
      <c r="R2152" s="2" t="s">
        <v>100</v>
      </c>
      <c r="S2152" s="2" t="s">
        <v>7476</v>
      </c>
      <c r="T2152" s="2" t="s">
        <v>100</v>
      </c>
      <c r="U2152" s="2" t="s">
        <v>100</v>
      </c>
      <c r="V2152" s="2" t="s">
        <v>4636</v>
      </c>
      <c r="W2152" s="2" t="s">
        <v>493</v>
      </c>
      <c r="X2152" s="2" t="s">
        <v>100</v>
      </c>
      <c r="Y2152" s="2" t="s">
        <v>144</v>
      </c>
      <c r="Z2152" s="4">
        <v>77</v>
      </c>
      <c r="AA2152" s="4">
        <f>=ROUNDDOWN(19.25,0)</f>
      </c>
      <c r="AB2152" s="5">
        <v>4</v>
      </c>
      <c r="AC2152" s="2" t="s">
        <v>307</v>
      </c>
      <c r="AD2152" s="4">
        <v>100</v>
      </c>
      <c r="AE2152" s="4">
        <v>100</v>
      </c>
      <c r="AF2152" s="6">
        <v>65</v>
      </c>
      <c r="AG2152" s="6">
        <v>48</v>
      </c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/>
      <c r="BD2152" s="8"/>
      <c r="BE2152" s="4"/>
      <c r="BF2152" s="8"/>
      <c r="BG2152" s="7"/>
      <c r="BH2152" s="7"/>
      <c r="BI2152" s="7"/>
      <c r="BJ2152" s="4">
        <v>13</v>
      </c>
      <c r="BK2152" s="8">
        <v>2709.56</v>
      </c>
      <c r="BL2152" s="2" t="s">
        <v>7477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2526</v>
      </c>
      <c r="BV2152" s="2" t="s">
        <v>97</v>
      </c>
      <c r="BW2152" s="2" t="s">
        <v>100</v>
      </c>
      <c r="BX2152" s="2" t="s">
        <v>100</v>
      </c>
      <c r="BY2152" s="2" t="s">
        <v>112</v>
      </c>
      <c r="BZ2152" s="2" t="s">
        <v>100</v>
      </c>
    </row>
    <row r="2153">
      <c r="A2153" s="2" t="s">
        <v>7478</v>
      </c>
      <c r="B2153" s="2" t="s">
        <v>6747</v>
      </c>
      <c r="C2153" s="2" t="s">
        <v>88</v>
      </c>
      <c r="D2153" s="2" t="s">
        <v>6789</v>
      </c>
      <c r="E2153" s="2" t="s">
        <v>6800</v>
      </c>
      <c r="F2153" s="2" t="s">
        <v>7479</v>
      </c>
      <c r="G2153" s="2" t="s">
        <v>220</v>
      </c>
      <c r="H2153" s="2" t="s">
        <v>7480</v>
      </c>
      <c r="I2153" s="2" t="s">
        <v>6790</v>
      </c>
      <c r="J2153" s="2" t="s">
        <v>3385</v>
      </c>
      <c r="K2153" s="2" t="s">
        <v>165</v>
      </c>
      <c r="L2153" s="3">
        <v>285.94</v>
      </c>
      <c r="M2153" s="3">
        <v>300.24</v>
      </c>
      <c r="N2153" s="3">
        <v>599</v>
      </c>
      <c r="O2153" s="2" t="s">
        <v>97</v>
      </c>
      <c r="P2153" s="2" t="s">
        <v>707</v>
      </c>
      <c r="Q2153" s="2" t="s">
        <v>99</v>
      </c>
      <c r="R2153" s="2" t="s">
        <v>100</v>
      </c>
      <c r="S2153" s="2" t="s">
        <v>100</v>
      </c>
      <c r="T2153" s="2" t="s">
        <v>100</v>
      </c>
      <c r="U2153" s="2" t="s">
        <v>1776</v>
      </c>
      <c r="V2153" s="2" t="s">
        <v>461</v>
      </c>
      <c r="W2153" s="2" t="s">
        <v>142</v>
      </c>
      <c r="X2153" s="2" t="s">
        <v>493</v>
      </c>
      <c r="Y2153" s="2" t="s">
        <v>7481</v>
      </c>
      <c r="Z2153" s="4">
        <v>49</v>
      </c>
      <c r="AA2153" s="4">
        <f>=ROUNDDOWN(10.6521739130435,0)</f>
      </c>
      <c r="AB2153" s="5">
        <v>4.6</v>
      </c>
      <c r="AC2153" s="2" t="s">
        <v>2772</v>
      </c>
      <c r="AD2153" s="4">
        <v>100</v>
      </c>
      <c r="AE2153" s="4">
        <v>100</v>
      </c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/>
      <c r="BJ2153" s="4">
        <v>8</v>
      </c>
      <c r="BK2153" s="8">
        <v>2229.63</v>
      </c>
      <c r="BL2153" s="2" t="s">
        <v>6821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2526</v>
      </c>
      <c r="BV2153" s="2" t="s">
        <v>97</v>
      </c>
      <c r="BW2153" s="2" t="s">
        <v>100</v>
      </c>
      <c r="BX2153" s="2" t="s">
        <v>100</v>
      </c>
      <c r="BY2153" s="2" t="s">
        <v>112</v>
      </c>
      <c r="BZ2153" s="2" t="s">
        <v>100</v>
      </c>
    </row>
    <row r="2154">
      <c r="A2154" s="2" t="s">
        <v>7482</v>
      </c>
      <c r="B2154" s="2" t="s">
        <v>6747</v>
      </c>
      <c r="C2154" s="2" t="s">
        <v>88</v>
      </c>
      <c r="D2154" s="2" t="s">
        <v>6789</v>
      </c>
      <c r="E2154" s="2" t="s">
        <v>6800</v>
      </c>
      <c r="F2154" s="2" t="s">
        <v>7479</v>
      </c>
      <c r="G2154" s="2" t="s">
        <v>220</v>
      </c>
      <c r="H2154" s="2" t="s">
        <v>7480</v>
      </c>
      <c r="I2154" s="2" t="s">
        <v>7483</v>
      </c>
      <c r="J2154" s="2" t="s">
        <v>3385</v>
      </c>
      <c r="K2154" s="2" t="s">
        <v>7484</v>
      </c>
      <c r="L2154" s="3">
        <v>285.94</v>
      </c>
      <c r="M2154" s="3">
        <v>300.24</v>
      </c>
      <c r="N2154" s="3">
        <v>599</v>
      </c>
      <c r="O2154" s="2" t="s">
        <v>97</v>
      </c>
      <c r="P2154" s="2" t="s">
        <v>123</v>
      </c>
      <c r="Q2154" s="2" t="s">
        <v>99</v>
      </c>
      <c r="R2154" s="2" t="s">
        <v>100</v>
      </c>
      <c r="S2154" s="2" t="s">
        <v>7485</v>
      </c>
      <c r="T2154" s="2" t="s">
        <v>100</v>
      </c>
      <c r="U2154" s="2" t="s">
        <v>100</v>
      </c>
      <c r="V2154" s="2" t="s">
        <v>461</v>
      </c>
      <c r="W2154" s="2" t="s">
        <v>142</v>
      </c>
      <c r="X2154" s="2" t="s">
        <v>493</v>
      </c>
      <c r="Y2154" s="2" t="s">
        <v>1935</v>
      </c>
      <c r="Z2154" s="4">
        <v>51</v>
      </c>
      <c r="AA2154" s="4">
        <f>=ROUNDDOWN(3.4,0)</f>
      </c>
      <c r="AB2154" s="5">
        <v>15</v>
      </c>
      <c r="AC2154" s="2" t="s">
        <v>2772</v>
      </c>
      <c r="AD2154" s="4">
        <v>110</v>
      </c>
      <c r="AE2154" s="4">
        <v>430</v>
      </c>
      <c r="AF2154" s="6">
        <v>65</v>
      </c>
      <c r="AG2154" s="6">
        <v>48</v>
      </c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/>
      <c r="AW2154" s="8"/>
      <c r="AX2154" s="4"/>
      <c r="AY2154" s="8"/>
      <c r="AZ2154" s="7"/>
      <c r="BA2154" s="7"/>
      <c r="BB2154" s="7"/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/>
      <c r="BJ2154" s="4">
        <v>34</v>
      </c>
      <c r="BK2154" s="8">
        <v>10633.59</v>
      </c>
      <c r="BL2154" s="2" t="s">
        <v>7486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2526</v>
      </c>
      <c r="BV2154" s="2" t="s">
        <v>97</v>
      </c>
      <c r="BW2154" s="2" t="s">
        <v>100</v>
      </c>
      <c r="BX2154" s="2" t="s">
        <v>100</v>
      </c>
      <c r="BY2154" s="2" t="s">
        <v>112</v>
      </c>
      <c r="BZ2154" s="2" t="s">
        <v>100</v>
      </c>
    </row>
    <row r="2155">
      <c r="A2155" s="2" t="s">
        <v>7487</v>
      </c>
      <c r="B2155" s="2" t="s">
        <v>6747</v>
      </c>
      <c r="C2155" s="2" t="s">
        <v>88</v>
      </c>
      <c r="D2155" s="2" t="s">
        <v>6789</v>
      </c>
      <c r="E2155" s="2" t="s">
        <v>6800</v>
      </c>
      <c r="F2155" s="2" t="s">
        <v>7479</v>
      </c>
      <c r="G2155" s="2" t="s">
        <v>220</v>
      </c>
      <c r="H2155" s="2" t="s">
        <v>7480</v>
      </c>
      <c r="I2155" s="2" t="s">
        <v>7483</v>
      </c>
      <c r="J2155" s="2" t="s">
        <v>3385</v>
      </c>
      <c r="K2155" s="2" t="s">
        <v>7488</v>
      </c>
      <c r="L2155" s="3">
        <v>285.94</v>
      </c>
      <c r="M2155" s="3">
        <v>300.24</v>
      </c>
      <c r="N2155" s="3">
        <v>599</v>
      </c>
      <c r="O2155" s="2" t="s">
        <v>97</v>
      </c>
      <c r="P2155" s="2" t="s">
        <v>707</v>
      </c>
      <c r="Q2155" s="2" t="s">
        <v>99</v>
      </c>
      <c r="R2155" s="2" t="s">
        <v>100</v>
      </c>
      <c r="S2155" s="2" t="s">
        <v>100</v>
      </c>
      <c r="T2155" s="2" t="s">
        <v>100</v>
      </c>
      <c r="U2155" s="2" t="s">
        <v>1776</v>
      </c>
      <c r="V2155" s="2" t="s">
        <v>461</v>
      </c>
      <c r="W2155" s="2" t="s">
        <v>142</v>
      </c>
      <c r="X2155" s="2" t="s">
        <v>493</v>
      </c>
      <c r="Y2155" s="2" t="s">
        <v>7489</v>
      </c>
      <c r="Z2155" s="4">
        <v>50</v>
      </c>
      <c r="AA2155" s="4">
        <f>=ROUNDDOWN(15.1515151515152,0)</f>
      </c>
      <c r="AB2155" s="5">
        <v>3.3</v>
      </c>
      <c r="AC2155" s="2" t="s">
        <v>7091</v>
      </c>
      <c r="AD2155" s="4">
        <v>100</v>
      </c>
      <c r="AE2155" s="4">
        <v>100</v>
      </c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/>
      <c r="AW2155" s="8"/>
      <c r="AX2155" s="4"/>
      <c r="AY2155" s="8"/>
      <c r="AZ2155" s="7"/>
      <c r="BA2155" s="7"/>
      <c r="BB2155" s="7"/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/>
      <c r="BJ2155" s="4">
        <v>16</v>
      </c>
      <c r="BK2155" s="8">
        <v>4668.38</v>
      </c>
      <c r="BL2155" s="2" t="s">
        <v>7490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2526</v>
      </c>
      <c r="BV2155" s="2" t="s">
        <v>97</v>
      </c>
      <c r="BW2155" s="2" t="s">
        <v>100</v>
      </c>
      <c r="BX2155" s="2" t="s">
        <v>100</v>
      </c>
      <c r="BY2155" s="2" t="s">
        <v>112</v>
      </c>
      <c r="BZ2155" s="2" t="s">
        <v>100</v>
      </c>
    </row>
    <row r="2156">
      <c r="A2156" s="2" t="s">
        <v>7491</v>
      </c>
      <c r="B2156" s="2" t="s">
        <v>6747</v>
      </c>
      <c r="C2156" s="2" t="s">
        <v>88</v>
      </c>
      <c r="D2156" s="2" t="s">
        <v>6789</v>
      </c>
      <c r="E2156" s="2" t="s">
        <v>6800</v>
      </c>
      <c r="F2156" s="2" t="s">
        <v>7492</v>
      </c>
      <c r="G2156" s="2" t="s">
        <v>7493</v>
      </c>
      <c r="H2156" s="2" t="s">
        <v>7494</v>
      </c>
      <c r="I2156" s="2" t="s">
        <v>7495</v>
      </c>
      <c r="J2156" s="2" t="s">
        <v>3385</v>
      </c>
      <c r="K2156" s="2" t="s">
        <v>7496</v>
      </c>
      <c r="L2156" s="3">
        <v>251.08</v>
      </c>
      <c r="M2156" s="3">
        <v>263.63</v>
      </c>
      <c r="N2156" s="3">
        <v>529</v>
      </c>
      <c r="O2156" s="2" t="s">
        <v>97</v>
      </c>
      <c r="P2156" s="2" t="s">
        <v>139</v>
      </c>
      <c r="Q2156" s="2" t="s">
        <v>99</v>
      </c>
      <c r="R2156" s="2" t="s">
        <v>100</v>
      </c>
      <c r="S2156" s="2" t="s">
        <v>100</v>
      </c>
      <c r="T2156" s="2" t="s">
        <v>100</v>
      </c>
      <c r="U2156" s="2" t="s">
        <v>1776</v>
      </c>
      <c r="V2156" s="2" t="s">
        <v>461</v>
      </c>
      <c r="W2156" s="2" t="s">
        <v>104</v>
      </c>
      <c r="X2156" s="2" t="s">
        <v>100</v>
      </c>
      <c r="Y2156" s="2" t="s">
        <v>6487</v>
      </c>
      <c r="Z2156" s="4">
        <v>471</v>
      </c>
      <c r="AA2156" s="4">
        <f>=ROUNDDOWN(21.4090909090909,0)</f>
      </c>
      <c r="AB2156" s="5">
        <v>22</v>
      </c>
      <c r="AC2156" s="2" t="s">
        <v>173</v>
      </c>
      <c r="AD2156" s="4">
        <v>158</v>
      </c>
      <c r="AE2156" s="4">
        <v>158</v>
      </c>
      <c r="AF2156" s="6">
        <v>65</v>
      </c>
      <c r="AG2156" s="6">
        <v>48</v>
      </c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/>
      <c r="AW2156" s="8"/>
      <c r="AX2156" s="4"/>
      <c r="AY2156" s="8"/>
      <c r="AZ2156" s="7"/>
      <c r="BA2156" s="7"/>
      <c r="BB2156" s="7"/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/>
      <c r="BJ2156" s="4">
        <v>90</v>
      </c>
      <c r="BK2156" s="8">
        <v>25260.36</v>
      </c>
      <c r="BL2156" s="2" t="s">
        <v>7497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2526</v>
      </c>
      <c r="BV2156" s="2" t="s">
        <v>97</v>
      </c>
      <c r="BW2156" s="2" t="s">
        <v>100</v>
      </c>
      <c r="BX2156" s="2" t="s">
        <v>100</v>
      </c>
      <c r="BY2156" s="2" t="s">
        <v>112</v>
      </c>
      <c r="BZ2156" s="2" t="s">
        <v>100</v>
      </c>
    </row>
    <row r="2157">
      <c r="A2157" s="2" t="s">
        <v>7498</v>
      </c>
      <c r="B2157" s="2" t="s">
        <v>6747</v>
      </c>
      <c r="C2157" s="2" t="s">
        <v>88</v>
      </c>
      <c r="D2157" s="2" t="s">
        <v>6789</v>
      </c>
      <c r="E2157" s="2" t="s">
        <v>6800</v>
      </c>
      <c r="F2157" s="2" t="s">
        <v>7492</v>
      </c>
      <c r="G2157" s="2" t="s">
        <v>7493</v>
      </c>
      <c r="H2157" s="2" t="s">
        <v>7494</v>
      </c>
      <c r="I2157" s="2" t="s">
        <v>7495</v>
      </c>
      <c r="J2157" s="2" t="s">
        <v>3385</v>
      </c>
      <c r="K2157" s="2" t="s">
        <v>7499</v>
      </c>
      <c r="L2157" s="3">
        <v>251.08</v>
      </c>
      <c r="M2157" s="3">
        <v>263.63</v>
      </c>
      <c r="N2157" s="3">
        <v>529</v>
      </c>
      <c r="O2157" s="2" t="s">
        <v>97</v>
      </c>
      <c r="P2157" s="2" t="s">
        <v>98</v>
      </c>
      <c r="Q2157" s="2" t="s">
        <v>99</v>
      </c>
      <c r="R2157" s="2" t="s">
        <v>100</v>
      </c>
      <c r="S2157" s="2" t="s">
        <v>100</v>
      </c>
      <c r="T2157" s="2" t="s">
        <v>100</v>
      </c>
      <c r="U2157" s="2" t="s">
        <v>1776</v>
      </c>
      <c r="V2157" s="2" t="s">
        <v>461</v>
      </c>
      <c r="W2157" s="2" t="s">
        <v>104</v>
      </c>
      <c r="X2157" s="2" t="s">
        <v>100</v>
      </c>
      <c r="Y2157" s="2" t="s">
        <v>7500</v>
      </c>
      <c r="Z2157" s="4">
        <v>154</v>
      </c>
      <c r="AA2157" s="4">
        <f>=ROUNDDOWN(11.8461538461538,0)</f>
      </c>
      <c r="AB2157" s="5">
        <v>13</v>
      </c>
      <c r="AC2157" s="2" t="s">
        <v>2709</v>
      </c>
      <c r="AD2157" s="4">
        <v>68</v>
      </c>
      <c r="AE2157" s="4">
        <v>262</v>
      </c>
      <c r="AF2157" s="6">
        <v>65</v>
      </c>
      <c r="AG2157" s="6">
        <v>48</v>
      </c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/>
      <c r="AW2157" s="8"/>
      <c r="AX2157" s="4"/>
      <c r="AY2157" s="8"/>
      <c r="AZ2157" s="7"/>
      <c r="BA2157" s="7"/>
      <c r="BB2157" s="7"/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/>
      <c r="BJ2157" s="4">
        <v>42</v>
      </c>
      <c r="BK2157" s="8">
        <v>11529.65</v>
      </c>
      <c r="BL2157" s="2" t="s">
        <v>7501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2526</v>
      </c>
      <c r="BV2157" s="2" t="s">
        <v>97</v>
      </c>
      <c r="BW2157" s="2" t="s">
        <v>100</v>
      </c>
      <c r="BX2157" s="2" t="s">
        <v>100</v>
      </c>
      <c r="BY2157" s="2" t="s">
        <v>112</v>
      </c>
      <c r="BZ2157" s="2" t="s">
        <v>100</v>
      </c>
    </row>
    <row r="2158">
      <c r="A2158" s="2" t="s">
        <v>7502</v>
      </c>
      <c r="B2158" s="2" t="s">
        <v>6747</v>
      </c>
      <c r="C2158" s="2" t="s">
        <v>88</v>
      </c>
      <c r="D2158" s="2" t="s">
        <v>6789</v>
      </c>
      <c r="E2158" s="2" t="s">
        <v>6800</v>
      </c>
      <c r="F2158" s="2" t="s">
        <v>7503</v>
      </c>
      <c r="G2158" s="2" t="s">
        <v>7504</v>
      </c>
      <c r="H2158" s="2" t="s">
        <v>7505</v>
      </c>
      <c r="I2158" s="2" t="s">
        <v>6790</v>
      </c>
      <c r="J2158" s="2" t="s">
        <v>3385</v>
      </c>
      <c r="K2158" s="2" t="s">
        <v>706</v>
      </c>
      <c r="L2158" s="3">
        <v>156.75</v>
      </c>
      <c r="M2158" s="3">
        <v>164.59</v>
      </c>
      <c r="N2158" s="3">
        <v>329</v>
      </c>
      <c r="O2158" s="2" t="s">
        <v>97</v>
      </c>
      <c r="P2158" s="2" t="s">
        <v>98</v>
      </c>
      <c r="Q2158" s="2" t="s">
        <v>99</v>
      </c>
      <c r="R2158" s="2" t="s">
        <v>100</v>
      </c>
      <c r="S2158" s="2" t="s">
        <v>7506</v>
      </c>
      <c r="T2158" s="2" t="s">
        <v>100</v>
      </c>
      <c r="U2158" s="2" t="s">
        <v>100</v>
      </c>
      <c r="V2158" s="2" t="s">
        <v>4636</v>
      </c>
      <c r="W2158" s="2" t="s">
        <v>493</v>
      </c>
      <c r="X2158" s="2" t="s">
        <v>100</v>
      </c>
      <c r="Y2158" s="2" t="s">
        <v>144</v>
      </c>
      <c r="Z2158" s="4">
        <v>196</v>
      </c>
      <c r="AA2158" s="4">
        <f>=ROUNDDOWN(17.8181818181818,0)</f>
      </c>
      <c r="AB2158" s="5">
        <v>11</v>
      </c>
      <c r="AC2158" s="2" t="s">
        <v>2709</v>
      </c>
      <c r="AD2158" s="4">
        <v>2</v>
      </c>
      <c r="AE2158" s="4">
        <v>132</v>
      </c>
      <c r="AF2158" s="6">
        <v>74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/>
      <c r="AW2158" s="8"/>
      <c r="AX2158" s="4"/>
      <c r="AY2158" s="8"/>
      <c r="AZ2158" s="7"/>
      <c r="BA2158" s="7"/>
      <c r="BB2158" s="7"/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/>
      <c r="BJ2158" s="4">
        <v>42</v>
      </c>
      <c r="BK2158" s="8">
        <v>7074.52</v>
      </c>
      <c r="BL2158" s="2" t="s">
        <v>7507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2526</v>
      </c>
      <c r="BV2158" s="2" t="s">
        <v>97</v>
      </c>
      <c r="BW2158" s="2" t="s">
        <v>100</v>
      </c>
      <c r="BX2158" s="2" t="s">
        <v>100</v>
      </c>
      <c r="BY2158" s="2" t="s">
        <v>112</v>
      </c>
      <c r="BZ2158" s="2" t="s">
        <v>100</v>
      </c>
    </row>
    <row r="2159">
      <c r="A2159" s="2" t="s">
        <v>7508</v>
      </c>
      <c r="B2159" s="2" t="s">
        <v>6747</v>
      </c>
      <c r="C2159" s="2" t="s">
        <v>88</v>
      </c>
      <c r="D2159" s="2" t="s">
        <v>6789</v>
      </c>
      <c r="E2159" s="2" t="s">
        <v>6800</v>
      </c>
      <c r="F2159" s="2" t="s">
        <v>7503</v>
      </c>
      <c r="G2159" s="2" t="s">
        <v>7504</v>
      </c>
      <c r="H2159" s="2" t="s">
        <v>7505</v>
      </c>
      <c r="I2159" s="2" t="s">
        <v>6790</v>
      </c>
      <c r="J2159" s="2" t="s">
        <v>3385</v>
      </c>
      <c r="K2159" s="2" t="s">
        <v>7509</v>
      </c>
      <c r="L2159" s="3">
        <v>156.75</v>
      </c>
      <c r="M2159" s="3">
        <v>164.59</v>
      </c>
      <c r="N2159" s="3">
        <v>329</v>
      </c>
      <c r="O2159" s="2" t="s">
        <v>97</v>
      </c>
      <c r="P2159" s="2" t="s">
        <v>707</v>
      </c>
      <c r="Q2159" s="2" t="s">
        <v>99</v>
      </c>
      <c r="R2159" s="2" t="s">
        <v>100</v>
      </c>
      <c r="S2159" s="2" t="s">
        <v>100</v>
      </c>
      <c r="T2159" s="2" t="s">
        <v>100</v>
      </c>
      <c r="U2159" s="2" t="s">
        <v>1776</v>
      </c>
      <c r="V2159" s="2" t="s">
        <v>192</v>
      </c>
      <c r="W2159" s="2" t="s">
        <v>493</v>
      </c>
      <c r="X2159" s="2" t="s">
        <v>100</v>
      </c>
      <c r="Y2159" s="2" t="s">
        <v>7360</v>
      </c>
      <c r="Z2159" s="4">
        <v>48</v>
      </c>
      <c r="AA2159" s="4">
        <f>=ROUNDDOWN(20.8695652173913,0)</f>
      </c>
      <c r="AB2159" s="5">
        <v>2.3</v>
      </c>
      <c r="AC2159" s="2" t="s">
        <v>2709</v>
      </c>
      <c r="AD2159" s="4">
        <v>80</v>
      </c>
      <c r="AE2159" s="4">
        <v>80</v>
      </c>
      <c r="AF2159" s="6">
        <v>74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/>
      <c r="AW2159" s="8"/>
      <c r="AX2159" s="4"/>
      <c r="AY2159" s="8"/>
      <c r="AZ2159" s="7"/>
      <c r="BA2159" s="7"/>
      <c r="BB2159" s="7"/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/>
      <c r="BJ2159" s="4">
        <v>21</v>
      </c>
      <c r="BK2159" s="8">
        <v>3459.99</v>
      </c>
      <c r="BL2159" s="2" t="s">
        <v>7510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2526</v>
      </c>
      <c r="BV2159" s="2" t="s">
        <v>97</v>
      </c>
      <c r="BW2159" s="2" t="s">
        <v>100</v>
      </c>
      <c r="BX2159" s="2" t="s">
        <v>100</v>
      </c>
      <c r="BY2159" s="2" t="s">
        <v>112</v>
      </c>
      <c r="BZ2159" s="2" t="s">
        <v>100</v>
      </c>
    </row>
    <row r="2160">
      <c r="A2160" s="2" t="s">
        <v>7511</v>
      </c>
      <c r="B2160" s="2" t="s">
        <v>6747</v>
      </c>
      <c r="C2160" s="2" t="s">
        <v>88</v>
      </c>
      <c r="D2160" s="2" t="s">
        <v>6789</v>
      </c>
      <c r="E2160" s="2" t="s">
        <v>6800</v>
      </c>
      <c r="F2160" s="2" t="s">
        <v>7512</v>
      </c>
      <c r="G2160" s="2" t="s">
        <v>1131</v>
      </c>
      <c r="H2160" s="2" t="s">
        <v>7513</v>
      </c>
      <c r="I2160" s="2" t="s">
        <v>7514</v>
      </c>
      <c r="J2160" s="2" t="s">
        <v>3385</v>
      </c>
      <c r="K2160" s="2" t="s">
        <v>1090</v>
      </c>
      <c r="L2160" s="3">
        <v>180.5</v>
      </c>
      <c r="M2160" s="3">
        <v>189.52</v>
      </c>
      <c r="N2160" s="3">
        <v>379</v>
      </c>
      <c r="O2160" s="2" t="s">
        <v>97</v>
      </c>
      <c r="P2160" s="2" t="s">
        <v>707</v>
      </c>
      <c r="Q2160" s="2" t="s">
        <v>99</v>
      </c>
      <c r="R2160" s="2" t="s">
        <v>100</v>
      </c>
      <c r="S2160" s="2" t="s">
        <v>7515</v>
      </c>
      <c r="T2160" s="2" t="s">
        <v>100</v>
      </c>
      <c r="U2160" s="2" t="s">
        <v>100</v>
      </c>
      <c r="V2160" s="2" t="s">
        <v>461</v>
      </c>
      <c r="W2160" s="2" t="s">
        <v>493</v>
      </c>
      <c r="X2160" s="2" t="s">
        <v>100</v>
      </c>
      <c r="Y2160" s="2" t="s">
        <v>144</v>
      </c>
      <c r="Z2160" s="4">
        <v>81</v>
      </c>
      <c r="AA2160" s="4">
        <f>=ROUNDDOWN(40.5,0)</f>
      </c>
      <c r="AB2160" s="5">
        <v>2</v>
      </c>
      <c r="AC2160" s="2" t="s">
        <v>100</v>
      </c>
      <c r="AD2160" s="4"/>
      <c r="AE2160" s="4"/>
      <c r="AF2160" s="6">
        <v>66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/>
      <c r="AW2160" s="8"/>
      <c r="AX2160" s="4"/>
      <c r="AY2160" s="8"/>
      <c r="AZ2160" s="7"/>
      <c r="BA2160" s="7"/>
      <c r="BB2160" s="7"/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/>
      <c r="BJ2160" s="4">
        <v>7</v>
      </c>
      <c r="BK2160" s="8">
        <v>1147.79</v>
      </c>
      <c r="BL2160" s="2" t="s">
        <v>7516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2526</v>
      </c>
      <c r="BV2160" s="2" t="s">
        <v>97</v>
      </c>
      <c r="BW2160" s="2" t="s">
        <v>100</v>
      </c>
      <c r="BX2160" s="2" t="s">
        <v>100</v>
      </c>
      <c r="BY2160" s="2" t="s">
        <v>112</v>
      </c>
      <c r="BZ2160" s="2" t="s">
        <v>100</v>
      </c>
    </row>
    <row r="2161">
      <c r="A2161" s="2" t="s">
        <v>7517</v>
      </c>
      <c r="B2161" s="2" t="s">
        <v>6747</v>
      </c>
      <c r="C2161" s="2" t="s">
        <v>88</v>
      </c>
      <c r="D2161" s="2" t="s">
        <v>6789</v>
      </c>
      <c r="E2161" s="2" t="s">
        <v>6800</v>
      </c>
      <c r="F2161" s="2" t="s">
        <v>7512</v>
      </c>
      <c r="G2161" s="2" t="s">
        <v>1131</v>
      </c>
      <c r="H2161" s="2" t="s">
        <v>7513</v>
      </c>
      <c r="I2161" s="2" t="s">
        <v>7514</v>
      </c>
      <c r="J2161" s="2" t="s">
        <v>3385</v>
      </c>
      <c r="K2161" s="2" t="s">
        <v>4391</v>
      </c>
      <c r="L2161" s="3">
        <v>180.5</v>
      </c>
      <c r="M2161" s="3">
        <v>189.52</v>
      </c>
      <c r="N2161" s="3">
        <v>379</v>
      </c>
      <c r="O2161" s="2" t="s">
        <v>97</v>
      </c>
      <c r="P2161" s="2" t="s">
        <v>98</v>
      </c>
      <c r="Q2161" s="2" t="s">
        <v>99</v>
      </c>
      <c r="R2161" s="2" t="s">
        <v>100</v>
      </c>
      <c r="S2161" s="2" t="s">
        <v>7518</v>
      </c>
      <c r="T2161" s="2" t="s">
        <v>100</v>
      </c>
      <c r="U2161" s="2" t="s">
        <v>100</v>
      </c>
      <c r="V2161" s="2" t="s">
        <v>461</v>
      </c>
      <c r="W2161" s="2" t="s">
        <v>493</v>
      </c>
      <c r="X2161" s="2" t="s">
        <v>100</v>
      </c>
      <c r="Y2161" s="2" t="s">
        <v>144</v>
      </c>
      <c r="Z2161" s="4">
        <v>173</v>
      </c>
      <c r="AA2161" s="4">
        <f>=ROUNDDOWN(24.7142857142857,0)</f>
      </c>
      <c r="AB2161" s="5">
        <v>7</v>
      </c>
      <c r="AC2161" s="2" t="s">
        <v>100</v>
      </c>
      <c r="AD2161" s="4"/>
      <c r="AE2161" s="4"/>
      <c r="AF2161" s="6">
        <v>66</v>
      </c>
      <c r="AG2161" s="6">
        <v>49</v>
      </c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/>
      <c r="AW2161" s="8"/>
      <c r="AX2161" s="4"/>
      <c r="AY2161" s="8"/>
      <c r="AZ2161" s="7"/>
      <c r="BA2161" s="7"/>
      <c r="BB2161" s="7"/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/>
      <c r="BJ2161" s="4">
        <v>35</v>
      </c>
      <c r="BK2161" s="8">
        <v>6321.84</v>
      </c>
      <c r="BL2161" s="2" t="s">
        <v>7519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2526</v>
      </c>
      <c r="BV2161" s="2" t="s">
        <v>97</v>
      </c>
      <c r="BW2161" s="2" t="s">
        <v>100</v>
      </c>
      <c r="BX2161" s="2" t="s">
        <v>100</v>
      </c>
      <c r="BY2161" s="2" t="s">
        <v>112</v>
      </c>
      <c r="BZ2161" s="2" t="s">
        <v>100</v>
      </c>
    </row>
    <row r="2162">
      <c r="A2162" s="2" t="s">
        <v>7520</v>
      </c>
      <c r="B2162" s="2" t="s">
        <v>6747</v>
      </c>
      <c r="C2162" s="2" t="s">
        <v>88</v>
      </c>
      <c r="D2162" s="2" t="s">
        <v>6789</v>
      </c>
      <c r="E2162" s="2" t="s">
        <v>6800</v>
      </c>
      <c r="F2162" s="2" t="s">
        <v>7521</v>
      </c>
      <c r="G2162" s="2" t="s">
        <v>7522</v>
      </c>
      <c r="H2162" s="2" t="s">
        <v>7523</v>
      </c>
      <c r="I2162" s="2" t="s">
        <v>7524</v>
      </c>
      <c r="J2162" s="2" t="s">
        <v>3385</v>
      </c>
      <c r="K2162" s="2" t="s">
        <v>179</v>
      </c>
      <c r="L2162" s="3">
        <v>212.85</v>
      </c>
      <c r="M2162" s="3">
        <v>223.49</v>
      </c>
      <c r="N2162" s="3">
        <v>449</v>
      </c>
      <c r="O2162" s="2" t="s">
        <v>97</v>
      </c>
      <c r="P2162" s="2" t="s">
        <v>98</v>
      </c>
      <c r="Q2162" s="2" t="s">
        <v>99</v>
      </c>
      <c r="R2162" s="2" t="s">
        <v>100</v>
      </c>
      <c r="S2162" s="2" t="s">
        <v>7525</v>
      </c>
      <c r="T2162" s="2" t="s">
        <v>100</v>
      </c>
      <c r="U2162" s="2" t="s">
        <v>100</v>
      </c>
      <c r="V2162" s="2" t="s">
        <v>461</v>
      </c>
      <c r="W2162" s="2" t="s">
        <v>142</v>
      </c>
      <c r="X2162" s="2" t="s">
        <v>100</v>
      </c>
      <c r="Y2162" s="2" t="s">
        <v>144</v>
      </c>
      <c r="Z2162" s="4">
        <v>84</v>
      </c>
      <c r="AA2162" s="4">
        <f>=ROUNDDOWN(10.5,0)</f>
      </c>
      <c r="AB2162" s="5">
        <v>8</v>
      </c>
      <c r="AC2162" s="2" t="s">
        <v>130</v>
      </c>
      <c r="AD2162" s="4">
        <v>82</v>
      </c>
      <c r="AE2162" s="4">
        <v>204</v>
      </c>
      <c r="AF2162" s="6">
        <v>66</v>
      </c>
      <c r="AG2162" s="6">
        <v>49</v>
      </c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/>
      <c r="AW2162" s="8"/>
      <c r="AX2162" s="4"/>
      <c r="AY2162" s="8"/>
      <c r="AZ2162" s="7"/>
      <c r="BA2162" s="7"/>
      <c r="BB2162" s="7"/>
      <c r="BC2162" s="4"/>
      <c r="BD2162" s="8"/>
      <c r="BE2162" s="4"/>
      <c r="BF2162" s="8"/>
      <c r="BG2162" s="7"/>
      <c r="BH2162" s="7"/>
      <c r="BI2162" s="7"/>
      <c r="BJ2162" s="4">
        <v>22</v>
      </c>
      <c r="BK2162" s="8">
        <v>4751.22</v>
      </c>
      <c r="BL2162" s="2" t="s">
        <v>7526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2526</v>
      </c>
      <c r="BV2162" s="2" t="s">
        <v>97</v>
      </c>
      <c r="BW2162" s="2" t="s">
        <v>100</v>
      </c>
      <c r="BX2162" s="2" t="s">
        <v>100</v>
      </c>
      <c r="BY2162" s="2" t="s">
        <v>112</v>
      </c>
      <c r="BZ2162" s="2" t="s">
        <v>100</v>
      </c>
    </row>
    <row r="2163">
      <c r="A2163" s="2" t="s">
        <v>7527</v>
      </c>
      <c r="B2163" s="2" t="s">
        <v>6747</v>
      </c>
      <c r="C2163" s="2" t="s">
        <v>88</v>
      </c>
      <c r="D2163" s="2" t="s">
        <v>6789</v>
      </c>
      <c r="E2163" s="2" t="s">
        <v>6800</v>
      </c>
      <c r="F2163" s="2" t="s">
        <v>7528</v>
      </c>
      <c r="G2163" s="2" t="s">
        <v>7529</v>
      </c>
      <c r="H2163" s="2" t="s">
        <v>7530</v>
      </c>
      <c r="I2163" s="2" t="s">
        <v>7531</v>
      </c>
      <c r="J2163" s="2" t="s">
        <v>3385</v>
      </c>
      <c r="K2163" s="2" t="s">
        <v>1373</v>
      </c>
      <c r="L2163" s="3">
        <v>204.25</v>
      </c>
      <c r="M2163" s="3">
        <v>214.46</v>
      </c>
      <c r="N2163" s="3">
        <v>429</v>
      </c>
      <c r="O2163" s="2" t="s">
        <v>97</v>
      </c>
      <c r="P2163" s="2" t="s">
        <v>98</v>
      </c>
      <c r="Q2163" s="2" t="s">
        <v>99</v>
      </c>
      <c r="R2163" s="2" t="s">
        <v>100</v>
      </c>
      <c r="S2163" s="2" t="s">
        <v>7532</v>
      </c>
      <c r="T2163" s="2" t="s">
        <v>100</v>
      </c>
      <c r="U2163" s="2" t="s">
        <v>100</v>
      </c>
      <c r="V2163" s="2" t="s">
        <v>461</v>
      </c>
      <c r="W2163" s="2" t="s">
        <v>142</v>
      </c>
      <c r="X2163" s="2" t="s">
        <v>100</v>
      </c>
      <c r="Y2163" s="2" t="s">
        <v>144</v>
      </c>
      <c r="Z2163" s="4">
        <v>158</v>
      </c>
      <c r="AA2163" s="4">
        <f>=ROUNDDOWN(27.2413793103448,0)</f>
      </c>
      <c r="AB2163" s="5">
        <v>5.8</v>
      </c>
      <c r="AC2163" s="2" t="s">
        <v>2709</v>
      </c>
      <c r="AD2163" s="4">
        <v>88</v>
      </c>
      <c r="AE2163" s="4">
        <v>206</v>
      </c>
      <c r="AF2163" s="6">
        <v>74</v>
      </c>
      <c r="AG2163" s="6">
        <v>60</v>
      </c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/>
      <c r="AW2163" s="8"/>
      <c r="AX2163" s="4"/>
      <c r="AY2163" s="8"/>
      <c r="AZ2163" s="7"/>
      <c r="BA2163" s="7"/>
      <c r="BB2163" s="7"/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/>
      <c r="BJ2163" s="4">
        <v>31</v>
      </c>
      <c r="BK2163" s="8">
        <v>6298.28</v>
      </c>
      <c r="BL2163" s="2" t="s">
        <v>7533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2526</v>
      </c>
      <c r="BV2163" s="2" t="s">
        <v>97</v>
      </c>
      <c r="BW2163" s="2" t="s">
        <v>100</v>
      </c>
      <c r="BX2163" s="2" t="s">
        <v>100</v>
      </c>
      <c r="BY2163" s="2" t="s">
        <v>112</v>
      </c>
      <c r="BZ2163" s="2" t="s">
        <v>100</v>
      </c>
    </row>
    <row r="2164">
      <c r="A2164" s="2" t="s">
        <v>7534</v>
      </c>
      <c r="B2164" s="2" t="s">
        <v>6747</v>
      </c>
      <c r="C2164" s="2" t="s">
        <v>88</v>
      </c>
      <c r="D2164" s="2" t="s">
        <v>6789</v>
      </c>
      <c r="E2164" s="2" t="s">
        <v>6800</v>
      </c>
      <c r="F2164" s="2" t="s">
        <v>7528</v>
      </c>
      <c r="G2164" s="2" t="s">
        <v>7529</v>
      </c>
      <c r="H2164" s="2" t="s">
        <v>7530</v>
      </c>
      <c r="I2164" s="2" t="s">
        <v>7531</v>
      </c>
      <c r="J2164" s="2" t="s">
        <v>3385</v>
      </c>
      <c r="K2164" s="2" t="s">
        <v>842</v>
      </c>
      <c r="L2164" s="3">
        <v>204.25</v>
      </c>
      <c r="M2164" s="3">
        <v>214.46</v>
      </c>
      <c r="N2164" s="3">
        <v>429</v>
      </c>
      <c r="O2164" s="2" t="s">
        <v>97</v>
      </c>
      <c r="P2164" s="2" t="s">
        <v>98</v>
      </c>
      <c r="Q2164" s="2" t="s">
        <v>99</v>
      </c>
      <c r="R2164" s="2" t="s">
        <v>100</v>
      </c>
      <c r="S2164" s="2" t="s">
        <v>7535</v>
      </c>
      <c r="T2164" s="2" t="s">
        <v>100</v>
      </c>
      <c r="U2164" s="2" t="s">
        <v>100</v>
      </c>
      <c r="V2164" s="2" t="s">
        <v>461</v>
      </c>
      <c r="W2164" s="2" t="s">
        <v>142</v>
      </c>
      <c r="X2164" s="2" t="s">
        <v>100</v>
      </c>
      <c r="Y2164" s="2" t="s">
        <v>144</v>
      </c>
      <c r="Z2164" s="4">
        <v>102</v>
      </c>
      <c r="AA2164" s="4">
        <f>=ROUNDDOWN(16.7213114754098,0)</f>
      </c>
      <c r="AB2164" s="5">
        <v>6.1</v>
      </c>
      <c r="AC2164" s="2" t="s">
        <v>2709</v>
      </c>
      <c r="AD2164" s="4">
        <v>82</v>
      </c>
      <c r="AE2164" s="4">
        <v>82</v>
      </c>
      <c r="AF2164" s="6">
        <v>74</v>
      </c>
      <c r="AG2164" s="6"/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/>
      <c r="AW2164" s="8"/>
      <c r="AX2164" s="4"/>
      <c r="AY2164" s="8"/>
      <c r="AZ2164" s="7"/>
      <c r="BA2164" s="7"/>
      <c r="BB2164" s="7"/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/>
      <c r="BJ2164" s="4">
        <v>26</v>
      </c>
      <c r="BK2164" s="8">
        <v>4999.95</v>
      </c>
      <c r="BL2164" s="2" t="s">
        <v>7536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2526</v>
      </c>
      <c r="BV2164" s="2" t="s">
        <v>97</v>
      </c>
      <c r="BW2164" s="2" t="s">
        <v>100</v>
      </c>
      <c r="BX2164" s="2" t="s">
        <v>100</v>
      </c>
      <c r="BY2164" s="2" t="s">
        <v>112</v>
      </c>
      <c r="BZ2164" s="2" t="s">
        <v>100</v>
      </c>
    </row>
    <row r="2165">
      <c r="A2165" s="2" t="s">
        <v>7537</v>
      </c>
      <c r="B2165" s="2" t="s">
        <v>6747</v>
      </c>
      <c r="C2165" s="2" t="s">
        <v>88</v>
      </c>
      <c r="D2165" s="2" t="s">
        <v>6789</v>
      </c>
      <c r="E2165" s="2" t="s">
        <v>6800</v>
      </c>
      <c r="F2165" s="2" t="s">
        <v>7538</v>
      </c>
      <c r="G2165" s="2" t="s">
        <v>7539</v>
      </c>
      <c r="H2165" s="2" t="s">
        <v>7540</v>
      </c>
      <c r="I2165" s="2" t="s">
        <v>7541</v>
      </c>
      <c r="J2165" s="2" t="s">
        <v>3385</v>
      </c>
      <c r="K2165" s="2" t="s">
        <v>706</v>
      </c>
      <c r="L2165" s="3">
        <v>135</v>
      </c>
      <c r="M2165" s="3">
        <v>141.75</v>
      </c>
      <c r="N2165" s="3">
        <v>289</v>
      </c>
      <c r="O2165" s="2" t="s">
        <v>97</v>
      </c>
      <c r="P2165" s="2" t="s">
        <v>707</v>
      </c>
      <c r="Q2165" s="2" t="s">
        <v>99</v>
      </c>
      <c r="R2165" s="2" t="s">
        <v>100</v>
      </c>
      <c r="S2165" s="2" t="s">
        <v>7542</v>
      </c>
      <c r="T2165" s="2" t="s">
        <v>100</v>
      </c>
      <c r="U2165" s="2" t="s">
        <v>100</v>
      </c>
      <c r="V2165" s="2" t="s">
        <v>4636</v>
      </c>
      <c r="W2165" s="2" t="s">
        <v>493</v>
      </c>
      <c r="X2165" s="2" t="s">
        <v>100</v>
      </c>
      <c r="Y2165" s="2" t="s">
        <v>144</v>
      </c>
      <c r="Z2165" s="4">
        <v>118</v>
      </c>
      <c r="AA2165" s="4">
        <f>=ROUNDDOWN(19.6666666666667,0)</f>
      </c>
      <c r="AB2165" s="5">
        <v>6</v>
      </c>
      <c r="AC2165" s="2" t="s">
        <v>7543</v>
      </c>
      <c r="AD2165" s="4">
        <v>100</v>
      </c>
      <c r="AE2165" s="4">
        <v>100</v>
      </c>
      <c r="AF2165" s="6">
        <v>74</v>
      </c>
      <c r="AG2165" s="6"/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/>
      <c r="AW2165" s="8"/>
      <c r="AX2165" s="4"/>
      <c r="AY2165" s="8"/>
      <c r="AZ2165" s="7"/>
      <c r="BA2165" s="7"/>
      <c r="BB2165" s="7"/>
      <c r="BC2165" s="4"/>
      <c r="BD2165" s="8"/>
      <c r="BE2165" s="4"/>
      <c r="BF2165" s="8"/>
      <c r="BG2165" s="7"/>
      <c r="BH2165" s="7"/>
      <c r="BI2165" s="7"/>
      <c r="BJ2165" s="4">
        <v>14</v>
      </c>
      <c r="BK2165" s="8">
        <v>2097.87</v>
      </c>
      <c r="BL2165" s="2" t="s">
        <v>7544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2526</v>
      </c>
      <c r="BV2165" s="2" t="s">
        <v>97</v>
      </c>
      <c r="BW2165" s="2" t="s">
        <v>100</v>
      </c>
      <c r="BX2165" s="2" t="s">
        <v>100</v>
      </c>
      <c r="BY2165" s="2" t="s">
        <v>112</v>
      </c>
      <c r="BZ2165" s="2" t="s">
        <v>100</v>
      </c>
    </row>
    <row r="2166">
      <c r="A2166" s="2" t="s">
        <v>7545</v>
      </c>
      <c r="B2166" s="2" t="s">
        <v>6747</v>
      </c>
      <c r="C2166" s="2" t="s">
        <v>88</v>
      </c>
      <c r="D2166" s="2" t="s">
        <v>6789</v>
      </c>
      <c r="E2166" s="2" t="s">
        <v>6800</v>
      </c>
      <c r="F2166" s="2" t="s">
        <v>7546</v>
      </c>
      <c r="G2166" s="2" t="s">
        <v>7547</v>
      </c>
      <c r="H2166" s="2" t="s">
        <v>7548</v>
      </c>
      <c r="I2166" s="2" t="s">
        <v>6790</v>
      </c>
      <c r="J2166" s="2" t="s">
        <v>3385</v>
      </c>
      <c r="K2166" s="2" t="s">
        <v>7549</v>
      </c>
      <c r="L2166" s="3">
        <v>207.9</v>
      </c>
      <c r="M2166" s="3">
        <v>218.3</v>
      </c>
      <c r="N2166" s="3">
        <v>439</v>
      </c>
      <c r="O2166" s="2" t="s">
        <v>97</v>
      </c>
      <c r="P2166" s="2" t="s">
        <v>98</v>
      </c>
      <c r="Q2166" s="2" t="s">
        <v>99</v>
      </c>
      <c r="R2166" s="2" t="s">
        <v>100</v>
      </c>
      <c r="S2166" s="2" t="s">
        <v>100</v>
      </c>
      <c r="T2166" s="2" t="s">
        <v>100</v>
      </c>
      <c r="U2166" s="2" t="s">
        <v>100</v>
      </c>
      <c r="V2166" s="2" t="s">
        <v>461</v>
      </c>
      <c r="W2166" s="2" t="s">
        <v>609</v>
      </c>
      <c r="X2166" s="2" t="s">
        <v>100</v>
      </c>
      <c r="Y2166" s="2" t="s">
        <v>7550</v>
      </c>
      <c r="Z2166" s="4">
        <v>83</v>
      </c>
      <c r="AA2166" s="4">
        <f>=ROUNDDOWN(16.6,0)</f>
      </c>
      <c r="AB2166" s="5">
        <v>5</v>
      </c>
      <c r="AC2166" s="2" t="s">
        <v>1142</v>
      </c>
      <c r="AD2166" s="4">
        <v>92</v>
      </c>
      <c r="AE2166" s="4">
        <v>92</v>
      </c>
      <c r="AF2166" s="6">
        <v>66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/>
      <c r="BJ2166" s="4">
        <v>27</v>
      </c>
      <c r="BK2166" s="8">
        <v>5642.46</v>
      </c>
      <c r="BL2166" s="2" t="s">
        <v>7551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2526</v>
      </c>
      <c r="BV2166" s="2" t="s">
        <v>97</v>
      </c>
      <c r="BW2166" s="2" t="s">
        <v>100</v>
      </c>
      <c r="BX2166" s="2" t="s">
        <v>100</v>
      </c>
      <c r="BY2166" s="2" t="s">
        <v>112</v>
      </c>
      <c r="BZ2166" s="2" t="s">
        <v>100</v>
      </c>
    </row>
    <row r="2167">
      <c r="A2167" s="2" t="s">
        <v>7552</v>
      </c>
      <c r="B2167" s="2" t="s">
        <v>6747</v>
      </c>
      <c r="C2167" s="2" t="s">
        <v>88</v>
      </c>
      <c r="D2167" s="2" t="s">
        <v>6789</v>
      </c>
      <c r="E2167" s="2" t="s">
        <v>6800</v>
      </c>
      <c r="F2167" s="2" t="s">
        <v>7546</v>
      </c>
      <c r="G2167" s="2" t="s">
        <v>7547</v>
      </c>
      <c r="H2167" s="2" t="s">
        <v>7548</v>
      </c>
      <c r="I2167" s="2" t="s">
        <v>6790</v>
      </c>
      <c r="J2167" s="2" t="s">
        <v>3385</v>
      </c>
      <c r="K2167" s="2" t="s">
        <v>96</v>
      </c>
      <c r="L2167" s="3">
        <v>207.9</v>
      </c>
      <c r="M2167" s="3">
        <v>218.3</v>
      </c>
      <c r="N2167" s="3">
        <v>439</v>
      </c>
      <c r="O2167" s="2" t="s">
        <v>97</v>
      </c>
      <c r="P2167" s="2" t="s">
        <v>707</v>
      </c>
      <c r="Q2167" s="2" t="s">
        <v>99</v>
      </c>
      <c r="R2167" s="2" t="s">
        <v>100</v>
      </c>
      <c r="S2167" s="2" t="s">
        <v>100</v>
      </c>
      <c r="T2167" s="2" t="s">
        <v>100</v>
      </c>
      <c r="U2167" s="2" t="s">
        <v>100</v>
      </c>
      <c r="V2167" s="2" t="s">
        <v>461</v>
      </c>
      <c r="W2167" s="2" t="s">
        <v>609</v>
      </c>
      <c r="X2167" s="2" t="s">
        <v>100</v>
      </c>
      <c r="Y2167" s="2" t="s">
        <v>7550</v>
      </c>
      <c r="Z2167" s="4">
        <v>103</v>
      </c>
      <c r="AA2167" s="4">
        <f>=ROUNDDOWN(34.3333333333333,0)</f>
      </c>
      <c r="AB2167" s="5">
        <v>3</v>
      </c>
      <c r="AC2167" s="2" t="s">
        <v>100</v>
      </c>
      <c r="AD2167" s="4"/>
      <c r="AE2167" s="4"/>
      <c r="AF2167" s="6">
        <v>66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/>
      <c r="AW2167" s="8"/>
      <c r="AX2167" s="4"/>
      <c r="AY2167" s="8"/>
      <c r="AZ2167" s="7"/>
      <c r="BA2167" s="7"/>
      <c r="BB2167" s="7"/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/>
      <c r="BJ2167" s="4">
        <v>10</v>
      </c>
      <c r="BK2167" s="8">
        <v>1819.36</v>
      </c>
      <c r="BL2167" s="2" t="s">
        <v>6840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2526</v>
      </c>
      <c r="BV2167" s="2" t="s">
        <v>97</v>
      </c>
      <c r="BW2167" s="2" t="s">
        <v>100</v>
      </c>
      <c r="BX2167" s="2" t="s">
        <v>100</v>
      </c>
      <c r="BY2167" s="2" t="s">
        <v>112</v>
      </c>
      <c r="BZ2167" s="2" t="s">
        <v>100</v>
      </c>
    </row>
    <row r="2168">
      <c r="A2168" s="2" t="s">
        <v>7553</v>
      </c>
      <c r="B2168" s="2" t="s">
        <v>6747</v>
      </c>
      <c r="C2168" s="2" t="s">
        <v>88</v>
      </c>
      <c r="D2168" s="2" t="s">
        <v>6789</v>
      </c>
      <c r="E2168" s="2" t="s">
        <v>6800</v>
      </c>
      <c r="F2168" s="2" t="s">
        <v>7546</v>
      </c>
      <c r="G2168" s="2" t="s">
        <v>7547</v>
      </c>
      <c r="H2168" s="2" t="s">
        <v>7554</v>
      </c>
      <c r="I2168" s="2" t="s">
        <v>6790</v>
      </c>
      <c r="J2168" s="2" t="s">
        <v>3385</v>
      </c>
      <c r="K2168" s="2" t="s">
        <v>7555</v>
      </c>
      <c r="L2168" s="3">
        <v>207.9</v>
      </c>
      <c r="M2168" s="3">
        <v>218.3</v>
      </c>
      <c r="N2168" s="3">
        <v>439</v>
      </c>
      <c r="O2168" s="2" t="s">
        <v>97</v>
      </c>
      <c r="P2168" s="2" t="s">
        <v>707</v>
      </c>
      <c r="Q2168" s="2" t="s">
        <v>99</v>
      </c>
      <c r="R2168" s="2" t="s">
        <v>100</v>
      </c>
      <c r="S2168" s="2" t="s">
        <v>7556</v>
      </c>
      <c r="T2168" s="2" t="s">
        <v>100</v>
      </c>
      <c r="U2168" s="2" t="s">
        <v>100</v>
      </c>
      <c r="V2168" s="2" t="s">
        <v>461</v>
      </c>
      <c r="W2168" s="2" t="s">
        <v>142</v>
      </c>
      <c r="X2168" s="2" t="s">
        <v>100</v>
      </c>
      <c r="Y2168" s="2" t="s">
        <v>1688</v>
      </c>
      <c r="Z2168" s="4">
        <v>133</v>
      </c>
      <c r="AA2168" s="4">
        <f>=ROUNDDOWN(26.6,0)</f>
      </c>
      <c r="AB2168" s="5">
        <v>5</v>
      </c>
      <c r="AC2168" s="2" t="s">
        <v>173</v>
      </c>
      <c r="AD2168" s="4">
        <v>76</v>
      </c>
      <c r="AE2168" s="4">
        <v>76</v>
      </c>
      <c r="AF2168" s="6">
        <v>66</v>
      </c>
      <c r="AG2168" s="6">
        <v>49</v>
      </c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/>
      <c r="AW2168" s="8"/>
      <c r="AX2168" s="4"/>
      <c r="AY2168" s="8"/>
      <c r="AZ2168" s="7"/>
      <c r="BA2168" s="7"/>
      <c r="BB2168" s="7"/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/>
      <c r="BJ2168" s="4">
        <v>4</v>
      </c>
      <c r="BK2168" s="8">
        <v>924.91</v>
      </c>
      <c r="BL2168" s="2" t="s">
        <v>7557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171</v>
      </c>
      <c r="BV2168" s="2" t="s">
        <v>97</v>
      </c>
      <c r="BW2168" s="2" t="s">
        <v>100</v>
      </c>
      <c r="BX2168" s="2" t="s">
        <v>100</v>
      </c>
      <c r="BY2168" s="2" t="s">
        <v>112</v>
      </c>
      <c r="BZ2168" s="2" t="s">
        <v>100</v>
      </c>
    </row>
    <row r="2169">
      <c r="A2169" s="2" t="s">
        <v>7558</v>
      </c>
      <c r="B2169" s="2" t="s">
        <v>6747</v>
      </c>
      <c r="C2169" s="2" t="s">
        <v>88</v>
      </c>
      <c r="D2169" s="2" t="s">
        <v>6789</v>
      </c>
      <c r="E2169" s="2" t="s">
        <v>6800</v>
      </c>
      <c r="F2169" s="2" t="s">
        <v>7559</v>
      </c>
      <c r="G2169" s="2" t="s">
        <v>7560</v>
      </c>
      <c r="H2169" s="2" t="s">
        <v>7561</v>
      </c>
      <c r="I2169" s="2" t="s">
        <v>7562</v>
      </c>
      <c r="J2169" s="2" t="s">
        <v>3385</v>
      </c>
      <c r="K2169" s="2" t="s">
        <v>179</v>
      </c>
      <c r="L2169" s="3">
        <v>158.36</v>
      </c>
      <c r="M2169" s="3">
        <v>166.28</v>
      </c>
      <c r="N2169" s="3">
        <v>329</v>
      </c>
      <c r="O2169" s="2" t="s">
        <v>97</v>
      </c>
      <c r="P2169" s="2" t="s">
        <v>98</v>
      </c>
      <c r="Q2169" s="2" t="s">
        <v>99</v>
      </c>
      <c r="R2169" s="2" t="s">
        <v>100</v>
      </c>
      <c r="S2169" s="2" t="s">
        <v>7563</v>
      </c>
      <c r="T2169" s="2" t="s">
        <v>100</v>
      </c>
      <c r="U2169" s="2" t="s">
        <v>100</v>
      </c>
      <c r="V2169" s="2" t="s">
        <v>461</v>
      </c>
      <c r="W2169" s="2" t="s">
        <v>493</v>
      </c>
      <c r="X2169" s="2" t="s">
        <v>100</v>
      </c>
      <c r="Y2169" s="2" t="s">
        <v>144</v>
      </c>
      <c r="Z2169" s="4">
        <v>208</v>
      </c>
      <c r="AA2169" s="4">
        <f>=ROUNDDOWN(34.6666666666667,0)</f>
      </c>
      <c r="AB2169" s="5">
        <v>6</v>
      </c>
      <c r="AC2169" s="2" t="s">
        <v>330</v>
      </c>
      <c r="AD2169" s="4">
        <v>83</v>
      </c>
      <c r="AE2169" s="4">
        <v>83</v>
      </c>
      <c r="AF2169" s="6">
        <v>66</v>
      </c>
      <c r="AG2169" s="6">
        <v>49</v>
      </c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/>
      <c r="AW2169" s="8"/>
      <c r="AX2169" s="4"/>
      <c r="AY2169" s="8"/>
      <c r="AZ2169" s="7"/>
      <c r="BA2169" s="7"/>
      <c r="BB2169" s="7"/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/>
      <c r="BJ2169" s="4">
        <v>27</v>
      </c>
      <c r="BK2169" s="8">
        <v>3984.79</v>
      </c>
      <c r="BL2169" s="2" t="s">
        <v>7564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2526</v>
      </c>
      <c r="BV2169" s="2" t="s">
        <v>97</v>
      </c>
      <c r="BW2169" s="2" t="s">
        <v>100</v>
      </c>
      <c r="BX2169" s="2" t="s">
        <v>100</v>
      </c>
      <c r="BY2169" s="2" t="s">
        <v>112</v>
      </c>
      <c r="BZ2169" s="2" t="s">
        <v>100</v>
      </c>
    </row>
    <row r="2170">
      <c r="A2170" s="2" t="s">
        <v>7565</v>
      </c>
      <c r="B2170" s="2" t="s">
        <v>6747</v>
      </c>
      <c r="C2170" s="2" t="s">
        <v>88</v>
      </c>
      <c r="D2170" s="2" t="s">
        <v>6789</v>
      </c>
      <c r="E2170" s="2" t="s">
        <v>6800</v>
      </c>
      <c r="F2170" s="2" t="s">
        <v>7559</v>
      </c>
      <c r="G2170" s="2" t="s">
        <v>7560</v>
      </c>
      <c r="H2170" s="2" t="s">
        <v>7561</v>
      </c>
      <c r="I2170" s="2" t="s">
        <v>7562</v>
      </c>
      <c r="J2170" s="2" t="s">
        <v>3385</v>
      </c>
      <c r="K2170" s="2" t="s">
        <v>96</v>
      </c>
      <c r="L2170" s="3">
        <v>158.36</v>
      </c>
      <c r="M2170" s="3">
        <v>166.28</v>
      </c>
      <c r="N2170" s="3">
        <v>329</v>
      </c>
      <c r="O2170" s="2" t="s">
        <v>97</v>
      </c>
      <c r="P2170" s="2" t="s">
        <v>707</v>
      </c>
      <c r="Q2170" s="2" t="s">
        <v>99</v>
      </c>
      <c r="R2170" s="2" t="s">
        <v>100</v>
      </c>
      <c r="S2170" s="2" t="s">
        <v>7566</v>
      </c>
      <c r="T2170" s="2" t="s">
        <v>100</v>
      </c>
      <c r="U2170" s="2" t="s">
        <v>100</v>
      </c>
      <c r="V2170" s="2" t="s">
        <v>461</v>
      </c>
      <c r="W2170" s="2" t="s">
        <v>493</v>
      </c>
      <c r="X2170" s="2" t="s">
        <v>100</v>
      </c>
      <c r="Y2170" s="2" t="s">
        <v>144</v>
      </c>
      <c r="Z2170" s="4">
        <v>156</v>
      </c>
      <c r="AA2170" s="4">
        <f>=ROUNDDOWN(43.3333333333333,0)</f>
      </c>
      <c r="AB2170" s="5">
        <v>3.6</v>
      </c>
      <c r="AC2170" s="2" t="s">
        <v>100</v>
      </c>
      <c r="AD2170" s="4"/>
      <c r="AE2170" s="4"/>
      <c r="AF2170" s="6">
        <v>66</v>
      </c>
      <c r="AG2170" s="6">
        <v>49</v>
      </c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/>
      <c r="AW2170" s="8"/>
      <c r="AX2170" s="4"/>
      <c r="AY2170" s="8"/>
      <c r="AZ2170" s="7"/>
      <c r="BA2170" s="7"/>
      <c r="BB2170" s="7"/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/>
      <c r="BJ2170" s="4">
        <v>11</v>
      </c>
      <c r="BK2170" s="8">
        <v>1581.78</v>
      </c>
      <c r="BL2170" s="2" t="s">
        <v>6953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2526</v>
      </c>
      <c r="BV2170" s="2" t="s">
        <v>97</v>
      </c>
      <c r="BW2170" s="2" t="s">
        <v>100</v>
      </c>
      <c r="BX2170" s="2" t="s">
        <v>100</v>
      </c>
      <c r="BY2170" s="2" t="s">
        <v>112</v>
      </c>
      <c r="BZ2170" s="2" t="s">
        <v>100</v>
      </c>
    </row>
    <row r="2171">
      <c r="A2171" s="2" t="s">
        <v>7567</v>
      </c>
      <c r="B2171" s="2" t="s">
        <v>6747</v>
      </c>
      <c r="C2171" s="2" t="s">
        <v>88</v>
      </c>
      <c r="D2171" s="2" t="s">
        <v>6789</v>
      </c>
      <c r="E2171" s="2" t="s">
        <v>6800</v>
      </c>
      <c r="F2171" s="2" t="s">
        <v>7559</v>
      </c>
      <c r="G2171" s="2" t="s">
        <v>7560</v>
      </c>
      <c r="H2171" s="2" t="s">
        <v>7561</v>
      </c>
      <c r="I2171" s="2" t="s">
        <v>7562</v>
      </c>
      <c r="J2171" s="2" t="s">
        <v>3385</v>
      </c>
      <c r="K2171" s="2" t="s">
        <v>1252</v>
      </c>
      <c r="L2171" s="3">
        <v>158.36</v>
      </c>
      <c r="M2171" s="3">
        <v>166.28</v>
      </c>
      <c r="N2171" s="3">
        <v>329</v>
      </c>
      <c r="O2171" s="2" t="s">
        <v>97</v>
      </c>
      <c r="P2171" s="2" t="s">
        <v>98</v>
      </c>
      <c r="Q2171" s="2" t="s">
        <v>99</v>
      </c>
      <c r="R2171" s="2" t="s">
        <v>100</v>
      </c>
      <c r="S2171" s="2" t="s">
        <v>7568</v>
      </c>
      <c r="T2171" s="2" t="s">
        <v>100</v>
      </c>
      <c r="U2171" s="2" t="s">
        <v>100</v>
      </c>
      <c r="V2171" s="2" t="s">
        <v>461</v>
      </c>
      <c r="W2171" s="2" t="s">
        <v>493</v>
      </c>
      <c r="X2171" s="2" t="s">
        <v>100</v>
      </c>
      <c r="Y2171" s="2" t="s">
        <v>144</v>
      </c>
      <c r="Z2171" s="4">
        <v>120</v>
      </c>
      <c r="AA2171" s="4">
        <f>=ROUNDDOWN(24,0)</f>
      </c>
      <c r="AB2171" s="5">
        <v>5</v>
      </c>
      <c r="AC2171" s="2" t="s">
        <v>1452</v>
      </c>
      <c r="AD2171" s="4">
        <v>84</v>
      </c>
      <c r="AE2171" s="4">
        <v>84</v>
      </c>
      <c r="AF2171" s="6">
        <v>66</v>
      </c>
      <c r="AG2171" s="6">
        <v>49</v>
      </c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/>
      <c r="AW2171" s="8"/>
      <c r="AX2171" s="4"/>
      <c r="AY2171" s="8"/>
      <c r="AZ2171" s="7"/>
      <c r="BA2171" s="7"/>
      <c r="BB2171" s="7"/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/>
      <c r="BJ2171" s="4">
        <v>22</v>
      </c>
      <c r="BK2171" s="8">
        <v>3015.24</v>
      </c>
      <c r="BL2171" s="2" t="s">
        <v>7569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2526</v>
      </c>
      <c r="BV2171" s="2" t="s">
        <v>97</v>
      </c>
      <c r="BW2171" s="2" t="s">
        <v>100</v>
      </c>
      <c r="BX2171" s="2" t="s">
        <v>100</v>
      </c>
      <c r="BY2171" s="2" t="s">
        <v>112</v>
      </c>
      <c r="BZ2171" s="2" t="s">
        <v>100</v>
      </c>
    </row>
    <row r="2172">
      <c r="A2172" s="2" t="s">
        <v>7570</v>
      </c>
      <c r="B2172" s="2" t="s">
        <v>6747</v>
      </c>
      <c r="C2172" s="2" t="s">
        <v>88</v>
      </c>
      <c r="D2172" s="2" t="s">
        <v>6789</v>
      </c>
      <c r="E2172" s="2" t="s">
        <v>6800</v>
      </c>
      <c r="F2172" s="2" t="s">
        <v>7559</v>
      </c>
      <c r="G2172" s="2" t="s">
        <v>7560</v>
      </c>
      <c r="H2172" s="2" t="s">
        <v>7561</v>
      </c>
      <c r="I2172" s="2" t="s">
        <v>7562</v>
      </c>
      <c r="J2172" s="2" t="s">
        <v>3385</v>
      </c>
      <c r="K2172" s="2" t="s">
        <v>386</v>
      </c>
      <c r="L2172" s="3">
        <v>158.36</v>
      </c>
      <c r="M2172" s="3">
        <v>166.28</v>
      </c>
      <c r="N2172" s="3">
        <v>329</v>
      </c>
      <c r="O2172" s="2" t="s">
        <v>97</v>
      </c>
      <c r="P2172" s="2" t="s">
        <v>98</v>
      </c>
      <c r="Q2172" s="2" t="s">
        <v>99</v>
      </c>
      <c r="R2172" s="2" t="s">
        <v>100</v>
      </c>
      <c r="S2172" s="2" t="s">
        <v>7571</v>
      </c>
      <c r="T2172" s="2" t="s">
        <v>100</v>
      </c>
      <c r="U2172" s="2" t="s">
        <v>100</v>
      </c>
      <c r="V2172" s="2" t="s">
        <v>461</v>
      </c>
      <c r="W2172" s="2" t="s">
        <v>493</v>
      </c>
      <c r="X2172" s="2" t="s">
        <v>100</v>
      </c>
      <c r="Y2172" s="2" t="s">
        <v>144</v>
      </c>
      <c r="Z2172" s="4">
        <v>3</v>
      </c>
      <c r="AA2172" s="4">
        <f>=ROUNDDOWN(0.6,0)</f>
      </c>
      <c r="AB2172" s="5">
        <v>5</v>
      </c>
      <c r="AC2172" s="2" t="s">
        <v>312</v>
      </c>
      <c r="AD2172" s="4">
        <v>26</v>
      </c>
      <c r="AE2172" s="4">
        <v>211</v>
      </c>
      <c r="AF2172" s="6">
        <v>66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/>
      <c r="AW2172" s="8"/>
      <c r="AX2172" s="4"/>
      <c r="AY2172" s="8"/>
      <c r="AZ2172" s="7"/>
      <c r="BA2172" s="7"/>
      <c r="BB2172" s="7"/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/>
      <c r="BJ2172" s="4">
        <v>6</v>
      </c>
      <c r="BK2172" s="8">
        <v>910.49</v>
      </c>
      <c r="BL2172" s="2" t="s">
        <v>7572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2526</v>
      </c>
      <c r="BV2172" s="2" t="s">
        <v>97</v>
      </c>
      <c r="BW2172" s="2" t="s">
        <v>100</v>
      </c>
      <c r="BX2172" s="2" t="s">
        <v>100</v>
      </c>
      <c r="BY2172" s="2" t="s">
        <v>112</v>
      </c>
      <c r="BZ2172" s="2" t="s">
        <v>100</v>
      </c>
    </row>
    <row r="2173">
      <c r="A2173" s="2" t="s">
        <v>7573</v>
      </c>
      <c r="B2173" s="2" t="s">
        <v>6747</v>
      </c>
      <c r="C2173" s="2" t="s">
        <v>88</v>
      </c>
      <c r="D2173" s="2" t="s">
        <v>6789</v>
      </c>
      <c r="E2173" s="2" t="s">
        <v>6800</v>
      </c>
      <c r="F2173" s="2" t="s">
        <v>7574</v>
      </c>
      <c r="G2173" s="2" t="s">
        <v>4640</v>
      </c>
      <c r="H2173" s="2" t="s">
        <v>7575</v>
      </c>
      <c r="I2173" s="2" t="s">
        <v>7576</v>
      </c>
      <c r="J2173" s="2" t="s">
        <v>3385</v>
      </c>
      <c r="K2173" s="2" t="s">
        <v>706</v>
      </c>
      <c r="L2173" s="3">
        <v>147.25</v>
      </c>
      <c r="M2173" s="3">
        <v>154.61</v>
      </c>
      <c r="N2173" s="3">
        <v>309</v>
      </c>
      <c r="O2173" s="2" t="s">
        <v>97</v>
      </c>
      <c r="P2173" s="2" t="s">
        <v>98</v>
      </c>
      <c r="Q2173" s="2" t="s">
        <v>99</v>
      </c>
      <c r="R2173" s="2" t="s">
        <v>100</v>
      </c>
      <c r="S2173" s="2" t="s">
        <v>7577</v>
      </c>
      <c r="T2173" s="2" t="s">
        <v>100</v>
      </c>
      <c r="U2173" s="2" t="s">
        <v>100</v>
      </c>
      <c r="V2173" s="2" t="s">
        <v>192</v>
      </c>
      <c r="W2173" s="2" t="s">
        <v>142</v>
      </c>
      <c r="X2173" s="2" t="s">
        <v>100</v>
      </c>
      <c r="Y2173" s="2" t="s">
        <v>144</v>
      </c>
      <c r="Z2173" s="4">
        <v>141</v>
      </c>
      <c r="AA2173" s="4">
        <f>=ROUNDDOWN(23.5,0)</f>
      </c>
      <c r="AB2173" s="5">
        <v>6</v>
      </c>
      <c r="AC2173" s="2" t="s">
        <v>3024</v>
      </c>
      <c r="AD2173" s="4">
        <v>52</v>
      </c>
      <c r="AE2173" s="4">
        <v>139</v>
      </c>
      <c r="AF2173" s="6">
        <v>74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/>
      <c r="BD2173" s="8"/>
      <c r="BE2173" s="4"/>
      <c r="BF2173" s="8"/>
      <c r="BG2173" s="7"/>
      <c r="BH2173" s="7"/>
      <c r="BI2173" s="7"/>
      <c r="BJ2173" s="4">
        <v>22</v>
      </c>
      <c r="BK2173" s="8">
        <v>3470.56</v>
      </c>
      <c r="BL2173" s="2" t="s">
        <v>7578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171</v>
      </c>
      <c r="BV2173" s="2" t="s">
        <v>97</v>
      </c>
      <c r="BW2173" s="2" t="s">
        <v>100</v>
      </c>
      <c r="BX2173" s="2" t="s">
        <v>100</v>
      </c>
      <c r="BY2173" s="2" t="s">
        <v>112</v>
      </c>
      <c r="BZ2173" s="2" t="s">
        <v>100</v>
      </c>
    </row>
    <row r="2174">
      <c r="A2174" s="2" t="s">
        <v>7579</v>
      </c>
      <c r="B2174" s="2" t="s">
        <v>6747</v>
      </c>
      <c r="C2174" s="2" t="s">
        <v>88</v>
      </c>
      <c r="D2174" s="2" t="s">
        <v>6789</v>
      </c>
      <c r="E2174" s="2" t="s">
        <v>6800</v>
      </c>
      <c r="F2174" s="2" t="s">
        <v>348</v>
      </c>
      <c r="G2174" s="2" t="s">
        <v>7580</v>
      </c>
      <c r="H2174" s="2" t="s">
        <v>7581</v>
      </c>
      <c r="I2174" s="2" t="s">
        <v>7582</v>
      </c>
      <c r="J2174" s="2" t="s">
        <v>3385</v>
      </c>
      <c r="K2174" s="2" t="s">
        <v>3876</v>
      </c>
      <c r="L2174" s="3">
        <v>106.2</v>
      </c>
      <c r="M2174" s="3">
        <v>111.51</v>
      </c>
      <c r="N2174" s="3">
        <v>229</v>
      </c>
      <c r="O2174" s="2" t="s">
        <v>97</v>
      </c>
      <c r="P2174" s="2" t="s">
        <v>707</v>
      </c>
      <c r="Q2174" s="2" t="s">
        <v>99</v>
      </c>
      <c r="R2174" s="2" t="s">
        <v>100</v>
      </c>
      <c r="S2174" s="2" t="s">
        <v>7583</v>
      </c>
      <c r="T2174" s="2" t="s">
        <v>100</v>
      </c>
      <c r="U2174" s="2" t="s">
        <v>100</v>
      </c>
      <c r="V2174" s="2" t="s">
        <v>461</v>
      </c>
      <c r="W2174" s="2" t="s">
        <v>142</v>
      </c>
      <c r="X2174" s="2" t="s">
        <v>100</v>
      </c>
      <c r="Y2174" s="2" t="s">
        <v>144</v>
      </c>
      <c r="Z2174" s="4">
        <v>134</v>
      </c>
      <c r="AA2174" s="4">
        <f>=ROUNDDOWN(24.8148148148148,0)</f>
      </c>
      <c r="AB2174" s="5">
        <v>5.4</v>
      </c>
      <c r="AC2174" s="2" t="s">
        <v>2709</v>
      </c>
      <c r="AD2174" s="4">
        <v>100</v>
      </c>
      <c r="AE2174" s="4">
        <v>100</v>
      </c>
      <c r="AF2174" s="6">
        <v>76</v>
      </c>
      <c r="AG2174" s="6">
        <v>67</v>
      </c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7"/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/>
      <c r="BJ2174" s="4">
        <v>12</v>
      </c>
      <c r="BK2174" s="8">
        <v>1233.79</v>
      </c>
      <c r="BL2174" s="2" t="s">
        <v>7584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2526</v>
      </c>
      <c r="BV2174" s="2" t="s">
        <v>97</v>
      </c>
      <c r="BW2174" s="2" t="s">
        <v>100</v>
      </c>
      <c r="BX2174" s="2" t="s">
        <v>100</v>
      </c>
      <c r="BY2174" s="2" t="s">
        <v>112</v>
      </c>
      <c r="BZ2174" s="2" t="s">
        <v>100</v>
      </c>
    </row>
    <row r="2175">
      <c r="A2175" s="2" t="s">
        <v>7585</v>
      </c>
      <c r="B2175" s="2" t="s">
        <v>6747</v>
      </c>
      <c r="C2175" s="2" t="s">
        <v>88</v>
      </c>
      <c r="D2175" s="2" t="s">
        <v>6789</v>
      </c>
      <c r="E2175" s="2" t="s">
        <v>6800</v>
      </c>
      <c r="F2175" s="2" t="s">
        <v>348</v>
      </c>
      <c r="G2175" s="2" t="s">
        <v>7580</v>
      </c>
      <c r="H2175" s="2" t="s">
        <v>7581</v>
      </c>
      <c r="I2175" s="2" t="s">
        <v>7582</v>
      </c>
      <c r="J2175" s="2" t="s">
        <v>3385</v>
      </c>
      <c r="K2175" s="2" t="s">
        <v>673</v>
      </c>
      <c r="L2175" s="3">
        <v>106.2</v>
      </c>
      <c r="M2175" s="3">
        <v>111.51</v>
      </c>
      <c r="N2175" s="3">
        <v>229</v>
      </c>
      <c r="O2175" s="2" t="s">
        <v>97</v>
      </c>
      <c r="P2175" s="2" t="s">
        <v>707</v>
      </c>
      <c r="Q2175" s="2" t="s">
        <v>99</v>
      </c>
      <c r="R2175" s="2" t="s">
        <v>100</v>
      </c>
      <c r="S2175" s="2" t="s">
        <v>7586</v>
      </c>
      <c r="T2175" s="2" t="s">
        <v>100</v>
      </c>
      <c r="U2175" s="2" t="s">
        <v>100</v>
      </c>
      <c r="V2175" s="2" t="s">
        <v>4636</v>
      </c>
      <c r="W2175" s="2" t="s">
        <v>142</v>
      </c>
      <c r="X2175" s="2" t="s">
        <v>100</v>
      </c>
      <c r="Y2175" s="2" t="s">
        <v>144</v>
      </c>
      <c r="Z2175" s="4">
        <v>126</v>
      </c>
      <c r="AA2175" s="4">
        <f>=ROUNDDOWN(31.5,0)</f>
      </c>
      <c r="AB2175" s="5">
        <v>4</v>
      </c>
      <c r="AC2175" s="2" t="s">
        <v>2709</v>
      </c>
      <c r="AD2175" s="4">
        <v>100</v>
      </c>
      <c r="AE2175" s="4">
        <v>100</v>
      </c>
      <c r="AF2175" s="6">
        <v>76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/>
      <c r="BJ2175" s="4">
        <v>15</v>
      </c>
      <c r="BK2175" s="8">
        <v>1597.46</v>
      </c>
      <c r="BL2175" s="2" t="s">
        <v>7587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2526</v>
      </c>
      <c r="BV2175" s="2" t="s">
        <v>97</v>
      </c>
      <c r="BW2175" s="2" t="s">
        <v>100</v>
      </c>
      <c r="BX2175" s="2" t="s">
        <v>100</v>
      </c>
      <c r="BY2175" s="2" t="s">
        <v>112</v>
      </c>
      <c r="BZ2175" s="2" t="s">
        <v>100</v>
      </c>
    </row>
    <row r="2176">
      <c r="A2176" s="2" t="s">
        <v>7588</v>
      </c>
      <c r="B2176" s="2" t="s">
        <v>6747</v>
      </c>
      <c r="C2176" s="2" t="s">
        <v>88</v>
      </c>
      <c r="D2176" s="2" t="s">
        <v>6789</v>
      </c>
      <c r="E2176" s="2" t="s">
        <v>6800</v>
      </c>
      <c r="F2176" s="2" t="s">
        <v>7589</v>
      </c>
      <c r="G2176" s="2" t="s">
        <v>7590</v>
      </c>
      <c r="H2176" s="2" t="s">
        <v>7591</v>
      </c>
      <c r="I2176" s="2" t="s">
        <v>7592</v>
      </c>
      <c r="J2176" s="2" t="s">
        <v>3385</v>
      </c>
      <c r="K2176" s="2" t="s">
        <v>1090</v>
      </c>
      <c r="L2176" s="3">
        <v>207.9</v>
      </c>
      <c r="M2176" s="3">
        <v>218.3</v>
      </c>
      <c r="N2176" s="3">
        <v>439</v>
      </c>
      <c r="O2176" s="2" t="s">
        <v>97</v>
      </c>
      <c r="P2176" s="2" t="s">
        <v>707</v>
      </c>
      <c r="Q2176" s="2" t="s">
        <v>99</v>
      </c>
      <c r="R2176" s="2" t="s">
        <v>100</v>
      </c>
      <c r="S2176" s="2" t="s">
        <v>7593</v>
      </c>
      <c r="T2176" s="2" t="s">
        <v>100</v>
      </c>
      <c r="U2176" s="2" t="s">
        <v>1776</v>
      </c>
      <c r="V2176" s="2" t="s">
        <v>461</v>
      </c>
      <c r="W2176" s="2" t="s">
        <v>594</v>
      </c>
      <c r="X2176" s="2" t="s">
        <v>100</v>
      </c>
      <c r="Y2176" s="2" t="s">
        <v>7594</v>
      </c>
      <c r="Z2176" s="4">
        <v>182</v>
      </c>
      <c r="AA2176" s="4">
        <f>=ROUNDDOWN(36.4,0)</f>
      </c>
      <c r="AB2176" s="5">
        <v>5</v>
      </c>
      <c r="AC2176" s="2" t="s">
        <v>100</v>
      </c>
      <c r="AD2176" s="4"/>
      <c r="AE2176" s="4"/>
      <c r="AF2176" s="6">
        <v>65</v>
      </c>
      <c r="AG2176" s="6">
        <v>48</v>
      </c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/>
      <c r="BD2176" s="8"/>
      <c r="BE2176" s="4"/>
      <c r="BF2176" s="8"/>
      <c r="BG2176" s="7"/>
      <c r="BH2176" s="7"/>
      <c r="BI2176" s="7"/>
      <c r="BJ2176" s="4">
        <v>14</v>
      </c>
      <c r="BK2176" s="8">
        <v>3151.26</v>
      </c>
      <c r="BL2176" s="2" t="s">
        <v>7595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2551</v>
      </c>
      <c r="BV2176" s="2" t="s">
        <v>97</v>
      </c>
      <c r="BW2176" s="2" t="s">
        <v>100</v>
      </c>
      <c r="BX2176" s="2" t="s">
        <v>100</v>
      </c>
      <c r="BY2176" s="2" t="s">
        <v>112</v>
      </c>
      <c r="BZ2176" s="2" t="s">
        <v>100</v>
      </c>
    </row>
    <row r="2177">
      <c r="A2177" s="2" t="s">
        <v>7596</v>
      </c>
      <c r="B2177" s="2" t="s">
        <v>6747</v>
      </c>
      <c r="C2177" s="2" t="s">
        <v>88</v>
      </c>
      <c r="D2177" s="2" t="s">
        <v>6789</v>
      </c>
      <c r="E2177" s="2" t="s">
        <v>6800</v>
      </c>
      <c r="F2177" s="2" t="s">
        <v>7597</v>
      </c>
      <c r="G2177" s="2" t="s">
        <v>7598</v>
      </c>
      <c r="H2177" s="2" t="s">
        <v>7599</v>
      </c>
      <c r="I2177" s="2" t="s">
        <v>6790</v>
      </c>
      <c r="J2177" s="2" t="s">
        <v>3385</v>
      </c>
      <c r="K2177" s="2" t="s">
        <v>1090</v>
      </c>
      <c r="L2177" s="3">
        <v>178.2</v>
      </c>
      <c r="M2177" s="3">
        <v>187.11</v>
      </c>
      <c r="N2177" s="3">
        <v>379</v>
      </c>
      <c r="O2177" s="2" t="s">
        <v>97</v>
      </c>
      <c r="P2177" s="2" t="s">
        <v>707</v>
      </c>
      <c r="Q2177" s="2" t="s">
        <v>99</v>
      </c>
      <c r="R2177" s="2" t="s">
        <v>100</v>
      </c>
      <c r="S2177" s="2" t="s">
        <v>7600</v>
      </c>
      <c r="T2177" s="2" t="s">
        <v>100</v>
      </c>
      <c r="U2177" s="2" t="s">
        <v>1776</v>
      </c>
      <c r="V2177" s="2" t="s">
        <v>461</v>
      </c>
      <c r="W2177" s="2" t="s">
        <v>142</v>
      </c>
      <c r="X2177" s="2" t="s">
        <v>100</v>
      </c>
      <c r="Y2177" s="2" t="s">
        <v>7601</v>
      </c>
      <c r="Z2177" s="4">
        <v>50</v>
      </c>
      <c r="AA2177" s="4">
        <f>=ROUNDDOWN(13.1578947368421,0)</f>
      </c>
      <c r="AB2177" s="5">
        <v>3.8</v>
      </c>
      <c r="AC2177" s="2" t="s">
        <v>307</v>
      </c>
      <c r="AD2177" s="4">
        <v>80</v>
      </c>
      <c r="AE2177" s="4">
        <v>80</v>
      </c>
      <c r="AF2177" s="6">
        <v>65</v>
      </c>
      <c r="AG2177" s="6">
        <v>48</v>
      </c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/>
      <c r="BD2177" s="8"/>
      <c r="BE2177" s="4"/>
      <c r="BF2177" s="8"/>
      <c r="BG2177" s="7"/>
      <c r="BH2177" s="7"/>
      <c r="BI2177" s="7"/>
      <c r="BJ2177" s="4">
        <v>15</v>
      </c>
      <c r="BK2177" s="8">
        <v>2536.81</v>
      </c>
      <c r="BL2177" s="2" t="s">
        <v>7602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2526</v>
      </c>
      <c r="BV2177" s="2" t="s">
        <v>97</v>
      </c>
      <c r="BW2177" s="2" t="s">
        <v>100</v>
      </c>
      <c r="BX2177" s="2" t="s">
        <v>100</v>
      </c>
      <c r="BY2177" s="2" t="s">
        <v>112</v>
      </c>
      <c r="BZ2177" s="2" t="s">
        <v>100</v>
      </c>
    </row>
    <row r="2178">
      <c r="A2178" s="2" t="s">
        <v>7603</v>
      </c>
      <c r="B2178" s="2" t="s">
        <v>6747</v>
      </c>
      <c r="C2178" s="2" t="s">
        <v>88</v>
      </c>
      <c r="D2178" s="2" t="s">
        <v>6789</v>
      </c>
      <c r="E2178" s="2" t="s">
        <v>6800</v>
      </c>
      <c r="F2178" s="2" t="s">
        <v>7604</v>
      </c>
      <c r="G2178" s="2" t="s">
        <v>7605</v>
      </c>
      <c r="H2178" s="2" t="s">
        <v>7606</v>
      </c>
      <c r="I2178" s="2" t="s">
        <v>7531</v>
      </c>
      <c r="J2178" s="2" t="s">
        <v>3385</v>
      </c>
      <c r="K2178" s="2" t="s">
        <v>2548</v>
      </c>
      <c r="L2178" s="3">
        <v>207</v>
      </c>
      <c r="M2178" s="3">
        <v>217.35</v>
      </c>
      <c r="N2178" s="3">
        <v>439</v>
      </c>
      <c r="O2178" s="2" t="s">
        <v>97</v>
      </c>
      <c r="P2178" s="2" t="s">
        <v>707</v>
      </c>
      <c r="Q2178" s="2" t="s">
        <v>99</v>
      </c>
      <c r="R2178" s="2" t="s">
        <v>100</v>
      </c>
      <c r="S2178" s="2" t="s">
        <v>7607</v>
      </c>
      <c r="T2178" s="2" t="s">
        <v>100</v>
      </c>
      <c r="U2178" s="2" t="s">
        <v>100</v>
      </c>
      <c r="V2178" s="2" t="s">
        <v>461</v>
      </c>
      <c r="W2178" s="2" t="s">
        <v>142</v>
      </c>
      <c r="X2178" s="2" t="s">
        <v>100</v>
      </c>
      <c r="Y2178" s="2" t="s">
        <v>144</v>
      </c>
      <c r="Z2178" s="4">
        <v>52</v>
      </c>
      <c r="AA2178" s="4">
        <f>=ROUNDDOWN(11.063829787234,0)</f>
      </c>
      <c r="AB2178" s="5">
        <v>4.7</v>
      </c>
      <c r="AC2178" s="2" t="s">
        <v>3024</v>
      </c>
      <c r="AD2178" s="4">
        <v>72</v>
      </c>
      <c r="AE2178" s="4">
        <v>72</v>
      </c>
      <c r="AF2178" s="6">
        <v>74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/>
      <c r="BJ2178" s="4">
        <v>25</v>
      </c>
      <c r="BK2178" s="8">
        <v>4981.25</v>
      </c>
      <c r="BL2178" s="2" t="s">
        <v>7564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2526</v>
      </c>
      <c r="BV2178" s="2" t="s">
        <v>97</v>
      </c>
      <c r="BW2178" s="2" t="s">
        <v>100</v>
      </c>
      <c r="BX2178" s="2" t="s">
        <v>100</v>
      </c>
      <c r="BY2178" s="2" t="s">
        <v>112</v>
      </c>
      <c r="BZ2178" s="2" t="s">
        <v>100</v>
      </c>
    </row>
    <row r="2179">
      <c r="A2179" s="2" t="s">
        <v>7608</v>
      </c>
      <c r="B2179" s="2" t="s">
        <v>6747</v>
      </c>
      <c r="C2179" s="2" t="s">
        <v>88</v>
      </c>
      <c r="D2179" s="2" t="s">
        <v>6789</v>
      </c>
      <c r="E2179" s="2" t="s">
        <v>6800</v>
      </c>
      <c r="F2179" s="2" t="s">
        <v>7604</v>
      </c>
      <c r="G2179" s="2" t="s">
        <v>7605</v>
      </c>
      <c r="H2179" s="2" t="s">
        <v>7606</v>
      </c>
      <c r="I2179" s="2" t="s">
        <v>7531</v>
      </c>
      <c r="J2179" s="2" t="s">
        <v>3385</v>
      </c>
      <c r="K2179" s="2" t="s">
        <v>223</v>
      </c>
      <c r="L2179" s="3">
        <v>207</v>
      </c>
      <c r="M2179" s="3">
        <v>217.35</v>
      </c>
      <c r="N2179" s="3">
        <v>439</v>
      </c>
      <c r="O2179" s="2" t="s">
        <v>97</v>
      </c>
      <c r="P2179" s="2" t="s">
        <v>707</v>
      </c>
      <c r="Q2179" s="2" t="s">
        <v>99</v>
      </c>
      <c r="R2179" s="2" t="s">
        <v>100</v>
      </c>
      <c r="S2179" s="2" t="s">
        <v>7609</v>
      </c>
      <c r="T2179" s="2" t="s">
        <v>100</v>
      </c>
      <c r="U2179" s="2" t="s">
        <v>100</v>
      </c>
      <c r="V2179" s="2" t="s">
        <v>461</v>
      </c>
      <c r="W2179" s="2" t="s">
        <v>142</v>
      </c>
      <c r="X2179" s="2" t="s">
        <v>100</v>
      </c>
      <c r="Y2179" s="2" t="s">
        <v>144</v>
      </c>
      <c r="Z2179" s="4">
        <v>66</v>
      </c>
      <c r="AA2179" s="4">
        <f>=ROUNDDOWN(14.3478260869565,0)</f>
      </c>
      <c r="AB2179" s="5">
        <v>4.6</v>
      </c>
      <c r="AC2179" s="2" t="s">
        <v>2709</v>
      </c>
      <c r="AD2179" s="4">
        <v>100</v>
      </c>
      <c r="AE2179" s="4">
        <v>100</v>
      </c>
      <c r="AF2179" s="6">
        <v>74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/>
      <c r="BJ2179" s="4">
        <v>8</v>
      </c>
      <c r="BK2179" s="8">
        <v>1416.41</v>
      </c>
      <c r="BL2179" s="2" t="s">
        <v>6821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2526</v>
      </c>
      <c r="BV2179" s="2" t="s">
        <v>97</v>
      </c>
      <c r="BW2179" s="2" t="s">
        <v>100</v>
      </c>
      <c r="BX2179" s="2" t="s">
        <v>100</v>
      </c>
      <c r="BY2179" s="2" t="s">
        <v>112</v>
      </c>
      <c r="BZ2179" s="2" t="s">
        <v>100</v>
      </c>
    </row>
    <row r="2180">
      <c r="A2180" s="2" t="s">
        <v>7610</v>
      </c>
      <c r="B2180" s="2" t="s">
        <v>6747</v>
      </c>
      <c r="C2180" s="2" t="s">
        <v>88</v>
      </c>
      <c r="D2180" s="2" t="s">
        <v>6789</v>
      </c>
      <c r="E2180" s="2" t="s">
        <v>6800</v>
      </c>
      <c r="F2180" s="2" t="s">
        <v>254</v>
      </c>
      <c r="G2180" s="2" t="s">
        <v>814</v>
      </c>
      <c r="H2180" s="2" t="s">
        <v>4673</v>
      </c>
      <c r="I2180" s="2" t="s">
        <v>7611</v>
      </c>
      <c r="J2180" s="2" t="s">
        <v>3385</v>
      </c>
      <c r="K2180" s="2" t="s">
        <v>706</v>
      </c>
      <c r="L2180" s="3">
        <v>180.5</v>
      </c>
      <c r="M2180" s="3">
        <v>189.52</v>
      </c>
      <c r="N2180" s="3">
        <v>379</v>
      </c>
      <c r="O2180" s="2" t="s">
        <v>97</v>
      </c>
      <c r="P2180" s="2" t="s">
        <v>98</v>
      </c>
      <c r="Q2180" s="2" t="s">
        <v>99</v>
      </c>
      <c r="R2180" s="2" t="s">
        <v>100</v>
      </c>
      <c r="S2180" s="2" t="s">
        <v>7612</v>
      </c>
      <c r="T2180" s="2" t="s">
        <v>100</v>
      </c>
      <c r="U2180" s="2" t="s">
        <v>100</v>
      </c>
      <c r="V2180" s="2" t="s">
        <v>192</v>
      </c>
      <c r="W2180" s="2" t="s">
        <v>104</v>
      </c>
      <c r="X2180" s="2" t="s">
        <v>100</v>
      </c>
      <c r="Y2180" s="2" t="s">
        <v>144</v>
      </c>
      <c r="Z2180" s="4">
        <v>1</v>
      </c>
      <c r="AA2180" s="4">
        <f>=ROUNDDOWN(0.1,0)</f>
      </c>
      <c r="AB2180" s="5">
        <v>10</v>
      </c>
      <c r="AC2180" s="2" t="s">
        <v>2709</v>
      </c>
      <c r="AD2180" s="4">
        <v>60</v>
      </c>
      <c r="AE2180" s="4">
        <v>340</v>
      </c>
      <c r="AF2180" s="6">
        <v>65</v>
      </c>
      <c r="AG2180" s="6">
        <v>48</v>
      </c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/>
      <c r="BJ2180" s="4">
        <v>34</v>
      </c>
      <c r="BK2180" s="8">
        <v>5986.17</v>
      </c>
      <c r="BL2180" s="2" t="s">
        <v>7613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2526</v>
      </c>
      <c r="BV2180" s="2" t="s">
        <v>97</v>
      </c>
      <c r="BW2180" s="2" t="s">
        <v>100</v>
      </c>
      <c r="BX2180" s="2" t="s">
        <v>100</v>
      </c>
      <c r="BY2180" s="2" t="s">
        <v>112</v>
      </c>
      <c r="BZ2180" s="2" t="s">
        <v>100</v>
      </c>
    </row>
    <row r="2181">
      <c r="A2181" s="2" t="s">
        <v>7614</v>
      </c>
      <c r="B2181" s="2" t="s">
        <v>6747</v>
      </c>
      <c r="C2181" s="2" t="s">
        <v>88</v>
      </c>
      <c r="D2181" s="2" t="s">
        <v>6789</v>
      </c>
      <c r="E2181" s="2" t="s">
        <v>6800</v>
      </c>
      <c r="F2181" s="2" t="s">
        <v>254</v>
      </c>
      <c r="G2181" s="2" t="s">
        <v>814</v>
      </c>
      <c r="H2181" s="2" t="s">
        <v>4673</v>
      </c>
      <c r="I2181" s="2" t="s">
        <v>7611</v>
      </c>
      <c r="J2181" s="2" t="s">
        <v>3385</v>
      </c>
      <c r="K2181" s="2" t="s">
        <v>446</v>
      </c>
      <c r="L2181" s="3">
        <v>180.5</v>
      </c>
      <c r="M2181" s="3">
        <v>189.52</v>
      </c>
      <c r="N2181" s="3">
        <v>379</v>
      </c>
      <c r="O2181" s="2" t="s">
        <v>97</v>
      </c>
      <c r="P2181" s="2" t="s">
        <v>98</v>
      </c>
      <c r="Q2181" s="2" t="s">
        <v>99</v>
      </c>
      <c r="R2181" s="2" t="s">
        <v>100</v>
      </c>
      <c r="S2181" s="2" t="s">
        <v>7615</v>
      </c>
      <c r="T2181" s="2" t="s">
        <v>100</v>
      </c>
      <c r="U2181" s="2" t="s">
        <v>100</v>
      </c>
      <c r="V2181" s="2" t="s">
        <v>4636</v>
      </c>
      <c r="W2181" s="2" t="s">
        <v>594</v>
      </c>
      <c r="X2181" s="2" t="s">
        <v>142</v>
      </c>
      <c r="Y2181" s="2" t="s">
        <v>7616</v>
      </c>
      <c r="Z2181" s="4">
        <v>79</v>
      </c>
      <c r="AA2181" s="4">
        <f>=ROUNDDOWN(8.77777777777778,0)</f>
      </c>
      <c r="AB2181" s="5">
        <v>9</v>
      </c>
      <c r="AC2181" s="2" t="s">
        <v>5741</v>
      </c>
      <c r="AD2181" s="4">
        <v>200</v>
      </c>
      <c r="AE2181" s="4">
        <v>200</v>
      </c>
      <c r="AF2181" s="6">
        <v>65</v>
      </c>
      <c r="AG2181" s="6">
        <v>48</v>
      </c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/>
      <c r="AW2181" s="8"/>
      <c r="AX2181" s="4"/>
      <c r="AY2181" s="8"/>
      <c r="AZ2181" s="7"/>
      <c r="BA2181" s="7"/>
      <c r="BB2181" s="7"/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/>
      <c r="BJ2181" s="4">
        <v>40</v>
      </c>
      <c r="BK2181" s="8">
        <v>6650.75</v>
      </c>
      <c r="BL2181" s="2" t="s">
        <v>7617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2551</v>
      </c>
      <c r="BV2181" s="2" t="s">
        <v>97</v>
      </c>
      <c r="BW2181" s="2" t="s">
        <v>100</v>
      </c>
      <c r="BX2181" s="2" t="s">
        <v>100</v>
      </c>
      <c r="BY2181" s="2" t="s">
        <v>112</v>
      </c>
      <c r="BZ2181" s="2" t="s">
        <v>100</v>
      </c>
    </row>
    <row r="2182">
      <c r="A2182" s="2" t="s">
        <v>7618</v>
      </c>
      <c r="B2182" s="2" t="s">
        <v>6747</v>
      </c>
      <c r="C2182" s="2" t="s">
        <v>88</v>
      </c>
      <c r="D2182" s="2" t="s">
        <v>6789</v>
      </c>
      <c r="E2182" s="2" t="s">
        <v>6800</v>
      </c>
      <c r="F2182" s="2" t="s">
        <v>7619</v>
      </c>
      <c r="G2182" s="2" t="s">
        <v>7620</v>
      </c>
      <c r="H2182" s="2" t="s">
        <v>7621</v>
      </c>
      <c r="I2182" s="2" t="s">
        <v>7495</v>
      </c>
      <c r="J2182" s="2" t="s">
        <v>3385</v>
      </c>
      <c r="K2182" s="2" t="s">
        <v>446</v>
      </c>
      <c r="L2182" s="3">
        <v>260</v>
      </c>
      <c r="M2182" s="3">
        <v>273</v>
      </c>
      <c r="N2182" s="3">
        <v>549</v>
      </c>
      <c r="O2182" s="2" t="s">
        <v>97</v>
      </c>
      <c r="P2182" s="2" t="s">
        <v>98</v>
      </c>
      <c r="Q2182" s="2" t="s">
        <v>99</v>
      </c>
      <c r="R2182" s="2" t="s">
        <v>100</v>
      </c>
      <c r="S2182" s="2" t="s">
        <v>100</v>
      </c>
      <c r="T2182" s="2" t="s">
        <v>100</v>
      </c>
      <c r="U2182" s="2" t="s">
        <v>1776</v>
      </c>
      <c r="V2182" s="2" t="s">
        <v>3412</v>
      </c>
      <c r="W2182" s="2" t="s">
        <v>142</v>
      </c>
      <c r="X2182" s="2" t="s">
        <v>717</v>
      </c>
      <c r="Y2182" s="2" t="s">
        <v>4415</v>
      </c>
      <c r="Z2182" s="4">
        <v>115</v>
      </c>
      <c r="AA2182" s="4">
        <f>=ROUNDDOWN(10.4545454545455,0)</f>
      </c>
      <c r="AB2182" s="5">
        <v>11</v>
      </c>
      <c r="AC2182" s="2" t="s">
        <v>173</v>
      </c>
      <c r="AD2182" s="4">
        <v>108</v>
      </c>
      <c r="AE2182" s="4">
        <v>252</v>
      </c>
      <c r="AF2182" s="6">
        <v>66</v>
      </c>
      <c r="AG2182" s="6"/>
      <c r="AH2182" s="7">
        <v>0.871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/>
      <c r="AW2182" s="8"/>
      <c r="AX2182" s="4"/>
      <c r="AY2182" s="8"/>
      <c r="AZ2182" s="7"/>
      <c r="BA2182" s="7"/>
      <c r="BB2182" s="7"/>
      <c r="BC2182" s="4"/>
      <c r="BD2182" s="8"/>
      <c r="BE2182" s="4"/>
      <c r="BF2182" s="8"/>
      <c r="BG2182" s="7"/>
      <c r="BH2182" s="7"/>
      <c r="BI2182" s="7"/>
      <c r="BJ2182" s="4">
        <v>33</v>
      </c>
      <c r="BK2182" s="8">
        <v>8406.08</v>
      </c>
      <c r="BL2182" s="2" t="s">
        <v>7622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2526</v>
      </c>
      <c r="BV2182" s="2" t="s">
        <v>97</v>
      </c>
      <c r="BW2182" s="2" t="s">
        <v>100</v>
      </c>
      <c r="BX2182" s="2" t="s">
        <v>100</v>
      </c>
      <c r="BY2182" s="2" t="s">
        <v>112</v>
      </c>
      <c r="BZ2182" s="2" t="s">
        <v>100</v>
      </c>
    </row>
    <row r="2183">
      <c r="A2183" s="2" t="s">
        <v>7623</v>
      </c>
      <c r="B2183" s="2" t="s">
        <v>6747</v>
      </c>
      <c r="C2183" s="2" t="s">
        <v>88</v>
      </c>
      <c r="D2183" s="2" t="s">
        <v>6789</v>
      </c>
      <c r="E2183" s="2" t="s">
        <v>6800</v>
      </c>
      <c r="F2183" s="2" t="s">
        <v>7624</v>
      </c>
      <c r="G2183" s="2" t="s">
        <v>7625</v>
      </c>
      <c r="H2183" s="2" t="s">
        <v>7626</v>
      </c>
      <c r="I2183" s="2" t="s">
        <v>7627</v>
      </c>
      <c r="J2183" s="2" t="s">
        <v>3385</v>
      </c>
      <c r="K2183" s="2" t="s">
        <v>7628</v>
      </c>
      <c r="L2183" s="3">
        <v>199.5</v>
      </c>
      <c r="M2183" s="3">
        <v>209.48</v>
      </c>
      <c r="N2183" s="3">
        <v>419</v>
      </c>
      <c r="O2183" s="2" t="s">
        <v>97</v>
      </c>
      <c r="P2183" s="2" t="s">
        <v>98</v>
      </c>
      <c r="Q2183" s="2" t="s">
        <v>99</v>
      </c>
      <c r="R2183" s="2" t="s">
        <v>100</v>
      </c>
      <c r="S2183" s="2" t="s">
        <v>7629</v>
      </c>
      <c r="T2183" s="2" t="s">
        <v>100</v>
      </c>
      <c r="U2183" s="2" t="s">
        <v>100</v>
      </c>
      <c r="V2183" s="2" t="s">
        <v>461</v>
      </c>
      <c r="W2183" s="2" t="s">
        <v>2835</v>
      </c>
      <c r="X2183" s="2" t="s">
        <v>100</v>
      </c>
      <c r="Y2183" s="2" t="s">
        <v>144</v>
      </c>
      <c r="Z2183" s="4">
        <v>151</v>
      </c>
      <c r="AA2183" s="4">
        <f>=ROUNDDOWN(18.4146341463415,0)</f>
      </c>
      <c r="AB2183" s="5">
        <v>8.2</v>
      </c>
      <c r="AC2183" s="2" t="s">
        <v>307</v>
      </c>
      <c r="AD2183" s="4">
        <v>164</v>
      </c>
      <c r="AE2183" s="4">
        <v>164</v>
      </c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/>
      <c r="AW2183" s="8"/>
      <c r="AX2183" s="4"/>
      <c r="AY2183" s="8"/>
      <c r="AZ2183" s="7"/>
      <c r="BA2183" s="7"/>
      <c r="BB2183" s="7"/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/>
      <c r="BJ2183" s="4">
        <v>34</v>
      </c>
      <c r="BK2183" s="8">
        <v>6046.68</v>
      </c>
      <c r="BL2183" s="2" t="s">
        <v>6864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2526</v>
      </c>
      <c r="BV2183" s="2" t="s">
        <v>97</v>
      </c>
      <c r="BW2183" s="2" t="s">
        <v>100</v>
      </c>
      <c r="BX2183" s="2" t="s">
        <v>100</v>
      </c>
      <c r="BY2183" s="2" t="s">
        <v>112</v>
      </c>
      <c r="BZ2183" s="2" t="s">
        <v>100</v>
      </c>
    </row>
    <row r="2184">
      <c r="A2184" s="2" t="s">
        <v>7630</v>
      </c>
      <c r="B2184" s="2" t="s">
        <v>6747</v>
      </c>
      <c r="C2184" s="2" t="s">
        <v>88</v>
      </c>
      <c r="D2184" s="2" t="s">
        <v>6789</v>
      </c>
      <c r="E2184" s="2" t="s">
        <v>6800</v>
      </c>
      <c r="F2184" s="2" t="s">
        <v>7624</v>
      </c>
      <c r="G2184" s="2" t="s">
        <v>7625</v>
      </c>
      <c r="H2184" s="2" t="s">
        <v>7626</v>
      </c>
      <c r="I2184" s="2" t="s">
        <v>7627</v>
      </c>
      <c r="J2184" s="2" t="s">
        <v>3385</v>
      </c>
      <c r="K2184" s="2" t="s">
        <v>256</v>
      </c>
      <c r="L2184" s="3">
        <v>199.5</v>
      </c>
      <c r="M2184" s="3">
        <v>209.48</v>
      </c>
      <c r="N2184" s="3">
        <v>419</v>
      </c>
      <c r="O2184" s="2" t="s">
        <v>97</v>
      </c>
      <c r="P2184" s="2" t="s">
        <v>707</v>
      </c>
      <c r="Q2184" s="2" t="s">
        <v>99</v>
      </c>
      <c r="R2184" s="2" t="s">
        <v>100</v>
      </c>
      <c r="S2184" s="2" t="s">
        <v>7631</v>
      </c>
      <c r="T2184" s="2" t="s">
        <v>100</v>
      </c>
      <c r="U2184" s="2" t="s">
        <v>100</v>
      </c>
      <c r="V2184" s="2" t="s">
        <v>461</v>
      </c>
      <c r="W2184" s="2" t="s">
        <v>2835</v>
      </c>
      <c r="X2184" s="2" t="s">
        <v>100</v>
      </c>
      <c r="Y2184" s="2" t="s">
        <v>144</v>
      </c>
      <c r="Z2184" s="4">
        <v>144</v>
      </c>
      <c r="AA2184" s="4">
        <f>=ROUNDDOWN(72,0)</f>
      </c>
      <c r="AB2184" s="5">
        <v>2</v>
      </c>
      <c r="AC2184" s="2" t="s">
        <v>100</v>
      </c>
      <c r="AD2184" s="4"/>
      <c r="AE2184" s="4"/>
      <c r="AF2184" s="6">
        <v>65</v>
      </c>
      <c r="AG2184" s="6">
        <v>48</v>
      </c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/>
      <c r="BJ2184" s="4">
        <v>6</v>
      </c>
      <c r="BK2184" s="8">
        <v>1131.04</v>
      </c>
      <c r="BL2184" s="2" t="s">
        <v>6246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2526</v>
      </c>
      <c r="BV2184" s="2" t="s">
        <v>97</v>
      </c>
      <c r="BW2184" s="2" t="s">
        <v>100</v>
      </c>
      <c r="BX2184" s="2" t="s">
        <v>100</v>
      </c>
      <c r="BY2184" s="2" t="s">
        <v>112</v>
      </c>
      <c r="BZ2184" s="2" t="s">
        <v>100</v>
      </c>
    </row>
    <row r="2185">
      <c r="A2185" s="2" t="s">
        <v>7632</v>
      </c>
      <c r="B2185" s="2" t="s">
        <v>6747</v>
      </c>
      <c r="C2185" s="2" t="s">
        <v>88</v>
      </c>
      <c r="D2185" s="2" t="s">
        <v>6789</v>
      </c>
      <c r="E2185" s="2" t="s">
        <v>6800</v>
      </c>
      <c r="F2185" s="2" t="s">
        <v>7624</v>
      </c>
      <c r="G2185" s="2" t="s">
        <v>7625</v>
      </c>
      <c r="H2185" s="2" t="s">
        <v>7626</v>
      </c>
      <c r="I2185" s="2" t="s">
        <v>7627</v>
      </c>
      <c r="J2185" s="2" t="s">
        <v>3385</v>
      </c>
      <c r="K2185" s="2" t="s">
        <v>4743</v>
      </c>
      <c r="L2185" s="3">
        <v>199.5</v>
      </c>
      <c r="M2185" s="3">
        <v>209.48</v>
      </c>
      <c r="N2185" s="3">
        <v>419</v>
      </c>
      <c r="O2185" s="2" t="s">
        <v>97</v>
      </c>
      <c r="P2185" s="2" t="s">
        <v>707</v>
      </c>
      <c r="Q2185" s="2" t="s">
        <v>99</v>
      </c>
      <c r="R2185" s="2" t="s">
        <v>100</v>
      </c>
      <c r="S2185" s="2" t="s">
        <v>100</v>
      </c>
      <c r="T2185" s="2" t="s">
        <v>100</v>
      </c>
      <c r="U2185" s="2" t="s">
        <v>1776</v>
      </c>
      <c r="V2185" s="2" t="s">
        <v>461</v>
      </c>
      <c r="W2185" s="2" t="s">
        <v>2835</v>
      </c>
      <c r="X2185" s="2" t="s">
        <v>493</v>
      </c>
      <c r="Y2185" s="2" t="s">
        <v>7347</v>
      </c>
      <c r="Z2185" s="4">
        <v>112</v>
      </c>
      <c r="AA2185" s="4">
        <f>=ROUNDDOWN(37.3333333333333,0)</f>
      </c>
      <c r="AB2185" s="5">
        <v>3</v>
      </c>
      <c r="AC2185" s="2" t="s">
        <v>824</v>
      </c>
      <c r="AD2185" s="4">
        <v>88</v>
      </c>
      <c r="AE2185" s="4">
        <v>88</v>
      </c>
      <c r="AF2185" s="6">
        <v>65</v>
      </c>
      <c r="AG2185" s="6">
        <v>48</v>
      </c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/>
      <c r="BJ2185" s="4">
        <v>11</v>
      </c>
      <c r="BK2185" s="8">
        <v>1987.06</v>
      </c>
      <c r="BL2185" s="2" t="s">
        <v>3075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2526</v>
      </c>
      <c r="BV2185" s="2" t="s">
        <v>97</v>
      </c>
      <c r="BW2185" s="2" t="s">
        <v>100</v>
      </c>
      <c r="BX2185" s="2" t="s">
        <v>100</v>
      </c>
      <c r="BY2185" s="2" t="s">
        <v>112</v>
      </c>
      <c r="BZ2185" s="2" t="s">
        <v>100</v>
      </c>
    </row>
    <row r="2186">
      <c r="A2186" s="2" t="s">
        <v>7633</v>
      </c>
      <c r="B2186" s="2" t="s">
        <v>6747</v>
      </c>
      <c r="C2186" s="2" t="s">
        <v>88</v>
      </c>
      <c r="D2186" s="2" t="s">
        <v>6789</v>
      </c>
      <c r="E2186" s="2" t="s">
        <v>6800</v>
      </c>
      <c r="F2186" s="2" t="s">
        <v>7624</v>
      </c>
      <c r="G2186" s="2" t="s">
        <v>7625</v>
      </c>
      <c r="H2186" s="2" t="s">
        <v>7626</v>
      </c>
      <c r="I2186" s="2" t="s">
        <v>7627</v>
      </c>
      <c r="J2186" s="2" t="s">
        <v>3385</v>
      </c>
      <c r="K2186" s="2" t="s">
        <v>1173</v>
      </c>
      <c r="L2186" s="3">
        <v>199.5</v>
      </c>
      <c r="M2186" s="3">
        <v>209.48</v>
      </c>
      <c r="N2186" s="3">
        <v>419</v>
      </c>
      <c r="O2186" s="2" t="s">
        <v>97</v>
      </c>
      <c r="P2186" s="2" t="s">
        <v>98</v>
      </c>
      <c r="Q2186" s="2" t="s">
        <v>99</v>
      </c>
      <c r="R2186" s="2" t="s">
        <v>100</v>
      </c>
      <c r="S2186" s="2" t="s">
        <v>7634</v>
      </c>
      <c r="T2186" s="2" t="s">
        <v>100</v>
      </c>
      <c r="U2186" s="2" t="s">
        <v>100</v>
      </c>
      <c r="V2186" s="2" t="s">
        <v>461</v>
      </c>
      <c r="W2186" s="2" t="s">
        <v>2835</v>
      </c>
      <c r="X2186" s="2" t="s">
        <v>100</v>
      </c>
      <c r="Y2186" s="2" t="s">
        <v>144</v>
      </c>
      <c r="Z2186" s="4">
        <v>251</v>
      </c>
      <c r="AA2186" s="4">
        <f>=ROUNDDOWN(35.8571428571429,0)</f>
      </c>
      <c r="AB2186" s="5">
        <v>7</v>
      </c>
      <c r="AC2186" s="2" t="s">
        <v>100</v>
      </c>
      <c r="AD2186" s="4"/>
      <c r="AE2186" s="4"/>
      <c r="AF2186" s="6">
        <v>65</v>
      </c>
      <c r="AG2186" s="6">
        <v>48</v>
      </c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/>
      <c r="AW2186" s="8"/>
      <c r="AX2186" s="4"/>
      <c r="AY2186" s="8"/>
      <c r="AZ2186" s="7"/>
      <c r="BA2186" s="7"/>
      <c r="BB2186" s="7"/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/>
      <c r="BJ2186" s="4">
        <v>29</v>
      </c>
      <c r="BK2186" s="8">
        <v>5273.47</v>
      </c>
      <c r="BL2186" s="2" t="s">
        <v>7635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2526</v>
      </c>
      <c r="BV2186" s="2" t="s">
        <v>97</v>
      </c>
      <c r="BW2186" s="2" t="s">
        <v>100</v>
      </c>
      <c r="BX2186" s="2" t="s">
        <v>100</v>
      </c>
      <c r="BY2186" s="2" t="s">
        <v>112</v>
      </c>
      <c r="BZ2186" s="2" t="s">
        <v>100</v>
      </c>
    </row>
    <row r="2187">
      <c r="A2187" s="2" t="s">
        <v>7636</v>
      </c>
      <c r="B2187" s="2" t="s">
        <v>6747</v>
      </c>
      <c r="C2187" s="2" t="s">
        <v>88</v>
      </c>
      <c r="D2187" s="2" t="s">
        <v>6789</v>
      </c>
      <c r="E2187" s="2" t="s">
        <v>6800</v>
      </c>
      <c r="F2187" s="2" t="s">
        <v>410</v>
      </c>
      <c r="G2187" s="2" t="s">
        <v>7637</v>
      </c>
      <c r="H2187" s="2" t="s">
        <v>6506</v>
      </c>
      <c r="I2187" s="2" t="s">
        <v>6790</v>
      </c>
      <c r="J2187" s="2" t="s">
        <v>3385</v>
      </c>
      <c r="K2187" s="2" t="s">
        <v>1090</v>
      </c>
      <c r="L2187" s="3">
        <v>171</v>
      </c>
      <c r="M2187" s="3">
        <v>179.55</v>
      </c>
      <c r="N2187" s="3">
        <v>359</v>
      </c>
      <c r="O2187" s="2" t="s">
        <v>97</v>
      </c>
      <c r="P2187" s="2" t="s">
        <v>98</v>
      </c>
      <c r="Q2187" s="2" t="s">
        <v>99</v>
      </c>
      <c r="R2187" s="2" t="s">
        <v>100</v>
      </c>
      <c r="S2187" s="2" t="s">
        <v>7638</v>
      </c>
      <c r="T2187" s="2" t="s">
        <v>100</v>
      </c>
      <c r="U2187" s="2" t="s">
        <v>100</v>
      </c>
      <c r="V2187" s="2" t="s">
        <v>461</v>
      </c>
      <c r="W2187" s="2" t="s">
        <v>142</v>
      </c>
      <c r="X2187" s="2" t="s">
        <v>100</v>
      </c>
      <c r="Y2187" s="2" t="s">
        <v>7639</v>
      </c>
      <c r="Z2187" s="4">
        <v>66</v>
      </c>
      <c r="AA2187" s="4">
        <f>=ROUNDDOWN(9.42857142857143,0)</f>
      </c>
      <c r="AB2187" s="5">
        <v>7</v>
      </c>
      <c r="AC2187" s="2" t="s">
        <v>2709</v>
      </c>
      <c r="AD2187" s="4">
        <v>100</v>
      </c>
      <c r="AE2187" s="4">
        <v>200</v>
      </c>
      <c r="AF2187" s="6">
        <v>74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/>
      <c r="AW2187" s="8"/>
      <c r="AX2187" s="4"/>
      <c r="AY2187" s="8"/>
      <c r="AZ2187" s="7"/>
      <c r="BA2187" s="7"/>
      <c r="BB2187" s="7"/>
      <c r="BC2187" s="4"/>
      <c r="BD2187" s="8"/>
      <c r="BE2187" s="4"/>
      <c r="BF2187" s="8"/>
      <c r="BG2187" s="7"/>
      <c r="BH2187" s="7"/>
      <c r="BI2187" s="7"/>
      <c r="BJ2187" s="4">
        <v>24</v>
      </c>
      <c r="BK2187" s="8">
        <v>3561.51</v>
      </c>
      <c r="BL2187" s="2" t="s">
        <v>7640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2526</v>
      </c>
      <c r="BV2187" s="2" t="s">
        <v>97</v>
      </c>
      <c r="BW2187" s="2" t="s">
        <v>100</v>
      </c>
      <c r="BX2187" s="2" t="s">
        <v>100</v>
      </c>
      <c r="BY2187" s="2" t="s">
        <v>112</v>
      </c>
      <c r="BZ2187" s="2" t="s">
        <v>100</v>
      </c>
    </row>
    <row r="2188">
      <c r="A2188" s="2" t="s">
        <v>7641</v>
      </c>
      <c r="B2188" s="2" t="s">
        <v>6747</v>
      </c>
      <c r="C2188" s="2" t="s">
        <v>88</v>
      </c>
      <c r="D2188" s="2" t="s">
        <v>6789</v>
      </c>
      <c r="E2188" s="2" t="s">
        <v>6800</v>
      </c>
      <c r="F2188" s="2" t="s">
        <v>7642</v>
      </c>
      <c r="G2188" s="2" t="s">
        <v>7643</v>
      </c>
      <c r="H2188" s="2" t="s">
        <v>7644</v>
      </c>
      <c r="I2188" s="2" t="s">
        <v>7645</v>
      </c>
      <c r="J2188" s="2" t="s">
        <v>3385</v>
      </c>
      <c r="K2188" s="2" t="s">
        <v>3876</v>
      </c>
      <c r="L2188" s="3">
        <v>171</v>
      </c>
      <c r="M2188" s="3">
        <v>179.55</v>
      </c>
      <c r="N2188" s="3">
        <v>369</v>
      </c>
      <c r="O2188" s="2" t="s">
        <v>97</v>
      </c>
      <c r="P2188" s="2" t="s">
        <v>98</v>
      </c>
      <c r="Q2188" s="2" t="s">
        <v>99</v>
      </c>
      <c r="R2188" s="2" t="s">
        <v>100</v>
      </c>
      <c r="S2188" s="2" t="s">
        <v>7646</v>
      </c>
      <c r="T2188" s="2" t="s">
        <v>100</v>
      </c>
      <c r="U2188" s="2" t="s">
        <v>100</v>
      </c>
      <c r="V2188" s="2" t="s">
        <v>461</v>
      </c>
      <c r="W2188" s="2" t="s">
        <v>142</v>
      </c>
      <c r="X2188" s="2" t="s">
        <v>100</v>
      </c>
      <c r="Y2188" s="2" t="s">
        <v>7057</v>
      </c>
      <c r="Z2188" s="4">
        <v>260</v>
      </c>
      <c r="AA2188" s="4">
        <f>=ROUNDDOWN(20.6349206349206,0)</f>
      </c>
      <c r="AB2188" s="5">
        <v>12.6</v>
      </c>
      <c r="AC2188" s="2" t="s">
        <v>262</v>
      </c>
      <c r="AD2188" s="4">
        <v>12</v>
      </c>
      <c r="AE2188" s="4">
        <v>427</v>
      </c>
      <c r="AF2188" s="6">
        <v>74</v>
      </c>
      <c r="AG2188" s="6">
        <v>60</v>
      </c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/>
      <c r="AW2188" s="8"/>
      <c r="AX2188" s="4"/>
      <c r="AY2188" s="8"/>
      <c r="AZ2188" s="7"/>
      <c r="BA2188" s="7"/>
      <c r="BB2188" s="7"/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/>
      <c r="BJ2188" s="4">
        <v>34</v>
      </c>
      <c r="BK2188" s="8">
        <v>5576.9</v>
      </c>
      <c r="BL2188" s="2" t="s">
        <v>7647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2526</v>
      </c>
      <c r="BV2188" s="2" t="s">
        <v>97</v>
      </c>
      <c r="BW2188" s="2" t="s">
        <v>100</v>
      </c>
      <c r="BX2188" s="2" t="s">
        <v>100</v>
      </c>
      <c r="BY2188" s="2" t="s">
        <v>112</v>
      </c>
      <c r="BZ2188" s="2" t="s">
        <v>100</v>
      </c>
    </row>
    <row r="2189">
      <c r="A2189" s="2" t="s">
        <v>7648</v>
      </c>
      <c r="B2189" s="2" t="s">
        <v>6747</v>
      </c>
      <c r="C2189" s="2" t="s">
        <v>88</v>
      </c>
      <c r="D2189" s="2" t="s">
        <v>6789</v>
      </c>
      <c r="E2189" s="2" t="s">
        <v>6800</v>
      </c>
      <c r="F2189" s="2" t="s">
        <v>7642</v>
      </c>
      <c r="G2189" s="2" t="s">
        <v>7643</v>
      </c>
      <c r="H2189" s="2" t="s">
        <v>7644</v>
      </c>
      <c r="I2189" s="2" t="s">
        <v>7645</v>
      </c>
      <c r="J2189" s="2" t="s">
        <v>3385</v>
      </c>
      <c r="K2189" s="2" t="s">
        <v>7649</v>
      </c>
      <c r="L2189" s="3">
        <v>171</v>
      </c>
      <c r="M2189" s="3">
        <v>179.55</v>
      </c>
      <c r="N2189" s="3">
        <v>369</v>
      </c>
      <c r="O2189" s="2" t="s">
        <v>97</v>
      </c>
      <c r="P2189" s="2" t="s">
        <v>98</v>
      </c>
      <c r="Q2189" s="2" t="s">
        <v>99</v>
      </c>
      <c r="R2189" s="2" t="s">
        <v>100</v>
      </c>
      <c r="S2189" s="2" t="s">
        <v>7650</v>
      </c>
      <c r="T2189" s="2" t="s">
        <v>100</v>
      </c>
      <c r="U2189" s="2" t="s">
        <v>1776</v>
      </c>
      <c r="V2189" s="2" t="s">
        <v>461</v>
      </c>
      <c r="W2189" s="2" t="s">
        <v>142</v>
      </c>
      <c r="X2189" s="2" t="s">
        <v>100</v>
      </c>
      <c r="Y2189" s="2" t="s">
        <v>7651</v>
      </c>
      <c r="Z2189" s="4">
        <v>114</v>
      </c>
      <c r="AA2189" s="4">
        <f>=ROUNDDOWN(13.1034482758621,0)</f>
      </c>
      <c r="AB2189" s="5">
        <v>8.7</v>
      </c>
      <c r="AC2189" s="2" t="s">
        <v>2581</v>
      </c>
      <c r="AD2189" s="4">
        <v>80</v>
      </c>
      <c r="AE2189" s="4">
        <v>315</v>
      </c>
      <c r="AF2189" s="6">
        <v>74</v>
      </c>
      <c r="AG2189" s="6">
        <v>60</v>
      </c>
      <c r="AH2189" s="7">
        <v>1</v>
      </c>
      <c r="AI2189" s="4"/>
      <c r="AJ2189" s="4">
        <f>=ROUNDDOWN({0},0)</f>
      </c>
      <c r="AK2189" s="5"/>
      <c r="AL2189" s="2" t="s">
        <v>145</v>
      </c>
      <c r="AM2189" s="4">
        <v>94</v>
      </c>
      <c r="AN2189" s="4">
        <v>189</v>
      </c>
      <c r="AO2189" s="7">
        <v>0</v>
      </c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/>
      <c r="BJ2189" s="4">
        <v>28</v>
      </c>
      <c r="BK2189" s="8">
        <v>4744.02</v>
      </c>
      <c r="BL2189" s="2" t="s">
        <v>7536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2526</v>
      </c>
      <c r="BV2189" s="2" t="s">
        <v>97</v>
      </c>
      <c r="BW2189" s="2" t="s">
        <v>100</v>
      </c>
      <c r="BX2189" s="2" t="s">
        <v>100</v>
      </c>
      <c r="BY2189" s="2" t="s">
        <v>112</v>
      </c>
      <c r="BZ2189" s="2" t="s">
        <v>100</v>
      </c>
    </row>
    <row r="2190">
      <c r="A2190" s="2" t="s">
        <v>7652</v>
      </c>
      <c r="B2190" s="2" t="s">
        <v>6747</v>
      </c>
      <c r="C2190" s="2" t="s">
        <v>88</v>
      </c>
      <c r="D2190" s="2" t="s">
        <v>6789</v>
      </c>
      <c r="E2190" s="2" t="s">
        <v>6800</v>
      </c>
      <c r="F2190" s="2" t="s">
        <v>7642</v>
      </c>
      <c r="G2190" s="2" t="s">
        <v>7643</v>
      </c>
      <c r="H2190" s="2" t="s">
        <v>7644</v>
      </c>
      <c r="I2190" s="2" t="s">
        <v>7645</v>
      </c>
      <c r="J2190" s="2" t="s">
        <v>3385</v>
      </c>
      <c r="K2190" s="2" t="s">
        <v>96</v>
      </c>
      <c r="L2190" s="3">
        <v>171</v>
      </c>
      <c r="M2190" s="3">
        <v>179.55</v>
      </c>
      <c r="N2190" s="3">
        <v>369</v>
      </c>
      <c r="O2190" s="2" t="s">
        <v>97</v>
      </c>
      <c r="P2190" s="2" t="s">
        <v>707</v>
      </c>
      <c r="Q2190" s="2" t="s">
        <v>99</v>
      </c>
      <c r="R2190" s="2" t="s">
        <v>100</v>
      </c>
      <c r="S2190" s="2" t="s">
        <v>7653</v>
      </c>
      <c r="T2190" s="2" t="s">
        <v>100</v>
      </c>
      <c r="U2190" s="2" t="s">
        <v>100</v>
      </c>
      <c r="V2190" s="2" t="s">
        <v>461</v>
      </c>
      <c r="W2190" s="2" t="s">
        <v>142</v>
      </c>
      <c r="X2190" s="2" t="s">
        <v>100</v>
      </c>
      <c r="Y2190" s="2" t="s">
        <v>144</v>
      </c>
      <c r="Z2190" s="4">
        <v>171</v>
      </c>
      <c r="AA2190" s="4">
        <f>=ROUNDDOWN(28.5,0)</f>
      </c>
      <c r="AB2190" s="5">
        <v>6</v>
      </c>
      <c r="AC2190" s="2" t="s">
        <v>6903</v>
      </c>
      <c r="AD2190" s="4">
        <v>100</v>
      </c>
      <c r="AE2190" s="4">
        <v>100</v>
      </c>
      <c r="AF2190" s="6">
        <v>74</v>
      </c>
      <c r="AG2190" s="6">
        <v>60</v>
      </c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/>
      <c r="BJ2190" s="4">
        <v>24</v>
      </c>
      <c r="BK2190" s="8">
        <v>3986.48</v>
      </c>
      <c r="BL2190" s="2" t="s">
        <v>7428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2526</v>
      </c>
      <c r="BV2190" s="2" t="s">
        <v>97</v>
      </c>
      <c r="BW2190" s="2" t="s">
        <v>100</v>
      </c>
      <c r="BX2190" s="2" t="s">
        <v>100</v>
      </c>
      <c r="BY2190" s="2" t="s">
        <v>112</v>
      </c>
      <c r="BZ2190" s="2" t="s">
        <v>100</v>
      </c>
    </row>
    <row r="2191">
      <c r="A2191" s="2" t="s">
        <v>7654</v>
      </c>
      <c r="B2191" s="2" t="s">
        <v>6747</v>
      </c>
      <c r="C2191" s="2" t="s">
        <v>88</v>
      </c>
      <c r="D2191" s="2" t="s">
        <v>6789</v>
      </c>
      <c r="E2191" s="2" t="s">
        <v>6800</v>
      </c>
      <c r="F2191" s="2" t="s">
        <v>7642</v>
      </c>
      <c r="G2191" s="2" t="s">
        <v>7643</v>
      </c>
      <c r="H2191" s="2" t="s">
        <v>7644</v>
      </c>
      <c r="I2191" s="2" t="s">
        <v>7645</v>
      </c>
      <c r="J2191" s="2" t="s">
        <v>3385</v>
      </c>
      <c r="K2191" s="2" t="s">
        <v>223</v>
      </c>
      <c r="L2191" s="3">
        <v>171</v>
      </c>
      <c r="M2191" s="3">
        <v>179.55</v>
      </c>
      <c r="N2191" s="3">
        <v>369</v>
      </c>
      <c r="O2191" s="2" t="s">
        <v>97</v>
      </c>
      <c r="P2191" s="2" t="s">
        <v>98</v>
      </c>
      <c r="Q2191" s="2" t="s">
        <v>99</v>
      </c>
      <c r="R2191" s="2" t="s">
        <v>100</v>
      </c>
      <c r="S2191" s="2" t="s">
        <v>100</v>
      </c>
      <c r="T2191" s="2" t="s">
        <v>100</v>
      </c>
      <c r="U2191" s="2" t="s">
        <v>1776</v>
      </c>
      <c r="V2191" s="2" t="s">
        <v>461</v>
      </c>
      <c r="W2191" s="2" t="s">
        <v>142</v>
      </c>
      <c r="X2191" s="2" t="s">
        <v>100</v>
      </c>
      <c r="Y2191" s="2" t="s">
        <v>6484</v>
      </c>
      <c r="Z2191" s="4">
        <v>234</v>
      </c>
      <c r="AA2191" s="4">
        <f>=ROUNDDOWN(13.7647058823529,0)</f>
      </c>
      <c r="AB2191" s="5">
        <v>17</v>
      </c>
      <c r="AC2191" s="2" t="s">
        <v>6903</v>
      </c>
      <c r="AD2191" s="4">
        <v>105</v>
      </c>
      <c r="AE2191" s="4">
        <v>105</v>
      </c>
      <c r="AF2191" s="6">
        <v>74</v>
      </c>
      <c r="AG2191" s="6">
        <v>60</v>
      </c>
      <c r="AH2191" s="7">
        <v>1</v>
      </c>
      <c r="AI2191" s="4"/>
      <c r="AJ2191" s="4">
        <f>=ROUNDDOWN({0},0)</f>
      </c>
      <c r="AK2191" s="5"/>
      <c r="AL2191" s="2" t="s">
        <v>145</v>
      </c>
      <c r="AM2191" s="4">
        <v>95</v>
      </c>
      <c r="AN2191" s="4">
        <v>189</v>
      </c>
      <c r="AO2191" s="7">
        <v>0</v>
      </c>
      <c r="AP2191" s="4"/>
      <c r="AQ2191" s="8"/>
      <c r="AR2191" s="4"/>
      <c r="AS2191" s="8"/>
      <c r="AT2191" s="7"/>
      <c r="AU2191" s="7"/>
      <c r="AV2191" s="4"/>
      <c r="AW2191" s="8"/>
      <c r="AX2191" s="4"/>
      <c r="AY2191" s="8"/>
      <c r="AZ2191" s="7"/>
      <c r="BA2191" s="7"/>
      <c r="BB2191" s="7"/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/>
      <c r="BJ2191" s="4">
        <v>46</v>
      </c>
      <c r="BK2191" s="8">
        <v>7937.79</v>
      </c>
      <c r="BL2191" s="2" t="s">
        <v>7655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2526</v>
      </c>
      <c r="BV2191" s="2" t="s">
        <v>97</v>
      </c>
      <c r="BW2191" s="2" t="s">
        <v>100</v>
      </c>
      <c r="BX2191" s="2" t="s">
        <v>100</v>
      </c>
      <c r="BY2191" s="2" t="s">
        <v>112</v>
      </c>
      <c r="BZ2191" s="2" t="s">
        <v>100</v>
      </c>
    </row>
    <row r="2192">
      <c r="A2192" s="2" t="s">
        <v>7656</v>
      </c>
      <c r="B2192" s="2" t="s">
        <v>6747</v>
      </c>
      <c r="C2192" s="2" t="s">
        <v>88</v>
      </c>
      <c r="D2192" s="2" t="s">
        <v>6789</v>
      </c>
      <c r="E2192" s="2" t="s">
        <v>6800</v>
      </c>
      <c r="F2192" s="2" t="s">
        <v>7642</v>
      </c>
      <c r="G2192" s="2" t="s">
        <v>7643</v>
      </c>
      <c r="H2192" s="2" t="s">
        <v>7644</v>
      </c>
      <c r="I2192" s="2" t="s">
        <v>7645</v>
      </c>
      <c r="J2192" s="2" t="s">
        <v>3385</v>
      </c>
      <c r="K2192" s="2" t="s">
        <v>3623</v>
      </c>
      <c r="L2192" s="3">
        <v>171</v>
      </c>
      <c r="M2192" s="3">
        <v>179.55</v>
      </c>
      <c r="N2192" s="3">
        <v>369</v>
      </c>
      <c r="O2192" s="2" t="s">
        <v>97</v>
      </c>
      <c r="P2192" s="2" t="s">
        <v>98</v>
      </c>
      <c r="Q2192" s="2" t="s">
        <v>99</v>
      </c>
      <c r="R2192" s="2" t="s">
        <v>100</v>
      </c>
      <c r="S2192" s="2" t="s">
        <v>100</v>
      </c>
      <c r="T2192" s="2" t="s">
        <v>100</v>
      </c>
      <c r="U2192" s="2" t="s">
        <v>1776</v>
      </c>
      <c r="V2192" s="2" t="s">
        <v>461</v>
      </c>
      <c r="W2192" s="2" t="s">
        <v>142</v>
      </c>
      <c r="X2192" s="2" t="s">
        <v>1136</v>
      </c>
      <c r="Y2192" s="2" t="s">
        <v>7657</v>
      </c>
      <c r="Z2192" s="4">
        <v>82</v>
      </c>
      <c r="AA2192" s="4">
        <f>=ROUNDDOWN(11.7142857142857,0)</f>
      </c>
      <c r="AB2192" s="5">
        <v>7</v>
      </c>
      <c r="AC2192" s="2" t="s">
        <v>1468</v>
      </c>
      <c r="AD2192" s="4">
        <v>100</v>
      </c>
      <c r="AE2192" s="4">
        <v>200</v>
      </c>
      <c r="AF2192" s="6">
        <v>74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/>
      <c r="BJ2192" s="4">
        <v>12</v>
      </c>
      <c r="BK2192" s="8">
        <v>1932.97</v>
      </c>
      <c r="BL2192" s="2" t="s">
        <v>7658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2526</v>
      </c>
      <c r="BV2192" s="2" t="s">
        <v>97</v>
      </c>
      <c r="BW2192" s="2" t="s">
        <v>100</v>
      </c>
      <c r="BX2192" s="2" t="s">
        <v>100</v>
      </c>
      <c r="BY2192" s="2" t="s">
        <v>112</v>
      </c>
      <c r="BZ2192" s="2" t="s">
        <v>100</v>
      </c>
    </row>
    <row r="2193">
      <c r="A2193" s="2" t="s">
        <v>7659</v>
      </c>
      <c r="B2193" s="2" t="s">
        <v>6747</v>
      </c>
      <c r="C2193" s="2" t="s">
        <v>88</v>
      </c>
      <c r="D2193" s="2" t="s">
        <v>6789</v>
      </c>
      <c r="E2193" s="2" t="s">
        <v>6800</v>
      </c>
      <c r="F2193" s="2" t="s">
        <v>7642</v>
      </c>
      <c r="G2193" s="2" t="s">
        <v>7643</v>
      </c>
      <c r="H2193" s="2" t="s">
        <v>7644</v>
      </c>
      <c r="I2193" s="2" t="s">
        <v>7645</v>
      </c>
      <c r="J2193" s="2" t="s">
        <v>3385</v>
      </c>
      <c r="K2193" s="2" t="s">
        <v>842</v>
      </c>
      <c r="L2193" s="3">
        <v>171</v>
      </c>
      <c r="M2193" s="3">
        <v>179.55</v>
      </c>
      <c r="N2193" s="3">
        <v>369</v>
      </c>
      <c r="O2193" s="2" t="s">
        <v>97</v>
      </c>
      <c r="P2193" s="2" t="s">
        <v>98</v>
      </c>
      <c r="Q2193" s="2" t="s">
        <v>99</v>
      </c>
      <c r="R2193" s="2" t="s">
        <v>100</v>
      </c>
      <c r="S2193" s="2" t="s">
        <v>7660</v>
      </c>
      <c r="T2193" s="2" t="s">
        <v>100</v>
      </c>
      <c r="U2193" s="2" t="s">
        <v>100</v>
      </c>
      <c r="V2193" s="2" t="s">
        <v>461</v>
      </c>
      <c r="W2193" s="2" t="s">
        <v>142</v>
      </c>
      <c r="X2193" s="2" t="s">
        <v>100</v>
      </c>
      <c r="Y2193" s="2" t="s">
        <v>144</v>
      </c>
      <c r="Z2193" s="4">
        <v>187</v>
      </c>
      <c r="AA2193" s="4">
        <f>=ROUNDDOWN(37.4,0)</f>
      </c>
      <c r="AB2193" s="5">
        <v>5</v>
      </c>
      <c r="AC2193" s="2" t="s">
        <v>6903</v>
      </c>
      <c r="AD2193" s="4">
        <v>100</v>
      </c>
      <c r="AE2193" s="4">
        <v>100</v>
      </c>
      <c r="AF2193" s="6">
        <v>74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/>
      <c r="AW2193" s="8"/>
      <c r="AX2193" s="4"/>
      <c r="AY2193" s="8"/>
      <c r="AZ2193" s="7"/>
      <c r="BA2193" s="7"/>
      <c r="BB2193" s="7"/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/>
      <c r="BJ2193" s="4">
        <v>17</v>
      </c>
      <c r="BK2193" s="8">
        <v>2918.03</v>
      </c>
      <c r="BL2193" s="2" t="s">
        <v>7661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2526</v>
      </c>
      <c r="BV2193" s="2" t="s">
        <v>97</v>
      </c>
      <c r="BW2193" s="2" t="s">
        <v>100</v>
      </c>
      <c r="BX2193" s="2" t="s">
        <v>100</v>
      </c>
      <c r="BY2193" s="2" t="s">
        <v>112</v>
      </c>
      <c r="BZ2193" s="2" t="s">
        <v>100</v>
      </c>
    </row>
    <row r="2194">
      <c r="A2194" s="2" t="s">
        <v>7662</v>
      </c>
      <c r="B2194" s="2" t="s">
        <v>6747</v>
      </c>
      <c r="C2194" s="2" t="s">
        <v>88</v>
      </c>
      <c r="D2194" s="2" t="s">
        <v>6789</v>
      </c>
      <c r="E2194" s="2" t="s">
        <v>6800</v>
      </c>
      <c r="F2194" s="2" t="s">
        <v>7663</v>
      </c>
      <c r="G2194" s="2" t="s">
        <v>7664</v>
      </c>
      <c r="H2194" s="2" t="s">
        <v>7665</v>
      </c>
      <c r="I2194" s="2" t="s">
        <v>7666</v>
      </c>
      <c r="J2194" s="2" t="s">
        <v>3385</v>
      </c>
      <c r="K2194" s="2" t="s">
        <v>1373</v>
      </c>
      <c r="L2194" s="3">
        <v>172.8</v>
      </c>
      <c r="M2194" s="3">
        <v>181.44</v>
      </c>
      <c r="N2194" s="3">
        <v>359</v>
      </c>
      <c r="O2194" s="2" t="s">
        <v>97</v>
      </c>
      <c r="P2194" s="2" t="s">
        <v>707</v>
      </c>
      <c r="Q2194" s="2" t="s">
        <v>99</v>
      </c>
      <c r="R2194" s="2" t="s">
        <v>100</v>
      </c>
      <c r="S2194" s="2" t="s">
        <v>100</v>
      </c>
      <c r="T2194" s="2" t="s">
        <v>100</v>
      </c>
      <c r="U2194" s="2" t="s">
        <v>1776</v>
      </c>
      <c r="V2194" s="2" t="s">
        <v>3412</v>
      </c>
      <c r="W2194" s="2" t="s">
        <v>142</v>
      </c>
      <c r="X2194" s="2" t="s">
        <v>104</v>
      </c>
      <c r="Y2194" s="2" t="s">
        <v>6867</v>
      </c>
      <c r="Z2194" s="4"/>
      <c r="AA2194" s="4">
        <f>=ROUNDDOWN({0},0)</f>
      </c>
      <c r="AB2194" s="5">
        <v>3.2</v>
      </c>
      <c r="AC2194" s="2" t="s">
        <v>2772</v>
      </c>
      <c r="AD2194" s="4">
        <v>60</v>
      </c>
      <c r="AE2194" s="4">
        <v>60</v>
      </c>
      <c r="AF2194" s="6">
        <v>65</v>
      </c>
      <c r="AG2194" s="6"/>
      <c r="AH2194" s="7">
        <v>0.8387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/>
      <c r="BD2194" s="8"/>
      <c r="BE2194" s="4"/>
      <c r="BF2194" s="8"/>
      <c r="BG2194" s="7"/>
      <c r="BH2194" s="7"/>
      <c r="BI2194" s="7"/>
      <c r="BJ2194" s="4">
        <v>13</v>
      </c>
      <c r="BK2194" s="8">
        <v>2369.6</v>
      </c>
      <c r="BL2194" s="2" t="s">
        <v>6821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2526</v>
      </c>
      <c r="BV2194" s="2" t="s">
        <v>97</v>
      </c>
      <c r="BW2194" s="2" t="s">
        <v>100</v>
      </c>
      <c r="BX2194" s="2" t="s">
        <v>100</v>
      </c>
      <c r="BY2194" s="2" t="s">
        <v>112</v>
      </c>
      <c r="BZ2194" s="2" t="s">
        <v>100</v>
      </c>
    </row>
    <row r="2195">
      <c r="A2195" s="2" t="s">
        <v>7667</v>
      </c>
      <c r="B2195" s="2" t="s">
        <v>6747</v>
      </c>
      <c r="C2195" s="2" t="s">
        <v>88</v>
      </c>
      <c r="D2195" s="2" t="s">
        <v>6789</v>
      </c>
      <c r="E2195" s="2" t="s">
        <v>6800</v>
      </c>
      <c r="F2195" s="2" t="s">
        <v>760</v>
      </c>
      <c r="G2195" s="2" t="s">
        <v>7668</v>
      </c>
      <c r="H2195" s="2" t="s">
        <v>7669</v>
      </c>
      <c r="I2195" s="2" t="s">
        <v>7627</v>
      </c>
      <c r="J2195" s="2" t="s">
        <v>3385</v>
      </c>
      <c r="K2195" s="2" t="s">
        <v>179</v>
      </c>
      <c r="L2195" s="3">
        <v>147.25</v>
      </c>
      <c r="M2195" s="3">
        <v>154.61</v>
      </c>
      <c r="N2195" s="3">
        <v>309</v>
      </c>
      <c r="O2195" s="2" t="s">
        <v>97</v>
      </c>
      <c r="P2195" s="2" t="s">
        <v>707</v>
      </c>
      <c r="Q2195" s="2" t="s">
        <v>99</v>
      </c>
      <c r="R2195" s="2" t="s">
        <v>100</v>
      </c>
      <c r="S2195" s="2" t="s">
        <v>7670</v>
      </c>
      <c r="T2195" s="2" t="s">
        <v>100</v>
      </c>
      <c r="U2195" s="2" t="s">
        <v>100</v>
      </c>
      <c r="V2195" s="2" t="s">
        <v>461</v>
      </c>
      <c r="W2195" s="2" t="s">
        <v>2835</v>
      </c>
      <c r="X2195" s="2" t="s">
        <v>100</v>
      </c>
      <c r="Y2195" s="2" t="s">
        <v>144</v>
      </c>
      <c r="Z2195" s="4">
        <v>90</v>
      </c>
      <c r="AA2195" s="4">
        <f>=ROUNDDOWN(50,0)</f>
      </c>
      <c r="AB2195" s="5">
        <v>1.8</v>
      </c>
      <c r="AC2195" s="2" t="s">
        <v>958</v>
      </c>
      <c r="AD2195" s="4">
        <v>100</v>
      </c>
      <c r="AE2195" s="4">
        <v>100</v>
      </c>
      <c r="AF2195" s="6">
        <v>74</v>
      </c>
      <c r="AG2195" s="6">
        <v>60</v>
      </c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/>
      <c r="AW2195" s="8"/>
      <c r="AX2195" s="4"/>
      <c r="AY2195" s="8"/>
      <c r="AZ2195" s="7"/>
      <c r="BA2195" s="7"/>
      <c r="BB2195" s="7"/>
      <c r="BC2195" s="4"/>
      <c r="BD2195" s="8"/>
      <c r="BE2195" s="4"/>
      <c r="BF2195" s="8"/>
      <c r="BG2195" s="7"/>
      <c r="BH2195" s="7"/>
      <c r="BI2195" s="7"/>
      <c r="BJ2195" s="4">
        <v>18</v>
      </c>
      <c r="BK2195" s="8">
        <v>2676.42</v>
      </c>
      <c r="BL2195" s="2" t="s">
        <v>7671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2526</v>
      </c>
      <c r="BV2195" s="2" t="s">
        <v>97</v>
      </c>
      <c r="BW2195" s="2" t="s">
        <v>100</v>
      </c>
      <c r="BX2195" s="2" t="s">
        <v>100</v>
      </c>
      <c r="BY2195" s="2" t="s">
        <v>112</v>
      </c>
      <c r="BZ2195" s="2" t="s">
        <v>100</v>
      </c>
    </row>
    <row r="2196">
      <c r="A2196" s="2" t="s">
        <v>7672</v>
      </c>
      <c r="B2196" s="2" t="s">
        <v>6747</v>
      </c>
      <c r="C2196" s="2" t="s">
        <v>88</v>
      </c>
      <c r="D2196" s="2" t="s">
        <v>6919</v>
      </c>
      <c r="E2196" s="2" t="s">
        <v>6926</v>
      </c>
      <c r="F2196" s="2" t="s">
        <v>7673</v>
      </c>
      <c r="G2196" s="2" t="s">
        <v>7674</v>
      </c>
      <c r="H2196" s="2" t="s">
        <v>7675</v>
      </c>
      <c r="I2196" s="2" t="s">
        <v>7676</v>
      </c>
      <c r="J2196" s="2" t="s">
        <v>3385</v>
      </c>
      <c r="K2196" s="2" t="s">
        <v>7677</v>
      </c>
      <c r="L2196" s="3">
        <v>234</v>
      </c>
      <c r="M2196" s="3">
        <v>245.7</v>
      </c>
      <c r="N2196" s="3">
        <v>499</v>
      </c>
      <c r="O2196" s="2" t="s">
        <v>97</v>
      </c>
      <c r="P2196" s="2" t="s">
        <v>123</v>
      </c>
      <c r="Q2196" s="2" t="s">
        <v>99</v>
      </c>
      <c r="R2196" s="2" t="s">
        <v>100</v>
      </c>
      <c r="S2196" s="2" t="s">
        <v>7678</v>
      </c>
      <c r="T2196" s="2" t="s">
        <v>100</v>
      </c>
      <c r="U2196" s="2" t="s">
        <v>1776</v>
      </c>
      <c r="V2196" s="2" t="s">
        <v>461</v>
      </c>
      <c r="W2196" s="2" t="s">
        <v>2835</v>
      </c>
      <c r="X2196" s="2" t="s">
        <v>100</v>
      </c>
      <c r="Y2196" s="2" t="s">
        <v>144</v>
      </c>
      <c r="Z2196" s="4">
        <v>142</v>
      </c>
      <c r="AA2196" s="4">
        <f>=ROUNDDOWN(17.1084337349398,0)</f>
      </c>
      <c r="AB2196" s="5">
        <v>8.3</v>
      </c>
      <c r="AC2196" s="2" t="s">
        <v>7091</v>
      </c>
      <c r="AD2196" s="4">
        <v>144</v>
      </c>
      <c r="AE2196" s="4">
        <v>144</v>
      </c>
      <c r="AF2196" s="6">
        <v>65</v>
      </c>
      <c r="AG2196" s="6">
        <v>48</v>
      </c>
      <c r="AH2196" s="7">
        <v>1</v>
      </c>
      <c r="AI2196" s="4"/>
      <c r="AJ2196" s="4">
        <f>=ROUNDDOWN({0},0)</f>
      </c>
      <c r="AK2196" s="5"/>
      <c r="AL2196" s="2" t="s">
        <v>7679</v>
      </c>
      <c r="AM2196" s="4">
        <v>156</v>
      </c>
      <c r="AN2196" s="4">
        <v>312</v>
      </c>
      <c r="AO2196" s="7">
        <v>0</v>
      </c>
      <c r="AP2196" s="4"/>
      <c r="AQ2196" s="8"/>
      <c r="AR2196" s="4"/>
      <c r="AS2196" s="8"/>
      <c r="AT2196" s="7"/>
      <c r="AU2196" s="7"/>
      <c r="AV2196" s="4"/>
      <c r="AW2196" s="8"/>
      <c r="AX2196" s="4"/>
      <c r="AY2196" s="8"/>
      <c r="AZ2196" s="7"/>
      <c r="BA2196" s="7"/>
      <c r="BB2196" s="7"/>
      <c r="BC2196" s="4"/>
      <c r="BD2196" s="8"/>
      <c r="BE2196" s="4"/>
      <c r="BF2196" s="8"/>
      <c r="BG2196" s="7"/>
      <c r="BH2196" s="7"/>
      <c r="BI2196" s="7"/>
      <c r="BJ2196" s="4">
        <v>41</v>
      </c>
      <c r="BK2196" s="8">
        <v>10039.83</v>
      </c>
      <c r="BL2196" s="2" t="s">
        <v>7680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2526</v>
      </c>
      <c r="BV2196" s="2" t="s">
        <v>97</v>
      </c>
      <c r="BW2196" s="2" t="s">
        <v>100</v>
      </c>
      <c r="BX2196" s="2" t="s">
        <v>100</v>
      </c>
      <c r="BY2196" s="2" t="s">
        <v>112</v>
      </c>
      <c r="BZ2196" s="2" t="s">
        <v>100</v>
      </c>
    </row>
    <row r="2197">
      <c r="A2197" s="2" t="s">
        <v>7681</v>
      </c>
      <c r="B2197" s="2" t="s">
        <v>6747</v>
      </c>
      <c r="C2197" s="2" t="s">
        <v>88</v>
      </c>
      <c r="D2197" s="2" t="s">
        <v>6919</v>
      </c>
      <c r="E2197" s="2" t="s">
        <v>6926</v>
      </c>
      <c r="F2197" s="2" t="s">
        <v>7682</v>
      </c>
      <c r="G2197" s="2" t="s">
        <v>7683</v>
      </c>
      <c r="H2197" s="2" t="s">
        <v>7684</v>
      </c>
      <c r="I2197" s="2" t="s">
        <v>7685</v>
      </c>
      <c r="J2197" s="2" t="s">
        <v>3385</v>
      </c>
      <c r="K2197" s="2" t="s">
        <v>165</v>
      </c>
      <c r="L2197" s="3">
        <v>256.5</v>
      </c>
      <c r="M2197" s="3">
        <v>269.32</v>
      </c>
      <c r="N2197" s="3">
        <v>549</v>
      </c>
      <c r="O2197" s="2" t="s">
        <v>97</v>
      </c>
      <c r="P2197" s="2" t="s">
        <v>139</v>
      </c>
      <c r="Q2197" s="2" t="s">
        <v>99</v>
      </c>
      <c r="R2197" s="2" t="s">
        <v>100</v>
      </c>
      <c r="S2197" s="2" t="s">
        <v>100</v>
      </c>
      <c r="T2197" s="2" t="s">
        <v>100</v>
      </c>
      <c r="U2197" s="2" t="s">
        <v>1776</v>
      </c>
      <c r="V2197" s="2" t="s">
        <v>461</v>
      </c>
      <c r="W2197" s="2" t="s">
        <v>104</v>
      </c>
      <c r="X2197" s="2" t="s">
        <v>100</v>
      </c>
      <c r="Y2197" s="2" t="s">
        <v>7686</v>
      </c>
      <c r="Z2197" s="4">
        <v>470</v>
      </c>
      <c r="AA2197" s="4">
        <f>=ROUNDDOWN(15.6666666666667,0)</f>
      </c>
      <c r="AB2197" s="5">
        <v>30</v>
      </c>
      <c r="AC2197" s="2" t="s">
        <v>1094</v>
      </c>
      <c r="AD2197" s="4">
        <v>90</v>
      </c>
      <c r="AE2197" s="4">
        <v>90</v>
      </c>
      <c r="AF2197" s="6">
        <v>65</v>
      </c>
      <c r="AG2197" s="6">
        <v>48</v>
      </c>
      <c r="AH2197" s="7">
        <v>1</v>
      </c>
      <c r="AI2197" s="4"/>
      <c r="AJ2197" s="4">
        <f>=ROUNDDOWN({0},0)</f>
      </c>
      <c r="AK2197" s="5"/>
      <c r="AL2197" s="2" t="s">
        <v>307</v>
      </c>
      <c r="AM2197" s="4">
        <v>186</v>
      </c>
      <c r="AN2197" s="4">
        <v>372</v>
      </c>
      <c r="AO2197" s="7">
        <v>0</v>
      </c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/>
      <c r="BD2197" s="8"/>
      <c r="BE2197" s="4"/>
      <c r="BF2197" s="8"/>
      <c r="BG2197" s="7"/>
      <c r="BH2197" s="7"/>
      <c r="BI2197" s="7"/>
      <c r="BJ2197" s="4">
        <v>73</v>
      </c>
      <c r="BK2197" s="8">
        <v>17541.99</v>
      </c>
      <c r="BL2197" s="2" t="s">
        <v>7680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2526</v>
      </c>
      <c r="BV2197" s="2" t="s">
        <v>97</v>
      </c>
      <c r="BW2197" s="2" t="s">
        <v>100</v>
      </c>
      <c r="BX2197" s="2" t="s">
        <v>100</v>
      </c>
      <c r="BY2197" s="2" t="s">
        <v>112</v>
      </c>
      <c r="BZ2197" s="2" t="s">
        <v>100</v>
      </c>
    </row>
    <row r="2198">
      <c r="A2198" s="2" t="s">
        <v>7687</v>
      </c>
      <c r="B2198" s="2" t="s">
        <v>6747</v>
      </c>
      <c r="C2198" s="2" t="s">
        <v>88</v>
      </c>
      <c r="D2198" s="2" t="s">
        <v>6919</v>
      </c>
      <c r="E2198" s="2" t="s">
        <v>6926</v>
      </c>
      <c r="F2198" s="2" t="s">
        <v>7688</v>
      </c>
      <c r="G2198" s="2" t="s">
        <v>7689</v>
      </c>
      <c r="H2198" s="2" t="s">
        <v>7690</v>
      </c>
      <c r="I2198" s="2" t="s">
        <v>7691</v>
      </c>
      <c r="J2198" s="2" t="s">
        <v>3385</v>
      </c>
      <c r="K2198" s="2" t="s">
        <v>446</v>
      </c>
      <c r="L2198" s="3">
        <v>285</v>
      </c>
      <c r="M2198" s="3">
        <v>299.25</v>
      </c>
      <c r="N2198" s="3">
        <v>599</v>
      </c>
      <c r="O2198" s="2" t="s">
        <v>97</v>
      </c>
      <c r="P2198" s="2" t="s">
        <v>123</v>
      </c>
      <c r="Q2198" s="2" t="s">
        <v>99</v>
      </c>
      <c r="R2198" s="2" t="s">
        <v>100</v>
      </c>
      <c r="S2198" s="2" t="s">
        <v>100</v>
      </c>
      <c r="T2198" s="2" t="s">
        <v>100</v>
      </c>
      <c r="U2198" s="2" t="s">
        <v>1776</v>
      </c>
      <c r="V2198" s="2" t="s">
        <v>3412</v>
      </c>
      <c r="W2198" s="2" t="s">
        <v>493</v>
      </c>
      <c r="X2198" s="2" t="s">
        <v>142</v>
      </c>
      <c r="Y2198" s="2" t="s">
        <v>7116</v>
      </c>
      <c r="Z2198" s="4">
        <v>225</v>
      </c>
      <c r="AA2198" s="4">
        <f>=ROUNDDOWN(14.0625,0)</f>
      </c>
      <c r="AB2198" s="5">
        <v>16</v>
      </c>
      <c r="AC2198" s="2" t="s">
        <v>5741</v>
      </c>
      <c r="AD2198" s="4">
        <v>120</v>
      </c>
      <c r="AE2198" s="4">
        <v>290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/>
      <c r="AW2198" s="8"/>
      <c r="AX2198" s="4"/>
      <c r="AY2198" s="8"/>
      <c r="AZ2198" s="7"/>
      <c r="BA2198" s="7"/>
      <c r="BB2198" s="7"/>
      <c r="BC2198" s="4"/>
      <c r="BD2198" s="8"/>
      <c r="BE2198" s="4"/>
      <c r="BF2198" s="8"/>
      <c r="BG2198" s="7"/>
      <c r="BH2198" s="7"/>
      <c r="BI2198" s="7"/>
      <c r="BJ2198" s="4">
        <v>51</v>
      </c>
      <c r="BK2198" s="8">
        <v>15554.69</v>
      </c>
      <c r="BL2198" s="2" t="s">
        <v>7692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2526</v>
      </c>
      <c r="BV2198" s="2" t="s">
        <v>97</v>
      </c>
      <c r="BW2198" s="2" t="s">
        <v>100</v>
      </c>
      <c r="BX2198" s="2" t="s">
        <v>100</v>
      </c>
      <c r="BY2198" s="2" t="s">
        <v>112</v>
      </c>
      <c r="BZ2198" s="2" t="s">
        <v>100</v>
      </c>
    </row>
    <row r="2199">
      <c r="A2199" s="2" t="s">
        <v>7693</v>
      </c>
      <c r="B2199" s="2" t="s">
        <v>6747</v>
      </c>
      <c r="C2199" s="2" t="s">
        <v>88</v>
      </c>
      <c r="D2199" s="2" t="s">
        <v>6919</v>
      </c>
      <c r="E2199" s="2" t="s">
        <v>6926</v>
      </c>
      <c r="F2199" s="2" t="s">
        <v>7694</v>
      </c>
      <c r="G2199" s="2" t="s">
        <v>7695</v>
      </c>
      <c r="H2199" s="2" t="s">
        <v>7696</v>
      </c>
      <c r="I2199" s="2" t="s">
        <v>6920</v>
      </c>
      <c r="J2199" s="2" t="s">
        <v>3385</v>
      </c>
      <c r="K2199" s="2" t="s">
        <v>1090</v>
      </c>
      <c r="L2199" s="3">
        <v>256.5</v>
      </c>
      <c r="M2199" s="3">
        <v>269.32</v>
      </c>
      <c r="N2199" s="3">
        <v>549</v>
      </c>
      <c r="O2199" s="2" t="s">
        <v>97</v>
      </c>
      <c r="P2199" s="2" t="s">
        <v>98</v>
      </c>
      <c r="Q2199" s="2" t="s">
        <v>99</v>
      </c>
      <c r="R2199" s="2" t="s">
        <v>100</v>
      </c>
      <c r="S2199" s="2" t="s">
        <v>7697</v>
      </c>
      <c r="T2199" s="2" t="s">
        <v>100</v>
      </c>
      <c r="U2199" s="2" t="s">
        <v>100</v>
      </c>
      <c r="V2199" s="2" t="s">
        <v>461</v>
      </c>
      <c r="W2199" s="2" t="s">
        <v>3394</v>
      </c>
      <c r="X2199" s="2" t="s">
        <v>100</v>
      </c>
      <c r="Y2199" s="2" t="s">
        <v>7698</v>
      </c>
      <c r="Z2199" s="4">
        <v>79</v>
      </c>
      <c r="AA2199" s="4">
        <f>=ROUNDDOWN(13.1666666666667,0)</f>
      </c>
      <c r="AB2199" s="5">
        <v>6</v>
      </c>
      <c r="AC2199" s="2" t="s">
        <v>7091</v>
      </c>
      <c r="AD2199" s="4">
        <v>150</v>
      </c>
      <c r="AE2199" s="4">
        <v>150</v>
      </c>
      <c r="AF2199" s="6">
        <v>65</v>
      </c>
      <c r="AG2199" s="6">
        <v>48</v>
      </c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/>
      <c r="AW2199" s="8"/>
      <c r="AX2199" s="4"/>
      <c r="AY2199" s="8"/>
      <c r="AZ2199" s="7"/>
      <c r="BA2199" s="7"/>
      <c r="BB2199" s="7"/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/>
      <c r="BJ2199" s="4">
        <v>14</v>
      </c>
      <c r="BK2199" s="8">
        <v>3642.31</v>
      </c>
      <c r="BL2199" s="2" t="s">
        <v>7699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2526</v>
      </c>
      <c r="BV2199" s="2" t="s">
        <v>97</v>
      </c>
      <c r="BW2199" s="2" t="s">
        <v>100</v>
      </c>
      <c r="BX2199" s="2" t="s">
        <v>100</v>
      </c>
      <c r="BY2199" s="2" t="s">
        <v>112</v>
      </c>
      <c r="BZ2199" s="2" t="s">
        <v>100</v>
      </c>
    </row>
    <row r="2200">
      <c r="A2200" s="2" t="s">
        <v>7700</v>
      </c>
      <c r="B2200" s="2" t="s">
        <v>6747</v>
      </c>
      <c r="C2200" s="2" t="s">
        <v>88</v>
      </c>
      <c r="D2200" s="2" t="s">
        <v>6919</v>
      </c>
      <c r="E2200" s="2" t="s">
        <v>6926</v>
      </c>
      <c r="F2200" s="2" t="s">
        <v>7694</v>
      </c>
      <c r="G2200" s="2" t="s">
        <v>7695</v>
      </c>
      <c r="H2200" s="2" t="s">
        <v>7696</v>
      </c>
      <c r="I2200" s="2" t="s">
        <v>6920</v>
      </c>
      <c r="J2200" s="2" t="s">
        <v>3385</v>
      </c>
      <c r="K2200" s="2" t="s">
        <v>96</v>
      </c>
      <c r="L2200" s="3">
        <v>256.5</v>
      </c>
      <c r="M2200" s="3">
        <v>269.32</v>
      </c>
      <c r="N2200" s="3">
        <v>549</v>
      </c>
      <c r="O2200" s="2" t="s">
        <v>97</v>
      </c>
      <c r="P2200" s="2" t="s">
        <v>123</v>
      </c>
      <c r="Q2200" s="2" t="s">
        <v>99</v>
      </c>
      <c r="R2200" s="2" t="s">
        <v>100</v>
      </c>
      <c r="S2200" s="2" t="s">
        <v>7701</v>
      </c>
      <c r="T2200" s="2" t="s">
        <v>100</v>
      </c>
      <c r="U2200" s="2" t="s">
        <v>100</v>
      </c>
      <c r="V2200" s="2" t="s">
        <v>461</v>
      </c>
      <c r="W2200" s="2" t="s">
        <v>493</v>
      </c>
      <c r="X2200" s="2" t="s">
        <v>100</v>
      </c>
      <c r="Y2200" s="2" t="s">
        <v>144</v>
      </c>
      <c r="Z2200" s="4">
        <v>47</v>
      </c>
      <c r="AA2200" s="4">
        <f>=ROUNDDOWN(3.61538461538462,0)</f>
      </c>
      <c r="AB2200" s="5">
        <v>13</v>
      </c>
      <c r="AC2200" s="2" t="s">
        <v>1094</v>
      </c>
      <c r="AD2200" s="4">
        <v>30</v>
      </c>
      <c r="AE2200" s="4">
        <v>404</v>
      </c>
      <c r="AF2200" s="6">
        <v>65</v>
      </c>
      <c r="AG2200" s="6">
        <v>48</v>
      </c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/>
      <c r="AW2200" s="8"/>
      <c r="AX2200" s="4"/>
      <c r="AY2200" s="8"/>
      <c r="AZ2200" s="7"/>
      <c r="BA2200" s="7"/>
      <c r="BB2200" s="7"/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/>
      <c r="BJ2200" s="4">
        <v>61</v>
      </c>
      <c r="BK2200" s="8">
        <v>15309.74</v>
      </c>
      <c r="BL2200" s="2" t="s">
        <v>7702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2526</v>
      </c>
      <c r="BV2200" s="2" t="s">
        <v>97</v>
      </c>
      <c r="BW2200" s="2" t="s">
        <v>100</v>
      </c>
      <c r="BX2200" s="2" t="s">
        <v>100</v>
      </c>
      <c r="BY2200" s="2" t="s">
        <v>112</v>
      </c>
      <c r="BZ2200" s="2" t="s">
        <v>100</v>
      </c>
    </row>
    <row r="2201">
      <c r="A2201" s="2" t="s">
        <v>7703</v>
      </c>
      <c r="B2201" s="2" t="s">
        <v>6747</v>
      </c>
      <c r="C2201" s="2" t="s">
        <v>88</v>
      </c>
      <c r="D2201" s="2" t="s">
        <v>6919</v>
      </c>
      <c r="E2201" s="2" t="s">
        <v>7704</v>
      </c>
      <c r="F2201" s="2" t="s">
        <v>7705</v>
      </c>
      <c r="G2201" s="2" t="s">
        <v>7706</v>
      </c>
      <c r="H2201" s="2" t="s">
        <v>7707</v>
      </c>
      <c r="I2201" s="2" t="s">
        <v>7708</v>
      </c>
      <c r="J2201" s="2" t="s">
        <v>3385</v>
      </c>
      <c r="K2201" s="2" t="s">
        <v>446</v>
      </c>
      <c r="L2201" s="3">
        <v>243.68</v>
      </c>
      <c r="M2201" s="3">
        <v>255.86</v>
      </c>
      <c r="N2201" s="3">
        <v>509</v>
      </c>
      <c r="O2201" s="2" t="s">
        <v>97</v>
      </c>
      <c r="P2201" s="2" t="s">
        <v>707</v>
      </c>
      <c r="Q2201" s="2" t="s">
        <v>99</v>
      </c>
      <c r="R2201" s="2" t="s">
        <v>100</v>
      </c>
      <c r="S2201" s="2" t="s">
        <v>100</v>
      </c>
      <c r="T2201" s="2" t="s">
        <v>100</v>
      </c>
      <c r="U2201" s="2" t="s">
        <v>1776</v>
      </c>
      <c r="V2201" s="2" t="s">
        <v>3412</v>
      </c>
      <c r="W2201" s="2" t="s">
        <v>609</v>
      </c>
      <c r="X2201" s="2" t="s">
        <v>100</v>
      </c>
      <c r="Y2201" s="2" t="s">
        <v>6487</v>
      </c>
      <c r="Z2201" s="4">
        <v>37</v>
      </c>
      <c r="AA2201" s="4">
        <f>=ROUNDDOWN(18.5,0)</f>
      </c>
      <c r="AB2201" s="5">
        <v>2</v>
      </c>
      <c r="AC2201" s="2" t="s">
        <v>100</v>
      </c>
      <c r="AD2201" s="4"/>
      <c r="AE2201" s="4"/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/>
      <c r="AW2201" s="8"/>
      <c r="AX2201" s="4"/>
      <c r="AY2201" s="8"/>
      <c r="AZ2201" s="7"/>
      <c r="BA2201" s="7"/>
      <c r="BB2201" s="7"/>
      <c r="BC2201" s="4"/>
      <c r="BD2201" s="8"/>
      <c r="BE2201" s="4"/>
      <c r="BF2201" s="8"/>
      <c r="BG2201" s="7"/>
      <c r="BH2201" s="7"/>
      <c r="BI2201" s="7"/>
      <c r="BJ2201" s="4">
        <v>8</v>
      </c>
      <c r="BK2201" s="8">
        <v>1888.49</v>
      </c>
      <c r="BL2201" s="2" t="s">
        <v>7058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2526</v>
      </c>
      <c r="BV2201" s="2" t="s">
        <v>97</v>
      </c>
      <c r="BW2201" s="2" t="s">
        <v>100</v>
      </c>
      <c r="BX2201" s="2" t="s">
        <v>100</v>
      </c>
      <c r="BY2201" s="2" t="s">
        <v>112</v>
      </c>
      <c r="BZ2201" s="2" t="s">
        <v>100</v>
      </c>
    </row>
    <row r="2202">
      <c r="A2202" s="2" t="s">
        <v>7709</v>
      </c>
      <c r="B2202" s="2" t="s">
        <v>6747</v>
      </c>
      <c r="C2202" s="2" t="s">
        <v>88</v>
      </c>
      <c r="D2202" s="2" t="s">
        <v>6919</v>
      </c>
      <c r="E2202" s="2" t="s">
        <v>7704</v>
      </c>
      <c r="F2202" s="2" t="s">
        <v>134</v>
      </c>
      <c r="G2202" s="2" t="s">
        <v>7710</v>
      </c>
      <c r="H2202" s="2" t="s">
        <v>7711</v>
      </c>
      <c r="I2202" s="2" t="s">
        <v>6920</v>
      </c>
      <c r="J2202" s="2" t="s">
        <v>3385</v>
      </c>
      <c r="K2202" s="2" t="s">
        <v>446</v>
      </c>
      <c r="L2202" s="3">
        <v>227.7</v>
      </c>
      <c r="M2202" s="3">
        <v>239.08</v>
      </c>
      <c r="N2202" s="3">
        <v>479</v>
      </c>
      <c r="O2202" s="2" t="s">
        <v>97</v>
      </c>
      <c r="P2202" s="2" t="s">
        <v>98</v>
      </c>
      <c r="Q2202" s="2" t="s">
        <v>99</v>
      </c>
      <c r="R2202" s="2" t="s">
        <v>100</v>
      </c>
      <c r="S2202" s="2" t="s">
        <v>100</v>
      </c>
      <c r="T2202" s="2" t="s">
        <v>100</v>
      </c>
      <c r="U2202" s="2" t="s">
        <v>1776</v>
      </c>
      <c r="V2202" s="2" t="s">
        <v>717</v>
      </c>
      <c r="W2202" s="2" t="s">
        <v>717</v>
      </c>
      <c r="X2202" s="2" t="s">
        <v>609</v>
      </c>
      <c r="Y2202" s="2" t="s">
        <v>2366</v>
      </c>
      <c r="Z2202" s="4">
        <v>9</v>
      </c>
      <c r="AA2202" s="4">
        <f>=ROUNDDOWN(1.125,0)</f>
      </c>
      <c r="AB2202" s="5">
        <v>8</v>
      </c>
      <c r="AC2202" s="2" t="s">
        <v>6924</v>
      </c>
      <c r="AD2202" s="4">
        <v>100</v>
      </c>
      <c r="AE2202" s="4">
        <v>200</v>
      </c>
      <c r="AF2202" s="6">
        <v>76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/>
      <c r="AW2202" s="8"/>
      <c r="AX2202" s="4"/>
      <c r="AY2202" s="8"/>
      <c r="AZ2202" s="7"/>
      <c r="BA2202" s="7"/>
      <c r="BB2202" s="7"/>
      <c r="BC2202" s="4"/>
      <c r="BD2202" s="8"/>
      <c r="BE2202" s="4"/>
      <c r="BF2202" s="8"/>
      <c r="BG2202" s="7"/>
      <c r="BH2202" s="7"/>
      <c r="BI2202" s="7"/>
      <c r="BJ2202" s="4">
        <v>24</v>
      </c>
      <c r="BK2202" s="8">
        <v>5791.83</v>
      </c>
      <c r="BL2202" s="2" t="s">
        <v>644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2526</v>
      </c>
      <c r="BV2202" s="2" t="s">
        <v>97</v>
      </c>
      <c r="BW2202" s="2" t="s">
        <v>100</v>
      </c>
      <c r="BX2202" s="2" t="s">
        <v>100</v>
      </c>
      <c r="BY2202" s="2" t="s">
        <v>112</v>
      </c>
      <c r="BZ2202" s="2" t="s">
        <v>100</v>
      </c>
    </row>
    <row r="2203">
      <c r="A2203" s="2" t="s">
        <v>7712</v>
      </c>
      <c r="B2203" s="2" t="s">
        <v>6747</v>
      </c>
      <c r="C2203" s="2" t="s">
        <v>88</v>
      </c>
      <c r="D2203" s="2" t="s">
        <v>6919</v>
      </c>
      <c r="E2203" s="2" t="s">
        <v>7704</v>
      </c>
      <c r="F2203" s="2" t="s">
        <v>7713</v>
      </c>
      <c r="G2203" s="2" t="s">
        <v>7714</v>
      </c>
      <c r="H2203" s="2" t="s">
        <v>7715</v>
      </c>
      <c r="I2203" s="2" t="s">
        <v>7716</v>
      </c>
      <c r="J2203" s="2" t="s">
        <v>3385</v>
      </c>
      <c r="K2203" s="2" t="s">
        <v>256</v>
      </c>
      <c r="L2203" s="3">
        <v>256.5</v>
      </c>
      <c r="M2203" s="3">
        <v>269.32</v>
      </c>
      <c r="N2203" s="3">
        <v>549</v>
      </c>
      <c r="O2203" s="2" t="s">
        <v>97</v>
      </c>
      <c r="P2203" s="2" t="s">
        <v>98</v>
      </c>
      <c r="Q2203" s="2" t="s">
        <v>99</v>
      </c>
      <c r="R2203" s="2" t="s">
        <v>100</v>
      </c>
      <c r="S2203" s="2" t="s">
        <v>7717</v>
      </c>
      <c r="T2203" s="2" t="s">
        <v>100</v>
      </c>
      <c r="U2203" s="2" t="s">
        <v>100</v>
      </c>
      <c r="V2203" s="2" t="s">
        <v>461</v>
      </c>
      <c r="W2203" s="2" t="s">
        <v>104</v>
      </c>
      <c r="X2203" s="2" t="s">
        <v>100</v>
      </c>
      <c r="Y2203" s="2" t="s">
        <v>144</v>
      </c>
      <c r="Z2203" s="4">
        <v>56</v>
      </c>
      <c r="AA2203" s="4">
        <f>=ROUNDDOWN(5.6,0)</f>
      </c>
      <c r="AB2203" s="5">
        <v>10</v>
      </c>
      <c r="AC2203" s="2" t="s">
        <v>100</v>
      </c>
      <c r="AD2203" s="4"/>
      <c r="AE2203" s="4"/>
      <c r="AF2203" s="6">
        <v>65</v>
      </c>
      <c r="AG2203" s="6">
        <v>48</v>
      </c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/>
      <c r="AW2203" s="8"/>
      <c r="AX2203" s="4"/>
      <c r="AY2203" s="8"/>
      <c r="AZ2203" s="7"/>
      <c r="BA2203" s="7"/>
      <c r="BB2203" s="7"/>
      <c r="BC2203" s="4"/>
      <c r="BD2203" s="8"/>
      <c r="BE2203" s="4"/>
      <c r="BF2203" s="8"/>
      <c r="BG2203" s="7"/>
      <c r="BH2203" s="7"/>
      <c r="BI2203" s="7"/>
      <c r="BJ2203" s="4">
        <v>21</v>
      </c>
      <c r="BK2203" s="8">
        <v>5301.92</v>
      </c>
      <c r="BL2203" s="2" t="s">
        <v>2807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171</v>
      </c>
      <c r="BV2203" s="2" t="s">
        <v>97</v>
      </c>
      <c r="BW2203" s="2" t="s">
        <v>100</v>
      </c>
      <c r="BX2203" s="2" t="s">
        <v>100</v>
      </c>
      <c r="BY2203" s="2" t="s">
        <v>112</v>
      </c>
      <c r="BZ2203" s="2" t="s">
        <v>100</v>
      </c>
    </row>
    <row r="2204">
      <c r="A2204" s="2" t="s">
        <v>7718</v>
      </c>
      <c r="B2204" s="2" t="s">
        <v>6747</v>
      </c>
      <c r="C2204" s="2" t="s">
        <v>88</v>
      </c>
      <c r="D2204" s="2" t="s">
        <v>6931</v>
      </c>
      <c r="E2204" s="2" t="s">
        <v>6932</v>
      </c>
      <c r="F2204" s="2" t="s">
        <v>4654</v>
      </c>
      <c r="G2204" s="2" t="s">
        <v>7719</v>
      </c>
      <c r="H2204" s="2" t="s">
        <v>7720</v>
      </c>
      <c r="I2204" s="2" t="s">
        <v>7721</v>
      </c>
      <c r="J2204" s="2" t="s">
        <v>3385</v>
      </c>
      <c r="K2204" s="2" t="s">
        <v>96</v>
      </c>
      <c r="L2204" s="3">
        <v>73.6</v>
      </c>
      <c r="M2204" s="3">
        <v>77.28</v>
      </c>
      <c r="N2204" s="3">
        <v>159</v>
      </c>
      <c r="O2204" s="2" t="s">
        <v>97</v>
      </c>
      <c r="P2204" s="2" t="s">
        <v>707</v>
      </c>
      <c r="Q2204" s="2" t="s">
        <v>99</v>
      </c>
      <c r="R2204" s="2" t="s">
        <v>100</v>
      </c>
      <c r="S2204" s="2" t="s">
        <v>7722</v>
      </c>
      <c r="T2204" s="2" t="s">
        <v>100</v>
      </c>
      <c r="U2204" s="2" t="s">
        <v>100</v>
      </c>
      <c r="V2204" s="2" t="s">
        <v>461</v>
      </c>
      <c r="W2204" s="2" t="s">
        <v>142</v>
      </c>
      <c r="X2204" s="2" t="s">
        <v>493</v>
      </c>
      <c r="Y2204" s="2" t="s">
        <v>144</v>
      </c>
      <c r="Z2204" s="4">
        <v>472</v>
      </c>
      <c r="AA2204" s="4">
        <f>=ROUNDDOWN(67.4285714285714,0)</f>
      </c>
      <c r="AB2204" s="5">
        <v>7</v>
      </c>
      <c r="AC2204" s="2" t="s">
        <v>100</v>
      </c>
      <c r="AD2204" s="4"/>
      <c r="AE2204" s="4"/>
      <c r="AF2204" s="6">
        <v>65</v>
      </c>
      <c r="AG2204" s="6">
        <v>48</v>
      </c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/>
      <c r="AQ2204" s="8"/>
      <c r="AR2204" s="4"/>
      <c r="AS2204" s="8"/>
      <c r="AT2204" s="7"/>
      <c r="AU2204" s="7"/>
      <c r="AV2204" s="4"/>
      <c r="AW2204" s="8"/>
      <c r="AX2204" s="4"/>
      <c r="AY2204" s="8"/>
      <c r="AZ2204" s="7"/>
      <c r="BA2204" s="7"/>
      <c r="BB2204" s="7"/>
      <c r="BC2204" s="4"/>
      <c r="BD2204" s="8"/>
      <c r="BE2204" s="4"/>
      <c r="BF2204" s="8"/>
      <c r="BG2204" s="7"/>
      <c r="BH2204" s="7"/>
      <c r="BI2204" s="7"/>
      <c r="BJ2204" s="4">
        <v>23</v>
      </c>
      <c r="BK2204" s="8">
        <v>1905.1</v>
      </c>
      <c r="BL2204" s="2" t="s">
        <v>7723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2526</v>
      </c>
      <c r="BV2204" s="2" t="s">
        <v>97</v>
      </c>
      <c r="BW2204" s="2" t="s">
        <v>100</v>
      </c>
      <c r="BX2204" s="2" t="s">
        <v>100</v>
      </c>
      <c r="BY2204" s="2" t="s">
        <v>112</v>
      </c>
      <c r="BZ2204" s="2" t="s">
        <v>100</v>
      </c>
    </row>
    <row r="2205">
      <c r="A2205" s="2" t="s">
        <v>7724</v>
      </c>
      <c r="B2205" s="2" t="s">
        <v>6747</v>
      </c>
      <c r="C2205" s="2" t="s">
        <v>88</v>
      </c>
      <c r="D2205" s="2" t="s">
        <v>6931</v>
      </c>
      <c r="E2205" s="2" t="s">
        <v>6932</v>
      </c>
      <c r="F2205" s="2" t="s">
        <v>7725</v>
      </c>
      <c r="G2205" s="2" t="s">
        <v>7726</v>
      </c>
      <c r="H2205" s="2" t="s">
        <v>7727</v>
      </c>
      <c r="I2205" s="2" t="s">
        <v>7728</v>
      </c>
      <c r="J2205" s="2" t="s">
        <v>3385</v>
      </c>
      <c r="K2205" s="2" t="s">
        <v>165</v>
      </c>
      <c r="L2205" s="3">
        <v>56.16</v>
      </c>
      <c r="M2205" s="3">
        <v>58.97</v>
      </c>
      <c r="N2205" s="3">
        <v>119</v>
      </c>
      <c r="O2205" s="2" t="s">
        <v>97</v>
      </c>
      <c r="P2205" s="2" t="s">
        <v>98</v>
      </c>
      <c r="Q2205" s="2" t="s">
        <v>99</v>
      </c>
      <c r="R2205" s="2" t="s">
        <v>100</v>
      </c>
      <c r="S2205" s="2" t="s">
        <v>7729</v>
      </c>
      <c r="T2205" s="2" t="s">
        <v>100</v>
      </c>
      <c r="U2205" s="2" t="s">
        <v>100</v>
      </c>
      <c r="V2205" s="2" t="s">
        <v>3412</v>
      </c>
      <c r="W2205" s="2" t="s">
        <v>142</v>
      </c>
      <c r="X2205" s="2" t="s">
        <v>270</v>
      </c>
      <c r="Y2205" s="2" t="s">
        <v>7730</v>
      </c>
      <c r="Z2205" s="4">
        <v>193</v>
      </c>
      <c r="AA2205" s="4">
        <f>=ROUNDDOWN(14.8461538461538,0)</f>
      </c>
      <c r="AB2205" s="5">
        <v>13</v>
      </c>
      <c r="AC2205" s="2" t="s">
        <v>2772</v>
      </c>
      <c r="AD2205" s="4">
        <v>120</v>
      </c>
      <c r="AE2205" s="4">
        <v>250</v>
      </c>
      <c r="AF2205" s="6">
        <v>65</v>
      </c>
      <c r="AG2205" s="6">
        <v>48</v>
      </c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/>
      <c r="AW2205" s="8"/>
      <c r="AX2205" s="4"/>
      <c r="AY2205" s="8"/>
      <c r="AZ2205" s="7"/>
      <c r="BA2205" s="7"/>
      <c r="BB2205" s="7"/>
      <c r="BC2205" s="4"/>
      <c r="BD2205" s="8"/>
      <c r="BE2205" s="4"/>
      <c r="BF2205" s="8"/>
      <c r="BG2205" s="7"/>
      <c r="BH2205" s="7"/>
      <c r="BI2205" s="7"/>
      <c r="BJ2205" s="4">
        <v>43</v>
      </c>
      <c r="BK2205" s="8">
        <v>2235.57</v>
      </c>
      <c r="BL2205" s="2" t="s">
        <v>7731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2526</v>
      </c>
      <c r="BV2205" s="2" t="s">
        <v>97</v>
      </c>
      <c r="BW2205" s="2" t="s">
        <v>100</v>
      </c>
      <c r="BX2205" s="2" t="s">
        <v>100</v>
      </c>
      <c r="BY2205" s="2" t="s">
        <v>112</v>
      </c>
      <c r="BZ2205" s="2" t="s">
        <v>100</v>
      </c>
    </row>
    <row r="2206">
      <c r="A2206" s="2" t="s">
        <v>7732</v>
      </c>
      <c r="B2206" s="2" t="s">
        <v>6747</v>
      </c>
      <c r="C2206" s="2" t="s">
        <v>88</v>
      </c>
      <c r="D2206" s="2" t="s">
        <v>6931</v>
      </c>
      <c r="E2206" s="2" t="s">
        <v>6932</v>
      </c>
      <c r="F2206" s="2" t="s">
        <v>7733</v>
      </c>
      <c r="G2206" s="2" t="s">
        <v>7734</v>
      </c>
      <c r="H2206" s="2" t="s">
        <v>7735</v>
      </c>
      <c r="I2206" s="2" t="s">
        <v>7728</v>
      </c>
      <c r="J2206" s="2" t="s">
        <v>3385</v>
      </c>
      <c r="K2206" s="2" t="s">
        <v>446</v>
      </c>
      <c r="L2206" s="3">
        <v>131.81</v>
      </c>
      <c r="M2206" s="3">
        <v>138.4</v>
      </c>
      <c r="N2206" s="3">
        <v>279</v>
      </c>
      <c r="O2206" s="2" t="s">
        <v>97</v>
      </c>
      <c r="P2206" s="2" t="s">
        <v>139</v>
      </c>
      <c r="Q2206" s="2" t="s">
        <v>99</v>
      </c>
      <c r="R2206" s="2" t="s">
        <v>100</v>
      </c>
      <c r="S2206" s="2" t="s">
        <v>7736</v>
      </c>
      <c r="T2206" s="2" t="s">
        <v>100</v>
      </c>
      <c r="U2206" s="2" t="s">
        <v>100</v>
      </c>
      <c r="V2206" s="2" t="s">
        <v>461</v>
      </c>
      <c r="W2206" s="2" t="s">
        <v>142</v>
      </c>
      <c r="X2206" s="2" t="s">
        <v>100</v>
      </c>
      <c r="Y2206" s="2" t="s">
        <v>499</v>
      </c>
      <c r="Z2206" s="4">
        <v>460</v>
      </c>
      <c r="AA2206" s="4">
        <f>=ROUNDDOWN(12.4324324324324,0)</f>
      </c>
      <c r="AB2206" s="5">
        <v>37</v>
      </c>
      <c r="AC2206" s="2" t="s">
        <v>3271</v>
      </c>
      <c r="AD2206" s="4">
        <v>80</v>
      </c>
      <c r="AE2206" s="4">
        <v>840</v>
      </c>
      <c r="AF2206" s="6">
        <v>74</v>
      </c>
      <c r="AG2206" s="6">
        <v>60</v>
      </c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/>
      <c r="AW2206" s="8"/>
      <c r="AX2206" s="4"/>
      <c r="AY2206" s="8"/>
      <c r="AZ2206" s="7"/>
      <c r="BA2206" s="7"/>
      <c r="BB2206" s="7"/>
      <c r="BC2206" s="4"/>
      <c r="BD2206" s="8"/>
      <c r="BE2206" s="4"/>
      <c r="BF2206" s="8"/>
      <c r="BG2206" s="7"/>
      <c r="BH2206" s="7"/>
      <c r="BI2206" s="7"/>
      <c r="BJ2206" s="4">
        <v>120</v>
      </c>
      <c r="BK2206" s="8">
        <v>15487.98</v>
      </c>
      <c r="BL2206" s="2" t="s">
        <v>7737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2526</v>
      </c>
      <c r="BV2206" s="2" t="s">
        <v>97</v>
      </c>
      <c r="BW2206" s="2" t="s">
        <v>100</v>
      </c>
      <c r="BX2206" s="2" t="s">
        <v>100</v>
      </c>
      <c r="BY2206" s="2" t="s">
        <v>112</v>
      </c>
      <c r="BZ2206" s="2" t="s">
        <v>100</v>
      </c>
    </row>
    <row r="2207">
      <c r="A2207" s="2" t="s">
        <v>7738</v>
      </c>
      <c r="B2207" s="2" t="s">
        <v>6747</v>
      </c>
      <c r="C2207" s="2" t="s">
        <v>88</v>
      </c>
      <c r="D2207" s="2" t="s">
        <v>6931</v>
      </c>
      <c r="E2207" s="2" t="s">
        <v>6932</v>
      </c>
      <c r="F2207" s="2" t="s">
        <v>7739</v>
      </c>
      <c r="G2207" s="2" t="s">
        <v>7740</v>
      </c>
      <c r="H2207" s="2" t="s">
        <v>7741</v>
      </c>
      <c r="I2207" s="2" t="s">
        <v>7728</v>
      </c>
      <c r="J2207" s="2" t="s">
        <v>3385</v>
      </c>
      <c r="K2207" s="2" t="s">
        <v>3570</v>
      </c>
      <c r="L2207" s="3">
        <v>61.75</v>
      </c>
      <c r="M2207" s="3">
        <v>64.84</v>
      </c>
      <c r="N2207" s="3">
        <v>129</v>
      </c>
      <c r="O2207" s="2" t="s">
        <v>97</v>
      </c>
      <c r="P2207" s="2" t="s">
        <v>98</v>
      </c>
      <c r="Q2207" s="2" t="s">
        <v>99</v>
      </c>
      <c r="R2207" s="2" t="s">
        <v>100</v>
      </c>
      <c r="S2207" s="2" t="s">
        <v>7742</v>
      </c>
      <c r="T2207" s="2" t="s">
        <v>100</v>
      </c>
      <c r="U2207" s="2" t="s">
        <v>100</v>
      </c>
      <c r="V2207" s="2" t="s">
        <v>461</v>
      </c>
      <c r="W2207" s="2" t="s">
        <v>142</v>
      </c>
      <c r="X2207" s="2" t="s">
        <v>100</v>
      </c>
      <c r="Y2207" s="2" t="s">
        <v>2271</v>
      </c>
      <c r="Z2207" s="4">
        <v>192</v>
      </c>
      <c r="AA2207" s="4">
        <f>=ROUNDDOWN(12,0)</f>
      </c>
      <c r="AB2207" s="5">
        <v>16</v>
      </c>
      <c r="AC2207" s="2" t="s">
        <v>2286</v>
      </c>
      <c r="AD2207" s="4">
        <v>200</v>
      </c>
      <c r="AE2207" s="4">
        <v>200</v>
      </c>
      <c r="AF2207" s="6">
        <v>65</v>
      </c>
      <c r="AG2207" s="6">
        <v>48</v>
      </c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/>
      <c r="AW2207" s="8"/>
      <c r="AX2207" s="4"/>
      <c r="AY2207" s="8"/>
      <c r="AZ2207" s="7"/>
      <c r="BA2207" s="7"/>
      <c r="BB2207" s="7"/>
      <c r="BC2207" s="4"/>
      <c r="BD2207" s="8"/>
      <c r="BE2207" s="4"/>
      <c r="BF2207" s="8"/>
      <c r="BG2207" s="7"/>
      <c r="BH2207" s="7"/>
      <c r="BI2207" s="7"/>
      <c r="BJ2207" s="4">
        <v>52</v>
      </c>
      <c r="BK2207" s="8">
        <v>3174.17</v>
      </c>
      <c r="BL2207" s="2" t="s">
        <v>7743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2526</v>
      </c>
      <c r="BV2207" s="2" t="s">
        <v>97</v>
      </c>
      <c r="BW2207" s="2" t="s">
        <v>100</v>
      </c>
      <c r="BX2207" s="2" t="s">
        <v>100</v>
      </c>
      <c r="BY2207" s="2" t="s">
        <v>112</v>
      </c>
      <c r="BZ2207" s="2" t="s">
        <v>100</v>
      </c>
    </row>
    <row r="2208">
      <c r="A2208" s="2" t="s">
        <v>7744</v>
      </c>
      <c r="B2208" s="2" t="s">
        <v>6747</v>
      </c>
      <c r="C2208" s="2" t="s">
        <v>88</v>
      </c>
      <c r="D2208" s="2" t="s">
        <v>6931</v>
      </c>
      <c r="E2208" s="2" t="s">
        <v>6932</v>
      </c>
      <c r="F2208" s="2" t="s">
        <v>7745</v>
      </c>
      <c r="G2208" s="2" t="s">
        <v>7746</v>
      </c>
      <c r="H2208" s="2" t="s">
        <v>7747</v>
      </c>
      <c r="I2208" s="2" t="s">
        <v>7728</v>
      </c>
      <c r="J2208" s="2" t="s">
        <v>3385</v>
      </c>
      <c r="K2208" s="2" t="s">
        <v>3543</v>
      </c>
      <c r="L2208" s="3">
        <v>133</v>
      </c>
      <c r="M2208" s="3">
        <v>139.65</v>
      </c>
      <c r="N2208" s="3">
        <v>279</v>
      </c>
      <c r="O2208" s="2" t="s">
        <v>97</v>
      </c>
      <c r="P2208" s="2" t="s">
        <v>98</v>
      </c>
      <c r="Q2208" s="2" t="s">
        <v>99</v>
      </c>
      <c r="R2208" s="2" t="s">
        <v>100</v>
      </c>
      <c r="S2208" s="2" t="s">
        <v>7748</v>
      </c>
      <c r="T2208" s="2" t="s">
        <v>100</v>
      </c>
      <c r="U2208" s="2" t="s">
        <v>100</v>
      </c>
      <c r="V2208" s="2" t="s">
        <v>461</v>
      </c>
      <c r="W2208" s="2" t="s">
        <v>142</v>
      </c>
      <c r="X2208" s="2" t="s">
        <v>100</v>
      </c>
      <c r="Y2208" s="2" t="s">
        <v>973</v>
      </c>
      <c r="Z2208" s="4">
        <v>50</v>
      </c>
      <c r="AA2208" s="4">
        <f>=ROUNDDOWN(8.33333333333333,0)</f>
      </c>
      <c r="AB2208" s="5">
        <v>6</v>
      </c>
      <c r="AC2208" s="2" t="s">
        <v>1094</v>
      </c>
      <c r="AD2208" s="4">
        <v>92</v>
      </c>
      <c r="AE2208" s="4">
        <v>192</v>
      </c>
      <c r="AF2208" s="6">
        <v>65</v>
      </c>
      <c r="AG2208" s="6">
        <v>48</v>
      </c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/>
      <c r="AW2208" s="8"/>
      <c r="AX2208" s="4"/>
      <c r="AY2208" s="8"/>
      <c r="AZ2208" s="7"/>
      <c r="BA2208" s="7"/>
      <c r="BB2208" s="7"/>
      <c r="BC2208" s="4"/>
      <c r="BD2208" s="8"/>
      <c r="BE2208" s="4"/>
      <c r="BF2208" s="8"/>
      <c r="BG2208" s="7"/>
      <c r="BH2208" s="7"/>
      <c r="BI2208" s="7"/>
      <c r="BJ2208" s="4">
        <v>25</v>
      </c>
      <c r="BK2208" s="8">
        <v>3130.11</v>
      </c>
      <c r="BL2208" s="2" t="s">
        <v>7749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2526</v>
      </c>
      <c r="BV2208" s="2" t="s">
        <v>97</v>
      </c>
      <c r="BW2208" s="2" t="s">
        <v>100</v>
      </c>
      <c r="BX2208" s="2" t="s">
        <v>100</v>
      </c>
      <c r="BY2208" s="2" t="s">
        <v>112</v>
      </c>
      <c r="BZ2208" s="2" t="s">
        <v>100</v>
      </c>
    </row>
    <row r="2209">
      <c r="A2209" s="2" t="s">
        <v>7750</v>
      </c>
      <c r="B2209" s="2" t="s">
        <v>6747</v>
      </c>
      <c r="C2209" s="2" t="s">
        <v>88</v>
      </c>
      <c r="D2209" s="2" t="s">
        <v>6931</v>
      </c>
      <c r="E2209" s="2" t="s">
        <v>6932</v>
      </c>
      <c r="F2209" s="2" t="s">
        <v>7751</v>
      </c>
      <c r="G2209" s="2" t="s">
        <v>7752</v>
      </c>
      <c r="H2209" s="2" t="s">
        <v>7753</v>
      </c>
      <c r="I2209" s="2" t="s">
        <v>7754</v>
      </c>
      <c r="J2209" s="2" t="s">
        <v>3385</v>
      </c>
      <c r="K2209" s="2" t="s">
        <v>878</v>
      </c>
      <c r="L2209" s="3">
        <v>46.75</v>
      </c>
      <c r="M2209" s="3">
        <v>49.09</v>
      </c>
      <c r="N2209" s="3">
        <v>99</v>
      </c>
      <c r="O2209" s="2" t="s">
        <v>97</v>
      </c>
      <c r="P2209" s="2" t="s">
        <v>707</v>
      </c>
      <c r="Q2209" s="2" t="s">
        <v>99</v>
      </c>
      <c r="R2209" s="2" t="s">
        <v>100</v>
      </c>
      <c r="S2209" s="2" t="s">
        <v>7755</v>
      </c>
      <c r="T2209" s="2" t="s">
        <v>100</v>
      </c>
      <c r="U2209" s="2" t="s">
        <v>1776</v>
      </c>
      <c r="V2209" s="2" t="s">
        <v>461</v>
      </c>
      <c r="W2209" s="2" t="s">
        <v>142</v>
      </c>
      <c r="X2209" s="2" t="s">
        <v>100</v>
      </c>
      <c r="Y2209" s="2" t="s">
        <v>5012</v>
      </c>
      <c r="Z2209" s="4">
        <v>277</v>
      </c>
      <c r="AA2209" s="4">
        <f>=ROUNDDOWN(21.3076923076923,0)</f>
      </c>
      <c r="AB2209" s="5">
        <v>13</v>
      </c>
      <c r="AC2209" s="2" t="s">
        <v>2286</v>
      </c>
      <c r="AD2209" s="4">
        <v>200</v>
      </c>
      <c r="AE2209" s="4">
        <v>200</v>
      </c>
      <c r="AF2209" s="6">
        <v>65</v>
      </c>
      <c r="AG2209" s="6">
        <v>48</v>
      </c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/>
      <c r="AW2209" s="8"/>
      <c r="AX2209" s="4"/>
      <c r="AY2209" s="8"/>
      <c r="AZ2209" s="7"/>
      <c r="BA2209" s="7"/>
      <c r="BB2209" s="7"/>
      <c r="BC2209" s="4"/>
      <c r="BD2209" s="8"/>
      <c r="BE2209" s="4"/>
      <c r="BF2209" s="8"/>
      <c r="BG2209" s="7"/>
      <c r="BH2209" s="7"/>
      <c r="BI2209" s="7"/>
      <c r="BJ2209" s="4">
        <v>16</v>
      </c>
      <c r="BK2209" s="8">
        <v>807.36</v>
      </c>
      <c r="BL2209" s="2" t="s">
        <v>7756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2526</v>
      </c>
      <c r="BV2209" s="2" t="s">
        <v>97</v>
      </c>
      <c r="BW2209" s="2" t="s">
        <v>100</v>
      </c>
      <c r="BX2209" s="2" t="s">
        <v>100</v>
      </c>
      <c r="BY2209" s="2" t="s">
        <v>112</v>
      </c>
      <c r="BZ2209" s="2" t="s">
        <v>100</v>
      </c>
    </row>
    <row r="2210">
      <c r="A2210" s="2" t="s">
        <v>7757</v>
      </c>
      <c r="B2210" s="2" t="s">
        <v>6747</v>
      </c>
      <c r="C2210" s="2" t="s">
        <v>88</v>
      </c>
      <c r="D2210" s="2" t="s">
        <v>6949</v>
      </c>
      <c r="E2210" s="2" t="s">
        <v>6950</v>
      </c>
      <c r="F2210" s="2" t="s">
        <v>7758</v>
      </c>
      <c r="G2210" s="2" t="s">
        <v>7759</v>
      </c>
      <c r="H2210" s="2" t="s">
        <v>7760</v>
      </c>
      <c r="I2210" s="2" t="s">
        <v>7761</v>
      </c>
      <c r="J2210" s="2" t="s">
        <v>3385</v>
      </c>
      <c r="K2210" s="2" t="s">
        <v>1090</v>
      </c>
      <c r="L2210" s="3">
        <v>99.75</v>
      </c>
      <c r="M2210" s="3">
        <v>104.74</v>
      </c>
      <c r="N2210" s="3">
        <v>209</v>
      </c>
      <c r="O2210" s="2" t="s">
        <v>97</v>
      </c>
      <c r="P2210" s="2" t="s">
        <v>98</v>
      </c>
      <c r="Q2210" s="2" t="s">
        <v>99</v>
      </c>
      <c r="R2210" s="2" t="s">
        <v>100</v>
      </c>
      <c r="S2210" s="2" t="s">
        <v>7762</v>
      </c>
      <c r="T2210" s="2" t="s">
        <v>100</v>
      </c>
      <c r="U2210" s="2" t="s">
        <v>100</v>
      </c>
      <c r="V2210" s="2" t="s">
        <v>461</v>
      </c>
      <c r="W2210" s="2" t="s">
        <v>142</v>
      </c>
      <c r="X2210" s="2" t="s">
        <v>100</v>
      </c>
      <c r="Y2210" s="2" t="s">
        <v>4853</v>
      </c>
      <c r="Z2210" s="4">
        <v>222</v>
      </c>
      <c r="AA2210" s="4">
        <f>=ROUNDDOWN(22.2,0)</f>
      </c>
      <c r="AB2210" s="5">
        <v>10</v>
      </c>
      <c r="AC2210" s="2" t="s">
        <v>7763</v>
      </c>
      <c r="AD2210" s="4">
        <v>3</v>
      </c>
      <c r="AE2210" s="4">
        <v>203</v>
      </c>
      <c r="AF2210" s="6">
        <v>76</v>
      </c>
      <c r="AG2210" s="6">
        <v>67</v>
      </c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/>
      <c r="BD2210" s="8"/>
      <c r="BE2210" s="4"/>
      <c r="BF2210" s="8"/>
      <c r="BG2210" s="7"/>
      <c r="BH2210" s="7"/>
      <c r="BI2210" s="7"/>
      <c r="BJ2210" s="4">
        <v>13</v>
      </c>
      <c r="BK2210" s="8">
        <v>1440.17</v>
      </c>
      <c r="BL2210" s="2" t="s">
        <v>7764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2526</v>
      </c>
      <c r="BV2210" s="2" t="s">
        <v>97</v>
      </c>
      <c r="BW2210" s="2" t="s">
        <v>100</v>
      </c>
      <c r="BX2210" s="2" t="s">
        <v>100</v>
      </c>
      <c r="BY2210" s="2" t="s">
        <v>112</v>
      </c>
      <c r="BZ2210" s="2" t="s">
        <v>100</v>
      </c>
    </row>
    <row r="2211">
      <c r="A2211" s="2" t="s">
        <v>7765</v>
      </c>
      <c r="B2211" s="2" t="s">
        <v>6747</v>
      </c>
      <c r="C2211" s="2" t="s">
        <v>88</v>
      </c>
      <c r="D2211" s="2" t="s">
        <v>6949</v>
      </c>
      <c r="E2211" s="2" t="s">
        <v>6950</v>
      </c>
      <c r="F2211" s="2" t="s">
        <v>7766</v>
      </c>
      <c r="G2211" s="2" t="s">
        <v>7767</v>
      </c>
      <c r="H2211" s="2" t="s">
        <v>7768</v>
      </c>
      <c r="I2211" s="2" t="s">
        <v>7769</v>
      </c>
      <c r="J2211" s="2" t="s">
        <v>3385</v>
      </c>
      <c r="K2211" s="2" t="s">
        <v>179</v>
      </c>
      <c r="L2211" s="3">
        <v>171</v>
      </c>
      <c r="M2211" s="3">
        <v>179.55</v>
      </c>
      <c r="N2211" s="3">
        <v>369</v>
      </c>
      <c r="O2211" s="2" t="s">
        <v>97</v>
      </c>
      <c r="P2211" s="2" t="s">
        <v>707</v>
      </c>
      <c r="Q2211" s="2" t="s">
        <v>99</v>
      </c>
      <c r="R2211" s="2" t="s">
        <v>100</v>
      </c>
      <c r="S2211" s="2" t="s">
        <v>100</v>
      </c>
      <c r="T2211" s="2" t="s">
        <v>100</v>
      </c>
      <c r="U2211" s="2" t="s">
        <v>1776</v>
      </c>
      <c r="V2211" s="2" t="s">
        <v>3412</v>
      </c>
      <c r="W2211" s="2" t="s">
        <v>142</v>
      </c>
      <c r="X2211" s="2" t="s">
        <v>100</v>
      </c>
      <c r="Y2211" s="2" t="s">
        <v>6487</v>
      </c>
      <c r="Z2211" s="4">
        <v>56</v>
      </c>
      <c r="AA2211" s="4">
        <f>=ROUNDDOWN(14,0)</f>
      </c>
      <c r="AB2211" s="5">
        <v>4</v>
      </c>
      <c r="AC2211" s="2" t="s">
        <v>2772</v>
      </c>
      <c r="AD2211" s="4">
        <v>100</v>
      </c>
      <c r="AE2211" s="4">
        <v>100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/>
      <c r="AW2211" s="8"/>
      <c r="AX2211" s="4"/>
      <c r="AY2211" s="8"/>
      <c r="AZ2211" s="7"/>
      <c r="BA2211" s="7"/>
      <c r="BB2211" s="7"/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/>
      <c r="BJ2211" s="4">
        <v>10</v>
      </c>
      <c r="BK2211" s="8">
        <v>1563.11</v>
      </c>
      <c r="BL2211" s="2" t="s">
        <v>6840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2526</v>
      </c>
      <c r="BV2211" s="2" t="s">
        <v>97</v>
      </c>
      <c r="BW2211" s="2" t="s">
        <v>100</v>
      </c>
      <c r="BX2211" s="2" t="s">
        <v>100</v>
      </c>
      <c r="BY2211" s="2" t="s">
        <v>112</v>
      </c>
      <c r="BZ2211" s="2" t="s">
        <v>100</v>
      </c>
    </row>
    <row r="2212">
      <c r="A2212" s="2" t="s">
        <v>7770</v>
      </c>
      <c r="B2212" s="2" t="s">
        <v>6747</v>
      </c>
      <c r="C2212" s="2" t="s">
        <v>88</v>
      </c>
      <c r="D2212" s="2" t="s">
        <v>6949</v>
      </c>
      <c r="E2212" s="2" t="s">
        <v>6950</v>
      </c>
      <c r="F2212" s="2" t="s">
        <v>7766</v>
      </c>
      <c r="G2212" s="2" t="s">
        <v>7767</v>
      </c>
      <c r="H2212" s="2" t="s">
        <v>7768</v>
      </c>
      <c r="I2212" s="2" t="s">
        <v>7769</v>
      </c>
      <c r="J2212" s="2" t="s">
        <v>3385</v>
      </c>
      <c r="K2212" s="2" t="s">
        <v>96</v>
      </c>
      <c r="L2212" s="3">
        <v>171</v>
      </c>
      <c r="M2212" s="3">
        <v>179.55</v>
      </c>
      <c r="N2212" s="3">
        <v>369</v>
      </c>
      <c r="O2212" s="2" t="s">
        <v>97</v>
      </c>
      <c r="P2212" s="2" t="s">
        <v>98</v>
      </c>
      <c r="Q2212" s="2" t="s">
        <v>99</v>
      </c>
      <c r="R2212" s="2" t="s">
        <v>100</v>
      </c>
      <c r="S2212" s="2" t="s">
        <v>100</v>
      </c>
      <c r="T2212" s="2" t="s">
        <v>100</v>
      </c>
      <c r="U2212" s="2" t="s">
        <v>1776</v>
      </c>
      <c r="V2212" s="2" t="s">
        <v>461</v>
      </c>
      <c r="W2212" s="2" t="s">
        <v>142</v>
      </c>
      <c r="X2212" s="2" t="s">
        <v>493</v>
      </c>
      <c r="Y2212" s="2" t="s">
        <v>7771</v>
      </c>
      <c r="Z2212" s="4">
        <v>131</v>
      </c>
      <c r="AA2212" s="4">
        <f>=ROUNDDOWN(8.73333333333333,0)</f>
      </c>
      <c r="AB2212" s="5">
        <v>15</v>
      </c>
      <c r="AC2212" s="2" t="s">
        <v>903</v>
      </c>
      <c r="AD2212" s="4">
        <v>100</v>
      </c>
      <c r="AE2212" s="4">
        <v>350</v>
      </c>
      <c r="AF2212" s="6">
        <v>65</v>
      </c>
      <c r="AG2212" s="6">
        <v>48</v>
      </c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/>
      <c r="AW2212" s="8"/>
      <c r="AX2212" s="4"/>
      <c r="AY2212" s="8"/>
      <c r="AZ2212" s="7"/>
      <c r="BA2212" s="7"/>
      <c r="BB2212" s="7"/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/>
      <c r="BJ2212" s="4">
        <v>48</v>
      </c>
      <c r="BK2212" s="8">
        <v>7573.46</v>
      </c>
      <c r="BL2212" s="2" t="s">
        <v>7772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2526</v>
      </c>
      <c r="BV2212" s="2" t="s">
        <v>97</v>
      </c>
      <c r="BW2212" s="2" t="s">
        <v>100</v>
      </c>
      <c r="BX2212" s="2" t="s">
        <v>100</v>
      </c>
      <c r="BY2212" s="2" t="s">
        <v>112</v>
      </c>
      <c r="BZ2212" s="2" t="s">
        <v>100</v>
      </c>
    </row>
    <row r="2213">
      <c r="A2213" s="2" t="s">
        <v>7773</v>
      </c>
      <c r="B2213" s="2" t="s">
        <v>6747</v>
      </c>
      <c r="C2213" s="2" t="s">
        <v>88</v>
      </c>
      <c r="D2213" s="2" t="s">
        <v>6949</v>
      </c>
      <c r="E2213" s="2" t="s">
        <v>6950</v>
      </c>
      <c r="F2213" s="2" t="s">
        <v>7766</v>
      </c>
      <c r="G2213" s="2" t="s">
        <v>7767</v>
      </c>
      <c r="H2213" s="2" t="s">
        <v>7768</v>
      </c>
      <c r="I2213" s="2" t="s">
        <v>7769</v>
      </c>
      <c r="J2213" s="2" t="s">
        <v>3385</v>
      </c>
      <c r="K2213" s="2" t="s">
        <v>4743</v>
      </c>
      <c r="L2213" s="3">
        <v>171</v>
      </c>
      <c r="M2213" s="3">
        <v>179.55</v>
      </c>
      <c r="N2213" s="3">
        <v>369</v>
      </c>
      <c r="O2213" s="2" t="s">
        <v>97</v>
      </c>
      <c r="P2213" s="2" t="s">
        <v>98</v>
      </c>
      <c r="Q2213" s="2" t="s">
        <v>99</v>
      </c>
      <c r="R2213" s="2" t="s">
        <v>100</v>
      </c>
      <c r="S2213" s="2" t="s">
        <v>100</v>
      </c>
      <c r="T2213" s="2" t="s">
        <v>100</v>
      </c>
      <c r="U2213" s="2" t="s">
        <v>1776</v>
      </c>
      <c r="V2213" s="2" t="s">
        <v>461</v>
      </c>
      <c r="W2213" s="2" t="s">
        <v>142</v>
      </c>
      <c r="X2213" s="2" t="s">
        <v>493</v>
      </c>
      <c r="Y2213" s="2" t="s">
        <v>7771</v>
      </c>
      <c r="Z2213" s="4">
        <v>195</v>
      </c>
      <c r="AA2213" s="4">
        <f>=ROUNDDOWN(13,0)</f>
      </c>
      <c r="AB2213" s="5">
        <v>15</v>
      </c>
      <c r="AC2213" s="2" t="s">
        <v>3343</v>
      </c>
      <c r="AD2213" s="4">
        <v>150</v>
      </c>
      <c r="AE2213" s="4">
        <v>400</v>
      </c>
      <c r="AF2213" s="6">
        <v>65</v>
      </c>
      <c r="AG2213" s="6">
        <v>48</v>
      </c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/>
      <c r="AQ2213" s="8"/>
      <c r="AR2213" s="4"/>
      <c r="AS2213" s="8"/>
      <c r="AT2213" s="7"/>
      <c r="AU2213" s="7"/>
      <c r="AV2213" s="4"/>
      <c r="AW2213" s="8"/>
      <c r="AX2213" s="4"/>
      <c r="AY2213" s="8"/>
      <c r="AZ2213" s="7"/>
      <c r="BA2213" s="7"/>
      <c r="BB2213" s="7"/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/>
      <c r="BJ2213" s="4">
        <v>37</v>
      </c>
      <c r="BK2213" s="8">
        <v>5443.47</v>
      </c>
      <c r="BL2213" s="2" t="s">
        <v>7516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2526</v>
      </c>
      <c r="BV2213" s="2" t="s">
        <v>97</v>
      </c>
      <c r="BW2213" s="2" t="s">
        <v>100</v>
      </c>
      <c r="BX2213" s="2" t="s">
        <v>100</v>
      </c>
      <c r="BY2213" s="2" t="s">
        <v>112</v>
      </c>
      <c r="BZ2213" s="2" t="s">
        <v>100</v>
      </c>
    </row>
    <row r="2214">
      <c r="A2214" s="2" t="s">
        <v>7774</v>
      </c>
      <c r="B2214" s="2" t="s">
        <v>6747</v>
      </c>
      <c r="C2214" s="2" t="s">
        <v>88</v>
      </c>
      <c r="D2214" s="2" t="s">
        <v>6949</v>
      </c>
      <c r="E2214" s="2" t="s">
        <v>6970</v>
      </c>
      <c r="F2214" s="2" t="s">
        <v>7775</v>
      </c>
      <c r="G2214" s="2" t="s">
        <v>7776</v>
      </c>
      <c r="H2214" s="2" t="s">
        <v>7777</v>
      </c>
      <c r="I2214" s="2" t="s">
        <v>7778</v>
      </c>
      <c r="J2214" s="2" t="s">
        <v>3385</v>
      </c>
      <c r="K2214" s="2" t="s">
        <v>179</v>
      </c>
      <c r="L2214" s="3">
        <v>80.87</v>
      </c>
      <c r="M2214" s="3">
        <v>84.91</v>
      </c>
      <c r="N2214" s="3">
        <v>169</v>
      </c>
      <c r="O2214" s="2" t="s">
        <v>97</v>
      </c>
      <c r="P2214" s="2" t="s">
        <v>98</v>
      </c>
      <c r="Q2214" s="2" t="s">
        <v>99</v>
      </c>
      <c r="R2214" s="2" t="s">
        <v>100</v>
      </c>
      <c r="S2214" s="2" t="s">
        <v>7779</v>
      </c>
      <c r="T2214" s="2" t="s">
        <v>100</v>
      </c>
      <c r="U2214" s="2" t="s">
        <v>100</v>
      </c>
      <c r="V2214" s="2" t="s">
        <v>4636</v>
      </c>
      <c r="W2214" s="2" t="s">
        <v>142</v>
      </c>
      <c r="X2214" s="2" t="s">
        <v>100</v>
      </c>
      <c r="Y2214" s="2" t="s">
        <v>144</v>
      </c>
      <c r="Z2214" s="4">
        <v>192</v>
      </c>
      <c r="AA2214" s="4">
        <f>=ROUNDDOWN(27.4285714285714,0)</f>
      </c>
      <c r="AB2214" s="5">
        <v>7</v>
      </c>
      <c r="AC2214" s="2" t="s">
        <v>3271</v>
      </c>
      <c r="AD2214" s="4">
        <v>30</v>
      </c>
      <c r="AE2214" s="4">
        <v>100</v>
      </c>
      <c r="AF2214" s="6">
        <v>76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/>
      <c r="AW2214" s="8"/>
      <c r="AX2214" s="4"/>
      <c r="AY2214" s="8"/>
      <c r="AZ2214" s="7"/>
      <c r="BA2214" s="7"/>
      <c r="BB2214" s="7"/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/>
      <c r="BJ2214" s="4">
        <v>32</v>
      </c>
      <c r="BK2214" s="8">
        <v>2793.78</v>
      </c>
      <c r="BL2214" s="2" t="s">
        <v>7780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2526</v>
      </c>
      <c r="BV2214" s="2" t="s">
        <v>97</v>
      </c>
      <c r="BW2214" s="2" t="s">
        <v>100</v>
      </c>
      <c r="BX2214" s="2" t="s">
        <v>100</v>
      </c>
      <c r="BY2214" s="2" t="s">
        <v>112</v>
      </c>
      <c r="BZ2214" s="2" t="s">
        <v>100</v>
      </c>
    </row>
    <row r="2215">
      <c r="A2215" s="2" t="s">
        <v>7781</v>
      </c>
      <c r="B2215" s="2" t="s">
        <v>6747</v>
      </c>
      <c r="C2215" s="2" t="s">
        <v>88</v>
      </c>
      <c r="D2215" s="2" t="s">
        <v>6949</v>
      </c>
      <c r="E2215" s="2" t="s">
        <v>6970</v>
      </c>
      <c r="F2215" s="2" t="s">
        <v>7775</v>
      </c>
      <c r="G2215" s="2" t="s">
        <v>7776</v>
      </c>
      <c r="H2215" s="2" t="s">
        <v>7777</v>
      </c>
      <c r="I2215" s="2" t="s">
        <v>7778</v>
      </c>
      <c r="J2215" s="2" t="s">
        <v>3385</v>
      </c>
      <c r="K2215" s="2" t="s">
        <v>1090</v>
      </c>
      <c r="L2215" s="3">
        <v>80.87</v>
      </c>
      <c r="M2215" s="3">
        <v>84.91</v>
      </c>
      <c r="N2215" s="3">
        <v>169</v>
      </c>
      <c r="O2215" s="2" t="s">
        <v>97</v>
      </c>
      <c r="P2215" s="2" t="s">
        <v>707</v>
      </c>
      <c r="Q2215" s="2" t="s">
        <v>99</v>
      </c>
      <c r="R2215" s="2" t="s">
        <v>100</v>
      </c>
      <c r="S2215" s="2" t="s">
        <v>7782</v>
      </c>
      <c r="T2215" s="2" t="s">
        <v>100</v>
      </c>
      <c r="U2215" s="2" t="s">
        <v>100</v>
      </c>
      <c r="V2215" s="2" t="s">
        <v>461</v>
      </c>
      <c r="W2215" s="2" t="s">
        <v>142</v>
      </c>
      <c r="X2215" s="2" t="s">
        <v>100</v>
      </c>
      <c r="Y2215" s="2" t="s">
        <v>144</v>
      </c>
      <c r="Z2215" s="4">
        <v>137</v>
      </c>
      <c r="AA2215" s="4">
        <f>=ROUNDDOWN(27.4,0)</f>
      </c>
      <c r="AB2215" s="5">
        <v>5</v>
      </c>
      <c r="AC2215" s="2" t="s">
        <v>7763</v>
      </c>
      <c r="AD2215" s="4">
        <v>110</v>
      </c>
      <c r="AE2215" s="4">
        <v>210</v>
      </c>
      <c r="AF2215" s="6">
        <v>76</v>
      </c>
      <c r="AG2215" s="6">
        <v>67</v>
      </c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/>
      <c r="AW2215" s="8"/>
      <c r="AX2215" s="4"/>
      <c r="AY2215" s="8"/>
      <c r="AZ2215" s="7"/>
      <c r="BA2215" s="7"/>
      <c r="BB2215" s="7"/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/>
      <c r="BJ2215" s="4">
        <v>16</v>
      </c>
      <c r="BK2215" s="8">
        <v>1269.74</v>
      </c>
      <c r="BL2215" s="2" t="s">
        <v>7783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2526</v>
      </c>
      <c r="BV2215" s="2" t="s">
        <v>97</v>
      </c>
      <c r="BW2215" s="2" t="s">
        <v>100</v>
      </c>
      <c r="BX2215" s="2" t="s">
        <v>100</v>
      </c>
      <c r="BY2215" s="2" t="s">
        <v>112</v>
      </c>
      <c r="BZ2215" s="2" t="s">
        <v>100</v>
      </c>
    </row>
    <row r="2216">
      <c r="A2216" s="2" t="s">
        <v>7784</v>
      </c>
      <c r="B2216" s="2" t="s">
        <v>6747</v>
      </c>
      <c r="C2216" s="2" t="s">
        <v>88</v>
      </c>
      <c r="D2216" s="2" t="s">
        <v>6949</v>
      </c>
      <c r="E2216" s="2" t="s">
        <v>6970</v>
      </c>
      <c r="F2216" s="2" t="s">
        <v>7775</v>
      </c>
      <c r="G2216" s="2" t="s">
        <v>7776</v>
      </c>
      <c r="H2216" s="2" t="s">
        <v>7777</v>
      </c>
      <c r="I2216" s="2" t="s">
        <v>7778</v>
      </c>
      <c r="J2216" s="2" t="s">
        <v>3385</v>
      </c>
      <c r="K2216" s="2" t="s">
        <v>96</v>
      </c>
      <c r="L2216" s="3">
        <v>80.87</v>
      </c>
      <c r="M2216" s="3">
        <v>84.91</v>
      </c>
      <c r="N2216" s="3">
        <v>169</v>
      </c>
      <c r="O2216" s="2" t="s">
        <v>97</v>
      </c>
      <c r="P2216" s="2" t="s">
        <v>707</v>
      </c>
      <c r="Q2216" s="2" t="s">
        <v>99</v>
      </c>
      <c r="R2216" s="2" t="s">
        <v>100</v>
      </c>
      <c r="S2216" s="2" t="s">
        <v>7785</v>
      </c>
      <c r="T2216" s="2" t="s">
        <v>100</v>
      </c>
      <c r="U2216" s="2" t="s">
        <v>100</v>
      </c>
      <c r="V2216" s="2" t="s">
        <v>461</v>
      </c>
      <c r="W2216" s="2" t="s">
        <v>142</v>
      </c>
      <c r="X2216" s="2" t="s">
        <v>100</v>
      </c>
      <c r="Y2216" s="2" t="s">
        <v>144</v>
      </c>
      <c r="Z2216" s="4">
        <v>534</v>
      </c>
      <c r="AA2216" s="4">
        <f>=ROUNDDOWN(106.8,0)</f>
      </c>
      <c r="AB2216" s="5">
        <v>5</v>
      </c>
      <c r="AC2216" s="2" t="s">
        <v>100</v>
      </c>
      <c r="AD2216" s="4"/>
      <c r="AE2216" s="4"/>
      <c r="AF2216" s="6">
        <v>76</v>
      </c>
      <c r="AG2216" s="6">
        <v>67</v>
      </c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/>
      <c r="AW2216" s="8"/>
      <c r="AX2216" s="4"/>
      <c r="AY2216" s="8"/>
      <c r="AZ2216" s="7"/>
      <c r="BA2216" s="7"/>
      <c r="BB2216" s="7"/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/>
      <c r="BJ2216" s="4">
        <v>10</v>
      </c>
      <c r="BK2216" s="8">
        <v>846.33</v>
      </c>
      <c r="BL2216" s="2" t="s">
        <v>7786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2526</v>
      </c>
      <c r="BV2216" s="2" t="s">
        <v>97</v>
      </c>
      <c r="BW2216" s="2" t="s">
        <v>100</v>
      </c>
      <c r="BX2216" s="2" t="s">
        <v>100</v>
      </c>
      <c r="BY2216" s="2" t="s">
        <v>112</v>
      </c>
      <c r="BZ2216" s="2" t="s">
        <v>100</v>
      </c>
    </row>
    <row r="2217">
      <c r="A2217" s="2" t="s">
        <v>7787</v>
      </c>
      <c r="B2217" s="2" t="s">
        <v>6747</v>
      </c>
      <c r="C2217" s="2" t="s">
        <v>88</v>
      </c>
      <c r="D2217" s="2" t="s">
        <v>6949</v>
      </c>
      <c r="E2217" s="2" t="s">
        <v>6970</v>
      </c>
      <c r="F2217" s="2" t="s">
        <v>7775</v>
      </c>
      <c r="G2217" s="2" t="s">
        <v>7776</v>
      </c>
      <c r="H2217" s="2" t="s">
        <v>7777</v>
      </c>
      <c r="I2217" s="2" t="s">
        <v>7778</v>
      </c>
      <c r="J2217" s="2" t="s">
        <v>3385</v>
      </c>
      <c r="K2217" s="2" t="s">
        <v>7509</v>
      </c>
      <c r="L2217" s="3">
        <v>80.87</v>
      </c>
      <c r="M2217" s="3">
        <v>84.91</v>
      </c>
      <c r="N2217" s="3">
        <v>169</v>
      </c>
      <c r="O2217" s="2" t="s">
        <v>97</v>
      </c>
      <c r="P2217" s="2" t="s">
        <v>707</v>
      </c>
      <c r="Q2217" s="2" t="s">
        <v>99</v>
      </c>
      <c r="R2217" s="2" t="s">
        <v>100</v>
      </c>
      <c r="S2217" s="2" t="s">
        <v>100</v>
      </c>
      <c r="T2217" s="2" t="s">
        <v>100</v>
      </c>
      <c r="U2217" s="2" t="s">
        <v>100</v>
      </c>
      <c r="V2217" s="2" t="s">
        <v>192</v>
      </c>
      <c r="W2217" s="2" t="s">
        <v>142</v>
      </c>
      <c r="X2217" s="2" t="s">
        <v>100</v>
      </c>
      <c r="Y2217" s="2" t="s">
        <v>7788</v>
      </c>
      <c r="Z2217" s="4">
        <v>131</v>
      </c>
      <c r="AA2217" s="4">
        <f>=ROUNDDOWN(26.2,0)</f>
      </c>
      <c r="AB2217" s="5">
        <v>5</v>
      </c>
      <c r="AC2217" s="2" t="s">
        <v>7789</v>
      </c>
      <c r="AD2217" s="4">
        <v>100</v>
      </c>
      <c r="AE2217" s="4">
        <v>100</v>
      </c>
      <c r="AF2217" s="6">
        <v>76</v>
      </c>
      <c r="AG2217" s="6">
        <v>67</v>
      </c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/>
      <c r="AW2217" s="8"/>
      <c r="AX2217" s="4"/>
      <c r="AY2217" s="8"/>
      <c r="AZ2217" s="7"/>
      <c r="BA2217" s="7"/>
      <c r="BB2217" s="7"/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/>
      <c r="BJ2217" s="4">
        <v>20</v>
      </c>
      <c r="BK2217" s="8">
        <v>1719.38</v>
      </c>
      <c r="BL2217" s="2" t="s">
        <v>7790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2526</v>
      </c>
      <c r="BV2217" s="2" t="s">
        <v>97</v>
      </c>
      <c r="BW2217" s="2" t="s">
        <v>100</v>
      </c>
      <c r="BX2217" s="2" t="s">
        <v>100</v>
      </c>
      <c r="BY2217" s="2" t="s">
        <v>112</v>
      </c>
      <c r="BZ2217" s="2" t="s">
        <v>100</v>
      </c>
    </row>
    <row r="2218">
      <c r="A2218" s="2" t="s">
        <v>7791</v>
      </c>
      <c r="B2218" s="2" t="s">
        <v>6747</v>
      </c>
      <c r="C2218" s="2" t="s">
        <v>88</v>
      </c>
      <c r="D2218" s="2" t="s">
        <v>6949</v>
      </c>
      <c r="E2218" s="2" t="s">
        <v>6970</v>
      </c>
      <c r="F2218" s="2" t="s">
        <v>7792</v>
      </c>
      <c r="G2218" s="2" t="s">
        <v>7793</v>
      </c>
      <c r="H2218" s="2" t="s">
        <v>7794</v>
      </c>
      <c r="I2218" s="2" t="s">
        <v>6970</v>
      </c>
      <c r="J2218" s="2" t="s">
        <v>3385</v>
      </c>
      <c r="K2218" s="2" t="s">
        <v>1090</v>
      </c>
      <c r="L2218" s="3">
        <v>57.86</v>
      </c>
      <c r="M2218" s="3">
        <v>60.75</v>
      </c>
      <c r="N2218" s="3">
        <v>129</v>
      </c>
      <c r="O2218" s="2" t="s">
        <v>97</v>
      </c>
      <c r="P2218" s="2" t="s">
        <v>707</v>
      </c>
      <c r="Q2218" s="2" t="s">
        <v>99</v>
      </c>
      <c r="R2218" s="2" t="s">
        <v>100</v>
      </c>
      <c r="S2218" s="2" t="s">
        <v>100</v>
      </c>
      <c r="T2218" s="2" t="s">
        <v>100</v>
      </c>
      <c r="U2218" s="2" t="s">
        <v>100</v>
      </c>
      <c r="V2218" s="2" t="s">
        <v>3412</v>
      </c>
      <c r="W2218" s="2" t="s">
        <v>493</v>
      </c>
      <c r="X2218" s="2" t="s">
        <v>100</v>
      </c>
      <c r="Y2218" s="2" t="s">
        <v>6427</v>
      </c>
      <c r="Z2218" s="4">
        <v>62</v>
      </c>
      <c r="AA2218" s="4">
        <f>=ROUNDDOWN(8.85714285714286,0)</f>
      </c>
      <c r="AB2218" s="5">
        <v>7</v>
      </c>
      <c r="AC2218" s="2" t="s">
        <v>7789</v>
      </c>
      <c r="AD2218" s="4">
        <v>100</v>
      </c>
      <c r="AE2218" s="4">
        <v>100</v>
      </c>
      <c r="AF2218" s="6">
        <v>76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/>
      <c r="AW2218" s="8"/>
      <c r="AX2218" s="4"/>
      <c r="AY2218" s="8"/>
      <c r="AZ2218" s="7"/>
      <c r="BA2218" s="7"/>
      <c r="BB2218" s="7"/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/>
      <c r="BJ2218" s="4">
        <v>14</v>
      </c>
      <c r="BK2218" s="8">
        <v>913.36</v>
      </c>
      <c r="BL2218" s="2" t="s">
        <v>7795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2526</v>
      </c>
      <c r="BV2218" s="2" t="s">
        <v>97</v>
      </c>
      <c r="BW2218" s="2" t="s">
        <v>100</v>
      </c>
      <c r="BX2218" s="2" t="s">
        <v>100</v>
      </c>
      <c r="BY2218" s="2" t="s">
        <v>112</v>
      </c>
      <c r="BZ2218" s="2" t="s">
        <v>100</v>
      </c>
    </row>
    <row r="2219">
      <c r="A2219" s="2" t="s">
        <v>7796</v>
      </c>
      <c r="B2219" s="2" t="s">
        <v>6747</v>
      </c>
      <c r="C2219" s="2" t="s">
        <v>88</v>
      </c>
      <c r="D2219" s="2" t="s">
        <v>6949</v>
      </c>
      <c r="E2219" s="2" t="s">
        <v>6970</v>
      </c>
      <c r="F2219" s="2" t="s">
        <v>7792</v>
      </c>
      <c r="G2219" s="2" t="s">
        <v>7793</v>
      </c>
      <c r="H2219" s="2" t="s">
        <v>7794</v>
      </c>
      <c r="I2219" s="2" t="s">
        <v>7797</v>
      </c>
      <c r="J2219" s="2" t="s">
        <v>3385</v>
      </c>
      <c r="K2219" s="2" t="s">
        <v>96</v>
      </c>
      <c r="L2219" s="3">
        <v>57.86</v>
      </c>
      <c r="M2219" s="3">
        <v>60.75</v>
      </c>
      <c r="N2219" s="3">
        <v>129</v>
      </c>
      <c r="O2219" s="2" t="s">
        <v>97</v>
      </c>
      <c r="P2219" s="2" t="s">
        <v>98</v>
      </c>
      <c r="Q2219" s="2" t="s">
        <v>99</v>
      </c>
      <c r="R2219" s="2" t="s">
        <v>100</v>
      </c>
      <c r="S2219" s="2" t="s">
        <v>7798</v>
      </c>
      <c r="T2219" s="2" t="s">
        <v>100</v>
      </c>
      <c r="U2219" s="2" t="s">
        <v>100</v>
      </c>
      <c r="V2219" s="2" t="s">
        <v>461</v>
      </c>
      <c r="W2219" s="2" t="s">
        <v>493</v>
      </c>
      <c r="X2219" s="2" t="s">
        <v>100</v>
      </c>
      <c r="Y2219" s="2" t="s">
        <v>144</v>
      </c>
      <c r="Z2219" s="4">
        <v>320</v>
      </c>
      <c r="AA2219" s="4">
        <f>=ROUNDDOWN(18.8235294117647,0)</f>
      </c>
      <c r="AB2219" s="5">
        <v>17</v>
      </c>
      <c r="AC2219" s="2" t="s">
        <v>7763</v>
      </c>
      <c r="AD2219" s="4">
        <v>220</v>
      </c>
      <c r="AE2219" s="4">
        <v>430</v>
      </c>
      <c r="AF2219" s="6">
        <v>76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/>
      <c r="AW2219" s="8"/>
      <c r="AX2219" s="4"/>
      <c r="AY2219" s="8"/>
      <c r="AZ2219" s="7"/>
      <c r="BA2219" s="7"/>
      <c r="BB2219" s="7"/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/>
      <c r="BJ2219" s="4">
        <v>72</v>
      </c>
      <c r="BK2219" s="8">
        <v>4743.05</v>
      </c>
      <c r="BL2219" s="2" t="s">
        <v>7799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2526</v>
      </c>
      <c r="BV2219" s="2" t="s">
        <v>97</v>
      </c>
      <c r="BW2219" s="2" t="s">
        <v>100</v>
      </c>
      <c r="BX2219" s="2" t="s">
        <v>100</v>
      </c>
      <c r="BY2219" s="2" t="s">
        <v>112</v>
      </c>
      <c r="BZ2219" s="2" t="s">
        <v>100</v>
      </c>
    </row>
    <row r="2220">
      <c r="A2220" s="2" t="s">
        <v>7800</v>
      </c>
      <c r="B2220" s="2" t="s">
        <v>6747</v>
      </c>
      <c r="C2220" s="2" t="s">
        <v>88</v>
      </c>
      <c r="D2220" s="2" t="s">
        <v>6949</v>
      </c>
      <c r="E2220" s="2" t="s">
        <v>6970</v>
      </c>
      <c r="F2220" s="2" t="s">
        <v>7792</v>
      </c>
      <c r="G2220" s="2" t="s">
        <v>7793</v>
      </c>
      <c r="H2220" s="2" t="s">
        <v>7794</v>
      </c>
      <c r="I2220" s="2" t="s">
        <v>7797</v>
      </c>
      <c r="J2220" s="2" t="s">
        <v>3385</v>
      </c>
      <c r="K2220" s="2" t="s">
        <v>2548</v>
      </c>
      <c r="L2220" s="3">
        <v>57.86</v>
      </c>
      <c r="M2220" s="3">
        <v>60.75</v>
      </c>
      <c r="N2220" s="3">
        <v>129</v>
      </c>
      <c r="O2220" s="2" t="s">
        <v>97</v>
      </c>
      <c r="P2220" s="2" t="s">
        <v>98</v>
      </c>
      <c r="Q2220" s="2" t="s">
        <v>99</v>
      </c>
      <c r="R2220" s="2" t="s">
        <v>100</v>
      </c>
      <c r="S2220" s="2" t="s">
        <v>7801</v>
      </c>
      <c r="T2220" s="2" t="s">
        <v>100</v>
      </c>
      <c r="U2220" s="2" t="s">
        <v>100</v>
      </c>
      <c r="V2220" s="2" t="s">
        <v>461</v>
      </c>
      <c r="W2220" s="2" t="s">
        <v>493</v>
      </c>
      <c r="X2220" s="2" t="s">
        <v>100</v>
      </c>
      <c r="Y2220" s="2" t="s">
        <v>144</v>
      </c>
      <c r="Z2220" s="4">
        <v>175</v>
      </c>
      <c r="AA2220" s="4">
        <f>=ROUNDDOWN(13.4615384615385,0)</f>
      </c>
      <c r="AB2220" s="5">
        <v>13</v>
      </c>
      <c r="AC2220" s="2" t="s">
        <v>7763</v>
      </c>
      <c r="AD2220" s="4">
        <v>85</v>
      </c>
      <c r="AE2220" s="4">
        <v>300</v>
      </c>
      <c r="AF2220" s="6">
        <v>76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/>
      <c r="BJ2220" s="4">
        <v>16</v>
      </c>
      <c r="BK2220" s="8">
        <v>1149.04</v>
      </c>
      <c r="BL2220" s="2" t="s">
        <v>7802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2526</v>
      </c>
      <c r="BV2220" s="2" t="s">
        <v>97</v>
      </c>
      <c r="BW2220" s="2" t="s">
        <v>100</v>
      </c>
      <c r="BX2220" s="2" t="s">
        <v>100</v>
      </c>
      <c r="BY2220" s="2" t="s">
        <v>112</v>
      </c>
      <c r="BZ2220" s="2" t="s">
        <v>100</v>
      </c>
    </row>
    <row r="2221">
      <c r="A2221" s="2" t="s">
        <v>7803</v>
      </c>
      <c r="B2221" s="2" t="s">
        <v>6747</v>
      </c>
      <c r="C2221" s="2" t="s">
        <v>88</v>
      </c>
      <c r="D2221" s="2" t="s">
        <v>6949</v>
      </c>
      <c r="E2221" s="2" t="s">
        <v>6970</v>
      </c>
      <c r="F2221" s="2" t="s">
        <v>7792</v>
      </c>
      <c r="G2221" s="2" t="s">
        <v>7793</v>
      </c>
      <c r="H2221" s="2" t="s">
        <v>7794</v>
      </c>
      <c r="I2221" s="2" t="s">
        <v>7797</v>
      </c>
      <c r="J2221" s="2" t="s">
        <v>3385</v>
      </c>
      <c r="K2221" s="2" t="s">
        <v>223</v>
      </c>
      <c r="L2221" s="3">
        <v>57.86</v>
      </c>
      <c r="M2221" s="3">
        <v>60.75</v>
      </c>
      <c r="N2221" s="3">
        <v>129</v>
      </c>
      <c r="O2221" s="2" t="s">
        <v>97</v>
      </c>
      <c r="P2221" s="2" t="s">
        <v>98</v>
      </c>
      <c r="Q2221" s="2" t="s">
        <v>99</v>
      </c>
      <c r="R2221" s="2" t="s">
        <v>100</v>
      </c>
      <c r="S2221" s="2" t="s">
        <v>7804</v>
      </c>
      <c r="T2221" s="2" t="s">
        <v>100</v>
      </c>
      <c r="U2221" s="2" t="s">
        <v>100</v>
      </c>
      <c r="V2221" s="2" t="s">
        <v>461</v>
      </c>
      <c r="W2221" s="2" t="s">
        <v>493</v>
      </c>
      <c r="X2221" s="2" t="s">
        <v>100</v>
      </c>
      <c r="Y2221" s="2" t="s">
        <v>144</v>
      </c>
      <c r="Z2221" s="4">
        <v>138</v>
      </c>
      <c r="AA2221" s="4">
        <f>=ROUNDDOWN(13.8,0)</f>
      </c>
      <c r="AB2221" s="5">
        <v>10</v>
      </c>
      <c r="AC2221" s="2" t="s">
        <v>6780</v>
      </c>
      <c r="AD2221" s="4">
        <v>200</v>
      </c>
      <c r="AE2221" s="4">
        <v>200</v>
      </c>
      <c r="AF2221" s="6">
        <v>76</v>
      </c>
      <c r="AG2221" s="6">
        <v>67</v>
      </c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/>
      <c r="AW2221" s="8"/>
      <c r="AX2221" s="4"/>
      <c r="AY2221" s="8"/>
      <c r="AZ2221" s="7"/>
      <c r="BA2221" s="7"/>
      <c r="BB2221" s="7"/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/>
      <c r="BJ2221" s="4">
        <v>33</v>
      </c>
      <c r="BK2221" s="8">
        <v>2203.79</v>
      </c>
      <c r="BL2221" s="2" t="s">
        <v>7805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2526</v>
      </c>
      <c r="BV2221" s="2" t="s">
        <v>97</v>
      </c>
      <c r="BW2221" s="2" t="s">
        <v>100</v>
      </c>
      <c r="BX2221" s="2" t="s">
        <v>100</v>
      </c>
      <c r="BY2221" s="2" t="s">
        <v>112</v>
      </c>
      <c r="BZ2221" s="2" t="s">
        <v>100</v>
      </c>
    </row>
    <row r="2222">
      <c r="A2222" s="2" t="s">
        <v>7806</v>
      </c>
      <c r="B2222" s="2" t="s">
        <v>6747</v>
      </c>
      <c r="C2222" s="2" t="s">
        <v>88</v>
      </c>
      <c r="D2222" s="2" t="s">
        <v>6949</v>
      </c>
      <c r="E2222" s="2" t="s">
        <v>6970</v>
      </c>
      <c r="F2222" s="2" t="s">
        <v>7807</v>
      </c>
      <c r="G2222" s="2" t="s">
        <v>7808</v>
      </c>
      <c r="H2222" s="2" t="s">
        <v>7466</v>
      </c>
      <c r="I2222" s="2" t="s">
        <v>7809</v>
      </c>
      <c r="J2222" s="2" t="s">
        <v>3385</v>
      </c>
      <c r="K2222" s="2" t="s">
        <v>179</v>
      </c>
      <c r="L2222" s="3">
        <v>80.75</v>
      </c>
      <c r="M2222" s="3">
        <v>84.79</v>
      </c>
      <c r="N2222" s="3">
        <v>169</v>
      </c>
      <c r="O2222" s="2" t="s">
        <v>97</v>
      </c>
      <c r="P2222" s="2" t="s">
        <v>707</v>
      </c>
      <c r="Q2222" s="2" t="s">
        <v>99</v>
      </c>
      <c r="R2222" s="2" t="s">
        <v>100</v>
      </c>
      <c r="S2222" s="2" t="s">
        <v>7810</v>
      </c>
      <c r="T2222" s="2" t="s">
        <v>100</v>
      </c>
      <c r="U2222" s="2" t="s">
        <v>100</v>
      </c>
      <c r="V2222" s="2" t="s">
        <v>461</v>
      </c>
      <c r="W2222" s="2" t="s">
        <v>493</v>
      </c>
      <c r="X2222" s="2" t="s">
        <v>100</v>
      </c>
      <c r="Y2222" s="2" t="s">
        <v>144</v>
      </c>
      <c r="Z2222" s="4">
        <v>25</v>
      </c>
      <c r="AA2222" s="4">
        <f>=ROUNDDOWN(3.57142857142857,0)</f>
      </c>
      <c r="AB2222" s="5">
        <v>7</v>
      </c>
      <c r="AC2222" s="2" t="s">
        <v>2581</v>
      </c>
      <c r="AD2222" s="4">
        <v>81</v>
      </c>
      <c r="AE2222" s="4">
        <v>171</v>
      </c>
      <c r="AF2222" s="6">
        <v>74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/>
      <c r="AW2222" s="8"/>
      <c r="AX2222" s="4"/>
      <c r="AY2222" s="8"/>
      <c r="AZ2222" s="7"/>
      <c r="BA2222" s="7"/>
      <c r="BB2222" s="7"/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/>
      <c r="BJ2222" s="4">
        <v>38</v>
      </c>
      <c r="BK2222" s="8">
        <v>2940.19</v>
      </c>
      <c r="BL2222" s="2" t="s">
        <v>2807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171</v>
      </c>
      <c r="BV2222" s="2" t="s">
        <v>97</v>
      </c>
      <c r="BW2222" s="2" t="s">
        <v>100</v>
      </c>
      <c r="BX2222" s="2" t="s">
        <v>100</v>
      </c>
      <c r="BY2222" s="2" t="s">
        <v>112</v>
      </c>
      <c r="BZ2222" s="2" t="s">
        <v>100</v>
      </c>
    </row>
    <row r="2223">
      <c r="A2223" s="2" t="s">
        <v>7811</v>
      </c>
      <c r="B2223" s="2" t="s">
        <v>6747</v>
      </c>
      <c r="C2223" s="2" t="s">
        <v>88</v>
      </c>
      <c r="D2223" s="2" t="s">
        <v>6949</v>
      </c>
      <c r="E2223" s="2" t="s">
        <v>6970</v>
      </c>
      <c r="F2223" s="2" t="s">
        <v>7807</v>
      </c>
      <c r="G2223" s="2" t="s">
        <v>7808</v>
      </c>
      <c r="H2223" s="2" t="s">
        <v>7466</v>
      </c>
      <c r="I2223" s="2" t="s">
        <v>7809</v>
      </c>
      <c r="J2223" s="2" t="s">
        <v>3385</v>
      </c>
      <c r="K2223" s="2" t="s">
        <v>1090</v>
      </c>
      <c r="L2223" s="3">
        <v>80.75</v>
      </c>
      <c r="M2223" s="3">
        <v>84.79</v>
      </c>
      <c r="N2223" s="3">
        <v>169</v>
      </c>
      <c r="O2223" s="2" t="s">
        <v>97</v>
      </c>
      <c r="P2223" s="2" t="s">
        <v>707</v>
      </c>
      <c r="Q2223" s="2" t="s">
        <v>99</v>
      </c>
      <c r="R2223" s="2" t="s">
        <v>100</v>
      </c>
      <c r="S2223" s="2" t="s">
        <v>7812</v>
      </c>
      <c r="T2223" s="2" t="s">
        <v>100</v>
      </c>
      <c r="U2223" s="2" t="s">
        <v>100</v>
      </c>
      <c r="V2223" s="2" t="s">
        <v>461</v>
      </c>
      <c r="W2223" s="2" t="s">
        <v>493</v>
      </c>
      <c r="X2223" s="2" t="s">
        <v>100</v>
      </c>
      <c r="Y2223" s="2" t="s">
        <v>144</v>
      </c>
      <c r="Z2223" s="4">
        <v>244</v>
      </c>
      <c r="AA2223" s="4">
        <f>=ROUNDDOWN(61,0)</f>
      </c>
      <c r="AB2223" s="5">
        <v>4</v>
      </c>
      <c r="AC2223" s="2" t="s">
        <v>2581</v>
      </c>
      <c r="AD2223" s="4">
        <v>15</v>
      </c>
      <c r="AE2223" s="4">
        <v>15</v>
      </c>
      <c r="AF2223" s="6">
        <v>74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/>
      <c r="AW2223" s="8"/>
      <c r="AX2223" s="4"/>
      <c r="AY2223" s="8"/>
      <c r="AZ2223" s="7"/>
      <c r="BA2223" s="7"/>
      <c r="BB2223" s="7"/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/>
      <c r="BJ2223" s="4">
        <v>4</v>
      </c>
      <c r="BK2223" s="8">
        <v>336.72</v>
      </c>
      <c r="BL2223" s="2" t="s">
        <v>6821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2526</v>
      </c>
      <c r="BV2223" s="2" t="s">
        <v>97</v>
      </c>
      <c r="BW2223" s="2" t="s">
        <v>100</v>
      </c>
      <c r="BX2223" s="2" t="s">
        <v>100</v>
      </c>
      <c r="BY2223" s="2" t="s">
        <v>112</v>
      </c>
      <c r="BZ2223" s="2" t="s">
        <v>100</v>
      </c>
    </row>
    <row r="2224">
      <c r="A2224" s="2" t="s">
        <v>7813</v>
      </c>
      <c r="B2224" s="2" t="s">
        <v>6747</v>
      </c>
      <c r="C2224" s="2" t="s">
        <v>88</v>
      </c>
      <c r="D2224" s="2" t="s">
        <v>6949</v>
      </c>
      <c r="E2224" s="2" t="s">
        <v>6970</v>
      </c>
      <c r="F2224" s="2" t="s">
        <v>7807</v>
      </c>
      <c r="G2224" s="2" t="s">
        <v>7808</v>
      </c>
      <c r="H2224" s="2" t="s">
        <v>7466</v>
      </c>
      <c r="I2224" s="2" t="s">
        <v>6970</v>
      </c>
      <c r="J2224" s="2" t="s">
        <v>3385</v>
      </c>
      <c r="K2224" s="2" t="s">
        <v>96</v>
      </c>
      <c r="L2224" s="3">
        <v>80.75</v>
      </c>
      <c r="M2224" s="3">
        <v>84.79</v>
      </c>
      <c r="N2224" s="3">
        <v>169</v>
      </c>
      <c r="O2224" s="2" t="s">
        <v>97</v>
      </c>
      <c r="P2224" s="2" t="s">
        <v>707</v>
      </c>
      <c r="Q2224" s="2" t="s">
        <v>99</v>
      </c>
      <c r="R2224" s="2" t="s">
        <v>100</v>
      </c>
      <c r="S2224" s="2" t="s">
        <v>7814</v>
      </c>
      <c r="T2224" s="2" t="s">
        <v>100</v>
      </c>
      <c r="U2224" s="2" t="s">
        <v>100</v>
      </c>
      <c r="V2224" s="2" t="s">
        <v>461</v>
      </c>
      <c r="W2224" s="2" t="s">
        <v>493</v>
      </c>
      <c r="X2224" s="2" t="s">
        <v>100</v>
      </c>
      <c r="Y2224" s="2" t="s">
        <v>144</v>
      </c>
      <c r="Z2224" s="4">
        <v>65</v>
      </c>
      <c r="AA2224" s="4">
        <f>=ROUNDDOWN(13,0)</f>
      </c>
      <c r="AB2224" s="5">
        <v>5</v>
      </c>
      <c r="AC2224" s="2" t="s">
        <v>2581</v>
      </c>
      <c r="AD2224" s="4">
        <v>109</v>
      </c>
      <c r="AE2224" s="4">
        <v>189</v>
      </c>
      <c r="AF2224" s="6">
        <v>74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/>
      <c r="BJ2224" s="4">
        <v>13</v>
      </c>
      <c r="BK2224" s="8">
        <v>1193.89</v>
      </c>
      <c r="BL2224" s="2" t="s">
        <v>6909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2526</v>
      </c>
      <c r="BV2224" s="2" t="s">
        <v>97</v>
      </c>
      <c r="BW2224" s="2" t="s">
        <v>100</v>
      </c>
      <c r="BX2224" s="2" t="s">
        <v>100</v>
      </c>
      <c r="BY2224" s="2" t="s">
        <v>112</v>
      </c>
      <c r="BZ2224" s="2" t="s">
        <v>100</v>
      </c>
    </row>
    <row r="2225">
      <c r="A2225" s="2" t="s">
        <v>7815</v>
      </c>
      <c r="B2225" s="2" t="s">
        <v>6747</v>
      </c>
      <c r="C2225" s="2" t="s">
        <v>88</v>
      </c>
      <c r="D2225" s="2" t="s">
        <v>6949</v>
      </c>
      <c r="E2225" s="2" t="s">
        <v>6970</v>
      </c>
      <c r="F2225" s="2" t="s">
        <v>7816</v>
      </c>
      <c r="G2225" s="2" t="s">
        <v>7817</v>
      </c>
      <c r="H2225" s="2" t="s">
        <v>7818</v>
      </c>
      <c r="I2225" s="2" t="s">
        <v>7819</v>
      </c>
      <c r="J2225" s="2" t="s">
        <v>3385</v>
      </c>
      <c r="K2225" s="2" t="s">
        <v>1090</v>
      </c>
      <c r="L2225" s="3">
        <v>140</v>
      </c>
      <c r="M2225" s="3">
        <v>147</v>
      </c>
      <c r="N2225" s="3">
        <v>289</v>
      </c>
      <c r="O2225" s="2" t="s">
        <v>97</v>
      </c>
      <c r="P2225" s="2" t="s">
        <v>98</v>
      </c>
      <c r="Q2225" s="2" t="s">
        <v>99</v>
      </c>
      <c r="R2225" s="2" t="s">
        <v>100</v>
      </c>
      <c r="S2225" s="2" t="s">
        <v>100</v>
      </c>
      <c r="T2225" s="2" t="s">
        <v>100</v>
      </c>
      <c r="U2225" s="2" t="s">
        <v>1776</v>
      </c>
      <c r="V2225" s="2" t="s">
        <v>3412</v>
      </c>
      <c r="W2225" s="2" t="s">
        <v>493</v>
      </c>
      <c r="X2225" s="2" t="s">
        <v>1136</v>
      </c>
      <c r="Y2225" s="2" t="s">
        <v>7820</v>
      </c>
      <c r="Z2225" s="4"/>
      <c r="AA2225" s="4">
        <f>=ROUNDDOWN({0},0)</f>
      </c>
      <c r="AB2225" s="5">
        <v>10</v>
      </c>
      <c r="AC2225" s="2" t="s">
        <v>389</v>
      </c>
      <c r="AD2225" s="4">
        <v>230</v>
      </c>
      <c r="AE2225" s="4">
        <v>230</v>
      </c>
      <c r="AF2225" s="6">
        <v>66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/>
      <c r="AW2225" s="8"/>
      <c r="AX2225" s="4"/>
      <c r="AY2225" s="8"/>
      <c r="AZ2225" s="7"/>
      <c r="BA2225" s="7"/>
      <c r="BB2225" s="7"/>
      <c r="BC2225" s="4"/>
      <c r="BD2225" s="8"/>
      <c r="BE2225" s="4"/>
      <c r="BF2225" s="8"/>
      <c r="BG2225" s="7"/>
      <c r="BH2225" s="7"/>
      <c r="BI2225" s="7"/>
      <c r="BJ2225" s="4">
        <v>43</v>
      </c>
      <c r="BK2225" s="8">
        <v>6580.02</v>
      </c>
      <c r="BL2225" s="2" t="s">
        <v>7821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2526</v>
      </c>
      <c r="BV2225" s="2" t="s">
        <v>97</v>
      </c>
      <c r="BW2225" s="2" t="s">
        <v>100</v>
      </c>
      <c r="BX2225" s="2" t="s">
        <v>100</v>
      </c>
      <c r="BY2225" s="2" t="s">
        <v>112</v>
      </c>
      <c r="BZ2225" s="2" t="s">
        <v>100</v>
      </c>
    </row>
    <row r="2226">
      <c r="A2226" s="2" t="s">
        <v>7822</v>
      </c>
      <c r="B2226" s="2" t="s">
        <v>6747</v>
      </c>
      <c r="C2226" s="2" t="s">
        <v>88</v>
      </c>
      <c r="D2226" s="2" t="s">
        <v>6949</v>
      </c>
      <c r="E2226" s="2" t="s">
        <v>6970</v>
      </c>
      <c r="F2226" s="2" t="s">
        <v>6907</v>
      </c>
      <c r="G2226" s="2" t="s">
        <v>975</v>
      </c>
      <c r="H2226" s="2" t="s">
        <v>7823</v>
      </c>
      <c r="I2226" s="2" t="s">
        <v>6970</v>
      </c>
      <c r="J2226" s="2" t="s">
        <v>3385</v>
      </c>
      <c r="K2226" s="2" t="s">
        <v>1090</v>
      </c>
      <c r="L2226" s="3">
        <v>80.75</v>
      </c>
      <c r="M2226" s="3">
        <v>84.79</v>
      </c>
      <c r="N2226" s="3">
        <v>169</v>
      </c>
      <c r="O2226" s="2" t="s">
        <v>97</v>
      </c>
      <c r="P2226" s="2" t="s">
        <v>98</v>
      </c>
      <c r="Q2226" s="2" t="s">
        <v>99</v>
      </c>
      <c r="R2226" s="2" t="s">
        <v>100</v>
      </c>
      <c r="S2226" s="2" t="s">
        <v>7824</v>
      </c>
      <c r="T2226" s="2" t="s">
        <v>100</v>
      </c>
      <c r="U2226" s="2" t="s">
        <v>100</v>
      </c>
      <c r="V2226" s="2" t="s">
        <v>4636</v>
      </c>
      <c r="W2226" s="2" t="s">
        <v>493</v>
      </c>
      <c r="X2226" s="2" t="s">
        <v>100</v>
      </c>
      <c r="Y2226" s="2" t="s">
        <v>144</v>
      </c>
      <c r="Z2226" s="4">
        <v>125</v>
      </c>
      <c r="AA2226" s="4">
        <f>=ROUNDDOWN(12.5,0)</f>
      </c>
      <c r="AB2226" s="5">
        <v>10</v>
      </c>
      <c r="AC2226" s="2" t="s">
        <v>1094</v>
      </c>
      <c r="AD2226" s="4">
        <v>100</v>
      </c>
      <c r="AE2226" s="4">
        <v>200</v>
      </c>
      <c r="AF2226" s="6">
        <v>65</v>
      </c>
      <c r="AG2226" s="6">
        <v>48</v>
      </c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/>
      <c r="BD2226" s="8"/>
      <c r="BE2226" s="4"/>
      <c r="BF2226" s="8"/>
      <c r="BG2226" s="7"/>
      <c r="BH2226" s="7"/>
      <c r="BI2226" s="7"/>
      <c r="BJ2226" s="4">
        <v>44</v>
      </c>
      <c r="BK2226" s="8">
        <v>3370.76</v>
      </c>
      <c r="BL2226" s="2" t="s">
        <v>7825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2526</v>
      </c>
      <c r="BV2226" s="2" t="s">
        <v>97</v>
      </c>
      <c r="BW2226" s="2" t="s">
        <v>100</v>
      </c>
      <c r="BX2226" s="2" t="s">
        <v>100</v>
      </c>
      <c r="BY2226" s="2" t="s">
        <v>112</v>
      </c>
      <c r="BZ2226" s="2" t="s">
        <v>100</v>
      </c>
    </row>
    <row r="2227">
      <c r="A2227" s="2" t="s">
        <v>7826</v>
      </c>
      <c r="B2227" s="2" t="s">
        <v>6747</v>
      </c>
      <c r="C2227" s="2" t="s">
        <v>88</v>
      </c>
      <c r="D2227" s="2" t="s">
        <v>6949</v>
      </c>
      <c r="E2227" s="2" t="s">
        <v>6970</v>
      </c>
      <c r="F2227" s="2" t="s">
        <v>7827</v>
      </c>
      <c r="G2227" s="2" t="s">
        <v>7828</v>
      </c>
      <c r="H2227" s="2" t="s">
        <v>7829</v>
      </c>
      <c r="I2227" s="2" t="s">
        <v>7830</v>
      </c>
      <c r="J2227" s="2" t="s">
        <v>3385</v>
      </c>
      <c r="K2227" s="2" t="s">
        <v>1090</v>
      </c>
      <c r="L2227" s="3">
        <v>193.5</v>
      </c>
      <c r="M2227" s="3">
        <v>203.18</v>
      </c>
      <c r="N2227" s="3">
        <v>399</v>
      </c>
      <c r="O2227" s="2" t="s">
        <v>97</v>
      </c>
      <c r="P2227" s="2" t="s">
        <v>123</v>
      </c>
      <c r="Q2227" s="2" t="s">
        <v>99</v>
      </c>
      <c r="R2227" s="2" t="s">
        <v>100</v>
      </c>
      <c r="S2227" s="2" t="s">
        <v>7831</v>
      </c>
      <c r="T2227" s="2" t="s">
        <v>100</v>
      </c>
      <c r="U2227" s="2" t="s">
        <v>1776</v>
      </c>
      <c r="V2227" s="2" t="s">
        <v>461</v>
      </c>
      <c r="W2227" s="2" t="s">
        <v>142</v>
      </c>
      <c r="X2227" s="2" t="s">
        <v>100</v>
      </c>
      <c r="Y2227" s="2" t="s">
        <v>7550</v>
      </c>
      <c r="Z2227" s="4">
        <v>95</v>
      </c>
      <c r="AA2227" s="4">
        <f>=ROUNDDOWN(7.08955223880597,0)</f>
      </c>
      <c r="AB2227" s="5">
        <v>13.4</v>
      </c>
      <c r="AC2227" s="2" t="s">
        <v>2772</v>
      </c>
      <c r="AD2227" s="4">
        <v>72</v>
      </c>
      <c r="AE2227" s="4">
        <v>480</v>
      </c>
      <c r="AF2227" s="6">
        <v>65</v>
      </c>
      <c r="AG2227" s="6">
        <v>48</v>
      </c>
      <c r="AH2227" s="7">
        <v>1</v>
      </c>
      <c r="AI2227" s="4"/>
      <c r="AJ2227" s="4">
        <f>=ROUNDDOWN({0},0)</f>
      </c>
      <c r="AK2227" s="5"/>
      <c r="AL2227" s="2" t="s">
        <v>824</v>
      </c>
      <c r="AM2227" s="4">
        <v>230</v>
      </c>
      <c r="AN2227" s="4">
        <v>230</v>
      </c>
      <c r="AO2227" s="7">
        <v>0</v>
      </c>
      <c r="AP2227" s="4"/>
      <c r="AQ2227" s="8"/>
      <c r="AR2227" s="4"/>
      <c r="AS2227" s="8"/>
      <c r="AT2227" s="7"/>
      <c r="AU2227" s="7"/>
      <c r="AV2227" s="4"/>
      <c r="AW2227" s="8"/>
      <c r="AX2227" s="4"/>
      <c r="AY2227" s="8"/>
      <c r="AZ2227" s="7"/>
      <c r="BA2227" s="7"/>
      <c r="BB2227" s="7"/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/>
      <c r="BJ2227" s="4">
        <v>58</v>
      </c>
      <c r="BK2227" s="8">
        <v>10838.3</v>
      </c>
      <c r="BL2227" s="2" t="s">
        <v>7832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2526</v>
      </c>
      <c r="BV2227" s="2" t="s">
        <v>97</v>
      </c>
      <c r="BW2227" s="2" t="s">
        <v>100</v>
      </c>
      <c r="BX2227" s="2" t="s">
        <v>100</v>
      </c>
      <c r="BY2227" s="2" t="s">
        <v>112</v>
      </c>
      <c r="BZ2227" s="2" t="s">
        <v>100</v>
      </c>
    </row>
    <row r="2228">
      <c r="A2228" s="2" t="s">
        <v>7833</v>
      </c>
      <c r="B2228" s="2" t="s">
        <v>6747</v>
      </c>
      <c r="C2228" s="2" t="s">
        <v>88</v>
      </c>
      <c r="D2228" s="2" t="s">
        <v>6949</v>
      </c>
      <c r="E2228" s="2" t="s">
        <v>6970</v>
      </c>
      <c r="F2228" s="2" t="s">
        <v>7827</v>
      </c>
      <c r="G2228" s="2" t="s">
        <v>7828</v>
      </c>
      <c r="H2228" s="2" t="s">
        <v>7829</v>
      </c>
      <c r="I2228" s="2" t="s">
        <v>7834</v>
      </c>
      <c r="J2228" s="2" t="s">
        <v>3385</v>
      </c>
      <c r="K2228" s="2" t="s">
        <v>4488</v>
      </c>
      <c r="L2228" s="3">
        <v>193.5</v>
      </c>
      <c r="M2228" s="3">
        <v>203.18</v>
      </c>
      <c r="N2228" s="3">
        <v>399</v>
      </c>
      <c r="O2228" s="2" t="s">
        <v>97</v>
      </c>
      <c r="P2228" s="2" t="s">
        <v>98</v>
      </c>
      <c r="Q2228" s="2" t="s">
        <v>99</v>
      </c>
      <c r="R2228" s="2" t="s">
        <v>100</v>
      </c>
      <c r="S2228" s="2" t="s">
        <v>100</v>
      </c>
      <c r="T2228" s="2" t="s">
        <v>100</v>
      </c>
      <c r="U2228" s="2" t="s">
        <v>1776</v>
      </c>
      <c r="V2228" s="2" t="s">
        <v>461</v>
      </c>
      <c r="W2228" s="2" t="s">
        <v>142</v>
      </c>
      <c r="X2228" s="2" t="s">
        <v>100</v>
      </c>
      <c r="Y2228" s="2" t="s">
        <v>7835</v>
      </c>
      <c r="Z2228" s="4">
        <v>88</v>
      </c>
      <c r="AA2228" s="4">
        <f>=ROUNDDOWN(110,0)</f>
      </c>
      <c r="AB2228" s="5">
        <v>0.8</v>
      </c>
      <c r="AC2228" s="2" t="s">
        <v>4919</v>
      </c>
      <c r="AD2228" s="4">
        <v>127</v>
      </c>
      <c r="AE2228" s="4">
        <v>150</v>
      </c>
      <c r="AF2228" s="6">
        <v>65</v>
      </c>
      <c r="AG2228" s="6">
        <v>48</v>
      </c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/>
      <c r="BJ2228" s="4">
        <v>31</v>
      </c>
      <c r="BK2228" s="8">
        <v>5394.65</v>
      </c>
      <c r="BL2228" s="2" t="s">
        <v>7836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2526</v>
      </c>
      <c r="BV2228" s="2" t="s">
        <v>97</v>
      </c>
      <c r="BW2228" s="2" t="s">
        <v>100</v>
      </c>
      <c r="BX2228" s="2" t="s">
        <v>100</v>
      </c>
      <c r="BY2228" s="2" t="s">
        <v>112</v>
      </c>
      <c r="BZ2228" s="2" t="s">
        <v>100</v>
      </c>
    </row>
    <row r="2229">
      <c r="A2229" s="2" t="s">
        <v>7837</v>
      </c>
      <c r="B2229" s="2" t="s">
        <v>6747</v>
      </c>
      <c r="C2229" s="2" t="s">
        <v>88</v>
      </c>
      <c r="D2229" s="2" t="s">
        <v>6949</v>
      </c>
      <c r="E2229" s="2" t="s">
        <v>6970</v>
      </c>
      <c r="F2229" s="2" t="s">
        <v>7827</v>
      </c>
      <c r="G2229" s="2" t="s">
        <v>7828</v>
      </c>
      <c r="H2229" s="2" t="s">
        <v>7829</v>
      </c>
      <c r="I2229" s="2" t="s">
        <v>7834</v>
      </c>
      <c r="J2229" s="2" t="s">
        <v>3385</v>
      </c>
      <c r="K2229" s="2" t="s">
        <v>223</v>
      </c>
      <c r="L2229" s="3">
        <v>193.5</v>
      </c>
      <c r="M2229" s="3">
        <v>203.18</v>
      </c>
      <c r="N2229" s="3">
        <v>399</v>
      </c>
      <c r="O2229" s="2" t="s">
        <v>97</v>
      </c>
      <c r="P2229" s="2" t="s">
        <v>98</v>
      </c>
      <c r="Q2229" s="2" t="s">
        <v>99</v>
      </c>
      <c r="R2229" s="2" t="s">
        <v>100</v>
      </c>
      <c r="S2229" s="2" t="s">
        <v>100</v>
      </c>
      <c r="T2229" s="2" t="s">
        <v>100</v>
      </c>
      <c r="U2229" s="2" t="s">
        <v>1776</v>
      </c>
      <c r="V2229" s="2" t="s">
        <v>3412</v>
      </c>
      <c r="W2229" s="2" t="s">
        <v>142</v>
      </c>
      <c r="X2229" s="2" t="s">
        <v>100</v>
      </c>
      <c r="Y2229" s="2" t="s">
        <v>7838</v>
      </c>
      <c r="Z2229" s="4">
        <v>194</v>
      </c>
      <c r="AA2229" s="4">
        <f>=ROUNDDOWN(17.6363636363636,0)</f>
      </c>
      <c r="AB2229" s="5">
        <v>11</v>
      </c>
      <c r="AC2229" s="2" t="s">
        <v>897</v>
      </c>
      <c r="AD2229" s="4">
        <v>130</v>
      </c>
      <c r="AE2229" s="4">
        <v>380</v>
      </c>
      <c r="AF2229" s="6">
        <v>65</v>
      </c>
      <c r="AG2229" s="6">
        <v>48</v>
      </c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/>
      <c r="BJ2229" s="4">
        <v>22</v>
      </c>
      <c r="BK2229" s="8">
        <v>3939.49</v>
      </c>
      <c r="BL2229" s="2" t="s">
        <v>7839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2526</v>
      </c>
      <c r="BV2229" s="2" t="s">
        <v>97</v>
      </c>
      <c r="BW2229" s="2" t="s">
        <v>100</v>
      </c>
      <c r="BX2229" s="2" t="s">
        <v>100</v>
      </c>
      <c r="BY2229" s="2" t="s">
        <v>112</v>
      </c>
      <c r="BZ2229" s="2" t="s">
        <v>100</v>
      </c>
    </row>
    <row r="2230">
      <c r="A2230" s="2" t="s">
        <v>7840</v>
      </c>
      <c r="B2230" s="2" t="s">
        <v>6747</v>
      </c>
      <c r="C2230" s="2" t="s">
        <v>88</v>
      </c>
      <c r="D2230" s="2" t="s">
        <v>6949</v>
      </c>
      <c r="E2230" s="2" t="s">
        <v>6970</v>
      </c>
      <c r="F2230" s="2" t="s">
        <v>7841</v>
      </c>
      <c r="G2230" s="2" t="s">
        <v>7842</v>
      </c>
      <c r="H2230" s="2" t="s">
        <v>7843</v>
      </c>
      <c r="I2230" s="2" t="s">
        <v>7844</v>
      </c>
      <c r="J2230" s="2" t="s">
        <v>3385</v>
      </c>
      <c r="K2230" s="2" t="s">
        <v>4488</v>
      </c>
      <c r="L2230" s="3">
        <v>160</v>
      </c>
      <c r="M2230" s="3">
        <v>168</v>
      </c>
      <c r="N2230" s="3">
        <v>339</v>
      </c>
      <c r="O2230" s="2" t="s">
        <v>97</v>
      </c>
      <c r="P2230" s="2" t="s">
        <v>98</v>
      </c>
      <c r="Q2230" s="2" t="s">
        <v>99</v>
      </c>
      <c r="R2230" s="2" t="s">
        <v>100</v>
      </c>
      <c r="S2230" s="2" t="s">
        <v>100</v>
      </c>
      <c r="T2230" s="2" t="s">
        <v>100</v>
      </c>
      <c r="U2230" s="2" t="s">
        <v>1776</v>
      </c>
      <c r="V2230" s="2" t="s">
        <v>3412</v>
      </c>
      <c r="W2230" s="2" t="s">
        <v>594</v>
      </c>
      <c r="X2230" s="2" t="s">
        <v>142</v>
      </c>
      <c r="Y2230" s="2" t="s">
        <v>7845</v>
      </c>
      <c r="Z2230" s="4">
        <v>84</v>
      </c>
      <c r="AA2230" s="4">
        <f>=ROUNDDOWN(6,0)</f>
      </c>
      <c r="AB2230" s="5">
        <v>14</v>
      </c>
      <c r="AC2230" s="2" t="s">
        <v>2709</v>
      </c>
      <c r="AD2230" s="4">
        <v>100</v>
      </c>
      <c r="AE2230" s="4">
        <v>400</v>
      </c>
      <c r="AF2230" s="6">
        <v>65</v>
      </c>
      <c r="AG2230" s="6">
        <v>48</v>
      </c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/>
      <c r="BD2230" s="8"/>
      <c r="BE2230" s="4"/>
      <c r="BF2230" s="8"/>
      <c r="BG2230" s="7"/>
      <c r="BH2230" s="7"/>
      <c r="BI2230" s="7"/>
      <c r="BJ2230" s="4">
        <v>45</v>
      </c>
      <c r="BK2230" s="8">
        <v>7461.11</v>
      </c>
      <c r="BL2230" s="2" t="s">
        <v>2807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2551</v>
      </c>
      <c r="BV2230" s="2" t="s">
        <v>97</v>
      </c>
      <c r="BW2230" s="2" t="s">
        <v>100</v>
      </c>
      <c r="BX2230" s="2" t="s">
        <v>100</v>
      </c>
      <c r="BY2230" s="2" t="s">
        <v>112</v>
      </c>
      <c r="BZ2230" s="2" t="s">
        <v>100</v>
      </c>
    </row>
    <row r="2231">
      <c r="A2231" s="2" t="s">
        <v>7846</v>
      </c>
      <c r="B2231" s="2" t="s">
        <v>6747</v>
      </c>
      <c r="C2231" s="2" t="s">
        <v>88</v>
      </c>
      <c r="D2231" s="2" t="s">
        <v>6949</v>
      </c>
      <c r="E2231" s="2" t="s">
        <v>6970</v>
      </c>
      <c r="F2231" s="2" t="s">
        <v>7847</v>
      </c>
      <c r="G2231" s="2" t="s">
        <v>7848</v>
      </c>
      <c r="H2231" s="2" t="s">
        <v>7849</v>
      </c>
      <c r="I2231" s="2" t="s">
        <v>7850</v>
      </c>
      <c r="J2231" s="2" t="s">
        <v>3385</v>
      </c>
      <c r="K2231" s="2" t="s">
        <v>96</v>
      </c>
      <c r="L2231" s="3">
        <v>123.5</v>
      </c>
      <c r="M2231" s="3">
        <v>129.68</v>
      </c>
      <c r="N2231" s="3">
        <v>259</v>
      </c>
      <c r="O2231" s="2" t="s">
        <v>97</v>
      </c>
      <c r="P2231" s="2" t="s">
        <v>98</v>
      </c>
      <c r="Q2231" s="2" t="s">
        <v>99</v>
      </c>
      <c r="R2231" s="2" t="s">
        <v>100</v>
      </c>
      <c r="S2231" s="2" t="s">
        <v>7851</v>
      </c>
      <c r="T2231" s="2" t="s">
        <v>100</v>
      </c>
      <c r="U2231" s="2" t="s">
        <v>100</v>
      </c>
      <c r="V2231" s="2" t="s">
        <v>461</v>
      </c>
      <c r="W2231" s="2" t="s">
        <v>3394</v>
      </c>
      <c r="X2231" s="2" t="s">
        <v>100</v>
      </c>
      <c r="Y2231" s="2" t="s">
        <v>151</v>
      </c>
      <c r="Z2231" s="4">
        <v>132</v>
      </c>
      <c r="AA2231" s="4">
        <f>=ROUNDDOWN(14.6666666666667,0)</f>
      </c>
      <c r="AB2231" s="5">
        <v>9</v>
      </c>
      <c r="AC2231" s="2" t="s">
        <v>7852</v>
      </c>
      <c r="AD2231" s="4">
        <v>155</v>
      </c>
      <c r="AE2231" s="4">
        <v>255</v>
      </c>
      <c r="AF2231" s="6">
        <v>76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 t="s">
        <v>100</v>
      </c>
      <c r="AW2231" s="8" t="s">
        <v>100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 t="s">
        <v>100</v>
      </c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/>
      <c r="BJ2231" s="4">
        <v>22</v>
      </c>
      <c r="BK2231" s="8">
        <v>2284.87</v>
      </c>
      <c r="BL2231" s="2" t="s">
        <v>7853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2526</v>
      </c>
      <c r="BV2231" s="2" t="s">
        <v>97</v>
      </c>
      <c r="BW2231" s="2" t="s">
        <v>100</v>
      </c>
      <c r="BX2231" s="2" t="s">
        <v>100</v>
      </c>
      <c r="BY2231" s="2" t="s">
        <v>112</v>
      </c>
      <c r="BZ2231" s="2" t="s">
        <v>100</v>
      </c>
    </row>
    <row r="2232">
      <c r="A2232" s="2" t="s">
        <v>7854</v>
      </c>
      <c r="B2232" s="2" t="s">
        <v>6747</v>
      </c>
      <c r="C2232" s="2" t="s">
        <v>88</v>
      </c>
      <c r="D2232" s="2" t="s">
        <v>6949</v>
      </c>
      <c r="E2232" s="2" t="s">
        <v>6970</v>
      </c>
      <c r="F2232" s="2" t="s">
        <v>7847</v>
      </c>
      <c r="G2232" s="2" t="s">
        <v>7848</v>
      </c>
      <c r="H2232" s="2" t="s">
        <v>7849</v>
      </c>
      <c r="I2232" s="2" t="s">
        <v>6970</v>
      </c>
      <c r="J2232" s="2" t="s">
        <v>3385</v>
      </c>
      <c r="K2232" s="2" t="s">
        <v>96</v>
      </c>
      <c r="L2232" s="3">
        <v>128.85</v>
      </c>
      <c r="M2232" s="3">
        <v>135.29</v>
      </c>
      <c r="N2232" s="3">
        <v>269</v>
      </c>
      <c r="O2232" s="2" t="s">
        <v>97</v>
      </c>
      <c r="P2232" s="2" t="s">
        <v>707</v>
      </c>
      <c r="Q2232" s="2" t="s">
        <v>99</v>
      </c>
      <c r="R2232" s="2" t="s">
        <v>100</v>
      </c>
      <c r="S2232" s="2" t="s">
        <v>7855</v>
      </c>
      <c r="T2232" s="2" t="s">
        <v>100</v>
      </c>
      <c r="U2232" s="2" t="s">
        <v>100</v>
      </c>
      <c r="V2232" s="2" t="s">
        <v>461</v>
      </c>
      <c r="W2232" s="2" t="s">
        <v>3394</v>
      </c>
      <c r="X2232" s="2" t="s">
        <v>100</v>
      </c>
      <c r="Y2232" s="2" t="s">
        <v>980</v>
      </c>
      <c r="Z2232" s="4">
        <v>111</v>
      </c>
      <c r="AA2232" s="4">
        <f>=ROUNDDOWN(52.8571428571429,0)</f>
      </c>
      <c r="AB2232" s="5">
        <v>2.1</v>
      </c>
      <c r="AC2232" s="2" t="s">
        <v>6780</v>
      </c>
      <c r="AD2232" s="4">
        <v>100</v>
      </c>
      <c r="AE2232" s="4">
        <v>100</v>
      </c>
      <c r="AF2232" s="6">
        <v>76</v>
      </c>
      <c r="AG2232" s="6">
        <v>67</v>
      </c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 t="s">
        <v>100</v>
      </c>
      <c r="AW2232" s="8" t="s">
        <v>100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 t="s">
        <v>100</v>
      </c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/>
      <c r="BJ2232" s="4">
        <v>9</v>
      </c>
      <c r="BK2232" s="8">
        <v>1340.04</v>
      </c>
      <c r="BL2232" s="2" t="s">
        <v>7856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2526</v>
      </c>
      <c r="BV2232" s="2" t="s">
        <v>97</v>
      </c>
      <c r="BW2232" s="2" t="s">
        <v>100</v>
      </c>
      <c r="BX2232" s="2" t="s">
        <v>100</v>
      </c>
      <c r="BY2232" s="2" t="s">
        <v>112</v>
      </c>
      <c r="BZ2232" s="2" t="s">
        <v>100</v>
      </c>
    </row>
    <row r="2233">
      <c r="A2233" s="2" t="s">
        <v>7857</v>
      </c>
      <c r="B2233" s="2" t="s">
        <v>6747</v>
      </c>
      <c r="C2233" s="2" t="s">
        <v>88</v>
      </c>
      <c r="D2233" s="2" t="s">
        <v>6949</v>
      </c>
      <c r="E2233" s="2" t="s">
        <v>6970</v>
      </c>
      <c r="F2233" s="2" t="s">
        <v>7847</v>
      </c>
      <c r="G2233" s="2" t="s">
        <v>7848</v>
      </c>
      <c r="H2233" s="2" t="s">
        <v>7849</v>
      </c>
      <c r="I2233" s="2" t="s">
        <v>7850</v>
      </c>
      <c r="J2233" s="2" t="s">
        <v>3385</v>
      </c>
      <c r="K2233" s="2" t="s">
        <v>223</v>
      </c>
      <c r="L2233" s="3">
        <v>123.5</v>
      </c>
      <c r="M2233" s="3">
        <v>129.68</v>
      </c>
      <c r="N2233" s="3">
        <v>259</v>
      </c>
      <c r="O2233" s="2" t="s">
        <v>97</v>
      </c>
      <c r="P2233" s="2" t="s">
        <v>98</v>
      </c>
      <c r="Q2233" s="2" t="s">
        <v>99</v>
      </c>
      <c r="R2233" s="2" t="s">
        <v>100</v>
      </c>
      <c r="S2233" s="2" t="s">
        <v>7858</v>
      </c>
      <c r="T2233" s="2" t="s">
        <v>100</v>
      </c>
      <c r="U2233" s="2" t="s">
        <v>894</v>
      </c>
      <c r="V2233" s="2" t="s">
        <v>461</v>
      </c>
      <c r="W2233" s="2" t="s">
        <v>3394</v>
      </c>
      <c r="X2233" s="2" t="s">
        <v>100</v>
      </c>
      <c r="Y2233" s="2" t="s">
        <v>144</v>
      </c>
      <c r="Z2233" s="4">
        <v>182</v>
      </c>
      <c r="AA2233" s="4">
        <f>=ROUNDDOWN(30.3333333333333,0)</f>
      </c>
      <c r="AB2233" s="5">
        <v>6</v>
      </c>
      <c r="AC2233" s="2" t="s">
        <v>2709</v>
      </c>
      <c r="AD2233" s="4">
        <v>130</v>
      </c>
      <c r="AE2233" s="4">
        <v>130</v>
      </c>
      <c r="AF2233" s="6">
        <v>76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/>
      <c r="AQ2233" s="8"/>
      <c r="AR2233" s="4"/>
      <c r="AS2233" s="8"/>
      <c r="AT2233" s="7"/>
      <c r="AU2233" s="7"/>
      <c r="AV2233" s="4"/>
      <c r="AW2233" s="8"/>
      <c r="AX2233" s="4"/>
      <c r="AY2233" s="8"/>
      <c r="AZ2233" s="7"/>
      <c r="BA2233" s="7"/>
      <c r="BB2233" s="7"/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/>
      <c r="BJ2233" s="4">
        <v>18</v>
      </c>
      <c r="BK2233" s="8">
        <v>2075.06</v>
      </c>
      <c r="BL2233" s="2" t="s">
        <v>7859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2526</v>
      </c>
      <c r="BV2233" s="2" t="s">
        <v>97</v>
      </c>
      <c r="BW2233" s="2" t="s">
        <v>100</v>
      </c>
      <c r="BX2233" s="2" t="s">
        <v>100</v>
      </c>
      <c r="BY2233" s="2" t="s">
        <v>112</v>
      </c>
      <c r="BZ2233" s="2" t="s">
        <v>100</v>
      </c>
    </row>
    <row r="2234">
      <c r="A2234" s="2" t="s">
        <v>7860</v>
      </c>
      <c r="B2234" s="2" t="s">
        <v>6747</v>
      </c>
      <c r="C2234" s="2" t="s">
        <v>88</v>
      </c>
      <c r="D2234" s="2" t="s">
        <v>6949</v>
      </c>
      <c r="E2234" s="2" t="s">
        <v>6970</v>
      </c>
      <c r="F2234" s="2" t="s">
        <v>7847</v>
      </c>
      <c r="G2234" s="2" t="s">
        <v>7848</v>
      </c>
      <c r="H2234" s="2" t="s">
        <v>7849</v>
      </c>
      <c r="I2234" s="2" t="s">
        <v>7850</v>
      </c>
      <c r="J2234" s="2" t="s">
        <v>3385</v>
      </c>
      <c r="K2234" s="2" t="s">
        <v>4743</v>
      </c>
      <c r="L2234" s="3">
        <v>123.5</v>
      </c>
      <c r="M2234" s="3">
        <v>129.68</v>
      </c>
      <c r="N2234" s="3">
        <v>259</v>
      </c>
      <c r="O2234" s="2" t="s">
        <v>97</v>
      </c>
      <c r="P2234" s="2" t="s">
        <v>707</v>
      </c>
      <c r="Q2234" s="2" t="s">
        <v>99</v>
      </c>
      <c r="R2234" s="2" t="s">
        <v>100</v>
      </c>
      <c r="S2234" s="2" t="s">
        <v>7861</v>
      </c>
      <c r="T2234" s="2" t="s">
        <v>100</v>
      </c>
      <c r="U2234" s="2" t="s">
        <v>894</v>
      </c>
      <c r="V2234" s="2" t="s">
        <v>461</v>
      </c>
      <c r="W2234" s="2" t="s">
        <v>3394</v>
      </c>
      <c r="X2234" s="2" t="s">
        <v>100</v>
      </c>
      <c r="Y2234" s="2" t="s">
        <v>144</v>
      </c>
      <c r="Z2234" s="4">
        <v>106</v>
      </c>
      <c r="AA2234" s="4">
        <f>=ROUNDDOWN(26.5,0)</f>
      </c>
      <c r="AB2234" s="5">
        <v>4</v>
      </c>
      <c r="AC2234" s="2" t="s">
        <v>6780</v>
      </c>
      <c r="AD2234" s="4">
        <v>100</v>
      </c>
      <c r="AE2234" s="4">
        <v>100</v>
      </c>
      <c r="AF2234" s="6">
        <v>76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/>
      <c r="BJ2234" s="4">
        <v>10</v>
      </c>
      <c r="BK2234" s="8">
        <v>1144.63</v>
      </c>
      <c r="BL2234" s="2" t="s">
        <v>7862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2526</v>
      </c>
      <c r="BV2234" s="2" t="s">
        <v>97</v>
      </c>
      <c r="BW2234" s="2" t="s">
        <v>100</v>
      </c>
      <c r="BX2234" s="2" t="s">
        <v>100</v>
      </c>
      <c r="BY2234" s="2" t="s">
        <v>112</v>
      </c>
      <c r="BZ2234" s="2" t="s">
        <v>100</v>
      </c>
    </row>
    <row r="2235">
      <c r="A2235" s="2" t="s">
        <v>7863</v>
      </c>
      <c r="B2235" s="2" t="s">
        <v>6747</v>
      </c>
      <c r="C2235" s="2" t="s">
        <v>88</v>
      </c>
      <c r="D2235" s="2" t="s">
        <v>6949</v>
      </c>
      <c r="E2235" s="2" t="s">
        <v>6970</v>
      </c>
      <c r="F2235" s="2" t="s">
        <v>7758</v>
      </c>
      <c r="G2235" s="2" t="s">
        <v>7759</v>
      </c>
      <c r="H2235" s="2" t="s">
        <v>7760</v>
      </c>
      <c r="I2235" s="2" t="s">
        <v>6970</v>
      </c>
      <c r="J2235" s="2" t="s">
        <v>3385</v>
      </c>
      <c r="K2235" s="2" t="s">
        <v>96</v>
      </c>
      <c r="L2235" s="3">
        <v>95</v>
      </c>
      <c r="M2235" s="3">
        <v>99.75</v>
      </c>
      <c r="N2235" s="3">
        <v>199</v>
      </c>
      <c r="O2235" s="2" t="s">
        <v>97</v>
      </c>
      <c r="P2235" s="2" t="s">
        <v>707</v>
      </c>
      <c r="Q2235" s="2" t="s">
        <v>99</v>
      </c>
      <c r="R2235" s="2" t="s">
        <v>100</v>
      </c>
      <c r="S2235" s="2" t="s">
        <v>7864</v>
      </c>
      <c r="T2235" s="2" t="s">
        <v>100</v>
      </c>
      <c r="U2235" s="2" t="s">
        <v>100</v>
      </c>
      <c r="V2235" s="2" t="s">
        <v>461</v>
      </c>
      <c r="W2235" s="2" t="s">
        <v>142</v>
      </c>
      <c r="X2235" s="2" t="s">
        <v>100</v>
      </c>
      <c r="Y2235" s="2" t="s">
        <v>144</v>
      </c>
      <c r="Z2235" s="4">
        <v>119</v>
      </c>
      <c r="AA2235" s="4">
        <f>=ROUNDDOWN(59.5,0)</f>
      </c>
      <c r="AB2235" s="5">
        <v>2</v>
      </c>
      <c r="AC2235" s="2" t="s">
        <v>6780</v>
      </c>
      <c r="AD2235" s="4">
        <v>100</v>
      </c>
      <c r="AE2235" s="4">
        <v>100</v>
      </c>
      <c r="AF2235" s="6">
        <v>76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/>
      <c r="BD2235" s="8"/>
      <c r="BE2235" s="4"/>
      <c r="BF2235" s="8"/>
      <c r="BG2235" s="7"/>
      <c r="BH2235" s="7"/>
      <c r="BI2235" s="7"/>
      <c r="BJ2235" s="4">
        <v>10</v>
      </c>
      <c r="BK2235" s="8">
        <v>986.21</v>
      </c>
      <c r="BL2235" s="2" t="s">
        <v>7865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171</v>
      </c>
      <c r="BV2235" s="2" t="s">
        <v>97</v>
      </c>
      <c r="BW2235" s="2" t="s">
        <v>100</v>
      </c>
      <c r="BX2235" s="2" t="s">
        <v>100</v>
      </c>
      <c r="BY2235" s="2" t="s">
        <v>112</v>
      </c>
      <c r="BZ2235" s="2" t="s">
        <v>100</v>
      </c>
    </row>
    <row r="2236">
      <c r="A2236" s="2" t="s">
        <v>7866</v>
      </c>
      <c r="B2236" s="2" t="s">
        <v>6747</v>
      </c>
      <c r="C2236" s="2" t="s">
        <v>88</v>
      </c>
      <c r="D2236" s="2" t="s">
        <v>6949</v>
      </c>
      <c r="E2236" s="2" t="s">
        <v>6970</v>
      </c>
      <c r="F2236" s="2" t="s">
        <v>7867</v>
      </c>
      <c r="G2236" s="2" t="s">
        <v>7868</v>
      </c>
      <c r="H2236" s="2" t="s">
        <v>7869</v>
      </c>
      <c r="I2236" s="2" t="s">
        <v>7844</v>
      </c>
      <c r="J2236" s="2" t="s">
        <v>3385</v>
      </c>
      <c r="K2236" s="2" t="s">
        <v>3653</v>
      </c>
      <c r="L2236" s="3">
        <v>99</v>
      </c>
      <c r="M2236" s="3">
        <v>103.95</v>
      </c>
      <c r="N2236" s="3">
        <v>209</v>
      </c>
      <c r="O2236" s="2" t="s">
        <v>97</v>
      </c>
      <c r="P2236" s="2" t="s">
        <v>707</v>
      </c>
      <c r="Q2236" s="2" t="s">
        <v>99</v>
      </c>
      <c r="R2236" s="2" t="s">
        <v>100</v>
      </c>
      <c r="S2236" s="2" t="s">
        <v>100</v>
      </c>
      <c r="T2236" s="2" t="s">
        <v>100</v>
      </c>
      <c r="U2236" s="2" t="s">
        <v>1776</v>
      </c>
      <c r="V2236" s="2" t="s">
        <v>3412</v>
      </c>
      <c r="W2236" s="2" t="s">
        <v>142</v>
      </c>
      <c r="X2236" s="2" t="s">
        <v>100</v>
      </c>
      <c r="Y2236" s="2" t="s">
        <v>7870</v>
      </c>
      <c r="Z2236" s="4">
        <v>147</v>
      </c>
      <c r="AA2236" s="4">
        <f>=ROUNDDOWN(29.4,0)</f>
      </c>
      <c r="AB2236" s="5">
        <v>5</v>
      </c>
      <c r="AC2236" s="2" t="s">
        <v>100</v>
      </c>
      <c r="AD2236" s="4"/>
      <c r="AE2236" s="4"/>
      <c r="AF2236" s="6">
        <v>65</v>
      </c>
      <c r="AG2236" s="6">
        <v>48</v>
      </c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/>
      <c r="BD2236" s="8"/>
      <c r="BE2236" s="4"/>
      <c r="BF2236" s="8"/>
      <c r="BG2236" s="7"/>
      <c r="BH2236" s="7"/>
      <c r="BI2236" s="7"/>
      <c r="BJ2236" s="4">
        <v>10</v>
      </c>
      <c r="BK2236" s="8">
        <v>1054.16</v>
      </c>
      <c r="BL2236" s="2" t="s">
        <v>7871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2526</v>
      </c>
      <c r="BV2236" s="2" t="s">
        <v>97</v>
      </c>
      <c r="BW2236" s="2" t="s">
        <v>100</v>
      </c>
      <c r="BX2236" s="2" t="s">
        <v>100</v>
      </c>
      <c r="BY2236" s="2" t="s">
        <v>112</v>
      </c>
      <c r="BZ2236" s="2" t="s">
        <v>100</v>
      </c>
    </row>
    <row r="2237">
      <c r="A2237" s="2" t="s">
        <v>7872</v>
      </c>
      <c r="B2237" s="2" t="s">
        <v>6747</v>
      </c>
      <c r="C2237" s="2" t="s">
        <v>88</v>
      </c>
      <c r="D2237" s="2" t="s">
        <v>6949</v>
      </c>
      <c r="E2237" s="2" t="s">
        <v>6970</v>
      </c>
      <c r="F2237" s="2" t="s">
        <v>7479</v>
      </c>
      <c r="G2237" s="2" t="s">
        <v>220</v>
      </c>
      <c r="H2237" s="2" t="s">
        <v>7480</v>
      </c>
      <c r="I2237" s="2" t="s">
        <v>7873</v>
      </c>
      <c r="J2237" s="2" t="s">
        <v>3385</v>
      </c>
      <c r="K2237" s="2" t="s">
        <v>7484</v>
      </c>
      <c r="L2237" s="3">
        <v>144</v>
      </c>
      <c r="M2237" s="3">
        <v>151.2</v>
      </c>
      <c r="N2237" s="3">
        <v>299</v>
      </c>
      <c r="O2237" s="2" t="s">
        <v>97</v>
      </c>
      <c r="P2237" s="2" t="s">
        <v>98</v>
      </c>
      <c r="Q2237" s="2" t="s">
        <v>99</v>
      </c>
      <c r="R2237" s="2" t="s">
        <v>100</v>
      </c>
      <c r="S2237" s="2" t="s">
        <v>100</v>
      </c>
      <c r="T2237" s="2" t="s">
        <v>100</v>
      </c>
      <c r="U2237" s="2" t="s">
        <v>1776</v>
      </c>
      <c r="V2237" s="2" t="s">
        <v>3412</v>
      </c>
      <c r="W2237" s="2" t="s">
        <v>142</v>
      </c>
      <c r="X2237" s="2" t="s">
        <v>493</v>
      </c>
      <c r="Y2237" s="2" t="s">
        <v>7874</v>
      </c>
      <c r="Z2237" s="4"/>
      <c r="AA2237" s="4">
        <f>=ROUNDDOWN({0},0)</f>
      </c>
      <c r="AB2237" s="5">
        <v>25</v>
      </c>
      <c r="AC2237" s="2" t="s">
        <v>1094</v>
      </c>
      <c r="AD2237" s="4">
        <v>480</v>
      </c>
      <c r="AE2237" s="4">
        <v>480</v>
      </c>
      <c r="AF2237" s="6">
        <v>65</v>
      </c>
      <c r="AG2237" s="6"/>
      <c r="AH2237" s="7">
        <v>0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/>
      <c r="BD2237" s="8"/>
      <c r="BE2237" s="4"/>
      <c r="BF2237" s="8"/>
      <c r="BG2237" s="7"/>
      <c r="BH2237" s="7"/>
      <c r="BI2237" s="7"/>
      <c r="BJ2237" s="4"/>
      <c r="BK2237" s="8"/>
      <c r="BL2237" s="2" t="s">
        <v>100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2526</v>
      </c>
      <c r="BV2237" s="2" t="s">
        <v>97</v>
      </c>
      <c r="BW2237" s="2" t="s">
        <v>100</v>
      </c>
      <c r="BX2237" s="2" t="s">
        <v>100</v>
      </c>
      <c r="BY2237" s="2" t="s">
        <v>112</v>
      </c>
      <c r="BZ2237" s="2" t="s">
        <v>100</v>
      </c>
    </row>
    <row r="2238">
      <c r="A2238" s="2" t="s">
        <v>7875</v>
      </c>
      <c r="B2238" s="2" t="s">
        <v>6747</v>
      </c>
      <c r="C2238" s="2" t="s">
        <v>88</v>
      </c>
      <c r="D2238" s="2" t="s">
        <v>6949</v>
      </c>
      <c r="E2238" s="2" t="s">
        <v>6970</v>
      </c>
      <c r="F2238" s="2" t="s">
        <v>7876</v>
      </c>
      <c r="G2238" s="2" t="s">
        <v>7877</v>
      </c>
      <c r="H2238" s="2" t="s">
        <v>7878</v>
      </c>
      <c r="I2238" s="2" t="s">
        <v>7879</v>
      </c>
      <c r="J2238" s="2" t="s">
        <v>3385</v>
      </c>
      <c r="K2238" s="2" t="s">
        <v>3876</v>
      </c>
      <c r="L2238" s="3">
        <v>131.87</v>
      </c>
      <c r="M2238" s="3">
        <v>138.46</v>
      </c>
      <c r="N2238" s="3">
        <v>279</v>
      </c>
      <c r="O2238" s="2" t="s">
        <v>97</v>
      </c>
      <c r="P2238" s="2" t="s">
        <v>123</v>
      </c>
      <c r="Q2238" s="2" t="s">
        <v>99</v>
      </c>
      <c r="R2238" s="2" t="s">
        <v>100</v>
      </c>
      <c r="S2238" s="2" t="s">
        <v>100</v>
      </c>
      <c r="T2238" s="2" t="s">
        <v>100</v>
      </c>
      <c r="U2238" s="2" t="s">
        <v>1776</v>
      </c>
      <c r="V2238" s="2" t="s">
        <v>461</v>
      </c>
      <c r="W2238" s="2" t="s">
        <v>142</v>
      </c>
      <c r="X2238" s="2" t="s">
        <v>609</v>
      </c>
      <c r="Y2238" s="2" t="s">
        <v>7880</v>
      </c>
      <c r="Z2238" s="4">
        <v>163</v>
      </c>
      <c r="AA2238" s="4">
        <f>=ROUNDDOWN(7.40909090909091,0)</f>
      </c>
      <c r="AB2238" s="5">
        <v>22</v>
      </c>
      <c r="AC2238" s="2" t="s">
        <v>875</v>
      </c>
      <c r="AD2238" s="4">
        <v>250</v>
      </c>
      <c r="AE2238" s="4">
        <v>645</v>
      </c>
      <c r="AF2238" s="6">
        <v>66</v>
      </c>
      <c r="AG2238" s="6">
        <v>49</v>
      </c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/>
      <c r="BJ2238" s="4">
        <v>66</v>
      </c>
      <c r="BK2238" s="8">
        <v>9332.97</v>
      </c>
      <c r="BL2238" s="2" t="s">
        <v>7881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2526</v>
      </c>
      <c r="BV2238" s="2" t="s">
        <v>97</v>
      </c>
      <c r="BW2238" s="2" t="s">
        <v>100</v>
      </c>
      <c r="BX2238" s="2" t="s">
        <v>100</v>
      </c>
      <c r="BY2238" s="2" t="s">
        <v>112</v>
      </c>
      <c r="BZ2238" s="2" t="s">
        <v>100</v>
      </c>
    </row>
    <row r="2239">
      <c r="A2239" s="2" t="s">
        <v>7882</v>
      </c>
      <c r="B2239" s="2" t="s">
        <v>6747</v>
      </c>
      <c r="C2239" s="2" t="s">
        <v>88</v>
      </c>
      <c r="D2239" s="2" t="s">
        <v>6949</v>
      </c>
      <c r="E2239" s="2" t="s">
        <v>6970</v>
      </c>
      <c r="F2239" s="2" t="s">
        <v>7876</v>
      </c>
      <c r="G2239" s="2" t="s">
        <v>7877</v>
      </c>
      <c r="H2239" s="2" t="s">
        <v>7878</v>
      </c>
      <c r="I2239" s="2" t="s">
        <v>7879</v>
      </c>
      <c r="J2239" s="2" t="s">
        <v>3385</v>
      </c>
      <c r="K2239" s="2" t="s">
        <v>4362</v>
      </c>
      <c r="L2239" s="3">
        <v>131.87</v>
      </c>
      <c r="M2239" s="3">
        <v>138.46</v>
      </c>
      <c r="N2239" s="3">
        <v>279</v>
      </c>
      <c r="O2239" s="2" t="s">
        <v>97</v>
      </c>
      <c r="P2239" s="2" t="s">
        <v>98</v>
      </c>
      <c r="Q2239" s="2" t="s">
        <v>99</v>
      </c>
      <c r="R2239" s="2" t="s">
        <v>100</v>
      </c>
      <c r="S2239" s="2" t="s">
        <v>100</v>
      </c>
      <c r="T2239" s="2" t="s">
        <v>100</v>
      </c>
      <c r="U2239" s="2" t="s">
        <v>1776</v>
      </c>
      <c r="V2239" s="2" t="s">
        <v>3412</v>
      </c>
      <c r="W2239" s="2" t="s">
        <v>142</v>
      </c>
      <c r="X2239" s="2" t="s">
        <v>100</v>
      </c>
      <c r="Y2239" s="2" t="s">
        <v>7883</v>
      </c>
      <c r="Z2239" s="4">
        <v>226</v>
      </c>
      <c r="AA2239" s="4">
        <f>=ROUNDDOWN(25.1111111111111,0)</f>
      </c>
      <c r="AB2239" s="5">
        <v>9</v>
      </c>
      <c r="AC2239" s="2" t="s">
        <v>1142</v>
      </c>
      <c r="AD2239" s="4">
        <v>150</v>
      </c>
      <c r="AE2239" s="4">
        <v>150</v>
      </c>
      <c r="AF2239" s="6">
        <v>66</v>
      </c>
      <c r="AG2239" s="6">
        <v>49</v>
      </c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/>
      <c r="BJ2239" s="4">
        <v>17</v>
      </c>
      <c r="BK2239" s="8">
        <v>2402.02</v>
      </c>
      <c r="BL2239" s="2" t="s">
        <v>7884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2526</v>
      </c>
      <c r="BV2239" s="2" t="s">
        <v>97</v>
      </c>
      <c r="BW2239" s="2" t="s">
        <v>100</v>
      </c>
      <c r="BX2239" s="2" t="s">
        <v>100</v>
      </c>
      <c r="BY2239" s="2" t="s">
        <v>112</v>
      </c>
      <c r="BZ2239" s="2" t="s">
        <v>100</v>
      </c>
    </row>
    <row r="2240">
      <c r="A2240" s="2" t="s">
        <v>7885</v>
      </c>
      <c r="B2240" s="2" t="s">
        <v>6747</v>
      </c>
      <c r="C2240" s="2" t="s">
        <v>88</v>
      </c>
      <c r="D2240" s="2" t="s">
        <v>6949</v>
      </c>
      <c r="E2240" s="2" t="s">
        <v>6970</v>
      </c>
      <c r="F2240" s="2" t="s">
        <v>7876</v>
      </c>
      <c r="G2240" s="2" t="s">
        <v>7877</v>
      </c>
      <c r="H2240" s="2" t="s">
        <v>7878</v>
      </c>
      <c r="I2240" s="2" t="s">
        <v>7879</v>
      </c>
      <c r="J2240" s="2" t="s">
        <v>3385</v>
      </c>
      <c r="K2240" s="2" t="s">
        <v>4488</v>
      </c>
      <c r="L2240" s="3">
        <v>131.87</v>
      </c>
      <c r="M2240" s="3">
        <v>138.46</v>
      </c>
      <c r="N2240" s="3">
        <v>279</v>
      </c>
      <c r="O2240" s="2" t="s">
        <v>97</v>
      </c>
      <c r="P2240" s="2" t="s">
        <v>123</v>
      </c>
      <c r="Q2240" s="2" t="s">
        <v>99</v>
      </c>
      <c r="R2240" s="2" t="s">
        <v>100</v>
      </c>
      <c r="S2240" s="2" t="s">
        <v>100</v>
      </c>
      <c r="T2240" s="2" t="s">
        <v>100</v>
      </c>
      <c r="U2240" s="2" t="s">
        <v>1776</v>
      </c>
      <c r="V2240" s="2" t="s">
        <v>461</v>
      </c>
      <c r="W2240" s="2" t="s">
        <v>142</v>
      </c>
      <c r="X2240" s="2" t="s">
        <v>100</v>
      </c>
      <c r="Y2240" s="2" t="s">
        <v>2210</v>
      </c>
      <c r="Z2240" s="4">
        <v>601</v>
      </c>
      <c r="AA2240" s="4">
        <f>=ROUNDDOWN(31.6315789473684,0)</f>
      </c>
      <c r="AB2240" s="5">
        <v>19</v>
      </c>
      <c r="AC2240" s="2" t="s">
        <v>2604</v>
      </c>
      <c r="AD2240" s="4">
        <v>20</v>
      </c>
      <c r="AE2240" s="4">
        <v>640</v>
      </c>
      <c r="AF2240" s="6">
        <v>66</v>
      </c>
      <c r="AG2240" s="6">
        <v>49</v>
      </c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/>
      <c r="BJ2240" s="4">
        <v>77</v>
      </c>
      <c r="BK2240" s="8">
        <v>11267.62</v>
      </c>
      <c r="BL2240" s="2" t="s">
        <v>7886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2551</v>
      </c>
      <c r="BV2240" s="2" t="s">
        <v>97</v>
      </c>
      <c r="BW2240" s="2" t="s">
        <v>100</v>
      </c>
      <c r="BX2240" s="2" t="s">
        <v>100</v>
      </c>
      <c r="BY2240" s="2" t="s">
        <v>112</v>
      </c>
      <c r="BZ2240" s="2" t="s">
        <v>100</v>
      </c>
    </row>
    <row r="2241">
      <c r="A2241" s="2" t="s">
        <v>7887</v>
      </c>
      <c r="B2241" s="2" t="s">
        <v>6747</v>
      </c>
      <c r="C2241" s="2" t="s">
        <v>88</v>
      </c>
      <c r="D2241" s="2" t="s">
        <v>6949</v>
      </c>
      <c r="E2241" s="2" t="s">
        <v>6970</v>
      </c>
      <c r="F2241" s="2" t="s">
        <v>7888</v>
      </c>
      <c r="G2241" s="2" t="s">
        <v>7889</v>
      </c>
      <c r="H2241" s="2" t="s">
        <v>7890</v>
      </c>
      <c r="I2241" s="2" t="s">
        <v>6995</v>
      </c>
      <c r="J2241" s="2" t="s">
        <v>3385</v>
      </c>
      <c r="K2241" s="2" t="s">
        <v>1090</v>
      </c>
      <c r="L2241" s="3">
        <v>190</v>
      </c>
      <c r="M2241" s="3">
        <v>199.5</v>
      </c>
      <c r="N2241" s="3">
        <v>399</v>
      </c>
      <c r="O2241" s="2" t="s">
        <v>97</v>
      </c>
      <c r="P2241" s="2" t="s">
        <v>98</v>
      </c>
      <c r="Q2241" s="2" t="s">
        <v>99</v>
      </c>
      <c r="R2241" s="2" t="s">
        <v>100</v>
      </c>
      <c r="S2241" s="2" t="s">
        <v>100</v>
      </c>
      <c r="T2241" s="2" t="s">
        <v>100</v>
      </c>
      <c r="U2241" s="2" t="s">
        <v>1776</v>
      </c>
      <c r="V2241" s="2" t="s">
        <v>461</v>
      </c>
      <c r="W2241" s="2" t="s">
        <v>493</v>
      </c>
      <c r="X2241" s="2" t="s">
        <v>142</v>
      </c>
      <c r="Y2241" s="2" t="s">
        <v>7616</v>
      </c>
      <c r="Z2241" s="4">
        <v>106</v>
      </c>
      <c r="AA2241" s="4">
        <f>=ROUNDDOWN(8.15384615384615,0)</f>
      </c>
      <c r="AB2241" s="5">
        <v>13</v>
      </c>
      <c r="AC2241" s="2" t="s">
        <v>206</v>
      </c>
      <c r="AD2241" s="4">
        <v>100</v>
      </c>
      <c r="AE2241" s="4">
        <v>380</v>
      </c>
      <c r="AF2241" s="6">
        <v>65</v>
      </c>
      <c r="AG2241" s="6">
        <v>48</v>
      </c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/>
      <c r="BJ2241" s="4">
        <v>59</v>
      </c>
      <c r="BK2241" s="8">
        <v>11648.09</v>
      </c>
      <c r="BL2241" s="2" t="s">
        <v>7891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2526</v>
      </c>
      <c r="BV2241" s="2" t="s">
        <v>97</v>
      </c>
      <c r="BW2241" s="2" t="s">
        <v>100</v>
      </c>
      <c r="BX2241" s="2" t="s">
        <v>100</v>
      </c>
      <c r="BY2241" s="2" t="s">
        <v>112</v>
      </c>
      <c r="BZ2241" s="2" t="s">
        <v>100</v>
      </c>
    </row>
    <row r="2242">
      <c r="A2242" s="2" t="s">
        <v>7892</v>
      </c>
      <c r="B2242" s="2" t="s">
        <v>6747</v>
      </c>
      <c r="C2242" s="2" t="s">
        <v>88</v>
      </c>
      <c r="D2242" s="2" t="s">
        <v>6949</v>
      </c>
      <c r="E2242" s="2" t="s">
        <v>6970</v>
      </c>
      <c r="F2242" s="2" t="s">
        <v>7888</v>
      </c>
      <c r="G2242" s="2" t="s">
        <v>7889</v>
      </c>
      <c r="H2242" s="2" t="s">
        <v>7890</v>
      </c>
      <c r="I2242" s="2" t="s">
        <v>6995</v>
      </c>
      <c r="J2242" s="2" t="s">
        <v>3385</v>
      </c>
      <c r="K2242" s="2" t="s">
        <v>96</v>
      </c>
      <c r="L2242" s="3">
        <v>190</v>
      </c>
      <c r="M2242" s="3">
        <v>199.5</v>
      </c>
      <c r="N2242" s="3">
        <v>399</v>
      </c>
      <c r="O2242" s="2" t="s">
        <v>97</v>
      </c>
      <c r="P2242" s="2" t="s">
        <v>707</v>
      </c>
      <c r="Q2242" s="2" t="s">
        <v>99</v>
      </c>
      <c r="R2242" s="2" t="s">
        <v>100</v>
      </c>
      <c r="S2242" s="2" t="s">
        <v>100</v>
      </c>
      <c r="T2242" s="2" t="s">
        <v>100</v>
      </c>
      <c r="U2242" s="2" t="s">
        <v>1776</v>
      </c>
      <c r="V2242" s="2" t="s">
        <v>461</v>
      </c>
      <c r="W2242" s="2" t="s">
        <v>493</v>
      </c>
      <c r="X2242" s="2" t="s">
        <v>142</v>
      </c>
      <c r="Y2242" s="2" t="s">
        <v>7893</v>
      </c>
      <c r="Z2242" s="4">
        <v>3</v>
      </c>
      <c r="AA2242" s="4">
        <f>=ROUNDDOWN(0.6,0)</f>
      </c>
      <c r="AB2242" s="5">
        <v>5</v>
      </c>
      <c r="AC2242" s="2" t="s">
        <v>897</v>
      </c>
      <c r="AD2242" s="4">
        <v>81</v>
      </c>
      <c r="AE2242" s="4">
        <v>200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/>
      <c r="BJ2242" s="4">
        <v>15</v>
      </c>
      <c r="BK2242" s="8">
        <v>3251.01</v>
      </c>
      <c r="BL2242" s="2" t="s">
        <v>3425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2526</v>
      </c>
      <c r="BV2242" s="2" t="s">
        <v>97</v>
      </c>
      <c r="BW2242" s="2" t="s">
        <v>100</v>
      </c>
      <c r="BX2242" s="2" t="s">
        <v>100</v>
      </c>
      <c r="BY2242" s="2" t="s">
        <v>112</v>
      </c>
      <c r="BZ2242" s="2" t="s">
        <v>100</v>
      </c>
    </row>
    <row r="2243">
      <c r="A2243" s="2" t="s">
        <v>7894</v>
      </c>
      <c r="B2243" s="2" t="s">
        <v>6747</v>
      </c>
      <c r="C2243" s="2" t="s">
        <v>88</v>
      </c>
      <c r="D2243" s="2" t="s">
        <v>6949</v>
      </c>
      <c r="E2243" s="2" t="s">
        <v>6970</v>
      </c>
      <c r="F2243" s="2" t="s">
        <v>7521</v>
      </c>
      <c r="G2243" s="2" t="s">
        <v>7522</v>
      </c>
      <c r="H2243" s="2" t="s">
        <v>7523</v>
      </c>
      <c r="I2243" s="2" t="s">
        <v>7895</v>
      </c>
      <c r="J2243" s="2" t="s">
        <v>3385</v>
      </c>
      <c r="K2243" s="2" t="s">
        <v>96</v>
      </c>
      <c r="L2243" s="3">
        <v>153</v>
      </c>
      <c r="M2243" s="3">
        <v>160.65</v>
      </c>
      <c r="N2243" s="3">
        <v>319</v>
      </c>
      <c r="O2243" s="2" t="s">
        <v>97</v>
      </c>
      <c r="P2243" s="2" t="s">
        <v>707</v>
      </c>
      <c r="Q2243" s="2" t="s">
        <v>99</v>
      </c>
      <c r="R2243" s="2" t="s">
        <v>100</v>
      </c>
      <c r="S2243" s="2" t="s">
        <v>100</v>
      </c>
      <c r="T2243" s="2" t="s">
        <v>100</v>
      </c>
      <c r="U2243" s="2" t="s">
        <v>1776</v>
      </c>
      <c r="V2243" s="2" t="s">
        <v>461</v>
      </c>
      <c r="W2243" s="2" t="s">
        <v>142</v>
      </c>
      <c r="X2243" s="2" t="s">
        <v>100</v>
      </c>
      <c r="Y2243" s="2" t="s">
        <v>942</v>
      </c>
      <c r="Z2243" s="4">
        <v>421</v>
      </c>
      <c r="AA2243" s="4">
        <f>=ROUNDDOWN(140.333333333333,0)</f>
      </c>
      <c r="AB2243" s="5">
        <v>3</v>
      </c>
      <c r="AC2243" s="2" t="s">
        <v>100</v>
      </c>
      <c r="AD2243" s="4"/>
      <c r="AE2243" s="4"/>
      <c r="AF2243" s="6">
        <v>65</v>
      </c>
      <c r="AG2243" s="6">
        <v>48</v>
      </c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/>
      <c r="AW2243" s="8"/>
      <c r="AX2243" s="4"/>
      <c r="AY2243" s="8"/>
      <c r="AZ2243" s="7"/>
      <c r="BA2243" s="7"/>
      <c r="BB2243" s="7"/>
      <c r="BC2243" s="4"/>
      <c r="BD2243" s="8"/>
      <c r="BE2243" s="4"/>
      <c r="BF2243" s="8"/>
      <c r="BG2243" s="7"/>
      <c r="BH2243" s="7"/>
      <c r="BI2243" s="7"/>
      <c r="BJ2243" s="4">
        <v>19</v>
      </c>
      <c r="BK2243" s="8">
        <v>3044.94</v>
      </c>
      <c r="BL2243" s="2" t="s">
        <v>7896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2526</v>
      </c>
      <c r="BV2243" s="2" t="s">
        <v>97</v>
      </c>
      <c r="BW2243" s="2" t="s">
        <v>100</v>
      </c>
      <c r="BX2243" s="2" t="s">
        <v>100</v>
      </c>
      <c r="BY2243" s="2" t="s">
        <v>112</v>
      </c>
      <c r="BZ2243" s="2" t="s">
        <v>100</v>
      </c>
    </row>
    <row r="2244">
      <c r="A2244" s="2" t="s">
        <v>7897</v>
      </c>
      <c r="B2244" s="2" t="s">
        <v>6747</v>
      </c>
      <c r="C2244" s="2" t="s">
        <v>88</v>
      </c>
      <c r="D2244" s="2" t="s">
        <v>6949</v>
      </c>
      <c r="E2244" s="2" t="s">
        <v>6970</v>
      </c>
      <c r="F2244" s="2" t="s">
        <v>7898</v>
      </c>
      <c r="G2244" s="2" t="s">
        <v>3205</v>
      </c>
      <c r="H2244" s="2" t="s">
        <v>7899</v>
      </c>
      <c r="I2244" s="2" t="s">
        <v>7900</v>
      </c>
      <c r="J2244" s="2" t="s">
        <v>3385</v>
      </c>
      <c r="K2244" s="2" t="s">
        <v>987</v>
      </c>
      <c r="L2244" s="3">
        <v>150</v>
      </c>
      <c r="M2244" s="3">
        <v>157.5</v>
      </c>
      <c r="N2244" s="3">
        <v>319</v>
      </c>
      <c r="O2244" s="2" t="s">
        <v>97</v>
      </c>
      <c r="P2244" s="2" t="s">
        <v>98</v>
      </c>
      <c r="Q2244" s="2" t="s">
        <v>99</v>
      </c>
      <c r="R2244" s="2" t="s">
        <v>100</v>
      </c>
      <c r="S2244" s="2" t="s">
        <v>100</v>
      </c>
      <c r="T2244" s="2" t="s">
        <v>100</v>
      </c>
      <c r="U2244" s="2" t="s">
        <v>1776</v>
      </c>
      <c r="V2244" s="2" t="s">
        <v>3412</v>
      </c>
      <c r="W2244" s="2" t="s">
        <v>717</v>
      </c>
      <c r="X2244" s="2" t="s">
        <v>493</v>
      </c>
      <c r="Y2244" s="2" t="s">
        <v>6438</v>
      </c>
      <c r="Z2244" s="4">
        <v>115</v>
      </c>
      <c r="AA2244" s="4">
        <f>=ROUNDDOWN(16.4285714285714,0)</f>
      </c>
      <c r="AB2244" s="5">
        <v>7</v>
      </c>
      <c r="AC2244" s="2" t="s">
        <v>4919</v>
      </c>
      <c r="AD2244" s="4">
        <v>100</v>
      </c>
      <c r="AE2244" s="4">
        <v>300</v>
      </c>
      <c r="AF2244" s="6">
        <v>65</v>
      </c>
      <c r="AG2244" s="6">
        <v>48</v>
      </c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/>
      <c r="BJ2244" s="4">
        <v>21</v>
      </c>
      <c r="BK2244" s="8">
        <v>3527.72</v>
      </c>
      <c r="BL2244" s="2" t="s">
        <v>2807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2526</v>
      </c>
      <c r="BV2244" s="2" t="s">
        <v>97</v>
      </c>
      <c r="BW2244" s="2" t="s">
        <v>100</v>
      </c>
      <c r="BX2244" s="2" t="s">
        <v>100</v>
      </c>
      <c r="BY2244" s="2" t="s">
        <v>112</v>
      </c>
      <c r="BZ2244" s="2" t="s">
        <v>100</v>
      </c>
    </row>
    <row r="2245">
      <c r="A2245" s="2" t="s">
        <v>7901</v>
      </c>
      <c r="B2245" s="2" t="s">
        <v>6747</v>
      </c>
      <c r="C2245" s="2" t="s">
        <v>88</v>
      </c>
      <c r="D2245" s="2" t="s">
        <v>6949</v>
      </c>
      <c r="E2245" s="2" t="s">
        <v>6970</v>
      </c>
      <c r="F2245" s="2" t="s">
        <v>7898</v>
      </c>
      <c r="G2245" s="2" t="s">
        <v>3205</v>
      </c>
      <c r="H2245" s="2" t="s">
        <v>7899</v>
      </c>
      <c r="I2245" s="2" t="s">
        <v>7900</v>
      </c>
      <c r="J2245" s="2" t="s">
        <v>3385</v>
      </c>
      <c r="K2245" s="2" t="s">
        <v>446</v>
      </c>
      <c r="L2245" s="3">
        <v>150</v>
      </c>
      <c r="M2245" s="3">
        <v>157.5</v>
      </c>
      <c r="N2245" s="3">
        <v>319</v>
      </c>
      <c r="O2245" s="2" t="s">
        <v>97</v>
      </c>
      <c r="P2245" s="2" t="s">
        <v>98</v>
      </c>
      <c r="Q2245" s="2" t="s">
        <v>99</v>
      </c>
      <c r="R2245" s="2" t="s">
        <v>100</v>
      </c>
      <c r="S2245" s="2" t="s">
        <v>100</v>
      </c>
      <c r="T2245" s="2" t="s">
        <v>100</v>
      </c>
      <c r="U2245" s="2" t="s">
        <v>100</v>
      </c>
      <c r="V2245" s="2" t="s">
        <v>3412</v>
      </c>
      <c r="W2245" s="2" t="s">
        <v>717</v>
      </c>
      <c r="X2245" s="2" t="s">
        <v>100</v>
      </c>
      <c r="Y2245" s="2" t="s">
        <v>7902</v>
      </c>
      <c r="Z2245" s="4">
        <v>290</v>
      </c>
      <c r="AA2245" s="4">
        <f>=ROUNDDOWN(12.0833333333333,0)</f>
      </c>
      <c r="AB2245" s="5">
        <v>24</v>
      </c>
      <c r="AC2245" s="2" t="s">
        <v>897</v>
      </c>
      <c r="AD2245" s="4">
        <v>120</v>
      </c>
      <c r="AE2245" s="4">
        <v>570</v>
      </c>
      <c r="AF2245" s="6">
        <v>65</v>
      </c>
      <c r="AG2245" s="6">
        <v>48</v>
      </c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/>
      <c r="BJ2245" s="4">
        <v>49</v>
      </c>
      <c r="BK2245" s="8">
        <v>8000.53</v>
      </c>
      <c r="BL2245" s="2" t="s">
        <v>7903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2526</v>
      </c>
      <c r="BV2245" s="2" t="s">
        <v>97</v>
      </c>
      <c r="BW2245" s="2" t="s">
        <v>100</v>
      </c>
      <c r="BX2245" s="2" t="s">
        <v>100</v>
      </c>
      <c r="BY2245" s="2" t="s">
        <v>112</v>
      </c>
      <c r="BZ2245" s="2" t="s">
        <v>100</v>
      </c>
    </row>
    <row r="2246">
      <c r="A2246" s="2" t="s">
        <v>7904</v>
      </c>
      <c r="B2246" s="2" t="s">
        <v>6747</v>
      </c>
      <c r="C2246" s="2" t="s">
        <v>88</v>
      </c>
      <c r="D2246" s="2" t="s">
        <v>6949</v>
      </c>
      <c r="E2246" s="2" t="s">
        <v>6970</v>
      </c>
      <c r="F2246" s="2" t="s">
        <v>7905</v>
      </c>
      <c r="G2246" s="2" t="s">
        <v>7906</v>
      </c>
      <c r="H2246" s="2" t="s">
        <v>7907</v>
      </c>
      <c r="I2246" s="2" t="s">
        <v>7908</v>
      </c>
      <c r="J2246" s="2" t="s">
        <v>3385</v>
      </c>
      <c r="K2246" s="2" t="s">
        <v>179</v>
      </c>
      <c r="L2246" s="3">
        <v>165</v>
      </c>
      <c r="M2246" s="3">
        <v>173.25</v>
      </c>
      <c r="N2246" s="3">
        <v>349</v>
      </c>
      <c r="O2246" s="2" t="s">
        <v>97</v>
      </c>
      <c r="P2246" s="2" t="s">
        <v>98</v>
      </c>
      <c r="Q2246" s="2" t="s">
        <v>99</v>
      </c>
      <c r="R2246" s="2" t="s">
        <v>100</v>
      </c>
      <c r="S2246" s="2" t="s">
        <v>7909</v>
      </c>
      <c r="T2246" s="2" t="s">
        <v>100</v>
      </c>
      <c r="U2246" s="2" t="s">
        <v>100</v>
      </c>
      <c r="V2246" s="2" t="s">
        <v>461</v>
      </c>
      <c r="W2246" s="2" t="s">
        <v>142</v>
      </c>
      <c r="X2246" s="2" t="s">
        <v>100</v>
      </c>
      <c r="Y2246" s="2" t="s">
        <v>7550</v>
      </c>
      <c r="Z2246" s="4">
        <v>161</v>
      </c>
      <c r="AA2246" s="4">
        <f>=ROUNDDOWN(20.125,0)</f>
      </c>
      <c r="AB2246" s="5">
        <v>8</v>
      </c>
      <c r="AC2246" s="2" t="s">
        <v>7071</v>
      </c>
      <c r="AD2246" s="4">
        <v>150</v>
      </c>
      <c r="AE2246" s="4">
        <v>150</v>
      </c>
      <c r="AF2246" s="6">
        <v>65</v>
      </c>
      <c r="AG2246" s="6">
        <v>48</v>
      </c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/>
      <c r="BJ2246" s="4">
        <v>15</v>
      </c>
      <c r="BK2246" s="8">
        <v>2684.14</v>
      </c>
      <c r="BL2246" s="2" t="s">
        <v>2807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2526</v>
      </c>
      <c r="BV2246" s="2" t="s">
        <v>97</v>
      </c>
      <c r="BW2246" s="2" t="s">
        <v>100</v>
      </c>
      <c r="BX2246" s="2" t="s">
        <v>100</v>
      </c>
      <c r="BY2246" s="2" t="s">
        <v>112</v>
      </c>
      <c r="BZ2246" s="2" t="s">
        <v>100</v>
      </c>
    </row>
    <row r="2247">
      <c r="A2247" s="2" t="s">
        <v>7910</v>
      </c>
      <c r="B2247" s="2" t="s">
        <v>6747</v>
      </c>
      <c r="C2247" s="2" t="s">
        <v>88</v>
      </c>
      <c r="D2247" s="2" t="s">
        <v>6949</v>
      </c>
      <c r="E2247" s="2" t="s">
        <v>6970</v>
      </c>
      <c r="F2247" s="2" t="s">
        <v>7905</v>
      </c>
      <c r="G2247" s="2" t="s">
        <v>7906</v>
      </c>
      <c r="H2247" s="2" t="s">
        <v>7907</v>
      </c>
      <c r="I2247" s="2" t="s">
        <v>7834</v>
      </c>
      <c r="J2247" s="2" t="s">
        <v>3385</v>
      </c>
      <c r="K2247" s="2" t="s">
        <v>1090</v>
      </c>
      <c r="L2247" s="3">
        <v>165</v>
      </c>
      <c r="M2247" s="3">
        <v>173.25</v>
      </c>
      <c r="N2247" s="3">
        <v>349</v>
      </c>
      <c r="O2247" s="2" t="s">
        <v>97</v>
      </c>
      <c r="P2247" s="2" t="s">
        <v>98</v>
      </c>
      <c r="Q2247" s="2" t="s">
        <v>99</v>
      </c>
      <c r="R2247" s="2" t="s">
        <v>100</v>
      </c>
      <c r="S2247" s="2" t="s">
        <v>100</v>
      </c>
      <c r="T2247" s="2" t="s">
        <v>100</v>
      </c>
      <c r="U2247" s="2" t="s">
        <v>1776</v>
      </c>
      <c r="V2247" s="2" t="s">
        <v>461</v>
      </c>
      <c r="W2247" s="2" t="s">
        <v>142</v>
      </c>
      <c r="X2247" s="2" t="s">
        <v>493</v>
      </c>
      <c r="Y2247" s="2" t="s">
        <v>7489</v>
      </c>
      <c r="Z2247" s="4">
        <v>114</v>
      </c>
      <c r="AA2247" s="4">
        <f>=ROUNDDOWN(8.76923076923077,0)</f>
      </c>
      <c r="AB2247" s="5">
        <v>13</v>
      </c>
      <c r="AC2247" s="2" t="s">
        <v>903</v>
      </c>
      <c r="AD2247" s="4">
        <v>100</v>
      </c>
      <c r="AE2247" s="4">
        <v>380</v>
      </c>
      <c r="AF2247" s="6">
        <v>65</v>
      </c>
      <c r="AG2247" s="6">
        <v>48</v>
      </c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/>
      <c r="BJ2247" s="4">
        <v>45</v>
      </c>
      <c r="BK2247" s="8">
        <v>6981.57</v>
      </c>
      <c r="BL2247" s="2" t="s">
        <v>7911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2526</v>
      </c>
      <c r="BV2247" s="2" t="s">
        <v>97</v>
      </c>
      <c r="BW2247" s="2" t="s">
        <v>100</v>
      </c>
      <c r="BX2247" s="2" t="s">
        <v>100</v>
      </c>
      <c r="BY2247" s="2" t="s">
        <v>112</v>
      </c>
      <c r="BZ2247" s="2" t="s">
        <v>100</v>
      </c>
    </row>
    <row r="2248">
      <c r="A2248" s="2" t="s">
        <v>7912</v>
      </c>
      <c r="B2248" s="2" t="s">
        <v>6747</v>
      </c>
      <c r="C2248" s="2" t="s">
        <v>88</v>
      </c>
      <c r="D2248" s="2" t="s">
        <v>6949</v>
      </c>
      <c r="E2248" s="2" t="s">
        <v>6970</v>
      </c>
      <c r="F2248" s="2" t="s">
        <v>7913</v>
      </c>
      <c r="G2248" s="2" t="s">
        <v>7914</v>
      </c>
      <c r="H2248" s="2" t="s">
        <v>7915</v>
      </c>
      <c r="I2248" s="2" t="s">
        <v>7834</v>
      </c>
      <c r="J2248" s="2" t="s">
        <v>3385</v>
      </c>
      <c r="K2248" s="2" t="s">
        <v>179</v>
      </c>
      <c r="L2248" s="3">
        <v>171</v>
      </c>
      <c r="M2248" s="3">
        <v>179.55</v>
      </c>
      <c r="N2248" s="3">
        <v>359</v>
      </c>
      <c r="O2248" s="2" t="s">
        <v>97</v>
      </c>
      <c r="P2248" s="2" t="s">
        <v>98</v>
      </c>
      <c r="Q2248" s="2" t="s">
        <v>99</v>
      </c>
      <c r="R2248" s="2" t="s">
        <v>100</v>
      </c>
      <c r="S2248" s="2" t="s">
        <v>7916</v>
      </c>
      <c r="T2248" s="2" t="s">
        <v>100</v>
      </c>
      <c r="U2248" s="2" t="s">
        <v>1776</v>
      </c>
      <c r="V2248" s="2" t="s">
        <v>461</v>
      </c>
      <c r="W2248" s="2" t="s">
        <v>142</v>
      </c>
      <c r="X2248" s="2" t="s">
        <v>100</v>
      </c>
      <c r="Y2248" s="2" t="s">
        <v>6912</v>
      </c>
      <c r="Z2248" s="4">
        <v>177</v>
      </c>
      <c r="AA2248" s="4">
        <f>=ROUNDDOWN(29.5,0)</f>
      </c>
      <c r="AB2248" s="5">
        <v>6</v>
      </c>
      <c r="AC2248" s="2" t="s">
        <v>903</v>
      </c>
      <c r="AD2248" s="4">
        <v>55</v>
      </c>
      <c r="AE2248" s="4">
        <v>100</v>
      </c>
      <c r="AF2248" s="6">
        <v>65</v>
      </c>
      <c r="AG2248" s="6">
        <v>48</v>
      </c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/>
      <c r="BD2248" s="8"/>
      <c r="BE2248" s="4"/>
      <c r="BF2248" s="8"/>
      <c r="BG2248" s="7"/>
      <c r="BH2248" s="7"/>
      <c r="BI2248" s="7"/>
      <c r="BJ2248" s="4">
        <v>9</v>
      </c>
      <c r="BK2248" s="8">
        <v>1467.3</v>
      </c>
      <c r="BL2248" s="2" t="s">
        <v>7917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2526</v>
      </c>
      <c r="BV2248" s="2" t="s">
        <v>97</v>
      </c>
      <c r="BW2248" s="2" t="s">
        <v>100</v>
      </c>
      <c r="BX2248" s="2" t="s">
        <v>100</v>
      </c>
      <c r="BY2248" s="2" t="s">
        <v>112</v>
      </c>
      <c r="BZ2248" s="2" t="s">
        <v>100</v>
      </c>
    </row>
    <row r="2249">
      <c r="A2249" s="2" t="s">
        <v>7918</v>
      </c>
      <c r="B2249" s="2" t="s">
        <v>6747</v>
      </c>
      <c r="C2249" s="2" t="s">
        <v>88</v>
      </c>
      <c r="D2249" s="2" t="s">
        <v>6949</v>
      </c>
      <c r="E2249" s="2" t="s">
        <v>6970</v>
      </c>
      <c r="F2249" s="2" t="s">
        <v>7919</v>
      </c>
      <c r="G2249" s="2" t="s">
        <v>7920</v>
      </c>
      <c r="H2249" s="2" t="s">
        <v>7921</v>
      </c>
      <c r="I2249" s="2" t="s">
        <v>6970</v>
      </c>
      <c r="J2249" s="2" t="s">
        <v>3385</v>
      </c>
      <c r="K2249" s="2" t="s">
        <v>7922</v>
      </c>
      <c r="L2249" s="3">
        <v>80</v>
      </c>
      <c r="M2249" s="3">
        <v>84</v>
      </c>
      <c r="N2249" s="3">
        <v>169</v>
      </c>
      <c r="O2249" s="2" t="s">
        <v>97</v>
      </c>
      <c r="P2249" s="2" t="s">
        <v>98</v>
      </c>
      <c r="Q2249" s="2" t="s">
        <v>99</v>
      </c>
      <c r="R2249" s="2" t="s">
        <v>100</v>
      </c>
      <c r="S2249" s="2" t="s">
        <v>100</v>
      </c>
      <c r="T2249" s="2" t="s">
        <v>100</v>
      </c>
      <c r="U2249" s="2" t="s">
        <v>1776</v>
      </c>
      <c r="V2249" s="2" t="s">
        <v>461</v>
      </c>
      <c r="W2249" s="2" t="s">
        <v>493</v>
      </c>
      <c r="X2249" s="2" t="s">
        <v>2835</v>
      </c>
      <c r="Y2249" s="2" t="s">
        <v>4799</v>
      </c>
      <c r="Z2249" s="4">
        <v>301</v>
      </c>
      <c r="AA2249" s="4">
        <f>=ROUNDDOWN(20.0666666666667,0)</f>
      </c>
      <c r="AB2249" s="5">
        <v>15</v>
      </c>
      <c r="AC2249" s="2" t="s">
        <v>145</v>
      </c>
      <c r="AD2249" s="4">
        <v>420</v>
      </c>
      <c r="AE2249" s="4">
        <v>420</v>
      </c>
      <c r="AF2249" s="6">
        <v>66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/>
      <c r="BD2249" s="8"/>
      <c r="BE2249" s="4"/>
      <c r="BF2249" s="8"/>
      <c r="BG2249" s="7"/>
      <c r="BH2249" s="7"/>
      <c r="BI2249" s="7"/>
      <c r="BJ2249" s="4">
        <v>59</v>
      </c>
      <c r="BK2249" s="8">
        <v>4775.85</v>
      </c>
      <c r="BL2249" s="2" t="s">
        <v>7923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2526</v>
      </c>
      <c r="BV2249" s="2" t="s">
        <v>97</v>
      </c>
      <c r="BW2249" s="2" t="s">
        <v>100</v>
      </c>
      <c r="BX2249" s="2" t="s">
        <v>100</v>
      </c>
      <c r="BY2249" s="2" t="s">
        <v>112</v>
      </c>
      <c r="BZ2249" s="2" t="s">
        <v>100</v>
      </c>
    </row>
    <row r="2250">
      <c r="A2250" s="2" t="s">
        <v>7924</v>
      </c>
      <c r="B2250" s="2" t="s">
        <v>6747</v>
      </c>
      <c r="C2250" s="2" t="s">
        <v>88</v>
      </c>
      <c r="D2250" s="2" t="s">
        <v>6949</v>
      </c>
      <c r="E2250" s="2" t="s">
        <v>6970</v>
      </c>
      <c r="F2250" s="2" t="s">
        <v>7925</v>
      </c>
      <c r="G2250" s="2" t="s">
        <v>7926</v>
      </c>
      <c r="H2250" s="2" t="s">
        <v>5026</v>
      </c>
      <c r="I2250" s="2" t="s">
        <v>7927</v>
      </c>
      <c r="J2250" s="2" t="s">
        <v>3385</v>
      </c>
      <c r="K2250" s="2" t="s">
        <v>4488</v>
      </c>
      <c r="L2250" s="3">
        <v>84.15</v>
      </c>
      <c r="M2250" s="3">
        <v>88.36</v>
      </c>
      <c r="N2250" s="3">
        <v>179</v>
      </c>
      <c r="O2250" s="2" t="s">
        <v>97</v>
      </c>
      <c r="P2250" s="2" t="s">
        <v>98</v>
      </c>
      <c r="Q2250" s="2" t="s">
        <v>99</v>
      </c>
      <c r="R2250" s="2" t="s">
        <v>100</v>
      </c>
      <c r="S2250" s="2" t="s">
        <v>100</v>
      </c>
      <c r="T2250" s="2" t="s">
        <v>100</v>
      </c>
      <c r="U2250" s="2" t="s">
        <v>100</v>
      </c>
      <c r="V2250" s="2" t="s">
        <v>3412</v>
      </c>
      <c r="W2250" s="2" t="s">
        <v>142</v>
      </c>
      <c r="X2250" s="2" t="s">
        <v>100</v>
      </c>
      <c r="Y2250" s="2" t="s">
        <v>7928</v>
      </c>
      <c r="Z2250" s="4">
        <v>100</v>
      </c>
      <c r="AA2250" s="4">
        <f>=ROUNDDOWN(12.5,0)</f>
      </c>
      <c r="AB2250" s="5">
        <v>8</v>
      </c>
      <c r="AC2250" s="2" t="s">
        <v>7763</v>
      </c>
      <c r="AD2250" s="4">
        <v>130</v>
      </c>
      <c r="AE2250" s="4">
        <v>397</v>
      </c>
      <c r="AF2250" s="6">
        <v>76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/>
      <c r="BJ2250" s="4">
        <v>39</v>
      </c>
      <c r="BK2250" s="8">
        <v>3197.7</v>
      </c>
      <c r="BL2250" s="2" t="s">
        <v>7929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2526</v>
      </c>
      <c r="BV2250" s="2" t="s">
        <v>97</v>
      </c>
      <c r="BW2250" s="2" t="s">
        <v>100</v>
      </c>
      <c r="BX2250" s="2" t="s">
        <v>100</v>
      </c>
      <c r="BY2250" s="2" t="s">
        <v>112</v>
      </c>
      <c r="BZ2250" s="2" t="s">
        <v>100</v>
      </c>
    </row>
    <row r="2251">
      <c r="A2251" s="2" t="s">
        <v>7930</v>
      </c>
      <c r="B2251" s="2" t="s">
        <v>6747</v>
      </c>
      <c r="C2251" s="2" t="s">
        <v>88</v>
      </c>
      <c r="D2251" s="2" t="s">
        <v>6949</v>
      </c>
      <c r="E2251" s="2" t="s">
        <v>6970</v>
      </c>
      <c r="F2251" s="2" t="s">
        <v>7925</v>
      </c>
      <c r="G2251" s="2" t="s">
        <v>7926</v>
      </c>
      <c r="H2251" s="2" t="s">
        <v>5026</v>
      </c>
      <c r="I2251" s="2" t="s">
        <v>7927</v>
      </c>
      <c r="J2251" s="2" t="s">
        <v>3385</v>
      </c>
      <c r="K2251" s="2" t="s">
        <v>223</v>
      </c>
      <c r="L2251" s="3">
        <v>84.15</v>
      </c>
      <c r="M2251" s="3">
        <v>88.36</v>
      </c>
      <c r="N2251" s="3">
        <v>179</v>
      </c>
      <c r="O2251" s="2" t="s">
        <v>97</v>
      </c>
      <c r="P2251" s="2" t="s">
        <v>98</v>
      </c>
      <c r="Q2251" s="2" t="s">
        <v>99</v>
      </c>
      <c r="R2251" s="2" t="s">
        <v>100</v>
      </c>
      <c r="S2251" s="2" t="s">
        <v>7931</v>
      </c>
      <c r="T2251" s="2" t="s">
        <v>100</v>
      </c>
      <c r="U2251" s="2" t="s">
        <v>100</v>
      </c>
      <c r="V2251" s="2" t="s">
        <v>461</v>
      </c>
      <c r="W2251" s="2" t="s">
        <v>493</v>
      </c>
      <c r="X2251" s="2" t="s">
        <v>100</v>
      </c>
      <c r="Y2251" s="2" t="s">
        <v>144</v>
      </c>
      <c r="Z2251" s="4">
        <v>296</v>
      </c>
      <c r="AA2251" s="4">
        <f>=ROUNDDOWN(37,0)</f>
      </c>
      <c r="AB2251" s="5">
        <v>8</v>
      </c>
      <c r="AC2251" s="2" t="s">
        <v>6780</v>
      </c>
      <c r="AD2251" s="4">
        <v>100</v>
      </c>
      <c r="AE2251" s="4">
        <v>100</v>
      </c>
      <c r="AF2251" s="6">
        <v>76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/>
      <c r="BJ2251" s="4">
        <v>20</v>
      </c>
      <c r="BK2251" s="8">
        <v>1680.2</v>
      </c>
      <c r="BL2251" s="2" t="s">
        <v>7671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2526</v>
      </c>
      <c r="BV2251" s="2" t="s">
        <v>97</v>
      </c>
      <c r="BW2251" s="2" t="s">
        <v>100</v>
      </c>
      <c r="BX2251" s="2" t="s">
        <v>100</v>
      </c>
      <c r="BY2251" s="2" t="s">
        <v>112</v>
      </c>
      <c r="BZ2251" s="2" t="s">
        <v>100</v>
      </c>
    </row>
    <row r="2252">
      <c r="A2252" s="2" t="s">
        <v>7932</v>
      </c>
      <c r="B2252" s="2" t="s">
        <v>6747</v>
      </c>
      <c r="C2252" s="2" t="s">
        <v>88</v>
      </c>
      <c r="D2252" s="2" t="s">
        <v>6949</v>
      </c>
      <c r="E2252" s="2" t="s">
        <v>6970</v>
      </c>
      <c r="F2252" s="2" t="s">
        <v>7925</v>
      </c>
      <c r="G2252" s="2" t="s">
        <v>7926</v>
      </c>
      <c r="H2252" s="2" t="s">
        <v>5026</v>
      </c>
      <c r="I2252" s="2" t="s">
        <v>7927</v>
      </c>
      <c r="J2252" s="2" t="s">
        <v>3385</v>
      </c>
      <c r="K2252" s="2" t="s">
        <v>523</v>
      </c>
      <c r="L2252" s="3">
        <v>84.15</v>
      </c>
      <c r="M2252" s="3">
        <v>88.36</v>
      </c>
      <c r="N2252" s="3">
        <v>179</v>
      </c>
      <c r="O2252" s="2" t="s">
        <v>97</v>
      </c>
      <c r="P2252" s="2" t="s">
        <v>98</v>
      </c>
      <c r="Q2252" s="2" t="s">
        <v>99</v>
      </c>
      <c r="R2252" s="2" t="s">
        <v>100</v>
      </c>
      <c r="S2252" s="2" t="s">
        <v>7933</v>
      </c>
      <c r="T2252" s="2" t="s">
        <v>100</v>
      </c>
      <c r="U2252" s="2" t="s">
        <v>100</v>
      </c>
      <c r="V2252" s="2" t="s">
        <v>461</v>
      </c>
      <c r="W2252" s="2" t="s">
        <v>142</v>
      </c>
      <c r="X2252" s="2" t="s">
        <v>100</v>
      </c>
      <c r="Y2252" s="2" t="s">
        <v>144</v>
      </c>
      <c r="Z2252" s="4">
        <v>409</v>
      </c>
      <c r="AA2252" s="4">
        <f>=ROUNDDOWN(24.0588235294118,0)</f>
      </c>
      <c r="AB2252" s="5">
        <v>17</v>
      </c>
      <c r="AC2252" s="2" t="s">
        <v>7763</v>
      </c>
      <c r="AD2252" s="4">
        <v>74</v>
      </c>
      <c r="AE2252" s="4">
        <v>284</v>
      </c>
      <c r="AF2252" s="6">
        <v>76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/>
      <c r="BJ2252" s="4">
        <v>67</v>
      </c>
      <c r="BK2252" s="8">
        <v>5214.35</v>
      </c>
      <c r="BL2252" s="2" t="s">
        <v>7934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171</v>
      </c>
      <c r="BV2252" s="2" t="s">
        <v>97</v>
      </c>
      <c r="BW2252" s="2" t="s">
        <v>100</v>
      </c>
      <c r="BX2252" s="2" t="s">
        <v>100</v>
      </c>
      <c r="BY2252" s="2" t="s">
        <v>112</v>
      </c>
      <c r="BZ2252" s="2" t="s">
        <v>100</v>
      </c>
    </row>
    <row r="2253">
      <c r="A2253" s="2" t="s">
        <v>7935</v>
      </c>
      <c r="B2253" s="2" t="s">
        <v>6747</v>
      </c>
      <c r="C2253" s="2" t="s">
        <v>88</v>
      </c>
      <c r="D2253" s="2" t="s">
        <v>6949</v>
      </c>
      <c r="E2253" s="2" t="s">
        <v>6970</v>
      </c>
      <c r="F2253" s="2" t="s">
        <v>7936</v>
      </c>
      <c r="G2253" s="2" t="s">
        <v>7937</v>
      </c>
      <c r="H2253" s="2" t="s">
        <v>565</v>
      </c>
      <c r="I2253" s="2" t="s">
        <v>6995</v>
      </c>
      <c r="J2253" s="2" t="s">
        <v>3385</v>
      </c>
      <c r="K2253" s="2" t="s">
        <v>7938</v>
      </c>
      <c r="L2253" s="3">
        <v>142.86</v>
      </c>
      <c r="M2253" s="3">
        <v>150</v>
      </c>
      <c r="N2253" s="3">
        <v>299</v>
      </c>
      <c r="O2253" s="2" t="s">
        <v>97</v>
      </c>
      <c r="P2253" s="2" t="s">
        <v>707</v>
      </c>
      <c r="Q2253" s="2" t="s">
        <v>99</v>
      </c>
      <c r="R2253" s="2" t="s">
        <v>100</v>
      </c>
      <c r="S2253" s="2" t="s">
        <v>100</v>
      </c>
      <c r="T2253" s="2" t="s">
        <v>100</v>
      </c>
      <c r="U2253" s="2" t="s">
        <v>1776</v>
      </c>
      <c r="V2253" s="2" t="s">
        <v>461</v>
      </c>
      <c r="W2253" s="2" t="s">
        <v>142</v>
      </c>
      <c r="X2253" s="2" t="s">
        <v>100</v>
      </c>
      <c r="Y2253" s="2" t="s">
        <v>7939</v>
      </c>
      <c r="Z2253" s="4">
        <v>219</v>
      </c>
      <c r="AA2253" s="4">
        <f>=ROUNDDOWN(54.75,0)</f>
      </c>
      <c r="AB2253" s="5">
        <v>4</v>
      </c>
      <c r="AC2253" s="2" t="s">
        <v>875</v>
      </c>
      <c r="AD2253" s="4">
        <v>90</v>
      </c>
      <c r="AE2253" s="4">
        <v>140</v>
      </c>
      <c r="AF2253" s="6">
        <v>66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/>
      <c r="BJ2253" s="4">
        <v>14</v>
      </c>
      <c r="BK2253" s="8">
        <v>2066.32</v>
      </c>
      <c r="BL2253" s="2" t="s">
        <v>3966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2551</v>
      </c>
      <c r="BV2253" s="2" t="s">
        <v>97</v>
      </c>
      <c r="BW2253" s="2" t="s">
        <v>100</v>
      </c>
      <c r="BX2253" s="2" t="s">
        <v>100</v>
      </c>
      <c r="BY2253" s="2" t="s">
        <v>112</v>
      </c>
      <c r="BZ2253" s="2" t="s">
        <v>100</v>
      </c>
    </row>
    <row r="2254">
      <c r="A2254" s="2" t="s">
        <v>7940</v>
      </c>
      <c r="B2254" s="2" t="s">
        <v>6747</v>
      </c>
      <c r="C2254" s="2" t="s">
        <v>88</v>
      </c>
      <c r="D2254" s="2" t="s">
        <v>6949</v>
      </c>
      <c r="E2254" s="2" t="s">
        <v>6970</v>
      </c>
      <c r="F2254" s="2" t="s">
        <v>7936</v>
      </c>
      <c r="G2254" s="2" t="s">
        <v>7937</v>
      </c>
      <c r="H2254" s="2" t="s">
        <v>565</v>
      </c>
      <c r="I2254" s="2" t="s">
        <v>6995</v>
      </c>
      <c r="J2254" s="2" t="s">
        <v>3385</v>
      </c>
      <c r="K2254" s="2" t="s">
        <v>96</v>
      </c>
      <c r="L2254" s="3">
        <v>142.86</v>
      </c>
      <c r="M2254" s="3">
        <v>150</v>
      </c>
      <c r="N2254" s="3">
        <v>299</v>
      </c>
      <c r="O2254" s="2" t="s">
        <v>97</v>
      </c>
      <c r="P2254" s="2" t="s">
        <v>707</v>
      </c>
      <c r="Q2254" s="2" t="s">
        <v>99</v>
      </c>
      <c r="R2254" s="2" t="s">
        <v>100</v>
      </c>
      <c r="S2254" s="2" t="s">
        <v>100</v>
      </c>
      <c r="T2254" s="2" t="s">
        <v>100</v>
      </c>
      <c r="U2254" s="2" t="s">
        <v>1776</v>
      </c>
      <c r="V2254" s="2" t="s">
        <v>461</v>
      </c>
      <c r="W2254" s="2" t="s">
        <v>142</v>
      </c>
      <c r="X2254" s="2" t="s">
        <v>609</v>
      </c>
      <c r="Y2254" s="2" t="s">
        <v>7880</v>
      </c>
      <c r="Z2254" s="4">
        <v>35</v>
      </c>
      <c r="AA2254" s="4">
        <f>=ROUNDDOWN(20.5882352941176,0)</f>
      </c>
      <c r="AB2254" s="5">
        <v>1.7</v>
      </c>
      <c r="AC2254" s="2" t="s">
        <v>875</v>
      </c>
      <c r="AD2254" s="4">
        <v>10</v>
      </c>
      <c r="AE2254" s="4">
        <v>90</v>
      </c>
      <c r="AF2254" s="6">
        <v>66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/>
      <c r="BJ2254" s="4"/>
      <c r="BK2254" s="8"/>
      <c r="BL2254" s="2" t="s">
        <v>100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2526</v>
      </c>
      <c r="BV2254" s="2" t="s">
        <v>97</v>
      </c>
      <c r="BW2254" s="2" t="s">
        <v>100</v>
      </c>
      <c r="BX2254" s="2" t="s">
        <v>100</v>
      </c>
      <c r="BY2254" s="2" t="s">
        <v>112</v>
      </c>
      <c r="BZ2254" s="2" t="s">
        <v>100</v>
      </c>
    </row>
    <row r="2255">
      <c r="A2255" s="2" t="s">
        <v>7941</v>
      </c>
      <c r="B2255" s="2" t="s">
        <v>6747</v>
      </c>
      <c r="C2255" s="2" t="s">
        <v>88</v>
      </c>
      <c r="D2255" s="2" t="s">
        <v>6949</v>
      </c>
      <c r="E2255" s="2" t="s">
        <v>6970</v>
      </c>
      <c r="F2255" s="2" t="s">
        <v>7942</v>
      </c>
      <c r="G2255" s="2" t="s">
        <v>7943</v>
      </c>
      <c r="H2255" s="2" t="s">
        <v>7944</v>
      </c>
      <c r="I2255" s="2" t="s">
        <v>7945</v>
      </c>
      <c r="J2255" s="2" t="s">
        <v>3385</v>
      </c>
      <c r="K2255" s="2" t="s">
        <v>179</v>
      </c>
      <c r="L2255" s="3">
        <v>190</v>
      </c>
      <c r="M2255" s="3">
        <v>199.5</v>
      </c>
      <c r="N2255" s="3">
        <v>399</v>
      </c>
      <c r="O2255" s="2" t="s">
        <v>97</v>
      </c>
      <c r="P2255" s="2" t="s">
        <v>98</v>
      </c>
      <c r="Q2255" s="2" t="s">
        <v>99</v>
      </c>
      <c r="R2255" s="2" t="s">
        <v>100</v>
      </c>
      <c r="S2255" s="2" t="s">
        <v>100</v>
      </c>
      <c r="T2255" s="2" t="s">
        <v>100</v>
      </c>
      <c r="U2255" s="2" t="s">
        <v>1776</v>
      </c>
      <c r="V2255" s="2" t="s">
        <v>461</v>
      </c>
      <c r="W2255" s="2" t="s">
        <v>142</v>
      </c>
      <c r="X2255" s="2" t="s">
        <v>100</v>
      </c>
      <c r="Y2255" s="2" t="s">
        <v>3855</v>
      </c>
      <c r="Z2255" s="4">
        <v>97</v>
      </c>
      <c r="AA2255" s="4">
        <f>=ROUNDDOWN(74.6153846153846,0)</f>
      </c>
      <c r="AB2255" s="5">
        <v>1.3</v>
      </c>
      <c r="AC2255" s="2" t="s">
        <v>1468</v>
      </c>
      <c r="AD2255" s="4">
        <v>100</v>
      </c>
      <c r="AE2255" s="4">
        <v>100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/>
      <c r="BJ2255" s="4">
        <v>8</v>
      </c>
      <c r="BK2255" s="8">
        <v>1144.08</v>
      </c>
      <c r="BL2255" s="2" t="s">
        <v>2230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2526</v>
      </c>
      <c r="BV2255" s="2" t="s">
        <v>97</v>
      </c>
      <c r="BW2255" s="2" t="s">
        <v>100</v>
      </c>
      <c r="BX2255" s="2" t="s">
        <v>100</v>
      </c>
      <c r="BY2255" s="2" t="s">
        <v>112</v>
      </c>
      <c r="BZ2255" s="2" t="s">
        <v>100</v>
      </c>
    </row>
    <row r="2256">
      <c r="A2256" s="2" t="s">
        <v>7946</v>
      </c>
      <c r="B2256" s="2" t="s">
        <v>6747</v>
      </c>
      <c r="C2256" s="2" t="s">
        <v>88</v>
      </c>
      <c r="D2256" s="2" t="s">
        <v>6949</v>
      </c>
      <c r="E2256" s="2" t="s">
        <v>6970</v>
      </c>
      <c r="F2256" s="2" t="s">
        <v>7942</v>
      </c>
      <c r="G2256" s="2" t="s">
        <v>7943</v>
      </c>
      <c r="H2256" s="2" t="s">
        <v>7944</v>
      </c>
      <c r="I2256" s="2" t="s">
        <v>7945</v>
      </c>
      <c r="J2256" s="2" t="s">
        <v>3385</v>
      </c>
      <c r="K2256" s="2" t="s">
        <v>1090</v>
      </c>
      <c r="L2256" s="3">
        <v>190</v>
      </c>
      <c r="M2256" s="3">
        <v>199.5</v>
      </c>
      <c r="N2256" s="3">
        <v>399</v>
      </c>
      <c r="O2256" s="2" t="s">
        <v>97</v>
      </c>
      <c r="P2256" s="2" t="s">
        <v>98</v>
      </c>
      <c r="Q2256" s="2" t="s">
        <v>99</v>
      </c>
      <c r="R2256" s="2" t="s">
        <v>100</v>
      </c>
      <c r="S2256" s="2" t="s">
        <v>100</v>
      </c>
      <c r="T2256" s="2" t="s">
        <v>100</v>
      </c>
      <c r="U2256" s="2" t="s">
        <v>1776</v>
      </c>
      <c r="V2256" s="2" t="s">
        <v>461</v>
      </c>
      <c r="W2256" s="2" t="s">
        <v>142</v>
      </c>
      <c r="X2256" s="2" t="s">
        <v>100</v>
      </c>
      <c r="Y2256" s="2" t="s">
        <v>5032</v>
      </c>
      <c r="Z2256" s="4">
        <v>230</v>
      </c>
      <c r="AA2256" s="4">
        <f>=ROUNDDOWN(42.5925925925926,0)</f>
      </c>
      <c r="AB2256" s="5">
        <v>5.4</v>
      </c>
      <c r="AC2256" s="2" t="s">
        <v>903</v>
      </c>
      <c r="AD2256" s="4">
        <v>74</v>
      </c>
      <c r="AE2256" s="4">
        <v>100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/>
      <c r="BJ2256" s="4">
        <v>24</v>
      </c>
      <c r="BK2256" s="8">
        <v>3576.3</v>
      </c>
      <c r="BL2256" s="2" t="s">
        <v>2765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2526</v>
      </c>
      <c r="BV2256" s="2" t="s">
        <v>97</v>
      </c>
      <c r="BW2256" s="2" t="s">
        <v>100</v>
      </c>
      <c r="BX2256" s="2" t="s">
        <v>100</v>
      </c>
      <c r="BY2256" s="2" t="s">
        <v>112</v>
      </c>
      <c r="BZ2256" s="2" t="s">
        <v>100</v>
      </c>
    </row>
    <row r="2257">
      <c r="A2257" s="2" t="s">
        <v>7947</v>
      </c>
      <c r="B2257" s="2" t="s">
        <v>6747</v>
      </c>
      <c r="C2257" s="2" t="s">
        <v>88</v>
      </c>
      <c r="D2257" s="2" t="s">
        <v>6949</v>
      </c>
      <c r="E2257" s="2" t="s">
        <v>6970</v>
      </c>
      <c r="F2257" s="2" t="s">
        <v>7942</v>
      </c>
      <c r="G2257" s="2" t="s">
        <v>7943</v>
      </c>
      <c r="H2257" s="2" t="s">
        <v>7944</v>
      </c>
      <c r="I2257" s="2" t="s">
        <v>7945</v>
      </c>
      <c r="J2257" s="2" t="s">
        <v>3385</v>
      </c>
      <c r="K2257" s="2" t="s">
        <v>96</v>
      </c>
      <c r="L2257" s="3">
        <v>190</v>
      </c>
      <c r="M2257" s="3">
        <v>199.5</v>
      </c>
      <c r="N2257" s="3">
        <v>399</v>
      </c>
      <c r="O2257" s="2" t="s">
        <v>97</v>
      </c>
      <c r="P2257" s="2" t="s">
        <v>707</v>
      </c>
      <c r="Q2257" s="2" t="s">
        <v>99</v>
      </c>
      <c r="R2257" s="2" t="s">
        <v>100</v>
      </c>
      <c r="S2257" s="2" t="s">
        <v>100</v>
      </c>
      <c r="T2257" s="2" t="s">
        <v>100</v>
      </c>
      <c r="U2257" s="2" t="s">
        <v>1776</v>
      </c>
      <c r="V2257" s="2" t="s">
        <v>461</v>
      </c>
      <c r="W2257" s="2" t="s">
        <v>142</v>
      </c>
      <c r="X2257" s="2" t="s">
        <v>100</v>
      </c>
      <c r="Y2257" s="2" t="s">
        <v>7948</v>
      </c>
      <c r="Z2257" s="4">
        <v>144</v>
      </c>
      <c r="AA2257" s="4">
        <f>=ROUNDDOWN(28.8,0)</f>
      </c>
      <c r="AB2257" s="5">
        <v>5</v>
      </c>
      <c r="AC2257" s="2" t="s">
        <v>1468</v>
      </c>
      <c r="AD2257" s="4">
        <v>100</v>
      </c>
      <c r="AE2257" s="4">
        <v>100</v>
      </c>
      <c r="AF2257" s="6">
        <v>65</v>
      </c>
      <c r="AG2257" s="6">
        <v>48</v>
      </c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/>
      <c r="AW2257" s="8"/>
      <c r="AX2257" s="4"/>
      <c r="AY2257" s="8"/>
      <c r="AZ2257" s="7"/>
      <c r="BA2257" s="7"/>
      <c r="BB2257" s="7"/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/>
      <c r="BJ2257" s="4">
        <v>22</v>
      </c>
      <c r="BK2257" s="8">
        <v>3714.6</v>
      </c>
      <c r="BL2257" s="2" t="s">
        <v>2742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2526</v>
      </c>
      <c r="BV2257" s="2" t="s">
        <v>97</v>
      </c>
      <c r="BW2257" s="2" t="s">
        <v>100</v>
      </c>
      <c r="BX2257" s="2" t="s">
        <v>100</v>
      </c>
      <c r="BY2257" s="2" t="s">
        <v>112</v>
      </c>
      <c r="BZ2257" s="2" t="s">
        <v>100</v>
      </c>
    </row>
    <row r="2258">
      <c r="A2258" s="2" t="s">
        <v>7949</v>
      </c>
      <c r="B2258" s="2" t="s">
        <v>6747</v>
      </c>
      <c r="C2258" s="2" t="s">
        <v>88</v>
      </c>
      <c r="D2258" s="2" t="s">
        <v>6949</v>
      </c>
      <c r="E2258" s="2" t="s">
        <v>6970</v>
      </c>
      <c r="F2258" s="2" t="s">
        <v>7766</v>
      </c>
      <c r="G2258" s="2" t="s">
        <v>7767</v>
      </c>
      <c r="H2258" s="2" t="s">
        <v>7768</v>
      </c>
      <c r="I2258" s="2" t="s">
        <v>7834</v>
      </c>
      <c r="J2258" s="2" t="s">
        <v>3385</v>
      </c>
      <c r="K2258" s="2" t="s">
        <v>179</v>
      </c>
      <c r="L2258" s="3">
        <v>162</v>
      </c>
      <c r="M2258" s="3">
        <v>170.1</v>
      </c>
      <c r="N2258" s="3">
        <v>349</v>
      </c>
      <c r="O2258" s="2" t="s">
        <v>97</v>
      </c>
      <c r="P2258" s="2" t="s">
        <v>98</v>
      </c>
      <c r="Q2258" s="2" t="s">
        <v>99</v>
      </c>
      <c r="R2258" s="2" t="s">
        <v>100</v>
      </c>
      <c r="S2258" s="2" t="s">
        <v>100</v>
      </c>
      <c r="T2258" s="2" t="s">
        <v>100</v>
      </c>
      <c r="U2258" s="2" t="s">
        <v>1776</v>
      </c>
      <c r="V2258" s="2" t="s">
        <v>3412</v>
      </c>
      <c r="W2258" s="2" t="s">
        <v>142</v>
      </c>
      <c r="X2258" s="2" t="s">
        <v>100</v>
      </c>
      <c r="Y2258" s="2" t="s">
        <v>6378</v>
      </c>
      <c r="Z2258" s="4">
        <v>421</v>
      </c>
      <c r="AA2258" s="4">
        <f>=ROUNDDOWN(35.0833333333333,0)</f>
      </c>
      <c r="AB2258" s="5">
        <v>12</v>
      </c>
      <c r="AC2258" s="2" t="s">
        <v>2709</v>
      </c>
      <c r="AD2258" s="4">
        <v>170</v>
      </c>
      <c r="AE2258" s="4">
        <v>360</v>
      </c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/>
      <c r="BJ2258" s="4">
        <v>38</v>
      </c>
      <c r="BK2258" s="8">
        <v>5687.69</v>
      </c>
      <c r="BL2258" s="2" t="s">
        <v>7950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2526</v>
      </c>
      <c r="BV2258" s="2" t="s">
        <v>97</v>
      </c>
      <c r="BW2258" s="2" t="s">
        <v>100</v>
      </c>
      <c r="BX2258" s="2" t="s">
        <v>100</v>
      </c>
      <c r="BY2258" s="2" t="s">
        <v>112</v>
      </c>
      <c r="BZ2258" s="2" t="s">
        <v>100</v>
      </c>
    </row>
    <row r="2259">
      <c r="A2259" s="2" t="s">
        <v>7951</v>
      </c>
      <c r="B2259" s="2" t="s">
        <v>6747</v>
      </c>
      <c r="C2259" s="2" t="s">
        <v>88</v>
      </c>
      <c r="D2259" s="2" t="s">
        <v>6949</v>
      </c>
      <c r="E2259" s="2" t="s">
        <v>6970</v>
      </c>
      <c r="F2259" s="2" t="s">
        <v>7766</v>
      </c>
      <c r="G2259" s="2" t="s">
        <v>7767</v>
      </c>
      <c r="H2259" s="2" t="s">
        <v>7768</v>
      </c>
      <c r="I2259" s="2" t="s">
        <v>7830</v>
      </c>
      <c r="J2259" s="2" t="s">
        <v>3385</v>
      </c>
      <c r="K2259" s="2" t="s">
        <v>96</v>
      </c>
      <c r="L2259" s="3">
        <v>162</v>
      </c>
      <c r="M2259" s="3">
        <v>170.1</v>
      </c>
      <c r="N2259" s="3">
        <v>349</v>
      </c>
      <c r="O2259" s="2" t="s">
        <v>97</v>
      </c>
      <c r="P2259" s="2" t="s">
        <v>139</v>
      </c>
      <c r="Q2259" s="2" t="s">
        <v>99</v>
      </c>
      <c r="R2259" s="2" t="s">
        <v>100</v>
      </c>
      <c r="S2259" s="2" t="s">
        <v>7952</v>
      </c>
      <c r="T2259" s="2" t="s">
        <v>100</v>
      </c>
      <c r="U2259" s="2" t="s">
        <v>1776</v>
      </c>
      <c r="V2259" s="2" t="s">
        <v>461</v>
      </c>
      <c r="W2259" s="2" t="s">
        <v>142</v>
      </c>
      <c r="X2259" s="2" t="s">
        <v>100</v>
      </c>
      <c r="Y2259" s="2" t="s">
        <v>6962</v>
      </c>
      <c r="Z2259" s="4">
        <v>113</v>
      </c>
      <c r="AA2259" s="4">
        <f>=ROUNDDOWN(26.9047619047619,0)</f>
      </c>
      <c r="AB2259" s="5">
        <v>4.2</v>
      </c>
      <c r="AC2259" s="2" t="s">
        <v>206</v>
      </c>
      <c r="AD2259" s="4">
        <v>23</v>
      </c>
      <c r="AE2259" s="4">
        <v>306</v>
      </c>
      <c r="AF2259" s="6">
        <v>65</v>
      </c>
      <c r="AG2259" s="6">
        <v>48</v>
      </c>
      <c r="AH2259" s="7">
        <v>1</v>
      </c>
      <c r="AI2259" s="4"/>
      <c r="AJ2259" s="4">
        <f>=ROUNDDOWN({0},0)</f>
      </c>
      <c r="AK2259" s="5"/>
      <c r="AL2259" s="2" t="s">
        <v>7679</v>
      </c>
      <c r="AM2259" s="4">
        <v>205</v>
      </c>
      <c r="AN2259" s="4">
        <v>355</v>
      </c>
      <c r="AO2259" s="7">
        <v>0</v>
      </c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/>
      <c r="BJ2259" s="4">
        <v>142</v>
      </c>
      <c r="BK2259" s="8">
        <v>20924.66</v>
      </c>
      <c r="BL2259" s="2" t="s">
        <v>7953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2526</v>
      </c>
      <c r="BV2259" s="2" t="s">
        <v>97</v>
      </c>
      <c r="BW2259" s="2" t="s">
        <v>100</v>
      </c>
      <c r="BX2259" s="2" t="s">
        <v>100</v>
      </c>
      <c r="BY2259" s="2" t="s">
        <v>112</v>
      </c>
      <c r="BZ2259" s="2" t="s">
        <v>100</v>
      </c>
    </row>
    <row r="2260">
      <c r="A2260" s="2" t="s">
        <v>7954</v>
      </c>
      <c r="B2260" s="2" t="s">
        <v>6747</v>
      </c>
      <c r="C2260" s="2" t="s">
        <v>88</v>
      </c>
      <c r="D2260" s="2" t="s">
        <v>6949</v>
      </c>
      <c r="E2260" s="2" t="s">
        <v>6970</v>
      </c>
      <c r="F2260" s="2" t="s">
        <v>7766</v>
      </c>
      <c r="G2260" s="2" t="s">
        <v>7767</v>
      </c>
      <c r="H2260" s="2" t="s">
        <v>7768</v>
      </c>
      <c r="I2260" s="2" t="s">
        <v>7834</v>
      </c>
      <c r="J2260" s="2" t="s">
        <v>3385</v>
      </c>
      <c r="K2260" s="2" t="s">
        <v>4816</v>
      </c>
      <c r="L2260" s="3">
        <v>162</v>
      </c>
      <c r="M2260" s="3">
        <v>170.1</v>
      </c>
      <c r="N2260" s="3">
        <v>349</v>
      </c>
      <c r="O2260" s="2" t="s">
        <v>97</v>
      </c>
      <c r="P2260" s="2" t="s">
        <v>98</v>
      </c>
      <c r="Q2260" s="2" t="s">
        <v>99</v>
      </c>
      <c r="R2260" s="2" t="s">
        <v>100</v>
      </c>
      <c r="S2260" s="2" t="s">
        <v>100</v>
      </c>
      <c r="T2260" s="2" t="s">
        <v>100</v>
      </c>
      <c r="U2260" s="2" t="s">
        <v>1776</v>
      </c>
      <c r="V2260" s="2" t="s">
        <v>3412</v>
      </c>
      <c r="W2260" s="2" t="s">
        <v>142</v>
      </c>
      <c r="X2260" s="2" t="s">
        <v>100</v>
      </c>
      <c r="Y2260" s="2" t="s">
        <v>6487</v>
      </c>
      <c r="Z2260" s="4">
        <v>169</v>
      </c>
      <c r="AA2260" s="4">
        <f>=ROUNDDOWN(28.1666666666667,0)</f>
      </c>
      <c r="AB2260" s="5">
        <v>6</v>
      </c>
      <c r="AC2260" s="2" t="s">
        <v>2772</v>
      </c>
      <c r="AD2260" s="4">
        <v>100</v>
      </c>
      <c r="AE2260" s="4">
        <v>100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/>
      <c r="BJ2260" s="4">
        <v>16</v>
      </c>
      <c r="BK2260" s="8">
        <v>2264.62</v>
      </c>
      <c r="BL2260" s="2" t="s">
        <v>2230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2526</v>
      </c>
      <c r="BV2260" s="2" t="s">
        <v>97</v>
      </c>
      <c r="BW2260" s="2" t="s">
        <v>100</v>
      </c>
      <c r="BX2260" s="2" t="s">
        <v>100</v>
      </c>
      <c r="BY2260" s="2" t="s">
        <v>112</v>
      </c>
      <c r="BZ2260" s="2" t="s">
        <v>100</v>
      </c>
    </row>
    <row r="2261">
      <c r="A2261" s="2" t="s">
        <v>7955</v>
      </c>
      <c r="B2261" s="2" t="s">
        <v>6747</v>
      </c>
      <c r="C2261" s="2" t="s">
        <v>88</v>
      </c>
      <c r="D2261" s="2" t="s">
        <v>6949</v>
      </c>
      <c r="E2261" s="2" t="s">
        <v>6970</v>
      </c>
      <c r="F2261" s="2" t="s">
        <v>7766</v>
      </c>
      <c r="G2261" s="2" t="s">
        <v>7767</v>
      </c>
      <c r="H2261" s="2" t="s">
        <v>7768</v>
      </c>
      <c r="I2261" s="2" t="s">
        <v>7834</v>
      </c>
      <c r="J2261" s="2" t="s">
        <v>3385</v>
      </c>
      <c r="K2261" s="2" t="s">
        <v>4743</v>
      </c>
      <c r="L2261" s="3">
        <v>162</v>
      </c>
      <c r="M2261" s="3">
        <v>170.1</v>
      </c>
      <c r="N2261" s="3">
        <v>349</v>
      </c>
      <c r="O2261" s="2" t="s">
        <v>97</v>
      </c>
      <c r="P2261" s="2" t="s">
        <v>139</v>
      </c>
      <c r="Q2261" s="2" t="s">
        <v>99</v>
      </c>
      <c r="R2261" s="2" t="s">
        <v>100</v>
      </c>
      <c r="S2261" s="2" t="s">
        <v>100</v>
      </c>
      <c r="T2261" s="2" t="s">
        <v>100</v>
      </c>
      <c r="U2261" s="2" t="s">
        <v>1776</v>
      </c>
      <c r="V2261" s="2" t="s">
        <v>461</v>
      </c>
      <c r="W2261" s="2" t="s">
        <v>142</v>
      </c>
      <c r="X2261" s="2" t="s">
        <v>100</v>
      </c>
      <c r="Y2261" s="2" t="s">
        <v>7835</v>
      </c>
      <c r="Z2261" s="4">
        <v>174</v>
      </c>
      <c r="AA2261" s="4">
        <f>=ROUNDDOWN(35.5102040816327,0)</f>
      </c>
      <c r="AB2261" s="5">
        <v>4.9</v>
      </c>
      <c r="AC2261" s="2" t="s">
        <v>206</v>
      </c>
      <c r="AD2261" s="4">
        <v>80</v>
      </c>
      <c r="AE2261" s="4">
        <v>420</v>
      </c>
      <c r="AF2261" s="6">
        <v>65</v>
      </c>
      <c r="AG2261" s="6">
        <v>48</v>
      </c>
      <c r="AH2261" s="7">
        <v>1</v>
      </c>
      <c r="AI2261" s="4"/>
      <c r="AJ2261" s="4">
        <f>=ROUNDDOWN({0},0)</f>
      </c>
      <c r="AK2261" s="5"/>
      <c r="AL2261" s="2" t="s">
        <v>7679</v>
      </c>
      <c r="AM2261" s="4">
        <v>205</v>
      </c>
      <c r="AN2261" s="4">
        <v>355</v>
      </c>
      <c r="AO2261" s="7">
        <v>0</v>
      </c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/>
      <c r="BJ2261" s="4">
        <v>182</v>
      </c>
      <c r="BK2261" s="8">
        <v>27974.74</v>
      </c>
      <c r="BL2261" s="2" t="s">
        <v>7956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2526</v>
      </c>
      <c r="BV2261" s="2" t="s">
        <v>97</v>
      </c>
      <c r="BW2261" s="2" t="s">
        <v>100</v>
      </c>
      <c r="BX2261" s="2" t="s">
        <v>100</v>
      </c>
      <c r="BY2261" s="2" t="s">
        <v>112</v>
      </c>
      <c r="BZ2261" s="2" t="s">
        <v>100</v>
      </c>
    </row>
    <row r="2262">
      <c r="A2262" s="2" t="s">
        <v>7957</v>
      </c>
      <c r="B2262" s="2" t="s">
        <v>6747</v>
      </c>
      <c r="C2262" s="2" t="s">
        <v>88</v>
      </c>
      <c r="D2262" s="2" t="s">
        <v>6949</v>
      </c>
      <c r="E2262" s="2" t="s">
        <v>6970</v>
      </c>
      <c r="F2262" s="2" t="s">
        <v>7958</v>
      </c>
      <c r="G2262" s="2" t="s">
        <v>7959</v>
      </c>
      <c r="H2262" s="2" t="s">
        <v>7960</v>
      </c>
      <c r="I2262" s="2" t="s">
        <v>6970</v>
      </c>
      <c r="J2262" s="2" t="s">
        <v>3385</v>
      </c>
      <c r="K2262" s="2" t="s">
        <v>1090</v>
      </c>
      <c r="L2262" s="3">
        <v>128.7</v>
      </c>
      <c r="M2262" s="3">
        <v>135.14</v>
      </c>
      <c r="N2262" s="3">
        <v>279</v>
      </c>
      <c r="O2262" s="2" t="s">
        <v>97</v>
      </c>
      <c r="P2262" s="2" t="s">
        <v>707</v>
      </c>
      <c r="Q2262" s="2" t="s">
        <v>99</v>
      </c>
      <c r="R2262" s="2" t="s">
        <v>100</v>
      </c>
      <c r="S2262" s="2" t="s">
        <v>7961</v>
      </c>
      <c r="T2262" s="2" t="s">
        <v>100</v>
      </c>
      <c r="U2262" s="2" t="s">
        <v>100</v>
      </c>
      <c r="V2262" s="2" t="s">
        <v>461</v>
      </c>
      <c r="W2262" s="2" t="s">
        <v>142</v>
      </c>
      <c r="X2262" s="2" t="s">
        <v>100</v>
      </c>
      <c r="Y2262" s="2" t="s">
        <v>7550</v>
      </c>
      <c r="Z2262" s="4">
        <v>129</v>
      </c>
      <c r="AA2262" s="4">
        <f>=ROUNDDOWN(21.5,0)</f>
      </c>
      <c r="AB2262" s="5">
        <v>6</v>
      </c>
      <c r="AC2262" s="2" t="s">
        <v>3200</v>
      </c>
      <c r="AD2262" s="4">
        <v>100</v>
      </c>
      <c r="AE2262" s="4">
        <v>100</v>
      </c>
      <c r="AF2262" s="6">
        <v>65</v>
      </c>
      <c r="AG2262" s="6">
        <v>48</v>
      </c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/>
      <c r="BD2262" s="8"/>
      <c r="BE2262" s="4"/>
      <c r="BF2262" s="8"/>
      <c r="BG2262" s="7"/>
      <c r="BH2262" s="7"/>
      <c r="BI2262" s="7"/>
      <c r="BJ2262" s="4">
        <v>13</v>
      </c>
      <c r="BK2262" s="8">
        <v>2170.95</v>
      </c>
      <c r="BL2262" s="2" t="s">
        <v>7962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2526</v>
      </c>
      <c r="BV2262" s="2" t="s">
        <v>97</v>
      </c>
      <c r="BW2262" s="2" t="s">
        <v>100</v>
      </c>
      <c r="BX2262" s="2" t="s">
        <v>100</v>
      </c>
      <c r="BY2262" s="2" t="s">
        <v>112</v>
      </c>
      <c r="BZ2262" s="2" t="s">
        <v>100</v>
      </c>
    </row>
    <row r="2263">
      <c r="A2263" s="2" t="s">
        <v>7963</v>
      </c>
      <c r="B2263" s="2" t="s">
        <v>6747</v>
      </c>
      <c r="C2263" s="2" t="s">
        <v>88</v>
      </c>
      <c r="D2263" s="2" t="s">
        <v>6949</v>
      </c>
      <c r="E2263" s="2" t="s">
        <v>6970</v>
      </c>
      <c r="F2263" s="2" t="s">
        <v>7964</v>
      </c>
      <c r="G2263" s="2" t="s">
        <v>7965</v>
      </c>
      <c r="H2263" s="2" t="s">
        <v>7966</v>
      </c>
      <c r="I2263" s="2" t="s">
        <v>7967</v>
      </c>
      <c r="J2263" s="2" t="s">
        <v>3385</v>
      </c>
      <c r="K2263" s="2" t="s">
        <v>523</v>
      </c>
      <c r="L2263" s="3">
        <v>171</v>
      </c>
      <c r="M2263" s="3">
        <v>179.55</v>
      </c>
      <c r="N2263" s="3">
        <v>359</v>
      </c>
      <c r="O2263" s="2" t="s">
        <v>97</v>
      </c>
      <c r="P2263" s="2" t="s">
        <v>707</v>
      </c>
      <c r="Q2263" s="2" t="s">
        <v>99</v>
      </c>
      <c r="R2263" s="2" t="s">
        <v>100</v>
      </c>
      <c r="S2263" s="2" t="s">
        <v>100</v>
      </c>
      <c r="T2263" s="2" t="s">
        <v>100</v>
      </c>
      <c r="U2263" s="2" t="s">
        <v>1776</v>
      </c>
      <c r="V2263" s="2" t="s">
        <v>461</v>
      </c>
      <c r="W2263" s="2" t="s">
        <v>142</v>
      </c>
      <c r="X2263" s="2" t="s">
        <v>594</v>
      </c>
      <c r="Y2263" s="2" t="s">
        <v>7968</v>
      </c>
      <c r="Z2263" s="4">
        <v>58</v>
      </c>
      <c r="AA2263" s="4">
        <f>=ROUNDDOWN(41.4285714285714,0)</f>
      </c>
      <c r="AB2263" s="5">
        <v>1.4</v>
      </c>
      <c r="AC2263" s="2" t="s">
        <v>1860</v>
      </c>
      <c r="AD2263" s="4">
        <v>98</v>
      </c>
      <c r="AE2263" s="4">
        <v>98</v>
      </c>
      <c r="AF2263" s="6">
        <v>66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/>
      <c r="AW2263" s="8"/>
      <c r="AX2263" s="4"/>
      <c r="AY2263" s="8"/>
      <c r="AZ2263" s="7"/>
      <c r="BA2263" s="7"/>
      <c r="BB2263" s="7"/>
      <c r="BC2263" s="4"/>
      <c r="BD2263" s="8"/>
      <c r="BE2263" s="4"/>
      <c r="BF2263" s="8"/>
      <c r="BG2263" s="7"/>
      <c r="BH2263" s="7"/>
      <c r="BI2263" s="7"/>
      <c r="BJ2263" s="4">
        <v>4</v>
      </c>
      <c r="BK2263" s="8">
        <v>764.88</v>
      </c>
      <c r="BL2263" s="2" t="s">
        <v>7969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2526</v>
      </c>
      <c r="BV2263" s="2" t="s">
        <v>97</v>
      </c>
      <c r="BW2263" s="2" t="s">
        <v>100</v>
      </c>
      <c r="BX2263" s="2" t="s">
        <v>100</v>
      </c>
      <c r="BY2263" s="2" t="s">
        <v>112</v>
      </c>
      <c r="BZ2263" s="2" t="s">
        <v>100</v>
      </c>
    </row>
    <row r="2264">
      <c r="A2264" s="2" t="s">
        <v>7970</v>
      </c>
      <c r="B2264" s="2" t="s">
        <v>6747</v>
      </c>
      <c r="C2264" s="2" t="s">
        <v>88</v>
      </c>
      <c r="D2264" s="2" t="s">
        <v>6949</v>
      </c>
      <c r="E2264" s="2" t="s">
        <v>6970</v>
      </c>
      <c r="F2264" s="2" t="s">
        <v>7971</v>
      </c>
      <c r="G2264" s="2" t="s">
        <v>7972</v>
      </c>
      <c r="H2264" s="2" t="s">
        <v>7973</v>
      </c>
      <c r="I2264" s="2" t="s">
        <v>6970</v>
      </c>
      <c r="J2264" s="2" t="s">
        <v>3385</v>
      </c>
      <c r="K2264" s="2" t="s">
        <v>446</v>
      </c>
      <c r="L2264" s="3">
        <v>220</v>
      </c>
      <c r="M2264" s="3">
        <v>231</v>
      </c>
      <c r="N2264" s="3">
        <v>459</v>
      </c>
      <c r="O2264" s="2" t="s">
        <v>97</v>
      </c>
      <c r="P2264" s="2" t="s">
        <v>98</v>
      </c>
      <c r="Q2264" s="2" t="s">
        <v>99</v>
      </c>
      <c r="R2264" s="2" t="s">
        <v>100</v>
      </c>
      <c r="S2264" s="2" t="s">
        <v>7974</v>
      </c>
      <c r="T2264" s="2" t="s">
        <v>100</v>
      </c>
      <c r="U2264" s="2" t="s">
        <v>100</v>
      </c>
      <c r="V2264" s="2" t="s">
        <v>461</v>
      </c>
      <c r="W2264" s="2" t="s">
        <v>594</v>
      </c>
      <c r="X2264" s="2" t="s">
        <v>142</v>
      </c>
      <c r="Y2264" s="2" t="s">
        <v>7616</v>
      </c>
      <c r="Z2264" s="4">
        <v>166</v>
      </c>
      <c r="AA2264" s="4">
        <f>=ROUNDDOWN(23.7142857142857,0)</f>
      </c>
      <c r="AB2264" s="5">
        <v>7</v>
      </c>
      <c r="AC2264" s="2" t="s">
        <v>2772</v>
      </c>
      <c r="AD2264" s="4">
        <v>100</v>
      </c>
      <c r="AE2264" s="4">
        <v>100</v>
      </c>
      <c r="AF2264" s="6">
        <v>65</v>
      </c>
      <c r="AG2264" s="6">
        <v>48</v>
      </c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/>
      <c r="BD2264" s="8"/>
      <c r="BE2264" s="4"/>
      <c r="BF2264" s="8"/>
      <c r="BG2264" s="7"/>
      <c r="BH2264" s="7"/>
      <c r="BI2264" s="7"/>
      <c r="BJ2264" s="4">
        <v>25</v>
      </c>
      <c r="BK2264" s="8">
        <v>5613.75</v>
      </c>
      <c r="BL2264" s="2" t="s">
        <v>7975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2526</v>
      </c>
      <c r="BV2264" s="2" t="s">
        <v>97</v>
      </c>
      <c r="BW2264" s="2" t="s">
        <v>100</v>
      </c>
      <c r="BX2264" s="2" t="s">
        <v>100</v>
      </c>
      <c r="BY2264" s="2" t="s">
        <v>112</v>
      </c>
      <c r="BZ2264" s="2" t="s">
        <v>100</v>
      </c>
    </row>
    <row r="2265">
      <c r="A2265" s="2" t="s">
        <v>7976</v>
      </c>
      <c r="B2265" s="2" t="s">
        <v>6747</v>
      </c>
      <c r="C2265" s="2" t="s">
        <v>88</v>
      </c>
      <c r="D2265" s="2" t="s">
        <v>7012</v>
      </c>
      <c r="E2265" s="2" t="s">
        <v>7013</v>
      </c>
      <c r="F2265" s="2" t="s">
        <v>7977</v>
      </c>
      <c r="G2265" s="2" t="s">
        <v>7978</v>
      </c>
      <c r="H2265" s="2" t="s">
        <v>7979</v>
      </c>
      <c r="I2265" s="2" t="s">
        <v>7980</v>
      </c>
      <c r="J2265" s="2" t="s">
        <v>3385</v>
      </c>
      <c r="K2265" s="2" t="s">
        <v>138</v>
      </c>
      <c r="L2265" s="3">
        <v>430</v>
      </c>
      <c r="M2265" s="3">
        <v>451.5</v>
      </c>
      <c r="N2265" s="3">
        <v>899</v>
      </c>
      <c r="O2265" s="2" t="s">
        <v>97</v>
      </c>
      <c r="P2265" s="2" t="s">
        <v>98</v>
      </c>
      <c r="Q2265" s="2" t="s">
        <v>99</v>
      </c>
      <c r="R2265" s="2" t="s">
        <v>100</v>
      </c>
      <c r="S2265" s="2" t="s">
        <v>100</v>
      </c>
      <c r="T2265" s="2" t="s">
        <v>100</v>
      </c>
      <c r="U2265" s="2" t="s">
        <v>1776</v>
      </c>
      <c r="V2265" s="2" t="s">
        <v>3412</v>
      </c>
      <c r="W2265" s="2" t="s">
        <v>142</v>
      </c>
      <c r="X2265" s="2" t="s">
        <v>1136</v>
      </c>
      <c r="Y2265" s="2" t="s">
        <v>7981</v>
      </c>
      <c r="Z2265" s="4">
        <v>89</v>
      </c>
      <c r="AA2265" s="4">
        <f>=ROUNDDOWN(25.4285714285714,0)</f>
      </c>
      <c r="AB2265" s="5">
        <v>3.5</v>
      </c>
      <c r="AC2265" s="2" t="s">
        <v>7982</v>
      </c>
      <c r="AD2265" s="4">
        <v>100</v>
      </c>
      <c r="AE2265" s="4">
        <v>100</v>
      </c>
      <c r="AF2265" s="6">
        <v>74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/>
      <c r="AW2265" s="8"/>
      <c r="AX2265" s="4"/>
      <c r="AY2265" s="8"/>
      <c r="AZ2265" s="7"/>
      <c r="BA2265" s="7"/>
      <c r="BB2265" s="7"/>
      <c r="BC2265" s="4"/>
      <c r="BD2265" s="8"/>
      <c r="BE2265" s="4"/>
      <c r="BF2265" s="8"/>
      <c r="BG2265" s="7"/>
      <c r="BH2265" s="7"/>
      <c r="BI2265" s="7"/>
      <c r="BJ2265" s="4">
        <v>14</v>
      </c>
      <c r="BK2265" s="8">
        <v>6733.15</v>
      </c>
      <c r="BL2265" s="2" t="s">
        <v>2807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2526</v>
      </c>
      <c r="BV2265" s="2" t="s">
        <v>97</v>
      </c>
      <c r="BW2265" s="2" t="s">
        <v>100</v>
      </c>
      <c r="BX2265" s="2" t="s">
        <v>100</v>
      </c>
      <c r="BY2265" s="2" t="s">
        <v>112</v>
      </c>
      <c r="BZ2265" s="2" t="s">
        <v>100</v>
      </c>
    </row>
    <row r="2266">
      <c r="A2266" s="2" t="s">
        <v>7983</v>
      </c>
      <c r="B2266" s="2" t="s">
        <v>6747</v>
      </c>
      <c r="C2266" s="2" t="s">
        <v>88</v>
      </c>
      <c r="D2266" s="2" t="s">
        <v>7984</v>
      </c>
      <c r="E2266" s="2" t="s">
        <v>7985</v>
      </c>
      <c r="F2266" s="2" t="s">
        <v>2154</v>
      </c>
      <c r="G2266" s="2" t="s">
        <v>7986</v>
      </c>
      <c r="H2266" s="2" t="s">
        <v>7987</v>
      </c>
      <c r="I2266" s="2" t="s">
        <v>7988</v>
      </c>
      <c r="J2266" s="2" t="s">
        <v>3385</v>
      </c>
      <c r="K2266" s="2" t="s">
        <v>7989</v>
      </c>
      <c r="L2266" s="3">
        <v>180</v>
      </c>
      <c r="M2266" s="3">
        <v>189</v>
      </c>
      <c r="N2266" s="3">
        <v>379</v>
      </c>
      <c r="O2266" s="2" t="s">
        <v>97</v>
      </c>
      <c r="P2266" s="2" t="s">
        <v>98</v>
      </c>
      <c r="Q2266" s="2" t="s">
        <v>99</v>
      </c>
      <c r="R2266" s="2" t="s">
        <v>100</v>
      </c>
      <c r="S2266" s="2" t="s">
        <v>100</v>
      </c>
      <c r="T2266" s="2" t="s">
        <v>100</v>
      </c>
      <c r="U2266" s="2" t="s">
        <v>1776</v>
      </c>
      <c r="V2266" s="2" t="s">
        <v>461</v>
      </c>
      <c r="W2266" s="2" t="s">
        <v>2835</v>
      </c>
      <c r="X2266" s="2" t="s">
        <v>493</v>
      </c>
      <c r="Y2266" s="2" t="s">
        <v>7990</v>
      </c>
      <c r="Z2266" s="4">
        <v>130</v>
      </c>
      <c r="AA2266" s="4">
        <f>=ROUNDDOWN(14.4444444444444,0)</f>
      </c>
      <c r="AB2266" s="5">
        <v>9</v>
      </c>
      <c r="AC2266" s="2" t="s">
        <v>2843</v>
      </c>
      <c r="AD2266" s="4">
        <v>180</v>
      </c>
      <c r="AE2266" s="4">
        <v>180</v>
      </c>
      <c r="AF2266" s="6">
        <v>74</v>
      </c>
      <c r="AG2266" s="6">
        <v>60</v>
      </c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/>
      <c r="BJ2266" s="4">
        <v>16</v>
      </c>
      <c r="BK2266" s="8">
        <v>3002.42</v>
      </c>
      <c r="BL2266" s="2" t="s">
        <v>2807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2526</v>
      </c>
      <c r="BV2266" s="2" t="s">
        <v>97</v>
      </c>
      <c r="BW2266" s="2" t="s">
        <v>100</v>
      </c>
      <c r="BX2266" s="2" t="s">
        <v>100</v>
      </c>
      <c r="BY2266" s="2" t="s">
        <v>112</v>
      </c>
      <c r="BZ2266" s="2" t="s">
        <v>100</v>
      </c>
    </row>
    <row r="2267">
      <c r="A2267" s="2" t="s">
        <v>7991</v>
      </c>
      <c r="B2267" s="2" t="s">
        <v>6747</v>
      </c>
      <c r="C2267" s="2" t="s">
        <v>88</v>
      </c>
      <c r="D2267" s="2" t="s">
        <v>7984</v>
      </c>
      <c r="E2267" s="2" t="s">
        <v>7985</v>
      </c>
      <c r="F2267" s="2" t="s">
        <v>2154</v>
      </c>
      <c r="G2267" s="2" t="s">
        <v>7986</v>
      </c>
      <c r="H2267" s="2" t="s">
        <v>7987</v>
      </c>
      <c r="I2267" s="2" t="s">
        <v>7988</v>
      </c>
      <c r="J2267" s="2" t="s">
        <v>3385</v>
      </c>
      <c r="K2267" s="2" t="s">
        <v>7992</v>
      </c>
      <c r="L2267" s="3">
        <v>180</v>
      </c>
      <c r="M2267" s="3">
        <v>189</v>
      </c>
      <c r="N2267" s="3">
        <v>379</v>
      </c>
      <c r="O2267" s="2" t="s">
        <v>97</v>
      </c>
      <c r="P2267" s="2" t="s">
        <v>98</v>
      </c>
      <c r="Q2267" s="2" t="s">
        <v>99</v>
      </c>
      <c r="R2267" s="2" t="s">
        <v>100</v>
      </c>
      <c r="S2267" s="2" t="s">
        <v>7993</v>
      </c>
      <c r="T2267" s="2" t="s">
        <v>100</v>
      </c>
      <c r="U2267" s="2" t="s">
        <v>100</v>
      </c>
      <c r="V2267" s="2" t="s">
        <v>461</v>
      </c>
      <c r="W2267" s="2" t="s">
        <v>2835</v>
      </c>
      <c r="X2267" s="2" t="s">
        <v>100</v>
      </c>
      <c r="Y2267" s="2" t="s">
        <v>144</v>
      </c>
      <c r="Z2267" s="4">
        <v>220</v>
      </c>
      <c r="AA2267" s="4">
        <f>=ROUNDDOWN(36.6666666666667,0)</f>
      </c>
      <c r="AB2267" s="5">
        <v>6</v>
      </c>
      <c r="AC2267" s="2" t="s">
        <v>100</v>
      </c>
      <c r="AD2267" s="4"/>
      <c r="AE2267" s="4"/>
      <c r="AF2267" s="6">
        <v>74</v>
      </c>
      <c r="AG2267" s="6">
        <v>60</v>
      </c>
      <c r="AH2267" s="7">
        <v>1</v>
      </c>
      <c r="AI2267" s="4"/>
      <c r="AJ2267" s="4">
        <f>=ROUNDDOWN({0},0)</f>
      </c>
      <c r="AK2267" s="5"/>
      <c r="AL2267" s="2" t="s">
        <v>312</v>
      </c>
      <c r="AM2267" s="4">
        <v>50</v>
      </c>
      <c r="AN2267" s="4">
        <v>50</v>
      </c>
      <c r="AO2267" s="7">
        <v>0</v>
      </c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/>
      <c r="BJ2267" s="4">
        <v>42</v>
      </c>
      <c r="BK2267" s="8">
        <v>7297.32</v>
      </c>
      <c r="BL2267" s="2" t="s">
        <v>7994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2526</v>
      </c>
      <c r="BV2267" s="2" t="s">
        <v>97</v>
      </c>
      <c r="BW2267" s="2" t="s">
        <v>100</v>
      </c>
      <c r="BX2267" s="2" t="s">
        <v>100</v>
      </c>
      <c r="BY2267" s="2" t="s">
        <v>112</v>
      </c>
      <c r="BZ2267" s="2" t="s">
        <v>100</v>
      </c>
    </row>
    <row r="2268">
      <c r="A2268" s="2" t="s">
        <v>7995</v>
      </c>
      <c r="B2268" s="2" t="s">
        <v>6747</v>
      </c>
      <c r="C2268" s="2" t="s">
        <v>88</v>
      </c>
      <c r="D2268" s="2" t="s">
        <v>7996</v>
      </c>
      <c r="E2268" s="2" t="s">
        <v>7997</v>
      </c>
      <c r="F2268" s="2" t="s">
        <v>770</v>
      </c>
      <c r="G2268" s="2" t="s">
        <v>7998</v>
      </c>
      <c r="H2268" s="2" t="s">
        <v>7999</v>
      </c>
      <c r="I2268" s="2" t="s">
        <v>8000</v>
      </c>
      <c r="J2268" s="2" t="s">
        <v>3385</v>
      </c>
      <c r="K2268" s="2" t="s">
        <v>1373</v>
      </c>
      <c r="L2268" s="3">
        <v>270</v>
      </c>
      <c r="M2268" s="3">
        <v>283.5</v>
      </c>
      <c r="N2268" s="3">
        <v>569</v>
      </c>
      <c r="O2268" s="2" t="s">
        <v>97</v>
      </c>
      <c r="P2268" s="2" t="s">
        <v>707</v>
      </c>
      <c r="Q2268" s="2" t="s">
        <v>99</v>
      </c>
      <c r="R2268" s="2" t="s">
        <v>100</v>
      </c>
      <c r="S2268" s="2" t="s">
        <v>8001</v>
      </c>
      <c r="T2268" s="2" t="s">
        <v>100</v>
      </c>
      <c r="U2268" s="2" t="s">
        <v>100</v>
      </c>
      <c r="V2268" s="2" t="s">
        <v>3412</v>
      </c>
      <c r="W2268" s="2" t="s">
        <v>142</v>
      </c>
      <c r="X2268" s="2" t="s">
        <v>100</v>
      </c>
      <c r="Y2268" s="2" t="s">
        <v>8002</v>
      </c>
      <c r="Z2268" s="4">
        <v>82</v>
      </c>
      <c r="AA2268" s="4">
        <f>=ROUNDDOWN(27.3333333333333,0)</f>
      </c>
      <c r="AB2268" s="5">
        <v>3</v>
      </c>
      <c r="AC2268" s="2" t="s">
        <v>3027</v>
      </c>
      <c r="AD2268" s="4">
        <v>100</v>
      </c>
      <c r="AE2268" s="4">
        <v>100</v>
      </c>
      <c r="AF2268" s="6">
        <v>66</v>
      </c>
      <c r="AG2268" s="6">
        <v>49</v>
      </c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/>
      <c r="BD2268" s="8"/>
      <c r="BE2268" s="4"/>
      <c r="BF2268" s="8"/>
      <c r="BG2268" s="7"/>
      <c r="BH2268" s="7"/>
      <c r="BI2268" s="7"/>
      <c r="BJ2268" s="4">
        <v>11</v>
      </c>
      <c r="BK2268" s="8">
        <v>3187.44</v>
      </c>
      <c r="BL2268" s="2" t="s">
        <v>8003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2551</v>
      </c>
      <c r="BV2268" s="2" t="s">
        <v>97</v>
      </c>
      <c r="BW2268" s="2" t="s">
        <v>100</v>
      </c>
      <c r="BX2268" s="2" t="s">
        <v>100</v>
      </c>
      <c r="BY2268" s="2" t="s">
        <v>112</v>
      </c>
      <c r="BZ2268" s="2" t="s">
        <v>100</v>
      </c>
    </row>
    <row r="2269">
      <c r="A2269" s="2" t="s">
        <v>8004</v>
      </c>
      <c r="B2269" s="2" t="s">
        <v>6747</v>
      </c>
      <c r="C2269" s="2" t="s">
        <v>88</v>
      </c>
      <c r="D2269" s="2" t="s">
        <v>8005</v>
      </c>
      <c r="E2269" s="2" t="s">
        <v>8006</v>
      </c>
      <c r="F2269" s="2" t="s">
        <v>2154</v>
      </c>
      <c r="G2269" s="2" t="s">
        <v>7986</v>
      </c>
      <c r="H2269" s="2" t="s">
        <v>7987</v>
      </c>
      <c r="I2269" s="2" t="s">
        <v>8006</v>
      </c>
      <c r="J2269" s="2" t="s">
        <v>3385</v>
      </c>
      <c r="K2269" s="2" t="s">
        <v>7992</v>
      </c>
      <c r="L2269" s="3">
        <v>166.32</v>
      </c>
      <c r="M2269" s="3">
        <v>174.64</v>
      </c>
      <c r="N2269" s="3">
        <v>349</v>
      </c>
      <c r="O2269" s="2" t="s">
        <v>97</v>
      </c>
      <c r="P2269" s="2" t="s">
        <v>98</v>
      </c>
      <c r="Q2269" s="2" t="s">
        <v>99</v>
      </c>
      <c r="R2269" s="2" t="s">
        <v>100</v>
      </c>
      <c r="S2269" s="2" t="s">
        <v>8007</v>
      </c>
      <c r="T2269" s="2" t="s">
        <v>100</v>
      </c>
      <c r="U2269" s="2" t="s">
        <v>100</v>
      </c>
      <c r="V2269" s="2" t="s">
        <v>461</v>
      </c>
      <c r="W2269" s="2" t="s">
        <v>2835</v>
      </c>
      <c r="X2269" s="2" t="s">
        <v>100</v>
      </c>
      <c r="Y2269" s="2" t="s">
        <v>144</v>
      </c>
      <c r="Z2269" s="4">
        <v>231</v>
      </c>
      <c r="AA2269" s="4">
        <f>=ROUNDDOWN(23.1,0)</f>
      </c>
      <c r="AB2269" s="5">
        <v>10</v>
      </c>
      <c r="AC2269" s="2" t="s">
        <v>3271</v>
      </c>
      <c r="AD2269" s="4">
        <v>100</v>
      </c>
      <c r="AE2269" s="4">
        <v>100</v>
      </c>
      <c r="AF2269" s="6">
        <v>74</v>
      </c>
      <c r="AG2269" s="6">
        <v>60</v>
      </c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/>
      <c r="AW2269" s="8"/>
      <c r="AX2269" s="4"/>
      <c r="AY2269" s="8"/>
      <c r="AZ2269" s="7"/>
      <c r="BA2269" s="7"/>
      <c r="BB2269" s="7"/>
      <c r="BC2269" s="4"/>
      <c r="BD2269" s="8"/>
      <c r="BE2269" s="4"/>
      <c r="BF2269" s="8"/>
      <c r="BG2269" s="7"/>
      <c r="BH2269" s="7"/>
      <c r="BI2269" s="7"/>
      <c r="BJ2269" s="4">
        <v>28</v>
      </c>
      <c r="BK2269" s="8">
        <v>4288.07</v>
      </c>
      <c r="BL2269" s="2" t="s">
        <v>8008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2526</v>
      </c>
      <c r="BV2269" s="2" t="s">
        <v>97</v>
      </c>
      <c r="BW2269" s="2" t="s">
        <v>100</v>
      </c>
      <c r="BX2269" s="2" t="s">
        <v>100</v>
      </c>
      <c r="BY2269" s="2" t="s">
        <v>112</v>
      </c>
      <c r="BZ2269" s="2" t="s">
        <v>100</v>
      </c>
    </row>
    <row r="2270">
      <c r="A2270" s="2" t="s">
        <v>8009</v>
      </c>
      <c r="B2270" s="2" t="s">
        <v>6747</v>
      </c>
      <c r="C2270" s="2" t="s">
        <v>88</v>
      </c>
      <c r="D2270" s="2" t="s">
        <v>7035</v>
      </c>
      <c r="E2270" s="2" t="s">
        <v>7036</v>
      </c>
      <c r="F2270" s="2" t="s">
        <v>8010</v>
      </c>
      <c r="G2270" s="2" t="s">
        <v>8011</v>
      </c>
      <c r="H2270" s="2" t="s">
        <v>8012</v>
      </c>
      <c r="I2270" s="2" t="s">
        <v>8013</v>
      </c>
      <c r="J2270" s="2" t="s">
        <v>3385</v>
      </c>
      <c r="K2270" s="2" t="s">
        <v>523</v>
      </c>
      <c r="L2270" s="3">
        <v>285.2</v>
      </c>
      <c r="M2270" s="3">
        <v>299.46</v>
      </c>
      <c r="N2270" s="3">
        <v>599</v>
      </c>
      <c r="O2270" s="2" t="s">
        <v>97</v>
      </c>
      <c r="P2270" s="2" t="s">
        <v>98</v>
      </c>
      <c r="Q2270" s="2" t="s">
        <v>99</v>
      </c>
      <c r="R2270" s="2" t="s">
        <v>100</v>
      </c>
      <c r="S2270" s="2" t="s">
        <v>100</v>
      </c>
      <c r="T2270" s="2" t="s">
        <v>100</v>
      </c>
      <c r="U2270" s="2" t="s">
        <v>894</v>
      </c>
      <c r="V2270" s="2" t="s">
        <v>3412</v>
      </c>
      <c r="W2270" s="2" t="s">
        <v>142</v>
      </c>
      <c r="X2270" s="2" t="s">
        <v>100</v>
      </c>
      <c r="Y2270" s="2" t="s">
        <v>7870</v>
      </c>
      <c r="Z2270" s="4">
        <v>125</v>
      </c>
      <c r="AA2270" s="4">
        <f>=ROUNDDOWN(17.8571428571429,0)</f>
      </c>
      <c r="AB2270" s="5">
        <v>7</v>
      </c>
      <c r="AC2270" s="2" t="s">
        <v>2363</v>
      </c>
      <c r="AD2270" s="4">
        <v>34</v>
      </c>
      <c r="AE2270" s="4">
        <v>144</v>
      </c>
      <c r="AF2270" s="6">
        <v>65</v>
      </c>
      <c r="AG2270" s="6">
        <v>48</v>
      </c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/>
      <c r="BD2270" s="8"/>
      <c r="BE2270" s="4"/>
      <c r="BF2270" s="8"/>
      <c r="BG2270" s="7"/>
      <c r="BH2270" s="7"/>
      <c r="BI2270" s="7"/>
      <c r="BJ2270" s="4">
        <v>26</v>
      </c>
      <c r="BK2270" s="8">
        <v>7191.32</v>
      </c>
      <c r="BL2270" s="2" t="s">
        <v>8014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2526</v>
      </c>
      <c r="BV2270" s="2" t="s">
        <v>97</v>
      </c>
      <c r="BW2270" s="2" t="s">
        <v>100</v>
      </c>
      <c r="BX2270" s="2" t="s">
        <v>100</v>
      </c>
      <c r="BY2270" s="2" t="s">
        <v>112</v>
      </c>
      <c r="BZ2270" s="2" t="s">
        <v>100</v>
      </c>
    </row>
    <row r="2271">
      <c r="A2271" s="2" t="s">
        <v>8015</v>
      </c>
      <c r="B2271" s="2" t="s">
        <v>6747</v>
      </c>
      <c r="C2271" s="2" t="s">
        <v>88</v>
      </c>
      <c r="D2271" s="2" t="s">
        <v>7035</v>
      </c>
      <c r="E2271" s="2" t="s">
        <v>7036</v>
      </c>
      <c r="F2271" s="2" t="s">
        <v>8016</v>
      </c>
      <c r="G2271" s="2" t="s">
        <v>8017</v>
      </c>
      <c r="H2271" s="2" t="s">
        <v>8018</v>
      </c>
      <c r="I2271" s="2" t="s">
        <v>8019</v>
      </c>
      <c r="J2271" s="2" t="s">
        <v>3385</v>
      </c>
      <c r="K2271" s="2" t="s">
        <v>179</v>
      </c>
      <c r="L2271" s="3">
        <v>125.4</v>
      </c>
      <c r="M2271" s="3">
        <v>131.67</v>
      </c>
      <c r="N2271" s="3">
        <v>259</v>
      </c>
      <c r="O2271" s="2" t="s">
        <v>97</v>
      </c>
      <c r="P2271" s="2" t="s">
        <v>98</v>
      </c>
      <c r="Q2271" s="2" t="s">
        <v>99</v>
      </c>
      <c r="R2271" s="2" t="s">
        <v>100</v>
      </c>
      <c r="S2271" s="2" t="s">
        <v>8020</v>
      </c>
      <c r="T2271" s="2" t="s">
        <v>100</v>
      </c>
      <c r="U2271" s="2" t="s">
        <v>100</v>
      </c>
      <c r="V2271" s="2" t="s">
        <v>461</v>
      </c>
      <c r="W2271" s="2" t="s">
        <v>493</v>
      </c>
      <c r="X2271" s="2" t="s">
        <v>100</v>
      </c>
      <c r="Y2271" s="2" t="s">
        <v>144</v>
      </c>
      <c r="Z2271" s="4">
        <v>127</v>
      </c>
      <c r="AA2271" s="4">
        <f>=ROUNDDOWN(20.4838709677419,0)</f>
      </c>
      <c r="AB2271" s="5">
        <v>6.2</v>
      </c>
      <c r="AC2271" s="2" t="s">
        <v>824</v>
      </c>
      <c r="AD2271" s="4">
        <v>30</v>
      </c>
      <c r="AE2271" s="4">
        <v>100</v>
      </c>
      <c r="AF2271" s="6">
        <v>66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/>
      <c r="BJ2271" s="4">
        <v>46</v>
      </c>
      <c r="BK2271" s="8">
        <v>5109.74</v>
      </c>
      <c r="BL2271" s="2" t="s">
        <v>8021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2526</v>
      </c>
      <c r="BV2271" s="2" t="s">
        <v>97</v>
      </c>
      <c r="BW2271" s="2" t="s">
        <v>100</v>
      </c>
      <c r="BX2271" s="2" t="s">
        <v>100</v>
      </c>
      <c r="BY2271" s="2" t="s">
        <v>112</v>
      </c>
      <c r="BZ2271" s="2" t="s">
        <v>100</v>
      </c>
    </row>
    <row r="2272">
      <c r="A2272" s="2" t="s">
        <v>8022</v>
      </c>
      <c r="B2272" s="2" t="s">
        <v>6747</v>
      </c>
      <c r="C2272" s="2" t="s">
        <v>88</v>
      </c>
      <c r="D2272" s="2" t="s">
        <v>7035</v>
      </c>
      <c r="E2272" s="2" t="s">
        <v>7036</v>
      </c>
      <c r="F2272" s="2" t="s">
        <v>8016</v>
      </c>
      <c r="G2272" s="2" t="s">
        <v>8017</v>
      </c>
      <c r="H2272" s="2" t="s">
        <v>8018</v>
      </c>
      <c r="I2272" s="2" t="s">
        <v>8019</v>
      </c>
      <c r="J2272" s="2" t="s">
        <v>3385</v>
      </c>
      <c r="K2272" s="2" t="s">
        <v>4362</v>
      </c>
      <c r="L2272" s="3">
        <v>125.4</v>
      </c>
      <c r="M2272" s="3">
        <v>131.67</v>
      </c>
      <c r="N2272" s="3">
        <v>259</v>
      </c>
      <c r="O2272" s="2" t="s">
        <v>97</v>
      </c>
      <c r="P2272" s="2" t="s">
        <v>98</v>
      </c>
      <c r="Q2272" s="2" t="s">
        <v>99</v>
      </c>
      <c r="R2272" s="2" t="s">
        <v>100</v>
      </c>
      <c r="S2272" s="2" t="s">
        <v>8023</v>
      </c>
      <c r="T2272" s="2" t="s">
        <v>100</v>
      </c>
      <c r="U2272" s="2" t="s">
        <v>100</v>
      </c>
      <c r="V2272" s="2" t="s">
        <v>461</v>
      </c>
      <c r="W2272" s="2" t="s">
        <v>493</v>
      </c>
      <c r="X2272" s="2" t="s">
        <v>100</v>
      </c>
      <c r="Y2272" s="2" t="s">
        <v>144</v>
      </c>
      <c r="Z2272" s="4">
        <v>93</v>
      </c>
      <c r="AA2272" s="4">
        <f>=ROUNDDOWN(15.5,0)</f>
      </c>
      <c r="AB2272" s="5">
        <v>6</v>
      </c>
      <c r="AC2272" s="2" t="s">
        <v>2604</v>
      </c>
      <c r="AD2272" s="4">
        <v>80</v>
      </c>
      <c r="AE2272" s="4">
        <v>200</v>
      </c>
      <c r="AF2272" s="6">
        <v>66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/>
      <c r="BJ2272" s="4">
        <v>37</v>
      </c>
      <c r="BK2272" s="8">
        <v>4230.24</v>
      </c>
      <c r="BL2272" s="2" t="s">
        <v>8024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2526</v>
      </c>
      <c r="BV2272" s="2" t="s">
        <v>97</v>
      </c>
      <c r="BW2272" s="2" t="s">
        <v>100</v>
      </c>
      <c r="BX2272" s="2" t="s">
        <v>100</v>
      </c>
      <c r="BY2272" s="2" t="s">
        <v>112</v>
      </c>
      <c r="BZ2272" s="2" t="s">
        <v>100</v>
      </c>
    </row>
    <row r="2273">
      <c r="A2273" s="2" t="s">
        <v>8025</v>
      </c>
      <c r="B2273" s="2" t="s">
        <v>6747</v>
      </c>
      <c r="C2273" s="2" t="s">
        <v>88</v>
      </c>
      <c r="D2273" s="2" t="s">
        <v>7035</v>
      </c>
      <c r="E2273" s="2" t="s">
        <v>7036</v>
      </c>
      <c r="F2273" s="2" t="s">
        <v>8016</v>
      </c>
      <c r="G2273" s="2" t="s">
        <v>8017</v>
      </c>
      <c r="H2273" s="2" t="s">
        <v>8018</v>
      </c>
      <c r="I2273" s="2" t="s">
        <v>8019</v>
      </c>
      <c r="J2273" s="2" t="s">
        <v>3385</v>
      </c>
      <c r="K2273" s="2" t="s">
        <v>446</v>
      </c>
      <c r="L2273" s="3">
        <v>125.4</v>
      </c>
      <c r="M2273" s="3">
        <v>131.67</v>
      </c>
      <c r="N2273" s="3">
        <v>259</v>
      </c>
      <c r="O2273" s="2" t="s">
        <v>97</v>
      </c>
      <c r="P2273" s="2" t="s">
        <v>98</v>
      </c>
      <c r="Q2273" s="2" t="s">
        <v>99</v>
      </c>
      <c r="R2273" s="2" t="s">
        <v>100</v>
      </c>
      <c r="S2273" s="2" t="s">
        <v>8026</v>
      </c>
      <c r="T2273" s="2" t="s">
        <v>100</v>
      </c>
      <c r="U2273" s="2" t="s">
        <v>100</v>
      </c>
      <c r="V2273" s="2" t="s">
        <v>461</v>
      </c>
      <c r="W2273" s="2" t="s">
        <v>493</v>
      </c>
      <c r="X2273" s="2" t="s">
        <v>100</v>
      </c>
      <c r="Y2273" s="2" t="s">
        <v>144</v>
      </c>
      <c r="Z2273" s="4">
        <v>203</v>
      </c>
      <c r="AA2273" s="4">
        <f>=ROUNDDOWN(20.3,0)</f>
      </c>
      <c r="AB2273" s="5">
        <v>10</v>
      </c>
      <c r="AC2273" s="2" t="s">
        <v>2604</v>
      </c>
      <c r="AD2273" s="4">
        <v>100</v>
      </c>
      <c r="AE2273" s="4">
        <v>300</v>
      </c>
      <c r="AF2273" s="6">
        <v>66</v>
      </c>
      <c r="AG2273" s="6">
        <v>49</v>
      </c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/>
      <c r="BJ2273" s="4">
        <v>41</v>
      </c>
      <c r="BK2273" s="8">
        <v>4454.54</v>
      </c>
      <c r="BL2273" s="2" t="s">
        <v>8027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2526</v>
      </c>
      <c r="BV2273" s="2" t="s">
        <v>97</v>
      </c>
      <c r="BW2273" s="2" t="s">
        <v>100</v>
      </c>
      <c r="BX2273" s="2" t="s">
        <v>100</v>
      </c>
      <c r="BY2273" s="2" t="s">
        <v>112</v>
      </c>
      <c r="BZ2273" s="2" t="s">
        <v>100</v>
      </c>
    </row>
    <row r="2274">
      <c r="A2274" s="2" t="s">
        <v>8028</v>
      </c>
      <c r="B2274" s="2" t="s">
        <v>6747</v>
      </c>
      <c r="C2274" s="2" t="s">
        <v>88</v>
      </c>
      <c r="D2274" s="2" t="s">
        <v>7035</v>
      </c>
      <c r="E2274" s="2" t="s">
        <v>7036</v>
      </c>
      <c r="F2274" s="2" t="s">
        <v>8029</v>
      </c>
      <c r="G2274" s="2" t="s">
        <v>8030</v>
      </c>
      <c r="H2274" s="2" t="s">
        <v>6361</v>
      </c>
      <c r="I2274" s="2" t="s">
        <v>8031</v>
      </c>
      <c r="J2274" s="2" t="s">
        <v>3385</v>
      </c>
      <c r="K2274" s="2" t="s">
        <v>446</v>
      </c>
      <c r="L2274" s="3">
        <v>242.25</v>
      </c>
      <c r="M2274" s="3">
        <v>254.36</v>
      </c>
      <c r="N2274" s="3">
        <v>509</v>
      </c>
      <c r="O2274" s="2" t="s">
        <v>97</v>
      </c>
      <c r="P2274" s="2" t="s">
        <v>98</v>
      </c>
      <c r="Q2274" s="2" t="s">
        <v>99</v>
      </c>
      <c r="R2274" s="2" t="s">
        <v>100</v>
      </c>
      <c r="S2274" s="2" t="s">
        <v>8032</v>
      </c>
      <c r="T2274" s="2" t="s">
        <v>100</v>
      </c>
      <c r="U2274" s="2" t="s">
        <v>100</v>
      </c>
      <c r="V2274" s="2" t="s">
        <v>461</v>
      </c>
      <c r="W2274" s="2" t="s">
        <v>142</v>
      </c>
      <c r="X2274" s="2" t="s">
        <v>100</v>
      </c>
      <c r="Y2274" s="2" t="s">
        <v>110</v>
      </c>
      <c r="Z2274" s="4">
        <v>162</v>
      </c>
      <c r="AA2274" s="4">
        <f>=ROUNDDOWN(27,0)</f>
      </c>
      <c r="AB2274" s="5">
        <v>6</v>
      </c>
      <c r="AC2274" s="2" t="s">
        <v>100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/>
      <c r="BD2274" s="8"/>
      <c r="BE2274" s="4"/>
      <c r="BF2274" s="8"/>
      <c r="BG2274" s="7"/>
      <c r="BH2274" s="7"/>
      <c r="BI2274" s="7"/>
      <c r="BJ2274" s="4">
        <v>23</v>
      </c>
      <c r="BK2274" s="8">
        <v>5014.66</v>
      </c>
      <c r="BL2274" s="2" t="s">
        <v>8033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2526</v>
      </c>
      <c r="BV2274" s="2" t="s">
        <v>97</v>
      </c>
      <c r="BW2274" s="2" t="s">
        <v>100</v>
      </c>
      <c r="BX2274" s="2" t="s">
        <v>100</v>
      </c>
      <c r="BY2274" s="2" t="s">
        <v>112</v>
      </c>
      <c r="BZ2274" s="2" t="s">
        <v>100</v>
      </c>
    </row>
    <row r="2275">
      <c r="A2275" s="2" t="s">
        <v>8034</v>
      </c>
      <c r="B2275" s="2" t="s">
        <v>6747</v>
      </c>
      <c r="C2275" s="2" t="s">
        <v>88</v>
      </c>
      <c r="D2275" s="2" t="s">
        <v>7035</v>
      </c>
      <c r="E2275" s="2" t="s">
        <v>7036</v>
      </c>
      <c r="F2275" s="2" t="s">
        <v>7807</v>
      </c>
      <c r="G2275" s="2" t="s">
        <v>7808</v>
      </c>
      <c r="H2275" s="2" t="s">
        <v>7466</v>
      </c>
      <c r="I2275" s="2" t="s">
        <v>8035</v>
      </c>
      <c r="J2275" s="2" t="s">
        <v>3385</v>
      </c>
      <c r="K2275" s="2" t="s">
        <v>1090</v>
      </c>
      <c r="L2275" s="3">
        <v>171</v>
      </c>
      <c r="M2275" s="3">
        <v>179.55</v>
      </c>
      <c r="N2275" s="3">
        <v>359</v>
      </c>
      <c r="O2275" s="2" t="s">
        <v>97</v>
      </c>
      <c r="P2275" s="2" t="s">
        <v>98</v>
      </c>
      <c r="Q2275" s="2" t="s">
        <v>99</v>
      </c>
      <c r="R2275" s="2" t="s">
        <v>100</v>
      </c>
      <c r="S2275" s="2" t="s">
        <v>8036</v>
      </c>
      <c r="T2275" s="2" t="s">
        <v>100</v>
      </c>
      <c r="U2275" s="2" t="s">
        <v>100</v>
      </c>
      <c r="V2275" s="2" t="s">
        <v>461</v>
      </c>
      <c r="W2275" s="2" t="s">
        <v>493</v>
      </c>
      <c r="X2275" s="2" t="s">
        <v>100</v>
      </c>
      <c r="Y2275" s="2" t="s">
        <v>144</v>
      </c>
      <c r="Z2275" s="4">
        <v>107</v>
      </c>
      <c r="AA2275" s="4">
        <f>=ROUNDDOWN(15.2857142857143,0)</f>
      </c>
      <c r="AB2275" s="5">
        <v>7</v>
      </c>
      <c r="AC2275" s="2" t="s">
        <v>2581</v>
      </c>
      <c r="AD2275" s="4">
        <v>130</v>
      </c>
      <c r="AE2275" s="4">
        <v>230</v>
      </c>
      <c r="AF2275" s="6">
        <v>74</v>
      </c>
      <c r="AG2275" s="6"/>
      <c r="AH2275" s="7">
        <v>0.9677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/>
      <c r="BD2275" s="8"/>
      <c r="BE2275" s="4"/>
      <c r="BF2275" s="8"/>
      <c r="BG2275" s="7"/>
      <c r="BH2275" s="7"/>
      <c r="BI2275" s="7"/>
      <c r="BJ2275" s="4">
        <v>8</v>
      </c>
      <c r="BK2275" s="8">
        <v>1390.23</v>
      </c>
      <c r="BL2275" s="2" t="s">
        <v>2807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2526</v>
      </c>
      <c r="BV2275" s="2" t="s">
        <v>97</v>
      </c>
      <c r="BW2275" s="2" t="s">
        <v>100</v>
      </c>
      <c r="BX2275" s="2" t="s">
        <v>100</v>
      </c>
      <c r="BY2275" s="2" t="s">
        <v>112</v>
      </c>
      <c r="BZ2275" s="2" t="s">
        <v>100</v>
      </c>
    </row>
    <row r="2276">
      <c r="A2276" s="2" t="s">
        <v>8037</v>
      </c>
      <c r="B2276" s="2" t="s">
        <v>6747</v>
      </c>
      <c r="C2276" s="2" t="s">
        <v>88</v>
      </c>
      <c r="D2276" s="2" t="s">
        <v>7035</v>
      </c>
      <c r="E2276" s="2" t="s">
        <v>7036</v>
      </c>
      <c r="F2276" s="2" t="s">
        <v>7816</v>
      </c>
      <c r="G2276" s="2" t="s">
        <v>7817</v>
      </c>
      <c r="H2276" s="2" t="s">
        <v>7818</v>
      </c>
      <c r="I2276" s="2" t="s">
        <v>8031</v>
      </c>
      <c r="J2276" s="2" t="s">
        <v>3385</v>
      </c>
      <c r="K2276" s="2" t="s">
        <v>1090</v>
      </c>
      <c r="L2276" s="3">
        <v>284.75</v>
      </c>
      <c r="M2276" s="3">
        <v>298.99</v>
      </c>
      <c r="N2276" s="3">
        <v>599</v>
      </c>
      <c r="O2276" s="2" t="s">
        <v>97</v>
      </c>
      <c r="P2276" s="2" t="s">
        <v>139</v>
      </c>
      <c r="Q2276" s="2" t="s">
        <v>99</v>
      </c>
      <c r="R2276" s="2" t="s">
        <v>100</v>
      </c>
      <c r="S2276" s="2" t="s">
        <v>100</v>
      </c>
      <c r="T2276" s="2" t="s">
        <v>100</v>
      </c>
      <c r="U2276" s="2" t="s">
        <v>894</v>
      </c>
      <c r="V2276" s="2" t="s">
        <v>461</v>
      </c>
      <c r="W2276" s="2" t="s">
        <v>493</v>
      </c>
      <c r="X2276" s="2" t="s">
        <v>100</v>
      </c>
      <c r="Y2276" s="2" t="s">
        <v>5688</v>
      </c>
      <c r="Z2276" s="4">
        <v>419</v>
      </c>
      <c r="AA2276" s="4">
        <f>=ROUNDDOWN(17.4583333333333,0)</f>
      </c>
      <c r="AB2276" s="5">
        <v>24</v>
      </c>
      <c r="AC2276" s="2" t="s">
        <v>2604</v>
      </c>
      <c r="AD2276" s="4">
        <v>155</v>
      </c>
      <c r="AE2276" s="4">
        <v>703</v>
      </c>
      <c r="AF2276" s="6">
        <v>66</v>
      </c>
      <c r="AG2276" s="6">
        <v>49</v>
      </c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/>
      <c r="AW2276" s="8"/>
      <c r="AX2276" s="4"/>
      <c r="AY2276" s="8"/>
      <c r="AZ2276" s="7"/>
      <c r="BA2276" s="7"/>
      <c r="BB2276" s="7"/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/>
      <c r="BJ2276" s="4">
        <v>79</v>
      </c>
      <c r="BK2276" s="8">
        <v>25005.15</v>
      </c>
      <c r="BL2276" s="2" t="s">
        <v>7053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2526</v>
      </c>
      <c r="BV2276" s="2" t="s">
        <v>97</v>
      </c>
      <c r="BW2276" s="2" t="s">
        <v>100</v>
      </c>
      <c r="BX2276" s="2" t="s">
        <v>100</v>
      </c>
      <c r="BY2276" s="2" t="s">
        <v>112</v>
      </c>
      <c r="BZ2276" s="2" t="s">
        <v>100</v>
      </c>
    </row>
    <row r="2277">
      <c r="A2277" s="2" t="s">
        <v>8038</v>
      </c>
      <c r="B2277" s="2" t="s">
        <v>6747</v>
      </c>
      <c r="C2277" s="2" t="s">
        <v>88</v>
      </c>
      <c r="D2277" s="2" t="s">
        <v>7035</v>
      </c>
      <c r="E2277" s="2" t="s">
        <v>7036</v>
      </c>
      <c r="F2277" s="2" t="s">
        <v>7816</v>
      </c>
      <c r="G2277" s="2" t="s">
        <v>7817</v>
      </c>
      <c r="H2277" s="2" t="s">
        <v>7818</v>
      </c>
      <c r="I2277" s="2" t="s">
        <v>8031</v>
      </c>
      <c r="J2277" s="2" t="s">
        <v>3385</v>
      </c>
      <c r="K2277" s="2" t="s">
        <v>96</v>
      </c>
      <c r="L2277" s="3">
        <v>284.75</v>
      </c>
      <c r="M2277" s="3">
        <v>298.99</v>
      </c>
      <c r="N2277" s="3">
        <v>599</v>
      </c>
      <c r="O2277" s="2" t="s">
        <v>97</v>
      </c>
      <c r="P2277" s="2" t="s">
        <v>98</v>
      </c>
      <c r="Q2277" s="2" t="s">
        <v>99</v>
      </c>
      <c r="R2277" s="2" t="s">
        <v>100</v>
      </c>
      <c r="S2277" s="2" t="s">
        <v>100</v>
      </c>
      <c r="T2277" s="2" t="s">
        <v>100</v>
      </c>
      <c r="U2277" s="2" t="s">
        <v>894</v>
      </c>
      <c r="V2277" s="2" t="s">
        <v>3412</v>
      </c>
      <c r="W2277" s="2" t="s">
        <v>493</v>
      </c>
      <c r="X2277" s="2" t="s">
        <v>100</v>
      </c>
      <c r="Y2277" s="2" t="s">
        <v>4967</v>
      </c>
      <c r="Z2277" s="4">
        <v>72</v>
      </c>
      <c r="AA2277" s="4">
        <f>=ROUNDDOWN(7.2,0)</f>
      </c>
      <c r="AB2277" s="5">
        <v>10</v>
      </c>
      <c r="AC2277" s="2" t="s">
        <v>2604</v>
      </c>
      <c r="AD2277" s="4">
        <v>50</v>
      </c>
      <c r="AE2277" s="4">
        <v>250</v>
      </c>
      <c r="AF2277" s="6">
        <v>66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/>
      <c r="BJ2277" s="4">
        <v>35</v>
      </c>
      <c r="BK2277" s="8">
        <v>10333.75</v>
      </c>
      <c r="BL2277" s="2" t="s">
        <v>6909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2526</v>
      </c>
      <c r="BV2277" s="2" t="s">
        <v>97</v>
      </c>
      <c r="BW2277" s="2" t="s">
        <v>100</v>
      </c>
      <c r="BX2277" s="2" t="s">
        <v>100</v>
      </c>
      <c r="BY2277" s="2" t="s">
        <v>112</v>
      </c>
      <c r="BZ2277" s="2" t="s">
        <v>100</v>
      </c>
    </row>
    <row r="2278">
      <c r="A2278" s="2" t="s">
        <v>8039</v>
      </c>
      <c r="B2278" s="2" t="s">
        <v>6747</v>
      </c>
      <c r="C2278" s="2" t="s">
        <v>88</v>
      </c>
      <c r="D2278" s="2" t="s">
        <v>7035</v>
      </c>
      <c r="E2278" s="2" t="s">
        <v>7036</v>
      </c>
      <c r="F2278" s="2" t="s">
        <v>8040</v>
      </c>
      <c r="G2278" s="2" t="s">
        <v>8041</v>
      </c>
      <c r="H2278" s="2" t="s">
        <v>8042</v>
      </c>
      <c r="I2278" s="2" t="s">
        <v>8031</v>
      </c>
      <c r="J2278" s="2" t="s">
        <v>3385</v>
      </c>
      <c r="K2278" s="2" t="s">
        <v>446</v>
      </c>
      <c r="L2278" s="3">
        <v>252.45</v>
      </c>
      <c r="M2278" s="3">
        <v>265.07</v>
      </c>
      <c r="N2278" s="3">
        <v>529</v>
      </c>
      <c r="O2278" s="2" t="s">
        <v>97</v>
      </c>
      <c r="P2278" s="2" t="s">
        <v>123</v>
      </c>
      <c r="Q2278" s="2" t="s">
        <v>99</v>
      </c>
      <c r="R2278" s="2" t="s">
        <v>100</v>
      </c>
      <c r="S2278" s="2" t="s">
        <v>100</v>
      </c>
      <c r="T2278" s="2" t="s">
        <v>100</v>
      </c>
      <c r="U2278" s="2" t="s">
        <v>894</v>
      </c>
      <c r="V2278" s="2" t="s">
        <v>461</v>
      </c>
      <c r="W2278" s="2" t="s">
        <v>594</v>
      </c>
      <c r="X2278" s="2" t="s">
        <v>142</v>
      </c>
      <c r="Y2278" s="2" t="s">
        <v>3126</v>
      </c>
      <c r="Z2278" s="4">
        <v>245</v>
      </c>
      <c r="AA2278" s="4">
        <f>=ROUNDDOWN(27.2222222222222,0)</f>
      </c>
      <c r="AB2278" s="5">
        <v>9</v>
      </c>
      <c r="AC2278" s="2" t="s">
        <v>3343</v>
      </c>
      <c r="AD2278" s="4">
        <v>80</v>
      </c>
      <c r="AE2278" s="4">
        <v>80</v>
      </c>
      <c r="AF2278" s="6">
        <v>65</v>
      </c>
      <c r="AG2278" s="6">
        <v>48</v>
      </c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/>
      <c r="BD2278" s="8"/>
      <c r="BE2278" s="4"/>
      <c r="BF2278" s="8"/>
      <c r="BG2278" s="7"/>
      <c r="BH2278" s="7"/>
      <c r="BI2278" s="7"/>
      <c r="BJ2278" s="4">
        <v>3</v>
      </c>
      <c r="BK2278" s="8">
        <v>722.39</v>
      </c>
      <c r="BL2278" s="2" t="s">
        <v>8043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2526</v>
      </c>
      <c r="BV2278" s="2" t="s">
        <v>97</v>
      </c>
      <c r="BW2278" s="2" t="s">
        <v>100</v>
      </c>
      <c r="BX2278" s="2" t="s">
        <v>100</v>
      </c>
      <c r="BY2278" s="2" t="s">
        <v>112</v>
      </c>
      <c r="BZ2278" s="2" t="s">
        <v>100</v>
      </c>
    </row>
    <row r="2279">
      <c r="A2279" s="2" t="s">
        <v>8044</v>
      </c>
      <c r="B2279" s="2" t="s">
        <v>6747</v>
      </c>
      <c r="C2279" s="2" t="s">
        <v>88</v>
      </c>
      <c r="D2279" s="2" t="s">
        <v>7035</v>
      </c>
      <c r="E2279" s="2" t="s">
        <v>7036</v>
      </c>
      <c r="F2279" s="2" t="s">
        <v>8045</v>
      </c>
      <c r="G2279" s="2" t="s">
        <v>8046</v>
      </c>
      <c r="H2279" s="2" t="s">
        <v>8047</v>
      </c>
      <c r="I2279" s="2" t="s">
        <v>7074</v>
      </c>
      <c r="J2279" s="2" t="s">
        <v>3385</v>
      </c>
      <c r="K2279" s="2" t="s">
        <v>1090</v>
      </c>
      <c r="L2279" s="3">
        <v>226.1</v>
      </c>
      <c r="M2279" s="3">
        <v>237.4</v>
      </c>
      <c r="N2279" s="3">
        <v>479</v>
      </c>
      <c r="O2279" s="2" t="s">
        <v>97</v>
      </c>
      <c r="P2279" s="2" t="s">
        <v>98</v>
      </c>
      <c r="Q2279" s="2" t="s">
        <v>99</v>
      </c>
      <c r="R2279" s="2" t="s">
        <v>100</v>
      </c>
      <c r="S2279" s="2" t="s">
        <v>100</v>
      </c>
      <c r="T2279" s="2" t="s">
        <v>100</v>
      </c>
      <c r="U2279" s="2" t="s">
        <v>894</v>
      </c>
      <c r="V2279" s="2" t="s">
        <v>461</v>
      </c>
      <c r="W2279" s="2" t="s">
        <v>142</v>
      </c>
      <c r="X2279" s="2" t="s">
        <v>100</v>
      </c>
      <c r="Y2279" s="2" t="s">
        <v>8048</v>
      </c>
      <c r="Z2279" s="4">
        <v>160</v>
      </c>
      <c r="AA2279" s="4">
        <f>=ROUNDDOWN(11.4285714285714,0)</f>
      </c>
      <c r="AB2279" s="5">
        <v>14</v>
      </c>
      <c r="AC2279" s="2" t="s">
        <v>2709</v>
      </c>
      <c r="AD2279" s="4">
        <v>100</v>
      </c>
      <c r="AE2279" s="4">
        <v>200</v>
      </c>
      <c r="AF2279" s="6">
        <v>65</v>
      </c>
      <c r="AG2279" s="6">
        <v>48</v>
      </c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/>
      <c r="BD2279" s="8"/>
      <c r="BE2279" s="4"/>
      <c r="BF2279" s="8"/>
      <c r="BG2279" s="7"/>
      <c r="BH2279" s="7"/>
      <c r="BI2279" s="7"/>
      <c r="BJ2279" s="4">
        <v>35</v>
      </c>
      <c r="BK2279" s="8">
        <v>7408.3</v>
      </c>
      <c r="BL2279" s="2" t="s">
        <v>8049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2526</v>
      </c>
      <c r="BV2279" s="2" t="s">
        <v>97</v>
      </c>
      <c r="BW2279" s="2" t="s">
        <v>100</v>
      </c>
      <c r="BX2279" s="2" t="s">
        <v>100</v>
      </c>
      <c r="BY2279" s="2" t="s">
        <v>112</v>
      </c>
      <c r="BZ2279" s="2" t="s">
        <v>100</v>
      </c>
    </row>
    <row r="2280">
      <c r="A2280" s="2" t="s">
        <v>8050</v>
      </c>
      <c r="B2280" s="2" t="s">
        <v>6747</v>
      </c>
      <c r="C2280" s="2" t="s">
        <v>88</v>
      </c>
      <c r="D2280" s="2" t="s">
        <v>7035</v>
      </c>
      <c r="E2280" s="2" t="s">
        <v>7036</v>
      </c>
      <c r="F2280" s="2" t="s">
        <v>7827</v>
      </c>
      <c r="G2280" s="2" t="s">
        <v>7828</v>
      </c>
      <c r="H2280" s="2" t="s">
        <v>7829</v>
      </c>
      <c r="I2280" s="2" t="s">
        <v>8051</v>
      </c>
      <c r="J2280" s="2" t="s">
        <v>3385</v>
      </c>
      <c r="K2280" s="2" t="s">
        <v>1090</v>
      </c>
      <c r="L2280" s="3">
        <v>171</v>
      </c>
      <c r="M2280" s="3">
        <v>179.55</v>
      </c>
      <c r="N2280" s="3">
        <v>359</v>
      </c>
      <c r="O2280" s="2" t="s">
        <v>97</v>
      </c>
      <c r="P2280" s="2" t="s">
        <v>139</v>
      </c>
      <c r="Q2280" s="2" t="s">
        <v>99</v>
      </c>
      <c r="R2280" s="2" t="s">
        <v>100</v>
      </c>
      <c r="S2280" s="2" t="s">
        <v>7831</v>
      </c>
      <c r="T2280" s="2" t="s">
        <v>100</v>
      </c>
      <c r="U2280" s="2" t="s">
        <v>1776</v>
      </c>
      <c r="V2280" s="2" t="s">
        <v>461</v>
      </c>
      <c r="W2280" s="2" t="s">
        <v>142</v>
      </c>
      <c r="X2280" s="2" t="s">
        <v>100</v>
      </c>
      <c r="Y2280" s="2" t="s">
        <v>7550</v>
      </c>
      <c r="Z2280" s="4">
        <v>270</v>
      </c>
      <c r="AA2280" s="4">
        <f>=ROUNDDOWN(65.8536585365854,0)</f>
      </c>
      <c r="AB2280" s="5">
        <v>4.1</v>
      </c>
      <c r="AC2280" s="2" t="s">
        <v>3515</v>
      </c>
      <c r="AD2280" s="4">
        <v>130</v>
      </c>
      <c r="AE2280" s="4">
        <v>200</v>
      </c>
      <c r="AF2280" s="6">
        <v>65</v>
      </c>
      <c r="AG2280" s="6">
        <v>48</v>
      </c>
      <c r="AH2280" s="7">
        <v>1</v>
      </c>
      <c r="AI2280" s="4"/>
      <c r="AJ2280" s="4">
        <f>=ROUNDDOWN({0},0)</f>
      </c>
      <c r="AK2280" s="5"/>
      <c r="AL2280" s="2" t="s">
        <v>7326</v>
      </c>
      <c r="AM2280" s="4">
        <v>360</v>
      </c>
      <c r="AN2280" s="4">
        <v>360</v>
      </c>
      <c r="AO2280" s="7">
        <v>0</v>
      </c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/>
      <c r="BJ2280" s="4">
        <v>137</v>
      </c>
      <c r="BK2280" s="8">
        <v>20750.46</v>
      </c>
      <c r="BL2280" s="2" t="s">
        <v>8052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2526</v>
      </c>
      <c r="BV2280" s="2" t="s">
        <v>97</v>
      </c>
      <c r="BW2280" s="2" t="s">
        <v>100</v>
      </c>
      <c r="BX2280" s="2" t="s">
        <v>100</v>
      </c>
      <c r="BY2280" s="2" t="s">
        <v>112</v>
      </c>
      <c r="BZ2280" s="2" t="s">
        <v>100</v>
      </c>
    </row>
    <row r="2281">
      <c r="A2281" s="2" t="s">
        <v>8053</v>
      </c>
      <c r="B2281" s="2" t="s">
        <v>6747</v>
      </c>
      <c r="C2281" s="2" t="s">
        <v>88</v>
      </c>
      <c r="D2281" s="2" t="s">
        <v>7035</v>
      </c>
      <c r="E2281" s="2" t="s">
        <v>7036</v>
      </c>
      <c r="F2281" s="2" t="s">
        <v>7827</v>
      </c>
      <c r="G2281" s="2" t="s">
        <v>7828</v>
      </c>
      <c r="H2281" s="2" t="s">
        <v>7829</v>
      </c>
      <c r="I2281" s="2" t="s">
        <v>8051</v>
      </c>
      <c r="J2281" s="2" t="s">
        <v>3385</v>
      </c>
      <c r="K2281" s="2" t="s">
        <v>4488</v>
      </c>
      <c r="L2281" s="3">
        <v>171</v>
      </c>
      <c r="M2281" s="3">
        <v>179.55</v>
      </c>
      <c r="N2281" s="3">
        <v>359</v>
      </c>
      <c r="O2281" s="2" t="s">
        <v>97</v>
      </c>
      <c r="P2281" s="2" t="s">
        <v>98</v>
      </c>
      <c r="Q2281" s="2" t="s">
        <v>99</v>
      </c>
      <c r="R2281" s="2" t="s">
        <v>100</v>
      </c>
      <c r="S2281" s="2" t="s">
        <v>100</v>
      </c>
      <c r="T2281" s="2" t="s">
        <v>100</v>
      </c>
      <c r="U2281" s="2" t="s">
        <v>1776</v>
      </c>
      <c r="V2281" s="2" t="s">
        <v>461</v>
      </c>
      <c r="W2281" s="2" t="s">
        <v>142</v>
      </c>
      <c r="X2281" s="2" t="s">
        <v>100</v>
      </c>
      <c r="Y2281" s="2" t="s">
        <v>7835</v>
      </c>
      <c r="Z2281" s="4">
        <v>29</v>
      </c>
      <c r="AA2281" s="4">
        <f>=ROUNDDOWN(4.08450704225352,0)</f>
      </c>
      <c r="AB2281" s="5">
        <v>7.1</v>
      </c>
      <c r="AC2281" s="2" t="s">
        <v>897</v>
      </c>
      <c r="AD2281" s="4">
        <v>100</v>
      </c>
      <c r="AE2281" s="4">
        <v>320</v>
      </c>
      <c r="AF2281" s="6">
        <v>65</v>
      </c>
      <c r="AG2281" s="6">
        <v>48</v>
      </c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/>
      <c r="BJ2281" s="4">
        <v>21</v>
      </c>
      <c r="BK2281" s="8">
        <v>3196.88</v>
      </c>
      <c r="BL2281" s="2" t="s">
        <v>7109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2526</v>
      </c>
      <c r="BV2281" s="2" t="s">
        <v>97</v>
      </c>
      <c r="BW2281" s="2" t="s">
        <v>100</v>
      </c>
      <c r="BX2281" s="2" t="s">
        <v>100</v>
      </c>
      <c r="BY2281" s="2" t="s">
        <v>112</v>
      </c>
      <c r="BZ2281" s="2" t="s">
        <v>100</v>
      </c>
    </row>
    <row r="2282">
      <c r="A2282" s="2" t="s">
        <v>8054</v>
      </c>
      <c r="B2282" s="2" t="s">
        <v>6747</v>
      </c>
      <c r="C2282" s="2" t="s">
        <v>88</v>
      </c>
      <c r="D2282" s="2" t="s">
        <v>7035</v>
      </c>
      <c r="E2282" s="2" t="s">
        <v>7036</v>
      </c>
      <c r="F2282" s="2" t="s">
        <v>7827</v>
      </c>
      <c r="G2282" s="2" t="s">
        <v>7828</v>
      </c>
      <c r="H2282" s="2" t="s">
        <v>7829</v>
      </c>
      <c r="I2282" s="2" t="s">
        <v>8051</v>
      </c>
      <c r="J2282" s="2" t="s">
        <v>3385</v>
      </c>
      <c r="K2282" s="2" t="s">
        <v>8055</v>
      </c>
      <c r="L2282" s="3">
        <v>171</v>
      </c>
      <c r="M2282" s="3">
        <v>179.55</v>
      </c>
      <c r="N2282" s="3">
        <v>359</v>
      </c>
      <c r="O2282" s="2" t="s">
        <v>97</v>
      </c>
      <c r="P2282" s="2" t="s">
        <v>98</v>
      </c>
      <c r="Q2282" s="2" t="s">
        <v>99</v>
      </c>
      <c r="R2282" s="2" t="s">
        <v>100</v>
      </c>
      <c r="S2282" s="2" t="s">
        <v>100</v>
      </c>
      <c r="T2282" s="2" t="s">
        <v>100</v>
      </c>
      <c r="U2282" s="2" t="s">
        <v>1776</v>
      </c>
      <c r="V2282" s="2" t="s">
        <v>461</v>
      </c>
      <c r="W2282" s="2" t="s">
        <v>142</v>
      </c>
      <c r="X2282" s="2" t="s">
        <v>609</v>
      </c>
      <c r="Y2282" s="2" t="s">
        <v>8056</v>
      </c>
      <c r="Z2282" s="4"/>
      <c r="AA2282" s="4">
        <f>=ROUNDDOWN({0},0)</f>
      </c>
      <c r="AB2282" s="5">
        <v>6</v>
      </c>
      <c r="AC2282" s="2" t="s">
        <v>676</v>
      </c>
      <c r="AD2282" s="4">
        <v>100</v>
      </c>
      <c r="AE2282" s="4">
        <v>200</v>
      </c>
      <c r="AF2282" s="6">
        <v>65</v>
      </c>
      <c r="AG2282" s="6">
        <v>48</v>
      </c>
      <c r="AH2282" s="7">
        <v>0.9677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/>
      <c r="BJ2282" s="4">
        <v>20</v>
      </c>
      <c r="BK2282" s="8">
        <v>3474.93</v>
      </c>
      <c r="BL2282" s="2" t="s">
        <v>7144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2526</v>
      </c>
      <c r="BV2282" s="2" t="s">
        <v>97</v>
      </c>
      <c r="BW2282" s="2" t="s">
        <v>100</v>
      </c>
      <c r="BX2282" s="2" t="s">
        <v>100</v>
      </c>
      <c r="BY2282" s="2" t="s">
        <v>112</v>
      </c>
      <c r="BZ2282" s="2" t="s">
        <v>100</v>
      </c>
    </row>
    <row r="2283">
      <c r="A2283" s="2" t="s">
        <v>8057</v>
      </c>
      <c r="B2283" s="2" t="s">
        <v>6747</v>
      </c>
      <c r="C2283" s="2" t="s">
        <v>88</v>
      </c>
      <c r="D2283" s="2" t="s">
        <v>7035</v>
      </c>
      <c r="E2283" s="2" t="s">
        <v>7036</v>
      </c>
      <c r="F2283" s="2" t="s">
        <v>814</v>
      </c>
      <c r="G2283" s="2" t="s">
        <v>8058</v>
      </c>
      <c r="H2283" s="2" t="s">
        <v>8059</v>
      </c>
      <c r="I2283" s="2" t="s">
        <v>8060</v>
      </c>
      <c r="J2283" s="2" t="s">
        <v>3385</v>
      </c>
      <c r="K2283" s="2" t="s">
        <v>96</v>
      </c>
      <c r="L2283" s="3">
        <v>190</v>
      </c>
      <c r="M2283" s="3">
        <v>199.5</v>
      </c>
      <c r="N2283" s="3">
        <v>399</v>
      </c>
      <c r="O2283" s="2" t="s">
        <v>97</v>
      </c>
      <c r="P2283" s="2" t="s">
        <v>123</v>
      </c>
      <c r="Q2283" s="2" t="s">
        <v>99</v>
      </c>
      <c r="R2283" s="2" t="s">
        <v>100</v>
      </c>
      <c r="S2283" s="2" t="s">
        <v>100</v>
      </c>
      <c r="T2283" s="2" t="s">
        <v>100</v>
      </c>
      <c r="U2283" s="2" t="s">
        <v>1776</v>
      </c>
      <c r="V2283" s="2" t="s">
        <v>461</v>
      </c>
      <c r="W2283" s="2" t="s">
        <v>142</v>
      </c>
      <c r="X2283" s="2" t="s">
        <v>594</v>
      </c>
      <c r="Y2283" s="2" t="s">
        <v>4415</v>
      </c>
      <c r="Z2283" s="4">
        <v>490</v>
      </c>
      <c r="AA2283" s="4">
        <f>=ROUNDDOWN(44.5454545454545,0)</f>
      </c>
      <c r="AB2283" s="5">
        <v>11</v>
      </c>
      <c r="AC2283" s="2" t="s">
        <v>824</v>
      </c>
      <c r="AD2283" s="4">
        <v>170</v>
      </c>
      <c r="AE2283" s="4">
        <v>522</v>
      </c>
      <c r="AF2283" s="6">
        <v>66</v>
      </c>
      <c r="AG2283" s="6"/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/>
      <c r="BD2283" s="8"/>
      <c r="BE2283" s="4"/>
      <c r="BF2283" s="8"/>
      <c r="BG2283" s="7"/>
      <c r="BH2283" s="7"/>
      <c r="BI2283" s="7"/>
      <c r="BJ2283" s="4">
        <v>33</v>
      </c>
      <c r="BK2283" s="8">
        <v>6665.34</v>
      </c>
      <c r="BL2283" s="2" t="s">
        <v>7043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2526</v>
      </c>
      <c r="BV2283" s="2" t="s">
        <v>97</v>
      </c>
      <c r="BW2283" s="2" t="s">
        <v>100</v>
      </c>
      <c r="BX2283" s="2" t="s">
        <v>100</v>
      </c>
      <c r="BY2283" s="2" t="s">
        <v>112</v>
      </c>
      <c r="BZ2283" s="2" t="s">
        <v>100</v>
      </c>
    </row>
    <row r="2284">
      <c r="A2284" s="2" t="s">
        <v>8061</v>
      </c>
      <c r="B2284" s="2" t="s">
        <v>6747</v>
      </c>
      <c r="C2284" s="2" t="s">
        <v>88</v>
      </c>
      <c r="D2284" s="2" t="s">
        <v>7035</v>
      </c>
      <c r="E2284" s="2" t="s">
        <v>7036</v>
      </c>
      <c r="F2284" s="2" t="s">
        <v>7758</v>
      </c>
      <c r="G2284" s="2" t="s">
        <v>7759</v>
      </c>
      <c r="H2284" s="2" t="s">
        <v>7760</v>
      </c>
      <c r="I2284" s="2" t="s">
        <v>7041</v>
      </c>
      <c r="J2284" s="2" t="s">
        <v>3385</v>
      </c>
      <c r="K2284" s="2" t="s">
        <v>1090</v>
      </c>
      <c r="L2284" s="3">
        <v>173.25</v>
      </c>
      <c r="M2284" s="3">
        <v>181.91</v>
      </c>
      <c r="N2284" s="3">
        <v>369</v>
      </c>
      <c r="O2284" s="2" t="s">
        <v>97</v>
      </c>
      <c r="P2284" s="2" t="s">
        <v>98</v>
      </c>
      <c r="Q2284" s="2" t="s">
        <v>99</v>
      </c>
      <c r="R2284" s="2" t="s">
        <v>100</v>
      </c>
      <c r="S2284" s="2" t="s">
        <v>8062</v>
      </c>
      <c r="T2284" s="2" t="s">
        <v>100</v>
      </c>
      <c r="U2284" s="2" t="s">
        <v>100</v>
      </c>
      <c r="V2284" s="2" t="s">
        <v>461</v>
      </c>
      <c r="W2284" s="2" t="s">
        <v>142</v>
      </c>
      <c r="X2284" s="2" t="s">
        <v>100</v>
      </c>
      <c r="Y2284" s="2" t="s">
        <v>1695</v>
      </c>
      <c r="Z2284" s="4">
        <v>113</v>
      </c>
      <c r="AA2284" s="4">
        <f>=ROUNDDOWN(9.41666666666667,0)</f>
      </c>
      <c r="AB2284" s="5">
        <v>12</v>
      </c>
      <c r="AC2284" s="2" t="s">
        <v>3271</v>
      </c>
      <c r="AD2284" s="4">
        <v>225</v>
      </c>
      <c r="AE2284" s="4">
        <v>225</v>
      </c>
      <c r="AF2284" s="6">
        <v>76</v>
      </c>
      <c r="AG2284" s="6">
        <v>67</v>
      </c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/>
      <c r="BD2284" s="8"/>
      <c r="BE2284" s="4"/>
      <c r="BF2284" s="8"/>
      <c r="BG2284" s="7"/>
      <c r="BH2284" s="7"/>
      <c r="BI2284" s="7"/>
      <c r="BJ2284" s="4">
        <v>5</v>
      </c>
      <c r="BK2284" s="8">
        <v>849.86</v>
      </c>
      <c r="BL2284" s="2" t="s">
        <v>8063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2526</v>
      </c>
      <c r="BV2284" s="2" t="s">
        <v>97</v>
      </c>
      <c r="BW2284" s="2" t="s">
        <v>100</v>
      </c>
      <c r="BX2284" s="2" t="s">
        <v>100</v>
      </c>
      <c r="BY2284" s="2" t="s">
        <v>112</v>
      </c>
      <c r="BZ2284" s="2" t="s">
        <v>100</v>
      </c>
    </row>
    <row r="2285">
      <c r="A2285" s="2" t="s">
        <v>8064</v>
      </c>
      <c r="B2285" s="2" t="s">
        <v>6747</v>
      </c>
      <c r="C2285" s="2" t="s">
        <v>88</v>
      </c>
      <c r="D2285" s="2" t="s">
        <v>7035</v>
      </c>
      <c r="E2285" s="2" t="s">
        <v>7036</v>
      </c>
      <c r="F2285" s="2" t="s">
        <v>8065</v>
      </c>
      <c r="G2285" s="2" t="s">
        <v>8066</v>
      </c>
      <c r="H2285" s="2" t="s">
        <v>8067</v>
      </c>
      <c r="I2285" s="2" t="s">
        <v>8068</v>
      </c>
      <c r="J2285" s="2" t="s">
        <v>3385</v>
      </c>
      <c r="K2285" s="2" t="s">
        <v>179</v>
      </c>
      <c r="L2285" s="3">
        <v>136.8</v>
      </c>
      <c r="M2285" s="3">
        <v>143.64</v>
      </c>
      <c r="N2285" s="3">
        <v>289</v>
      </c>
      <c r="O2285" s="2" t="s">
        <v>97</v>
      </c>
      <c r="P2285" s="2" t="s">
        <v>98</v>
      </c>
      <c r="Q2285" s="2" t="s">
        <v>99</v>
      </c>
      <c r="R2285" s="2" t="s">
        <v>100</v>
      </c>
      <c r="S2285" s="2" t="s">
        <v>8069</v>
      </c>
      <c r="T2285" s="2" t="s">
        <v>100</v>
      </c>
      <c r="U2285" s="2" t="s">
        <v>100</v>
      </c>
      <c r="V2285" s="2" t="s">
        <v>461</v>
      </c>
      <c r="W2285" s="2" t="s">
        <v>142</v>
      </c>
      <c r="X2285" s="2" t="s">
        <v>100</v>
      </c>
      <c r="Y2285" s="2" t="s">
        <v>144</v>
      </c>
      <c r="Z2285" s="4">
        <v>208</v>
      </c>
      <c r="AA2285" s="4">
        <f>=ROUNDDOWN(11.5555555555556,0)</f>
      </c>
      <c r="AB2285" s="5">
        <v>18</v>
      </c>
      <c r="AC2285" s="2" t="s">
        <v>2363</v>
      </c>
      <c r="AD2285" s="4">
        <v>10</v>
      </c>
      <c r="AE2285" s="4">
        <v>460</v>
      </c>
      <c r="AF2285" s="6">
        <v>65</v>
      </c>
      <c r="AG2285" s="6">
        <v>48</v>
      </c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/>
      <c r="BJ2285" s="4">
        <v>56</v>
      </c>
      <c r="BK2285" s="8">
        <v>6641.99</v>
      </c>
      <c r="BL2285" s="2" t="s">
        <v>8070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2526</v>
      </c>
      <c r="BV2285" s="2" t="s">
        <v>97</v>
      </c>
      <c r="BW2285" s="2" t="s">
        <v>100</v>
      </c>
      <c r="BX2285" s="2" t="s">
        <v>100</v>
      </c>
      <c r="BY2285" s="2" t="s">
        <v>112</v>
      </c>
      <c r="BZ2285" s="2" t="s">
        <v>100</v>
      </c>
    </row>
    <row r="2286">
      <c r="A2286" s="2" t="s">
        <v>8071</v>
      </c>
      <c r="B2286" s="2" t="s">
        <v>6747</v>
      </c>
      <c r="C2286" s="2" t="s">
        <v>88</v>
      </c>
      <c r="D2286" s="2" t="s">
        <v>7035</v>
      </c>
      <c r="E2286" s="2" t="s">
        <v>7036</v>
      </c>
      <c r="F2286" s="2" t="s">
        <v>8065</v>
      </c>
      <c r="G2286" s="2" t="s">
        <v>8066</v>
      </c>
      <c r="H2286" s="2" t="s">
        <v>8067</v>
      </c>
      <c r="I2286" s="2" t="s">
        <v>8068</v>
      </c>
      <c r="J2286" s="2" t="s">
        <v>3385</v>
      </c>
      <c r="K2286" s="2" t="s">
        <v>138</v>
      </c>
      <c r="L2286" s="3">
        <v>136.8</v>
      </c>
      <c r="M2286" s="3">
        <v>143.64</v>
      </c>
      <c r="N2286" s="3">
        <v>289</v>
      </c>
      <c r="O2286" s="2" t="s">
        <v>97</v>
      </c>
      <c r="P2286" s="2" t="s">
        <v>98</v>
      </c>
      <c r="Q2286" s="2" t="s">
        <v>99</v>
      </c>
      <c r="R2286" s="2" t="s">
        <v>100</v>
      </c>
      <c r="S2286" s="2" t="s">
        <v>8072</v>
      </c>
      <c r="T2286" s="2" t="s">
        <v>100</v>
      </c>
      <c r="U2286" s="2" t="s">
        <v>100</v>
      </c>
      <c r="V2286" s="2" t="s">
        <v>461</v>
      </c>
      <c r="W2286" s="2" t="s">
        <v>104</v>
      </c>
      <c r="X2286" s="2" t="s">
        <v>100</v>
      </c>
      <c r="Y2286" s="2" t="s">
        <v>144</v>
      </c>
      <c r="Z2286" s="4">
        <v>136</v>
      </c>
      <c r="AA2286" s="4">
        <f>=ROUNDDOWN(9.71428571428571,0)</f>
      </c>
      <c r="AB2286" s="5">
        <v>14</v>
      </c>
      <c r="AC2286" s="2" t="s">
        <v>903</v>
      </c>
      <c r="AD2286" s="4">
        <v>100</v>
      </c>
      <c r="AE2286" s="4">
        <v>340</v>
      </c>
      <c r="AF2286" s="6">
        <v>65</v>
      </c>
      <c r="AG2286" s="6">
        <v>48</v>
      </c>
      <c r="AH2286" s="7">
        <v>0.9355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/>
      <c r="AW2286" s="8"/>
      <c r="AX2286" s="4"/>
      <c r="AY2286" s="8"/>
      <c r="AZ2286" s="7"/>
      <c r="BA2286" s="7"/>
      <c r="BB2286" s="7"/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/>
      <c r="BJ2286" s="4">
        <v>48</v>
      </c>
      <c r="BK2286" s="8">
        <v>5605.48</v>
      </c>
      <c r="BL2286" s="2" t="s">
        <v>8073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2526</v>
      </c>
      <c r="BV2286" s="2" t="s">
        <v>97</v>
      </c>
      <c r="BW2286" s="2" t="s">
        <v>100</v>
      </c>
      <c r="BX2286" s="2" t="s">
        <v>100</v>
      </c>
      <c r="BY2286" s="2" t="s">
        <v>112</v>
      </c>
      <c r="BZ2286" s="2" t="s">
        <v>100</v>
      </c>
    </row>
    <row r="2287">
      <c r="A2287" s="2" t="s">
        <v>8074</v>
      </c>
      <c r="B2287" s="2" t="s">
        <v>6747</v>
      </c>
      <c r="C2287" s="2" t="s">
        <v>88</v>
      </c>
      <c r="D2287" s="2" t="s">
        <v>7035</v>
      </c>
      <c r="E2287" s="2" t="s">
        <v>7036</v>
      </c>
      <c r="F2287" s="2" t="s">
        <v>8065</v>
      </c>
      <c r="G2287" s="2" t="s">
        <v>8066</v>
      </c>
      <c r="H2287" s="2" t="s">
        <v>8067</v>
      </c>
      <c r="I2287" s="2" t="s">
        <v>8068</v>
      </c>
      <c r="J2287" s="2" t="s">
        <v>3385</v>
      </c>
      <c r="K2287" s="2" t="s">
        <v>96</v>
      </c>
      <c r="L2287" s="3">
        <v>136.8</v>
      </c>
      <c r="M2287" s="3">
        <v>143.64</v>
      </c>
      <c r="N2287" s="3">
        <v>289</v>
      </c>
      <c r="O2287" s="2" t="s">
        <v>97</v>
      </c>
      <c r="P2287" s="2" t="s">
        <v>98</v>
      </c>
      <c r="Q2287" s="2" t="s">
        <v>99</v>
      </c>
      <c r="R2287" s="2" t="s">
        <v>100</v>
      </c>
      <c r="S2287" s="2" t="s">
        <v>8075</v>
      </c>
      <c r="T2287" s="2" t="s">
        <v>100</v>
      </c>
      <c r="U2287" s="2" t="s">
        <v>100</v>
      </c>
      <c r="V2287" s="2" t="s">
        <v>461</v>
      </c>
      <c r="W2287" s="2" t="s">
        <v>142</v>
      </c>
      <c r="X2287" s="2" t="s">
        <v>100</v>
      </c>
      <c r="Y2287" s="2" t="s">
        <v>144</v>
      </c>
      <c r="Z2287" s="4">
        <v>141</v>
      </c>
      <c r="AA2287" s="4">
        <f>=ROUNDDOWN(12.8181818181818,0)</f>
      </c>
      <c r="AB2287" s="5">
        <v>11</v>
      </c>
      <c r="AC2287" s="2" t="s">
        <v>903</v>
      </c>
      <c r="AD2287" s="4">
        <v>67</v>
      </c>
      <c r="AE2287" s="4">
        <v>225</v>
      </c>
      <c r="AF2287" s="6">
        <v>65</v>
      </c>
      <c r="AG2287" s="6">
        <v>48</v>
      </c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/>
      <c r="AW2287" s="8"/>
      <c r="AX2287" s="4"/>
      <c r="AY2287" s="8"/>
      <c r="AZ2287" s="7"/>
      <c r="BA2287" s="7"/>
      <c r="BB2287" s="7"/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/>
      <c r="BJ2287" s="4">
        <v>38</v>
      </c>
      <c r="BK2287" s="8">
        <v>4398.2</v>
      </c>
      <c r="BL2287" s="2" t="s">
        <v>8076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2526</v>
      </c>
      <c r="BV2287" s="2" t="s">
        <v>97</v>
      </c>
      <c r="BW2287" s="2" t="s">
        <v>100</v>
      </c>
      <c r="BX2287" s="2" t="s">
        <v>100</v>
      </c>
      <c r="BY2287" s="2" t="s">
        <v>112</v>
      </c>
      <c r="BZ2287" s="2" t="s">
        <v>100</v>
      </c>
    </row>
    <row r="2288">
      <c r="A2288" s="2" t="s">
        <v>8077</v>
      </c>
      <c r="B2288" s="2" t="s">
        <v>6747</v>
      </c>
      <c r="C2288" s="2" t="s">
        <v>88</v>
      </c>
      <c r="D2288" s="2" t="s">
        <v>7035</v>
      </c>
      <c r="E2288" s="2" t="s">
        <v>7036</v>
      </c>
      <c r="F2288" s="2" t="s">
        <v>8078</v>
      </c>
      <c r="G2288" s="2" t="s">
        <v>8079</v>
      </c>
      <c r="H2288" s="2" t="s">
        <v>8080</v>
      </c>
      <c r="I2288" s="2" t="s">
        <v>8081</v>
      </c>
      <c r="J2288" s="2" t="s">
        <v>3385</v>
      </c>
      <c r="K2288" s="2" t="s">
        <v>1090</v>
      </c>
      <c r="L2288" s="3">
        <v>232.97</v>
      </c>
      <c r="M2288" s="3">
        <v>244.62</v>
      </c>
      <c r="N2288" s="3">
        <v>499</v>
      </c>
      <c r="O2288" s="2" t="s">
        <v>97</v>
      </c>
      <c r="P2288" s="2" t="s">
        <v>707</v>
      </c>
      <c r="Q2288" s="2" t="s">
        <v>99</v>
      </c>
      <c r="R2288" s="2" t="s">
        <v>100</v>
      </c>
      <c r="S2288" s="2" t="s">
        <v>100</v>
      </c>
      <c r="T2288" s="2" t="s">
        <v>100</v>
      </c>
      <c r="U2288" s="2" t="s">
        <v>894</v>
      </c>
      <c r="V2288" s="2" t="s">
        <v>461</v>
      </c>
      <c r="W2288" s="2" t="s">
        <v>493</v>
      </c>
      <c r="X2288" s="2" t="s">
        <v>100</v>
      </c>
      <c r="Y2288" s="2" t="s">
        <v>8082</v>
      </c>
      <c r="Z2288" s="4">
        <v>63</v>
      </c>
      <c r="AA2288" s="4">
        <f>=ROUNDDOWN(10.5,0)</f>
      </c>
      <c r="AB2288" s="5">
        <v>6</v>
      </c>
      <c r="AC2288" s="2" t="s">
        <v>2772</v>
      </c>
      <c r="AD2288" s="4">
        <v>100</v>
      </c>
      <c r="AE2288" s="4">
        <v>100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/>
      <c r="AW2288" s="8"/>
      <c r="AX2288" s="4"/>
      <c r="AY2288" s="8"/>
      <c r="AZ2288" s="7"/>
      <c r="BA2288" s="7"/>
      <c r="BB2288" s="7"/>
      <c r="BC2288" s="4"/>
      <c r="BD2288" s="8"/>
      <c r="BE2288" s="4"/>
      <c r="BF2288" s="8"/>
      <c r="BG2288" s="7"/>
      <c r="BH2288" s="7"/>
      <c r="BI2288" s="7"/>
      <c r="BJ2288" s="4">
        <v>18</v>
      </c>
      <c r="BK2288" s="8">
        <v>3734.87</v>
      </c>
      <c r="BL2288" s="2" t="s">
        <v>8083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2526</v>
      </c>
      <c r="BV2288" s="2" t="s">
        <v>97</v>
      </c>
      <c r="BW2288" s="2" t="s">
        <v>100</v>
      </c>
      <c r="BX2288" s="2" t="s">
        <v>100</v>
      </c>
      <c r="BY2288" s="2" t="s">
        <v>112</v>
      </c>
      <c r="BZ2288" s="2" t="s">
        <v>100</v>
      </c>
    </row>
    <row r="2289">
      <c r="A2289" s="2" t="s">
        <v>8084</v>
      </c>
      <c r="B2289" s="2" t="s">
        <v>6747</v>
      </c>
      <c r="C2289" s="2" t="s">
        <v>88</v>
      </c>
      <c r="D2289" s="2" t="s">
        <v>7035</v>
      </c>
      <c r="E2289" s="2" t="s">
        <v>7036</v>
      </c>
      <c r="F2289" s="2" t="s">
        <v>8085</v>
      </c>
      <c r="G2289" s="2" t="s">
        <v>8086</v>
      </c>
      <c r="H2289" s="2" t="s">
        <v>8087</v>
      </c>
      <c r="I2289" s="2" t="s">
        <v>8088</v>
      </c>
      <c r="J2289" s="2" t="s">
        <v>3385</v>
      </c>
      <c r="K2289" s="2" t="s">
        <v>3876</v>
      </c>
      <c r="L2289" s="3">
        <v>263.5</v>
      </c>
      <c r="M2289" s="3">
        <v>276.68</v>
      </c>
      <c r="N2289" s="3">
        <v>549</v>
      </c>
      <c r="O2289" s="2" t="s">
        <v>97</v>
      </c>
      <c r="P2289" s="2" t="s">
        <v>98</v>
      </c>
      <c r="Q2289" s="2" t="s">
        <v>99</v>
      </c>
      <c r="R2289" s="2" t="s">
        <v>100</v>
      </c>
      <c r="S2289" s="2" t="s">
        <v>8089</v>
      </c>
      <c r="T2289" s="2" t="s">
        <v>100</v>
      </c>
      <c r="U2289" s="2" t="s">
        <v>894</v>
      </c>
      <c r="V2289" s="2" t="s">
        <v>3412</v>
      </c>
      <c r="W2289" s="2" t="s">
        <v>594</v>
      </c>
      <c r="X2289" s="2" t="s">
        <v>142</v>
      </c>
      <c r="Y2289" s="2" t="s">
        <v>7353</v>
      </c>
      <c r="Z2289" s="4">
        <v>231</v>
      </c>
      <c r="AA2289" s="4">
        <f>=ROUNDDOWN(19.25,0)</f>
      </c>
      <c r="AB2289" s="5">
        <v>12</v>
      </c>
      <c r="AC2289" s="2" t="s">
        <v>2604</v>
      </c>
      <c r="AD2289" s="4">
        <v>100</v>
      </c>
      <c r="AE2289" s="4">
        <v>100</v>
      </c>
      <c r="AF2289" s="6">
        <v>66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/>
      <c r="AW2289" s="8"/>
      <c r="AX2289" s="4"/>
      <c r="AY2289" s="8"/>
      <c r="AZ2289" s="7"/>
      <c r="BA2289" s="7"/>
      <c r="BB2289" s="7"/>
      <c r="BC2289" s="4"/>
      <c r="BD2289" s="8"/>
      <c r="BE2289" s="4"/>
      <c r="BF2289" s="8"/>
      <c r="BG2289" s="7"/>
      <c r="BH2289" s="7"/>
      <c r="BI2289" s="7"/>
      <c r="BJ2289" s="4">
        <v>51</v>
      </c>
      <c r="BK2289" s="8">
        <v>13654.29</v>
      </c>
      <c r="BL2289" s="2" t="s">
        <v>7929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2526</v>
      </c>
      <c r="BV2289" s="2" t="s">
        <v>97</v>
      </c>
      <c r="BW2289" s="2" t="s">
        <v>100</v>
      </c>
      <c r="BX2289" s="2" t="s">
        <v>100</v>
      </c>
      <c r="BY2289" s="2" t="s">
        <v>112</v>
      </c>
      <c r="BZ2289" s="2" t="s">
        <v>100</v>
      </c>
    </row>
    <row r="2290">
      <c r="A2290" s="2" t="s">
        <v>8090</v>
      </c>
      <c r="B2290" s="2" t="s">
        <v>6747</v>
      </c>
      <c r="C2290" s="2" t="s">
        <v>88</v>
      </c>
      <c r="D2290" s="2" t="s">
        <v>7035</v>
      </c>
      <c r="E2290" s="2" t="s">
        <v>7036</v>
      </c>
      <c r="F2290" s="2" t="s">
        <v>8091</v>
      </c>
      <c r="G2290" s="2" t="s">
        <v>8092</v>
      </c>
      <c r="H2290" s="2" t="s">
        <v>8093</v>
      </c>
      <c r="I2290" s="2" t="s">
        <v>8094</v>
      </c>
      <c r="J2290" s="2" t="s">
        <v>3385</v>
      </c>
      <c r="K2290" s="2" t="s">
        <v>3876</v>
      </c>
      <c r="L2290" s="3">
        <v>142.6</v>
      </c>
      <c r="M2290" s="3">
        <v>149.73</v>
      </c>
      <c r="N2290" s="3">
        <v>299</v>
      </c>
      <c r="O2290" s="2" t="s">
        <v>97</v>
      </c>
      <c r="P2290" s="2" t="s">
        <v>98</v>
      </c>
      <c r="Q2290" s="2" t="s">
        <v>99</v>
      </c>
      <c r="R2290" s="2" t="s">
        <v>100</v>
      </c>
      <c r="S2290" s="2" t="s">
        <v>8095</v>
      </c>
      <c r="T2290" s="2" t="s">
        <v>100</v>
      </c>
      <c r="U2290" s="2" t="s">
        <v>100</v>
      </c>
      <c r="V2290" s="2" t="s">
        <v>461</v>
      </c>
      <c r="W2290" s="2" t="s">
        <v>493</v>
      </c>
      <c r="X2290" s="2" t="s">
        <v>100</v>
      </c>
      <c r="Y2290" s="2" t="s">
        <v>144</v>
      </c>
      <c r="Z2290" s="4">
        <v>144</v>
      </c>
      <c r="AA2290" s="4">
        <f>=ROUNDDOWN(90,0)</f>
      </c>
      <c r="AB2290" s="5">
        <v>1.6</v>
      </c>
      <c r="AC2290" s="2" t="s">
        <v>6753</v>
      </c>
      <c r="AD2290" s="4">
        <v>90</v>
      </c>
      <c r="AE2290" s="4">
        <v>90</v>
      </c>
      <c r="AF2290" s="6">
        <v>74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/>
      <c r="AW2290" s="8"/>
      <c r="AX2290" s="4"/>
      <c r="AY2290" s="8"/>
      <c r="AZ2290" s="7"/>
      <c r="BA2290" s="7"/>
      <c r="BB2290" s="7"/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/>
      <c r="BJ2290" s="4">
        <v>8</v>
      </c>
      <c r="BK2290" s="8">
        <v>1032.17</v>
      </c>
      <c r="BL2290" s="2" t="s">
        <v>8096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2526</v>
      </c>
      <c r="BV2290" s="2" t="s">
        <v>97</v>
      </c>
      <c r="BW2290" s="2" t="s">
        <v>100</v>
      </c>
      <c r="BX2290" s="2" t="s">
        <v>100</v>
      </c>
      <c r="BY2290" s="2" t="s">
        <v>112</v>
      </c>
      <c r="BZ2290" s="2" t="s">
        <v>100</v>
      </c>
    </row>
    <row r="2291">
      <c r="A2291" s="2" t="s">
        <v>8097</v>
      </c>
      <c r="B2291" s="2" t="s">
        <v>6747</v>
      </c>
      <c r="C2291" s="2" t="s">
        <v>88</v>
      </c>
      <c r="D2291" s="2" t="s">
        <v>7035</v>
      </c>
      <c r="E2291" s="2" t="s">
        <v>7036</v>
      </c>
      <c r="F2291" s="2" t="s">
        <v>8091</v>
      </c>
      <c r="G2291" s="2" t="s">
        <v>8092</v>
      </c>
      <c r="H2291" s="2" t="s">
        <v>8093</v>
      </c>
      <c r="I2291" s="2" t="s">
        <v>8094</v>
      </c>
      <c r="J2291" s="2" t="s">
        <v>3385</v>
      </c>
      <c r="K2291" s="2" t="s">
        <v>4362</v>
      </c>
      <c r="L2291" s="3">
        <v>142.6</v>
      </c>
      <c r="M2291" s="3">
        <v>149.73</v>
      </c>
      <c r="N2291" s="3">
        <v>299</v>
      </c>
      <c r="O2291" s="2" t="s">
        <v>97</v>
      </c>
      <c r="P2291" s="2" t="s">
        <v>98</v>
      </c>
      <c r="Q2291" s="2" t="s">
        <v>99</v>
      </c>
      <c r="R2291" s="2" t="s">
        <v>100</v>
      </c>
      <c r="S2291" s="2" t="s">
        <v>8098</v>
      </c>
      <c r="T2291" s="2" t="s">
        <v>100</v>
      </c>
      <c r="U2291" s="2" t="s">
        <v>100</v>
      </c>
      <c r="V2291" s="2" t="s">
        <v>461</v>
      </c>
      <c r="W2291" s="2" t="s">
        <v>493</v>
      </c>
      <c r="X2291" s="2" t="s">
        <v>100</v>
      </c>
      <c r="Y2291" s="2" t="s">
        <v>144</v>
      </c>
      <c r="Z2291" s="4">
        <v>94</v>
      </c>
      <c r="AA2291" s="4">
        <f>=ROUNDDOWN(15.6666666666667,0)</f>
      </c>
      <c r="AB2291" s="5">
        <v>6</v>
      </c>
      <c r="AC2291" s="2" t="s">
        <v>2709</v>
      </c>
      <c r="AD2291" s="4">
        <v>100</v>
      </c>
      <c r="AE2291" s="4">
        <v>100</v>
      </c>
      <c r="AF2291" s="6">
        <v>74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/>
      <c r="AW2291" s="8"/>
      <c r="AX2291" s="4"/>
      <c r="AY2291" s="8"/>
      <c r="AZ2291" s="7"/>
      <c r="BA2291" s="7"/>
      <c r="BB2291" s="7"/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/>
      <c r="BJ2291" s="4">
        <v>16</v>
      </c>
      <c r="BK2291" s="8">
        <v>2135.77</v>
      </c>
      <c r="BL2291" s="2" t="s">
        <v>8099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2526</v>
      </c>
      <c r="BV2291" s="2" t="s">
        <v>97</v>
      </c>
      <c r="BW2291" s="2" t="s">
        <v>100</v>
      </c>
      <c r="BX2291" s="2" t="s">
        <v>100</v>
      </c>
      <c r="BY2291" s="2" t="s">
        <v>112</v>
      </c>
      <c r="BZ2291" s="2" t="s">
        <v>100</v>
      </c>
    </row>
    <row r="2292">
      <c r="A2292" s="2" t="s">
        <v>8100</v>
      </c>
      <c r="B2292" s="2" t="s">
        <v>6747</v>
      </c>
      <c r="C2292" s="2" t="s">
        <v>88</v>
      </c>
      <c r="D2292" s="2" t="s">
        <v>7035</v>
      </c>
      <c r="E2292" s="2" t="s">
        <v>7036</v>
      </c>
      <c r="F2292" s="2" t="s">
        <v>8091</v>
      </c>
      <c r="G2292" s="2" t="s">
        <v>8092</v>
      </c>
      <c r="H2292" s="2" t="s">
        <v>8093</v>
      </c>
      <c r="I2292" s="2" t="s">
        <v>8094</v>
      </c>
      <c r="J2292" s="2" t="s">
        <v>3385</v>
      </c>
      <c r="K2292" s="2" t="s">
        <v>7549</v>
      </c>
      <c r="L2292" s="3">
        <v>142.6</v>
      </c>
      <c r="M2292" s="3">
        <v>149.73</v>
      </c>
      <c r="N2292" s="3">
        <v>299</v>
      </c>
      <c r="O2292" s="2" t="s">
        <v>97</v>
      </c>
      <c r="P2292" s="2" t="s">
        <v>98</v>
      </c>
      <c r="Q2292" s="2" t="s">
        <v>99</v>
      </c>
      <c r="R2292" s="2" t="s">
        <v>100</v>
      </c>
      <c r="S2292" s="2" t="s">
        <v>8101</v>
      </c>
      <c r="T2292" s="2" t="s">
        <v>100</v>
      </c>
      <c r="U2292" s="2" t="s">
        <v>100</v>
      </c>
      <c r="V2292" s="2" t="s">
        <v>461</v>
      </c>
      <c r="W2292" s="2" t="s">
        <v>493</v>
      </c>
      <c r="X2292" s="2" t="s">
        <v>100</v>
      </c>
      <c r="Y2292" s="2" t="s">
        <v>144</v>
      </c>
      <c r="Z2292" s="4">
        <v>109</v>
      </c>
      <c r="AA2292" s="4">
        <f>=ROUNDDOWN(15.5714285714286,0)</f>
      </c>
      <c r="AB2292" s="5">
        <v>7</v>
      </c>
      <c r="AC2292" s="2" t="s">
        <v>2709</v>
      </c>
      <c r="AD2292" s="4">
        <v>120</v>
      </c>
      <c r="AE2292" s="4">
        <v>202</v>
      </c>
      <c r="AF2292" s="6">
        <v>74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/>
      <c r="AW2292" s="8"/>
      <c r="AX2292" s="4"/>
      <c r="AY2292" s="8"/>
      <c r="AZ2292" s="7"/>
      <c r="BA2292" s="7"/>
      <c r="BB2292" s="7"/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/>
      <c r="BJ2292" s="4">
        <v>30</v>
      </c>
      <c r="BK2292" s="8">
        <v>3329.32</v>
      </c>
      <c r="BL2292" s="2" t="s">
        <v>6895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2526</v>
      </c>
      <c r="BV2292" s="2" t="s">
        <v>97</v>
      </c>
      <c r="BW2292" s="2" t="s">
        <v>100</v>
      </c>
      <c r="BX2292" s="2" t="s">
        <v>100</v>
      </c>
      <c r="BY2292" s="2" t="s">
        <v>112</v>
      </c>
      <c r="BZ2292" s="2" t="s">
        <v>100</v>
      </c>
    </row>
    <row r="2293">
      <c r="A2293" s="2" t="s">
        <v>8102</v>
      </c>
      <c r="B2293" s="2" t="s">
        <v>6747</v>
      </c>
      <c r="C2293" s="2" t="s">
        <v>88</v>
      </c>
      <c r="D2293" s="2" t="s">
        <v>7035</v>
      </c>
      <c r="E2293" s="2" t="s">
        <v>7036</v>
      </c>
      <c r="F2293" s="2" t="s">
        <v>8091</v>
      </c>
      <c r="G2293" s="2" t="s">
        <v>8092</v>
      </c>
      <c r="H2293" s="2" t="s">
        <v>8093</v>
      </c>
      <c r="I2293" s="2" t="s">
        <v>8094</v>
      </c>
      <c r="J2293" s="2" t="s">
        <v>3385</v>
      </c>
      <c r="K2293" s="2" t="s">
        <v>96</v>
      </c>
      <c r="L2293" s="3">
        <v>142.6</v>
      </c>
      <c r="M2293" s="3">
        <v>149.73</v>
      </c>
      <c r="N2293" s="3">
        <v>299</v>
      </c>
      <c r="O2293" s="2" t="s">
        <v>97</v>
      </c>
      <c r="P2293" s="2" t="s">
        <v>707</v>
      </c>
      <c r="Q2293" s="2" t="s">
        <v>99</v>
      </c>
      <c r="R2293" s="2" t="s">
        <v>100</v>
      </c>
      <c r="S2293" s="2" t="s">
        <v>8103</v>
      </c>
      <c r="T2293" s="2" t="s">
        <v>100</v>
      </c>
      <c r="U2293" s="2" t="s">
        <v>100</v>
      </c>
      <c r="V2293" s="2" t="s">
        <v>461</v>
      </c>
      <c r="W2293" s="2" t="s">
        <v>493</v>
      </c>
      <c r="X2293" s="2" t="s">
        <v>100</v>
      </c>
      <c r="Y2293" s="2" t="s">
        <v>144</v>
      </c>
      <c r="Z2293" s="4">
        <v>127</v>
      </c>
      <c r="AA2293" s="4">
        <f>=ROUNDDOWN(31.75,0)</f>
      </c>
      <c r="AB2293" s="5">
        <v>4</v>
      </c>
      <c r="AC2293" s="2" t="s">
        <v>6903</v>
      </c>
      <c r="AD2293" s="4">
        <v>100</v>
      </c>
      <c r="AE2293" s="4">
        <v>100</v>
      </c>
      <c r="AF2293" s="6">
        <v>74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/>
      <c r="AW2293" s="8"/>
      <c r="AX2293" s="4"/>
      <c r="AY2293" s="8"/>
      <c r="AZ2293" s="7"/>
      <c r="BA2293" s="7"/>
      <c r="BB2293" s="7"/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/>
      <c r="BJ2293" s="4">
        <v>10</v>
      </c>
      <c r="BK2293" s="8">
        <v>1283.81</v>
      </c>
      <c r="BL2293" s="2" t="s">
        <v>6821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2526</v>
      </c>
      <c r="BV2293" s="2" t="s">
        <v>97</v>
      </c>
      <c r="BW2293" s="2" t="s">
        <v>100</v>
      </c>
      <c r="BX2293" s="2" t="s">
        <v>100</v>
      </c>
      <c r="BY2293" s="2" t="s">
        <v>112</v>
      </c>
      <c r="BZ2293" s="2" t="s">
        <v>100</v>
      </c>
    </row>
    <row r="2294">
      <c r="A2294" s="2" t="s">
        <v>8104</v>
      </c>
      <c r="B2294" s="2" t="s">
        <v>6747</v>
      </c>
      <c r="C2294" s="2" t="s">
        <v>88</v>
      </c>
      <c r="D2294" s="2" t="s">
        <v>7035</v>
      </c>
      <c r="E2294" s="2" t="s">
        <v>7036</v>
      </c>
      <c r="F2294" s="2" t="s">
        <v>8091</v>
      </c>
      <c r="G2294" s="2" t="s">
        <v>8092</v>
      </c>
      <c r="H2294" s="2" t="s">
        <v>8093</v>
      </c>
      <c r="I2294" s="2" t="s">
        <v>8094</v>
      </c>
      <c r="J2294" s="2" t="s">
        <v>3385</v>
      </c>
      <c r="K2294" s="2" t="s">
        <v>6752</v>
      </c>
      <c r="L2294" s="3">
        <v>142.6</v>
      </c>
      <c r="M2294" s="3">
        <v>149.73</v>
      </c>
      <c r="N2294" s="3">
        <v>299</v>
      </c>
      <c r="O2294" s="2" t="s">
        <v>97</v>
      </c>
      <c r="P2294" s="2" t="s">
        <v>707</v>
      </c>
      <c r="Q2294" s="2" t="s">
        <v>99</v>
      </c>
      <c r="R2294" s="2" t="s">
        <v>100</v>
      </c>
      <c r="S2294" s="2" t="s">
        <v>100</v>
      </c>
      <c r="T2294" s="2" t="s">
        <v>100</v>
      </c>
      <c r="U2294" s="2" t="s">
        <v>1776</v>
      </c>
      <c r="V2294" s="2" t="s">
        <v>461</v>
      </c>
      <c r="W2294" s="2" t="s">
        <v>493</v>
      </c>
      <c r="X2294" s="2" t="s">
        <v>142</v>
      </c>
      <c r="Y2294" s="2" t="s">
        <v>7347</v>
      </c>
      <c r="Z2294" s="4">
        <v>40</v>
      </c>
      <c r="AA2294" s="4">
        <f>=ROUNDDOWN(17.3913043478261,0)</f>
      </c>
      <c r="AB2294" s="5">
        <v>2.3</v>
      </c>
      <c r="AC2294" s="2" t="s">
        <v>201</v>
      </c>
      <c r="AD2294" s="4">
        <v>100</v>
      </c>
      <c r="AE2294" s="4">
        <v>100</v>
      </c>
      <c r="AF2294" s="6">
        <v>74</v>
      </c>
      <c r="AG2294" s="6">
        <v>60</v>
      </c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/>
      <c r="AW2294" s="8"/>
      <c r="AX2294" s="4"/>
      <c r="AY2294" s="8"/>
      <c r="AZ2294" s="7"/>
      <c r="BA2294" s="7"/>
      <c r="BB2294" s="7"/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/>
      <c r="BJ2294" s="4">
        <v>7</v>
      </c>
      <c r="BK2294" s="8">
        <v>1024.78</v>
      </c>
      <c r="BL2294" s="2" t="s">
        <v>7884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2526</v>
      </c>
      <c r="BV2294" s="2" t="s">
        <v>97</v>
      </c>
      <c r="BW2294" s="2" t="s">
        <v>100</v>
      </c>
      <c r="BX2294" s="2" t="s">
        <v>100</v>
      </c>
      <c r="BY2294" s="2" t="s">
        <v>112</v>
      </c>
      <c r="BZ2294" s="2" t="s">
        <v>100</v>
      </c>
    </row>
    <row r="2295">
      <c r="A2295" s="2" t="s">
        <v>8105</v>
      </c>
      <c r="B2295" s="2" t="s">
        <v>6747</v>
      </c>
      <c r="C2295" s="2" t="s">
        <v>88</v>
      </c>
      <c r="D2295" s="2" t="s">
        <v>7035</v>
      </c>
      <c r="E2295" s="2" t="s">
        <v>7036</v>
      </c>
      <c r="F2295" s="2" t="s">
        <v>8106</v>
      </c>
      <c r="G2295" s="2" t="s">
        <v>8107</v>
      </c>
      <c r="H2295" s="2" t="s">
        <v>8108</v>
      </c>
      <c r="I2295" s="2" t="s">
        <v>8031</v>
      </c>
      <c r="J2295" s="2" t="s">
        <v>3385</v>
      </c>
      <c r="K2295" s="2" t="s">
        <v>446</v>
      </c>
      <c r="L2295" s="3">
        <v>285.2</v>
      </c>
      <c r="M2295" s="3">
        <v>299.46</v>
      </c>
      <c r="N2295" s="3">
        <v>599</v>
      </c>
      <c r="O2295" s="2" t="s">
        <v>97</v>
      </c>
      <c r="P2295" s="2" t="s">
        <v>98</v>
      </c>
      <c r="Q2295" s="2" t="s">
        <v>99</v>
      </c>
      <c r="R2295" s="2" t="s">
        <v>100</v>
      </c>
      <c r="S2295" s="2" t="s">
        <v>100</v>
      </c>
      <c r="T2295" s="2" t="s">
        <v>100</v>
      </c>
      <c r="U2295" s="2" t="s">
        <v>894</v>
      </c>
      <c r="V2295" s="2" t="s">
        <v>3412</v>
      </c>
      <c r="W2295" s="2" t="s">
        <v>493</v>
      </c>
      <c r="X2295" s="2" t="s">
        <v>100</v>
      </c>
      <c r="Y2295" s="2" t="s">
        <v>8109</v>
      </c>
      <c r="Z2295" s="4">
        <v>176</v>
      </c>
      <c r="AA2295" s="4">
        <f>=ROUNDDOWN(58.6666666666667,0)</f>
      </c>
      <c r="AB2295" s="5">
        <v>3</v>
      </c>
      <c r="AC2295" s="2" t="s">
        <v>100</v>
      </c>
      <c r="AD2295" s="4"/>
      <c r="AE2295" s="4"/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/>
      <c r="AW2295" s="8"/>
      <c r="AX2295" s="4"/>
      <c r="AY2295" s="8"/>
      <c r="AZ2295" s="7"/>
      <c r="BA2295" s="7"/>
      <c r="BB2295" s="7"/>
      <c r="BC2295" s="4"/>
      <c r="BD2295" s="8"/>
      <c r="BE2295" s="4"/>
      <c r="BF2295" s="8"/>
      <c r="BG2295" s="7"/>
      <c r="BH2295" s="7"/>
      <c r="BI2295" s="7"/>
      <c r="BJ2295" s="4">
        <v>14</v>
      </c>
      <c r="BK2295" s="8">
        <v>4228.91</v>
      </c>
      <c r="BL2295" s="2" t="s">
        <v>2619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2526</v>
      </c>
      <c r="BV2295" s="2" t="s">
        <v>97</v>
      </c>
      <c r="BW2295" s="2" t="s">
        <v>100</v>
      </c>
      <c r="BX2295" s="2" t="s">
        <v>100</v>
      </c>
      <c r="BY2295" s="2" t="s">
        <v>112</v>
      </c>
      <c r="BZ2295" s="2" t="s">
        <v>100</v>
      </c>
    </row>
    <row r="2296">
      <c r="A2296" s="2" t="s">
        <v>8110</v>
      </c>
      <c r="B2296" s="2" t="s">
        <v>6747</v>
      </c>
      <c r="C2296" s="2" t="s">
        <v>88</v>
      </c>
      <c r="D2296" s="2" t="s">
        <v>7035</v>
      </c>
      <c r="E2296" s="2" t="s">
        <v>7036</v>
      </c>
      <c r="F2296" s="2" t="s">
        <v>8111</v>
      </c>
      <c r="G2296" s="2" t="s">
        <v>4010</v>
      </c>
      <c r="H2296" s="2" t="s">
        <v>8112</v>
      </c>
      <c r="I2296" s="2" t="s">
        <v>8113</v>
      </c>
      <c r="J2296" s="2" t="s">
        <v>3385</v>
      </c>
      <c r="K2296" s="2" t="s">
        <v>446</v>
      </c>
      <c r="L2296" s="3">
        <v>263.5</v>
      </c>
      <c r="M2296" s="3">
        <v>276.68</v>
      </c>
      <c r="N2296" s="3">
        <v>549</v>
      </c>
      <c r="O2296" s="2" t="s">
        <v>97</v>
      </c>
      <c r="P2296" s="2" t="s">
        <v>98</v>
      </c>
      <c r="Q2296" s="2" t="s">
        <v>99</v>
      </c>
      <c r="R2296" s="2" t="s">
        <v>100</v>
      </c>
      <c r="S2296" s="2" t="s">
        <v>100</v>
      </c>
      <c r="T2296" s="2" t="s">
        <v>100</v>
      </c>
      <c r="U2296" s="2" t="s">
        <v>894</v>
      </c>
      <c r="V2296" s="2" t="s">
        <v>3412</v>
      </c>
      <c r="W2296" s="2" t="s">
        <v>594</v>
      </c>
      <c r="X2296" s="2" t="s">
        <v>100</v>
      </c>
      <c r="Y2296" s="2" t="s">
        <v>7870</v>
      </c>
      <c r="Z2296" s="4">
        <v>162</v>
      </c>
      <c r="AA2296" s="4">
        <f>=ROUNDDOWN(27,0)</f>
      </c>
      <c r="AB2296" s="5">
        <v>6</v>
      </c>
      <c r="AC2296" s="2" t="s">
        <v>100</v>
      </c>
      <c r="AD2296" s="4"/>
      <c r="AE2296" s="4"/>
      <c r="AF2296" s="6">
        <v>65</v>
      </c>
      <c r="AG2296" s="6">
        <v>48</v>
      </c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/>
      <c r="AW2296" s="8"/>
      <c r="AX2296" s="4"/>
      <c r="AY2296" s="8"/>
      <c r="AZ2296" s="7"/>
      <c r="BA2296" s="7"/>
      <c r="BB2296" s="7"/>
      <c r="BC2296" s="4"/>
      <c r="BD2296" s="8"/>
      <c r="BE2296" s="4"/>
      <c r="BF2296" s="8"/>
      <c r="BG2296" s="7"/>
      <c r="BH2296" s="7"/>
      <c r="BI2296" s="7"/>
      <c r="BJ2296" s="4">
        <v>25</v>
      </c>
      <c r="BK2296" s="8">
        <v>6656.19</v>
      </c>
      <c r="BL2296" s="2" t="s">
        <v>7043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2551</v>
      </c>
      <c r="BV2296" s="2" t="s">
        <v>97</v>
      </c>
      <c r="BW2296" s="2" t="s">
        <v>100</v>
      </c>
      <c r="BX2296" s="2" t="s">
        <v>100</v>
      </c>
      <c r="BY2296" s="2" t="s">
        <v>112</v>
      </c>
      <c r="BZ2296" s="2" t="s">
        <v>100</v>
      </c>
    </row>
    <row r="2297">
      <c r="A2297" s="2" t="s">
        <v>8114</v>
      </c>
      <c r="B2297" s="2" t="s">
        <v>6747</v>
      </c>
      <c r="C2297" s="2" t="s">
        <v>88</v>
      </c>
      <c r="D2297" s="2" t="s">
        <v>7104</v>
      </c>
      <c r="E2297" s="2" t="s">
        <v>7105</v>
      </c>
      <c r="F2297" s="2" t="s">
        <v>7733</v>
      </c>
      <c r="G2297" s="2" t="s">
        <v>7734</v>
      </c>
      <c r="H2297" s="2" t="s">
        <v>7735</v>
      </c>
      <c r="I2297" s="2" t="s">
        <v>8115</v>
      </c>
      <c r="J2297" s="2" t="s">
        <v>8116</v>
      </c>
      <c r="K2297" s="2" t="s">
        <v>8117</v>
      </c>
      <c r="L2297" s="3">
        <v>303.03</v>
      </c>
      <c r="M2297" s="3">
        <v>318.18</v>
      </c>
      <c r="N2297" s="3">
        <v>649</v>
      </c>
      <c r="O2297" s="2" t="s">
        <v>97</v>
      </c>
      <c r="P2297" s="2" t="s">
        <v>98</v>
      </c>
      <c r="Q2297" s="2" t="s">
        <v>99</v>
      </c>
      <c r="R2297" s="2" t="s">
        <v>100</v>
      </c>
      <c r="S2297" s="2" t="s">
        <v>100</v>
      </c>
      <c r="T2297" s="2" t="s">
        <v>100</v>
      </c>
      <c r="U2297" s="2" t="s">
        <v>1776</v>
      </c>
      <c r="V2297" s="2" t="s">
        <v>3412</v>
      </c>
      <c r="W2297" s="2" t="s">
        <v>594</v>
      </c>
      <c r="X2297" s="2" t="s">
        <v>609</v>
      </c>
      <c r="Y2297" s="2" t="s">
        <v>8118</v>
      </c>
      <c r="Z2297" s="4">
        <v>237</v>
      </c>
      <c r="AA2297" s="4">
        <f>=ROUNDDOWN(29.625,0)</f>
      </c>
      <c r="AB2297" s="5">
        <v>8</v>
      </c>
      <c r="AC2297" s="2" t="s">
        <v>262</v>
      </c>
      <c r="AD2297" s="4">
        <v>100</v>
      </c>
      <c r="AE2297" s="4">
        <v>100</v>
      </c>
      <c r="AF2297" s="6">
        <v>67</v>
      </c>
      <c r="AG2297" s="6">
        <v>50</v>
      </c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/>
      <c r="AW2297" s="8"/>
      <c r="AX2297" s="4"/>
      <c r="AY2297" s="8"/>
      <c r="AZ2297" s="7"/>
      <c r="BA2297" s="7"/>
      <c r="BB2297" s="7"/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/>
      <c r="BJ2297" s="4">
        <v>39</v>
      </c>
      <c r="BK2297" s="8">
        <v>11108.46</v>
      </c>
      <c r="BL2297" s="2" t="s">
        <v>2765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2526</v>
      </c>
      <c r="BV2297" s="2" t="s">
        <v>97</v>
      </c>
      <c r="BW2297" s="2" t="s">
        <v>100</v>
      </c>
      <c r="BX2297" s="2" t="s">
        <v>100</v>
      </c>
      <c r="BY2297" s="2" t="s">
        <v>112</v>
      </c>
      <c r="BZ2297" s="2" t="s">
        <v>100</v>
      </c>
    </row>
    <row r="2298">
      <c r="A2298" s="2" t="s">
        <v>8119</v>
      </c>
      <c r="B2298" s="2" t="s">
        <v>6747</v>
      </c>
      <c r="C2298" s="2" t="s">
        <v>88</v>
      </c>
      <c r="D2298" s="2" t="s">
        <v>7104</v>
      </c>
      <c r="E2298" s="2" t="s">
        <v>7105</v>
      </c>
      <c r="F2298" s="2" t="s">
        <v>7733</v>
      </c>
      <c r="G2298" s="2" t="s">
        <v>7734</v>
      </c>
      <c r="H2298" s="2" t="s">
        <v>7735</v>
      </c>
      <c r="I2298" s="2" t="s">
        <v>8115</v>
      </c>
      <c r="J2298" s="2" t="s">
        <v>8116</v>
      </c>
      <c r="K2298" s="2" t="s">
        <v>8120</v>
      </c>
      <c r="L2298" s="3">
        <v>303.03</v>
      </c>
      <c r="M2298" s="3">
        <v>318.18</v>
      </c>
      <c r="N2298" s="3">
        <v>649</v>
      </c>
      <c r="O2298" s="2" t="s">
        <v>97</v>
      </c>
      <c r="P2298" s="2" t="s">
        <v>139</v>
      </c>
      <c r="Q2298" s="2" t="s">
        <v>99</v>
      </c>
      <c r="R2298" s="2" t="s">
        <v>100</v>
      </c>
      <c r="S2298" s="2" t="s">
        <v>100</v>
      </c>
      <c r="T2298" s="2" t="s">
        <v>100</v>
      </c>
      <c r="U2298" s="2" t="s">
        <v>1776</v>
      </c>
      <c r="V2298" s="2" t="s">
        <v>3412</v>
      </c>
      <c r="W2298" s="2" t="s">
        <v>594</v>
      </c>
      <c r="X2298" s="2" t="s">
        <v>609</v>
      </c>
      <c r="Y2298" s="2" t="s">
        <v>1079</v>
      </c>
      <c r="Z2298" s="4">
        <v>123</v>
      </c>
      <c r="AA2298" s="4">
        <f>=ROUNDDOWN(5.59090909090909,0)</f>
      </c>
      <c r="AB2298" s="5">
        <v>22</v>
      </c>
      <c r="AC2298" s="2" t="s">
        <v>8121</v>
      </c>
      <c r="AD2298" s="4">
        <v>200</v>
      </c>
      <c r="AE2298" s="4">
        <v>593</v>
      </c>
      <c r="AF2298" s="6">
        <v>67</v>
      </c>
      <c r="AG2298" s="6">
        <v>50</v>
      </c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7"/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/>
      <c r="BJ2298" s="4">
        <v>90</v>
      </c>
      <c r="BK2298" s="8">
        <v>27333.49</v>
      </c>
      <c r="BL2298" s="2" t="s">
        <v>8122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2526</v>
      </c>
      <c r="BV2298" s="2" t="s">
        <v>97</v>
      </c>
      <c r="BW2298" s="2" t="s">
        <v>100</v>
      </c>
      <c r="BX2298" s="2" t="s">
        <v>100</v>
      </c>
      <c r="BY2298" s="2" t="s">
        <v>112</v>
      </c>
      <c r="BZ2298" s="2" t="s">
        <v>100</v>
      </c>
    </row>
    <row r="2299">
      <c r="A2299" s="2" t="s">
        <v>8123</v>
      </c>
      <c r="B2299" s="2" t="s">
        <v>6747</v>
      </c>
      <c r="C2299" s="2" t="s">
        <v>88</v>
      </c>
      <c r="D2299" s="2" t="s">
        <v>7140</v>
      </c>
      <c r="E2299" s="2" t="s">
        <v>7141</v>
      </c>
      <c r="F2299" s="2" t="s">
        <v>8124</v>
      </c>
      <c r="G2299" s="2" t="s">
        <v>8125</v>
      </c>
      <c r="H2299" s="2" t="s">
        <v>8126</v>
      </c>
      <c r="I2299" s="2" t="s">
        <v>8127</v>
      </c>
      <c r="J2299" s="2" t="s">
        <v>95</v>
      </c>
      <c r="K2299" s="2" t="s">
        <v>1090</v>
      </c>
      <c r="L2299" s="3">
        <v>180.5</v>
      </c>
      <c r="M2299" s="3">
        <v>189.52</v>
      </c>
      <c r="N2299" s="3">
        <v>379</v>
      </c>
      <c r="O2299" s="2" t="s">
        <v>97</v>
      </c>
      <c r="P2299" s="2" t="s">
        <v>123</v>
      </c>
      <c r="Q2299" s="2" t="s">
        <v>99</v>
      </c>
      <c r="R2299" s="2" t="s">
        <v>100</v>
      </c>
      <c r="S2299" s="2" t="s">
        <v>8128</v>
      </c>
      <c r="T2299" s="2" t="s">
        <v>100</v>
      </c>
      <c r="U2299" s="2" t="s">
        <v>1776</v>
      </c>
      <c r="V2299" s="2" t="s">
        <v>461</v>
      </c>
      <c r="W2299" s="2" t="s">
        <v>142</v>
      </c>
      <c r="X2299" s="2" t="s">
        <v>100</v>
      </c>
      <c r="Y2299" s="2" t="s">
        <v>980</v>
      </c>
      <c r="Z2299" s="4">
        <v>183</v>
      </c>
      <c r="AA2299" s="4">
        <f>=ROUNDDOWN(17.9411764705882,0)</f>
      </c>
      <c r="AB2299" s="5">
        <v>10.2</v>
      </c>
      <c r="AC2299" s="2" t="s">
        <v>875</v>
      </c>
      <c r="AD2299" s="4">
        <v>32</v>
      </c>
      <c r="AE2299" s="4">
        <v>692</v>
      </c>
      <c r="AF2299" s="6">
        <v>65</v>
      </c>
      <c r="AG2299" s="6">
        <v>48</v>
      </c>
      <c r="AH2299" s="7">
        <v>1</v>
      </c>
      <c r="AI2299" s="4"/>
      <c r="AJ2299" s="4">
        <f>=ROUNDDOWN({0},0)</f>
      </c>
      <c r="AK2299" s="5"/>
      <c r="AL2299" s="2" t="s">
        <v>6924</v>
      </c>
      <c r="AM2299" s="4">
        <v>62</v>
      </c>
      <c r="AN2299" s="4">
        <v>62</v>
      </c>
      <c r="AO2299" s="7">
        <v>0</v>
      </c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/>
      <c r="BJ2299" s="4">
        <v>89</v>
      </c>
      <c r="BK2299" s="8">
        <v>15519.43</v>
      </c>
      <c r="BL2299" s="2" t="s">
        <v>8129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2526</v>
      </c>
      <c r="BV2299" s="2" t="s">
        <v>97</v>
      </c>
      <c r="BW2299" s="2" t="s">
        <v>100</v>
      </c>
      <c r="BX2299" s="2" t="s">
        <v>100</v>
      </c>
      <c r="BY2299" s="2" t="s">
        <v>112</v>
      </c>
      <c r="BZ2299" s="2" t="s">
        <v>100</v>
      </c>
    </row>
    <row r="2300">
      <c r="A2300" s="2" t="s">
        <v>8130</v>
      </c>
      <c r="B2300" s="2" t="s">
        <v>6747</v>
      </c>
      <c r="C2300" s="2" t="s">
        <v>88</v>
      </c>
      <c r="D2300" s="2" t="s">
        <v>7140</v>
      </c>
      <c r="E2300" s="2" t="s">
        <v>7141</v>
      </c>
      <c r="F2300" s="2" t="s">
        <v>8124</v>
      </c>
      <c r="G2300" s="2" t="s">
        <v>8125</v>
      </c>
      <c r="H2300" s="2" t="s">
        <v>8126</v>
      </c>
      <c r="I2300" s="2" t="s">
        <v>8127</v>
      </c>
      <c r="J2300" s="2" t="s">
        <v>95</v>
      </c>
      <c r="K2300" s="2" t="s">
        <v>96</v>
      </c>
      <c r="L2300" s="3">
        <v>180.5</v>
      </c>
      <c r="M2300" s="3">
        <v>189.52</v>
      </c>
      <c r="N2300" s="3">
        <v>379</v>
      </c>
      <c r="O2300" s="2" t="s">
        <v>97</v>
      </c>
      <c r="P2300" s="2" t="s">
        <v>123</v>
      </c>
      <c r="Q2300" s="2" t="s">
        <v>99</v>
      </c>
      <c r="R2300" s="2" t="s">
        <v>100</v>
      </c>
      <c r="S2300" s="2" t="s">
        <v>8131</v>
      </c>
      <c r="T2300" s="2" t="s">
        <v>100</v>
      </c>
      <c r="U2300" s="2" t="s">
        <v>1776</v>
      </c>
      <c r="V2300" s="2" t="s">
        <v>461</v>
      </c>
      <c r="W2300" s="2" t="s">
        <v>142</v>
      </c>
      <c r="X2300" s="2" t="s">
        <v>100</v>
      </c>
      <c r="Y2300" s="2" t="s">
        <v>8132</v>
      </c>
      <c r="Z2300" s="4">
        <v>31</v>
      </c>
      <c r="AA2300" s="4">
        <f>=ROUNDDOWN(2.92452830188679,0)</f>
      </c>
      <c r="AB2300" s="5">
        <v>10.6</v>
      </c>
      <c r="AC2300" s="2" t="s">
        <v>145</v>
      </c>
      <c r="AD2300" s="4">
        <v>84</v>
      </c>
      <c r="AE2300" s="4">
        <v>761</v>
      </c>
      <c r="AF2300" s="6">
        <v>65</v>
      </c>
      <c r="AG2300" s="6">
        <v>48</v>
      </c>
      <c r="AH2300" s="7">
        <v>0.9677</v>
      </c>
      <c r="AI2300" s="4"/>
      <c r="AJ2300" s="4">
        <f>=ROUNDDOWN({0},0)</f>
      </c>
      <c r="AK2300" s="5"/>
      <c r="AL2300" s="2" t="s">
        <v>1353</v>
      </c>
      <c r="AM2300" s="4">
        <v>100</v>
      </c>
      <c r="AN2300" s="4">
        <v>150</v>
      </c>
      <c r="AO2300" s="7">
        <v>0</v>
      </c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/>
      <c r="BJ2300" s="4">
        <v>99</v>
      </c>
      <c r="BK2300" s="8">
        <v>17818.9</v>
      </c>
      <c r="BL2300" s="2" t="s">
        <v>8133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2526</v>
      </c>
      <c r="BV2300" s="2" t="s">
        <v>97</v>
      </c>
      <c r="BW2300" s="2" t="s">
        <v>100</v>
      </c>
      <c r="BX2300" s="2" t="s">
        <v>100</v>
      </c>
      <c r="BY2300" s="2" t="s">
        <v>112</v>
      </c>
      <c r="BZ2300" s="2" t="s">
        <v>100</v>
      </c>
    </row>
    <row r="2301">
      <c r="A2301" s="2" t="s">
        <v>8134</v>
      </c>
      <c r="B2301" s="2" t="s">
        <v>6747</v>
      </c>
      <c r="C2301" s="2" t="s">
        <v>88</v>
      </c>
      <c r="D2301" s="2" t="s">
        <v>7140</v>
      </c>
      <c r="E2301" s="2" t="s">
        <v>7141</v>
      </c>
      <c r="F2301" s="2" t="s">
        <v>8124</v>
      </c>
      <c r="G2301" s="2" t="s">
        <v>8125</v>
      </c>
      <c r="H2301" s="2" t="s">
        <v>8126</v>
      </c>
      <c r="I2301" s="2" t="s">
        <v>8127</v>
      </c>
      <c r="J2301" s="2" t="s">
        <v>95</v>
      </c>
      <c r="K2301" s="2" t="s">
        <v>223</v>
      </c>
      <c r="L2301" s="3">
        <v>180.5</v>
      </c>
      <c r="M2301" s="3">
        <v>189.52</v>
      </c>
      <c r="N2301" s="3">
        <v>379</v>
      </c>
      <c r="O2301" s="2" t="s">
        <v>97</v>
      </c>
      <c r="P2301" s="2" t="s">
        <v>98</v>
      </c>
      <c r="Q2301" s="2" t="s">
        <v>99</v>
      </c>
      <c r="R2301" s="2" t="s">
        <v>100</v>
      </c>
      <c r="S2301" s="2" t="s">
        <v>100</v>
      </c>
      <c r="T2301" s="2" t="s">
        <v>100</v>
      </c>
      <c r="U2301" s="2" t="s">
        <v>1776</v>
      </c>
      <c r="V2301" s="2" t="s">
        <v>461</v>
      </c>
      <c r="W2301" s="2" t="s">
        <v>142</v>
      </c>
      <c r="X2301" s="2" t="s">
        <v>100</v>
      </c>
      <c r="Y2301" s="2" t="s">
        <v>8135</v>
      </c>
      <c r="Z2301" s="4">
        <v>30</v>
      </c>
      <c r="AA2301" s="4">
        <f>=ROUNDDOWN(6,0)</f>
      </c>
      <c r="AB2301" s="5">
        <v>5</v>
      </c>
      <c r="AC2301" s="2" t="s">
        <v>1452</v>
      </c>
      <c r="AD2301" s="4">
        <v>100</v>
      </c>
      <c r="AE2301" s="4">
        <v>100</v>
      </c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/>
      <c r="BJ2301" s="4">
        <v>36</v>
      </c>
      <c r="BK2301" s="8">
        <v>6177.62</v>
      </c>
      <c r="BL2301" s="2" t="s">
        <v>8136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2526</v>
      </c>
      <c r="BV2301" s="2" t="s">
        <v>97</v>
      </c>
      <c r="BW2301" s="2" t="s">
        <v>100</v>
      </c>
      <c r="BX2301" s="2" t="s">
        <v>100</v>
      </c>
      <c r="BY2301" s="2" t="s">
        <v>112</v>
      </c>
      <c r="BZ2301" s="2" t="s">
        <v>100</v>
      </c>
    </row>
    <row r="2302">
      <c r="A2302" s="2" t="s">
        <v>8137</v>
      </c>
      <c r="B2302" s="2" t="s">
        <v>6747</v>
      </c>
      <c r="C2302" s="2" t="s">
        <v>88</v>
      </c>
      <c r="D2302" s="2" t="s">
        <v>7140</v>
      </c>
      <c r="E2302" s="2" t="s">
        <v>7141</v>
      </c>
      <c r="F2302" s="2" t="s">
        <v>8138</v>
      </c>
      <c r="G2302" s="2" t="s">
        <v>8139</v>
      </c>
      <c r="H2302" s="2" t="s">
        <v>8140</v>
      </c>
      <c r="I2302" s="2" t="s">
        <v>8127</v>
      </c>
      <c r="J2302" s="2" t="s">
        <v>95</v>
      </c>
      <c r="K2302" s="2" t="s">
        <v>446</v>
      </c>
      <c r="L2302" s="3">
        <v>130</v>
      </c>
      <c r="M2302" s="3">
        <v>136.5</v>
      </c>
      <c r="N2302" s="3">
        <v>269</v>
      </c>
      <c r="O2302" s="2" t="s">
        <v>97</v>
      </c>
      <c r="P2302" s="2" t="s">
        <v>98</v>
      </c>
      <c r="Q2302" s="2" t="s">
        <v>99</v>
      </c>
      <c r="R2302" s="2" t="s">
        <v>100</v>
      </c>
      <c r="S2302" s="2" t="s">
        <v>8141</v>
      </c>
      <c r="T2302" s="2" t="s">
        <v>100</v>
      </c>
      <c r="U2302" s="2" t="s">
        <v>100</v>
      </c>
      <c r="V2302" s="2" t="s">
        <v>461</v>
      </c>
      <c r="W2302" s="2" t="s">
        <v>142</v>
      </c>
      <c r="X2302" s="2" t="s">
        <v>100</v>
      </c>
      <c r="Y2302" s="2" t="s">
        <v>5345</v>
      </c>
      <c r="Z2302" s="4">
        <v>314</v>
      </c>
      <c r="AA2302" s="4">
        <f>=ROUNDDOWN(26.1666666666667,0)</f>
      </c>
      <c r="AB2302" s="5">
        <v>12</v>
      </c>
      <c r="AC2302" s="2" t="s">
        <v>932</v>
      </c>
      <c r="AD2302" s="4">
        <v>16</v>
      </c>
      <c r="AE2302" s="4">
        <v>280</v>
      </c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 t="s">
        <v>100</v>
      </c>
      <c r="AW2302" s="8" t="s">
        <v>100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/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/>
      <c r="BJ2302" s="4">
        <v>36</v>
      </c>
      <c r="BK2302" s="8">
        <v>4364.31</v>
      </c>
      <c r="BL2302" s="2" t="s">
        <v>7569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2526</v>
      </c>
      <c r="BV2302" s="2" t="s">
        <v>97</v>
      </c>
      <c r="BW2302" s="2" t="s">
        <v>100</v>
      </c>
      <c r="BX2302" s="2" t="s">
        <v>100</v>
      </c>
      <c r="BY2302" s="2" t="s">
        <v>112</v>
      </c>
      <c r="BZ2302" s="2" t="s">
        <v>100</v>
      </c>
    </row>
    <row r="2303">
      <c r="A2303" s="2" t="s">
        <v>8142</v>
      </c>
      <c r="B2303" s="2" t="s">
        <v>6747</v>
      </c>
      <c r="C2303" s="2" t="s">
        <v>88</v>
      </c>
      <c r="D2303" s="2" t="s">
        <v>7140</v>
      </c>
      <c r="E2303" s="2" t="s">
        <v>7141</v>
      </c>
      <c r="F2303" s="2" t="s">
        <v>8138</v>
      </c>
      <c r="G2303" s="2" t="s">
        <v>8139</v>
      </c>
      <c r="H2303" s="2" t="s">
        <v>8140</v>
      </c>
      <c r="I2303" s="2" t="s">
        <v>8127</v>
      </c>
      <c r="J2303" s="2" t="s">
        <v>114</v>
      </c>
      <c r="K2303" s="2" t="s">
        <v>446</v>
      </c>
      <c r="L2303" s="3">
        <v>148</v>
      </c>
      <c r="M2303" s="3">
        <v>155.4</v>
      </c>
      <c r="N2303" s="3">
        <v>309</v>
      </c>
      <c r="O2303" s="2" t="s">
        <v>97</v>
      </c>
      <c r="P2303" s="2" t="s">
        <v>98</v>
      </c>
      <c r="Q2303" s="2" t="s">
        <v>99</v>
      </c>
      <c r="R2303" s="2" t="s">
        <v>100</v>
      </c>
      <c r="S2303" s="2" t="s">
        <v>8143</v>
      </c>
      <c r="T2303" s="2" t="s">
        <v>100</v>
      </c>
      <c r="U2303" s="2" t="s">
        <v>100</v>
      </c>
      <c r="V2303" s="2" t="s">
        <v>461</v>
      </c>
      <c r="W2303" s="2" t="s">
        <v>142</v>
      </c>
      <c r="X2303" s="2" t="s">
        <v>100</v>
      </c>
      <c r="Y2303" s="2" t="s">
        <v>8132</v>
      </c>
      <c r="Z2303" s="4">
        <v>163</v>
      </c>
      <c r="AA2303" s="4">
        <f>=ROUNDDOWN(13.5833333333333,0)</f>
      </c>
      <c r="AB2303" s="5">
        <v>12</v>
      </c>
      <c r="AC2303" s="2" t="s">
        <v>201</v>
      </c>
      <c r="AD2303" s="4">
        <v>7</v>
      </c>
      <c r="AE2303" s="4">
        <v>224</v>
      </c>
      <c r="AF2303" s="6">
        <v>65</v>
      </c>
      <c r="AG2303" s="6"/>
      <c r="AH2303" s="7">
        <v>0.9677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100</v>
      </c>
      <c r="AW2303" s="8" t="s">
        <v>100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/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/>
      <c r="BJ2303" s="4">
        <v>59</v>
      </c>
      <c r="BK2303" s="8">
        <v>8428.08</v>
      </c>
      <c r="BL2303" s="2" t="s">
        <v>8144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2526</v>
      </c>
      <c r="BV2303" s="2" t="s">
        <v>97</v>
      </c>
      <c r="BW2303" s="2" t="s">
        <v>100</v>
      </c>
      <c r="BX2303" s="2" t="s">
        <v>100</v>
      </c>
      <c r="BY2303" s="2" t="s">
        <v>112</v>
      </c>
      <c r="BZ2303" s="2" t="s">
        <v>100</v>
      </c>
    </row>
    <row r="2304">
      <c r="A2304" s="2" t="s">
        <v>8145</v>
      </c>
      <c r="B2304" s="2" t="s">
        <v>6747</v>
      </c>
      <c r="C2304" s="2" t="s">
        <v>88</v>
      </c>
      <c r="D2304" s="2" t="s">
        <v>7146</v>
      </c>
      <c r="E2304" s="2" t="s">
        <v>7147</v>
      </c>
      <c r="F2304" s="2" t="s">
        <v>8146</v>
      </c>
      <c r="G2304" s="2" t="s">
        <v>8147</v>
      </c>
      <c r="H2304" s="2" t="s">
        <v>8148</v>
      </c>
      <c r="I2304" s="2" t="s">
        <v>7147</v>
      </c>
      <c r="J2304" s="2" t="s">
        <v>3385</v>
      </c>
      <c r="K2304" s="2" t="s">
        <v>8149</v>
      </c>
      <c r="L2304" s="3">
        <v>360</v>
      </c>
      <c r="M2304" s="3">
        <v>378</v>
      </c>
      <c r="N2304" s="3">
        <v>749</v>
      </c>
      <c r="O2304" s="2" t="s">
        <v>97</v>
      </c>
      <c r="P2304" s="2" t="s">
        <v>123</v>
      </c>
      <c r="Q2304" s="2" t="s">
        <v>99</v>
      </c>
      <c r="R2304" s="2" t="s">
        <v>100</v>
      </c>
      <c r="S2304" s="2" t="s">
        <v>8150</v>
      </c>
      <c r="T2304" s="2" t="s">
        <v>100</v>
      </c>
      <c r="U2304" s="2" t="s">
        <v>1776</v>
      </c>
      <c r="V2304" s="2" t="s">
        <v>461</v>
      </c>
      <c r="W2304" s="2" t="s">
        <v>594</v>
      </c>
      <c r="X2304" s="2" t="s">
        <v>142</v>
      </c>
      <c r="Y2304" s="2" t="s">
        <v>8151</v>
      </c>
      <c r="Z2304" s="4">
        <v>288</v>
      </c>
      <c r="AA2304" s="4">
        <f>=ROUNDDOWN(16.9411764705882,0)</f>
      </c>
      <c r="AB2304" s="5">
        <v>17</v>
      </c>
      <c r="AC2304" s="2" t="s">
        <v>1094</v>
      </c>
      <c r="AD2304" s="4">
        <v>125</v>
      </c>
      <c r="AE2304" s="4">
        <v>287</v>
      </c>
      <c r="AF2304" s="6">
        <v>65</v>
      </c>
      <c r="AG2304" s="6">
        <v>48</v>
      </c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/>
      <c r="BD2304" s="8"/>
      <c r="BE2304" s="4"/>
      <c r="BF2304" s="8"/>
      <c r="BG2304" s="7"/>
      <c r="BH2304" s="7"/>
      <c r="BI2304" s="7"/>
      <c r="BJ2304" s="4">
        <v>50</v>
      </c>
      <c r="BK2304" s="8">
        <v>18752.36</v>
      </c>
      <c r="BL2304" s="2" t="s">
        <v>8152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2551</v>
      </c>
      <c r="BV2304" s="2" t="s">
        <v>97</v>
      </c>
      <c r="BW2304" s="2" t="s">
        <v>100</v>
      </c>
      <c r="BX2304" s="2" t="s">
        <v>100</v>
      </c>
      <c r="BY2304" s="2" t="s">
        <v>112</v>
      </c>
      <c r="BZ2304" s="2" t="s">
        <v>100</v>
      </c>
    </row>
    <row r="2305">
      <c r="A2305" s="2" t="s">
        <v>8153</v>
      </c>
      <c r="B2305" s="2" t="s">
        <v>6747</v>
      </c>
      <c r="C2305" s="2" t="s">
        <v>88</v>
      </c>
      <c r="D2305" s="2" t="s">
        <v>7152</v>
      </c>
      <c r="E2305" s="2" t="s">
        <v>8154</v>
      </c>
      <c r="F2305" s="2" t="s">
        <v>8155</v>
      </c>
      <c r="G2305" s="2" t="s">
        <v>8156</v>
      </c>
      <c r="H2305" s="2" t="s">
        <v>8157</v>
      </c>
      <c r="I2305" s="2" t="s">
        <v>8154</v>
      </c>
      <c r="J2305" s="2" t="s">
        <v>3385</v>
      </c>
      <c r="K2305" s="2" t="s">
        <v>179</v>
      </c>
      <c r="L2305" s="3">
        <v>282.15</v>
      </c>
      <c r="M2305" s="3">
        <v>296.26</v>
      </c>
      <c r="N2305" s="3">
        <v>599</v>
      </c>
      <c r="O2305" s="2" t="s">
        <v>97</v>
      </c>
      <c r="P2305" s="2" t="s">
        <v>98</v>
      </c>
      <c r="Q2305" s="2" t="s">
        <v>99</v>
      </c>
      <c r="R2305" s="2" t="s">
        <v>100</v>
      </c>
      <c r="S2305" s="2" t="s">
        <v>100</v>
      </c>
      <c r="T2305" s="2" t="s">
        <v>100</v>
      </c>
      <c r="U2305" s="2" t="s">
        <v>1776</v>
      </c>
      <c r="V2305" s="2" t="s">
        <v>461</v>
      </c>
      <c r="W2305" s="2" t="s">
        <v>142</v>
      </c>
      <c r="X2305" s="2" t="s">
        <v>104</v>
      </c>
      <c r="Y2305" s="2" t="s">
        <v>8158</v>
      </c>
      <c r="Z2305" s="4">
        <v>138</v>
      </c>
      <c r="AA2305" s="4">
        <f>=ROUNDDOWN(27.6,0)</f>
      </c>
      <c r="AB2305" s="5">
        <v>5</v>
      </c>
      <c r="AC2305" s="2" t="s">
        <v>4919</v>
      </c>
      <c r="AD2305" s="4">
        <v>114</v>
      </c>
      <c r="AE2305" s="4">
        <v>114</v>
      </c>
      <c r="AF2305" s="6">
        <v>66</v>
      </c>
      <c r="AG2305" s="6">
        <v>49</v>
      </c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/>
      <c r="BJ2305" s="4">
        <v>13</v>
      </c>
      <c r="BK2305" s="8">
        <v>3354.6</v>
      </c>
      <c r="BL2305" s="2" t="s">
        <v>7564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2526</v>
      </c>
      <c r="BV2305" s="2" t="s">
        <v>97</v>
      </c>
      <c r="BW2305" s="2" t="s">
        <v>100</v>
      </c>
      <c r="BX2305" s="2" t="s">
        <v>100</v>
      </c>
      <c r="BY2305" s="2" t="s">
        <v>112</v>
      </c>
      <c r="BZ2305" s="2" t="s">
        <v>100</v>
      </c>
    </row>
    <row r="2306">
      <c r="A2306" s="2" t="s">
        <v>8159</v>
      </c>
      <c r="B2306" s="2" t="s">
        <v>6747</v>
      </c>
      <c r="C2306" s="2" t="s">
        <v>88</v>
      </c>
      <c r="D2306" s="2" t="s">
        <v>7152</v>
      </c>
      <c r="E2306" s="2" t="s">
        <v>8154</v>
      </c>
      <c r="F2306" s="2" t="s">
        <v>8155</v>
      </c>
      <c r="G2306" s="2" t="s">
        <v>8156</v>
      </c>
      <c r="H2306" s="2" t="s">
        <v>8157</v>
      </c>
      <c r="I2306" s="2" t="s">
        <v>8160</v>
      </c>
      <c r="J2306" s="2" t="s">
        <v>3385</v>
      </c>
      <c r="K2306" s="2" t="s">
        <v>1090</v>
      </c>
      <c r="L2306" s="3">
        <v>282.15</v>
      </c>
      <c r="M2306" s="3">
        <v>296.26</v>
      </c>
      <c r="N2306" s="3">
        <v>599</v>
      </c>
      <c r="O2306" s="2" t="s">
        <v>97</v>
      </c>
      <c r="P2306" s="2" t="s">
        <v>123</v>
      </c>
      <c r="Q2306" s="2" t="s">
        <v>99</v>
      </c>
      <c r="R2306" s="2" t="s">
        <v>100</v>
      </c>
      <c r="S2306" s="2" t="s">
        <v>8161</v>
      </c>
      <c r="T2306" s="2" t="s">
        <v>100</v>
      </c>
      <c r="U2306" s="2" t="s">
        <v>100</v>
      </c>
      <c r="V2306" s="2" t="s">
        <v>461</v>
      </c>
      <c r="W2306" s="2" t="s">
        <v>142</v>
      </c>
      <c r="X2306" s="2" t="s">
        <v>100</v>
      </c>
      <c r="Y2306" s="2" t="s">
        <v>4946</v>
      </c>
      <c r="Z2306" s="4">
        <v>237</v>
      </c>
      <c r="AA2306" s="4">
        <f>=ROUNDDOWN(12.4736842105263,0)</f>
      </c>
      <c r="AB2306" s="5">
        <v>19</v>
      </c>
      <c r="AC2306" s="2" t="s">
        <v>130</v>
      </c>
      <c r="AD2306" s="4">
        <v>126</v>
      </c>
      <c r="AE2306" s="4">
        <v>396</v>
      </c>
      <c r="AF2306" s="6">
        <v>66</v>
      </c>
      <c r="AG2306" s="6">
        <v>49</v>
      </c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7"/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/>
      <c r="BJ2306" s="4">
        <v>35</v>
      </c>
      <c r="BK2306" s="8">
        <v>9659.21</v>
      </c>
      <c r="BL2306" s="2" t="s">
        <v>8162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2526</v>
      </c>
      <c r="BV2306" s="2" t="s">
        <v>97</v>
      </c>
      <c r="BW2306" s="2" t="s">
        <v>100</v>
      </c>
      <c r="BX2306" s="2" t="s">
        <v>100</v>
      </c>
      <c r="BY2306" s="2" t="s">
        <v>112</v>
      </c>
      <c r="BZ2306" s="2" t="s">
        <v>100</v>
      </c>
    </row>
    <row r="2307">
      <c r="A2307" s="2" t="s">
        <v>8163</v>
      </c>
      <c r="B2307" s="2" t="s">
        <v>6747</v>
      </c>
      <c r="C2307" s="2" t="s">
        <v>88</v>
      </c>
      <c r="D2307" s="2" t="s">
        <v>7152</v>
      </c>
      <c r="E2307" s="2" t="s">
        <v>8154</v>
      </c>
      <c r="F2307" s="2" t="s">
        <v>8155</v>
      </c>
      <c r="G2307" s="2" t="s">
        <v>8156</v>
      </c>
      <c r="H2307" s="2" t="s">
        <v>8157</v>
      </c>
      <c r="I2307" s="2" t="s">
        <v>8160</v>
      </c>
      <c r="J2307" s="2" t="s">
        <v>3385</v>
      </c>
      <c r="K2307" s="2" t="s">
        <v>96</v>
      </c>
      <c r="L2307" s="3">
        <v>282.15</v>
      </c>
      <c r="M2307" s="3">
        <v>296.26</v>
      </c>
      <c r="N2307" s="3">
        <v>599</v>
      </c>
      <c r="O2307" s="2" t="s">
        <v>97</v>
      </c>
      <c r="P2307" s="2" t="s">
        <v>98</v>
      </c>
      <c r="Q2307" s="2" t="s">
        <v>99</v>
      </c>
      <c r="R2307" s="2" t="s">
        <v>100</v>
      </c>
      <c r="S2307" s="2" t="s">
        <v>100</v>
      </c>
      <c r="T2307" s="2" t="s">
        <v>100</v>
      </c>
      <c r="U2307" s="2" t="s">
        <v>1776</v>
      </c>
      <c r="V2307" s="2" t="s">
        <v>461</v>
      </c>
      <c r="W2307" s="2" t="s">
        <v>142</v>
      </c>
      <c r="X2307" s="2" t="s">
        <v>100</v>
      </c>
      <c r="Y2307" s="2" t="s">
        <v>7353</v>
      </c>
      <c r="Z2307" s="4">
        <v>121</v>
      </c>
      <c r="AA2307" s="4">
        <f>=ROUNDDOWN(20.1666666666667,0)</f>
      </c>
      <c r="AB2307" s="5">
        <v>6</v>
      </c>
      <c r="AC2307" s="2" t="s">
        <v>1468</v>
      </c>
      <c r="AD2307" s="4">
        <v>162</v>
      </c>
      <c r="AE2307" s="4">
        <v>162</v>
      </c>
      <c r="AF2307" s="6">
        <v>66</v>
      </c>
      <c r="AG2307" s="6">
        <v>49</v>
      </c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/>
      <c r="BJ2307" s="4">
        <v>49</v>
      </c>
      <c r="BK2307" s="8">
        <v>12448.16</v>
      </c>
      <c r="BL2307" s="2" t="s">
        <v>8164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2551</v>
      </c>
      <c r="BV2307" s="2" t="s">
        <v>97</v>
      </c>
      <c r="BW2307" s="2" t="s">
        <v>100</v>
      </c>
      <c r="BX2307" s="2" t="s">
        <v>100</v>
      </c>
      <c r="BY2307" s="2" t="s">
        <v>112</v>
      </c>
      <c r="BZ2307" s="2" t="s">
        <v>100</v>
      </c>
    </row>
    <row r="2308">
      <c r="A2308" s="2" t="s">
        <v>8165</v>
      </c>
      <c r="B2308" s="2" t="s">
        <v>6747</v>
      </c>
      <c r="C2308" s="2" t="s">
        <v>88</v>
      </c>
      <c r="D2308" s="2" t="s">
        <v>7152</v>
      </c>
      <c r="E2308" s="2" t="s">
        <v>8154</v>
      </c>
      <c r="F2308" s="2" t="s">
        <v>8166</v>
      </c>
      <c r="G2308" s="2" t="s">
        <v>8167</v>
      </c>
      <c r="H2308" s="2" t="s">
        <v>8168</v>
      </c>
      <c r="I2308" s="2" t="s">
        <v>8160</v>
      </c>
      <c r="J2308" s="2" t="s">
        <v>3385</v>
      </c>
      <c r="K2308" s="2" t="s">
        <v>1373</v>
      </c>
      <c r="L2308" s="3">
        <v>270.75</v>
      </c>
      <c r="M2308" s="3">
        <v>284.29</v>
      </c>
      <c r="N2308" s="3">
        <v>569</v>
      </c>
      <c r="O2308" s="2" t="s">
        <v>97</v>
      </c>
      <c r="P2308" s="2" t="s">
        <v>707</v>
      </c>
      <c r="Q2308" s="2" t="s">
        <v>99</v>
      </c>
      <c r="R2308" s="2" t="s">
        <v>100</v>
      </c>
      <c r="S2308" s="2" t="s">
        <v>100</v>
      </c>
      <c r="T2308" s="2" t="s">
        <v>100</v>
      </c>
      <c r="U2308" s="2" t="s">
        <v>1776</v>
      </c>
      <c r="V2308" s="2" t="s">
        <v>461</v>
      </c>
      <c r="W2308" s="2" t="s">
        <v>142</v>
      </c>
      <c r="X2308" s="2" t="s">
        <v>100</v>
      </c>
      <c r="Y2308" s="2" t="s">
        <v>1328</v>
      </c>
      <c r="Z2308" s="4">
        <v>63</v>
      </c>
      <c r="AA2308" s="4">
        <f>=ROUNDDOWN(21,0)</f>
      </c>
      <c r="AB2308" s="5">
        <v>3</v>
      </c>
      <c r="AC2308" s="2" t="s">
        <v>1452</v>
      </c>
      <c r="AD2308" s="4">
        <v>81</v>
      </c>
      <c r="AE2308" s="4">
        <v>81</v>
      </c>
      <c r="AF2308" s="6">
        <v>66</v>
      </c>
      <c r="AG2308" s="6">
        <v>49</v>
      </c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/>
      <c r="BD2308" s="8"/>
      <c r="BE2308" s="4"/>
      <c r="BF2308" s="8"/>
      <c r="BG2308" s="7"/>
      <c r="BH2308" s="7"/>
      <c r="BI2308" s="7"/>
      <c r="BJ2308" s="4">
        <v>9</v>
      </c>
      <c r="BK2308" s="8">
        <v>2563.08</v>
      </c>
      <c r="BL2308" s="2" t="s">
        <v>8169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2551</v>
      </c>
      <c r="BV2308" s="2" t="s">
        <v>97</v>
      </c>
      <c r="BW2308" s="2" t="s">
        <v>100</v>
      </c>
      <c r="BX2308" s="2" t="s">
        <v>100</v>
      </c>
      <c r="BY2308" s="2" t="s">
        <v>112</v>
      </c>
      <c r="BZ2308" s="2" t="s">
        <v>100</v>
      </c>
    </row>
    <row r="2309">
      <c r="A2309" s="2" t="s">
        <v>8170</v>
      </c>
      <c r="B2309" s="2" t="s">
        <v>6747</v>
      </c>
      <c r="C2309" s="2" t="s">
        <v>88</v>
      </c>
      <c r="D2309" s="2" t="s">
        <v>7152</v>
      </c>
      <c r="E2309" s="2" t="s">
        <v>8154</v>
      </c>
      <c r="F2309" s="2" t="s">
        <v>4397</v>
      </c>
      <c r="G2309" s="2" t="s">
        <v>6575</v>
      </c>
      <c r="H2309" s="2" t="s">
        <v>8171</v>
      </c>
      <c r="I2309" s="2" t="s">
        <v>8172</v>
      </c>
      <c r="J2309" s="2" t="s">
        <v>3385</v>
      </c>
      <c r="K2309" s="2" t="s">
        <v>1373</v>
      </c>
      <c r="L2309" s="3">
        <v>243.68</v>
      </c>
      <c r="M2309" s="3">
        <v>255.86</v>
      </c>
      <c r="N2309" s="3">
        <v>509</v>
      </c>
      <c r="O2309" s="2" t="s">
        <v>97</v>
      </c>
      <c r="P2309" s="2" t="s">
        <v>707</v>
      </c>
      <c r="Q2309" s="2" t="s">
        <v>99</v>
      </c>
      <c r="R2309" s="2" t="s">
        <v>100</v>
      </c>
      <c r="S2309" s="2" t="s">
        <v>100</v>
      </c>
      <c r="T2309" s="2" t="s">
        <v>100</v>
      </c>
      <c r="U2309" s="2" t="s">
        <v>1776</v>
      </c>
      <c r="V2309" s="2" t="s">
        <v>3412</v>
      </c>
      <c r="W2309" s="2" t="s">
        <v>493</v>
      </c>
      <c r="X2309" s="2" t="s">
        <v>609</v>
      </c>
      <c r="Y2309" s="2" t="s">
        <v>8173</v>
      </c>
      <c r="Z2309" s="4">
        <v>1</v>
      </c>
      <c r="AA2309" s="4">
        <f>=ROUNDDOWN(0.303030303030303,0)</f>
      </c>
      <c r="AB2309" s="5">
        <v>3.3</v>
      </c>
      <c r="AC2309" s="2" t="s">
        <v>130</v>
      </c>
      <c r="AD2309" s="4">
        <v>70</v>
      </c>
      <c r="AE2309" s="4">
        <v>97</v>
      </c>
      <c r="AF2309" s="6">
        <v>66</v>
      </c>
      <c r="AG2309" s="6"/>
      <c r="AH2309" s="7">
        <v>0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/>
      <c r="BD2309" s="8"/>
      <c r="BE2309" s="4"/>
      <c r="BF2309" s="8"/>
      <c r="BG2309" s="7"/>
      <c r="BH2309" s="7"/>
      <c r="BI2309" s="7"/>
      <c r="BJ2309" s="4">
        <v>2</v>
      </c>
      <c r="BK2309" s="8">
        <v>683.1</v>
      </c>
      <c r="BL2309" s="2" t="s">
        <v>3477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2526</v>
      </c>
      <c r="BV2309" s="2" t="s">
        <v>97</v>
      </c>
      <c r="BW2309" s="2" t="s">
        <v>100</v>
      </c>
      <c r="BX2309" s="2" t="s">
        <v>100</v>
      </c>
      <c r="BY2309" s="2" t="s">
        <v>112</v>
      </c>
      <c r="BZ2309" s="2" t="s">
        <v>100</v>
      </c>
    </row>
    <row r="2310">
      <c r="A2310" s="2" t="s">
        <v>8174</v>
      </c>
      <c r="B2310" s="2" t="s">
        <v>6747</v>
      </c>
      <c r="C2310" s="2" t="s">
        <v>88</v>
      </c>
      <c r="D2310" s="2" t="s">
        <v>7152</v>
      </c>
      <c r="E2310" s="2" t="s">
        <v>8154</v>
      </c>
      <c r="F2310" s="2" t="s">
        <v>8175</v>
      </c>
      <c r="G2310" s="2" t="s">
        <v>8176</v>
      </c>
      <c r="H2310" s="2" t="s">
        <v>8177</v>
      </c>
      <c r="I2310" s="2" t="s">
        <v>8160</v>
      </c>
      <c r="J2310" s="2" t="s">
        <v>3385</v>
      </c>
      <c r="K2310" s="2" t="s">
        <v>7938</v>
      </c>
      <c r="L2310" s="3">
        <v>270.75</v>
      </c>
      <c r="M2310" s="3">
        <v>284.29</v>
      </c>
      <c r="N2310" s="3">
        <v>569</v>
      </c>
      <c r="O2310" s="2" t="s">
        <v>97</v>
      </c>
      <c r="P2310" s="2" t="s">
        <v>98</v>
      </c>
      <c r="Q2310" s="2" t="s">
        <v>99</v>
      </c>
      <c r="R2310" s="2" t="s">
        <v>100</v>
      </c>
      <c r="S2310" s="2" t="s">
        <v>8178</v>
      </c>
      <c r="T2310" s="2" t="s">
        <v>100</v>
      </c>
      <c r="U2310" s="2" t="s">
        <v>100</v>
      </c>
      <c r="V2310" s="2" t="s">
        <v>461</v>
      </c>
      <c r="W2310" s="2" t="s">
        <v>142</v>
      </c>
      <c r="X2310" s="2" t="s">
        <v>100</v>
      </c>
      <c r="Y2310" s="2" t="s">
        <v>8179</v>
      </c>
      <c r="Z2310" s="4">
        <v>68</v>
      </c>
      <c r="AA2310" s="4">
        <f>=ROUNDDOWN(8.5,0)</f>
      </c>
      <c r="AB2310" s="5">
        <v>8</v>
      </c>
      <c r="AC2310" s="2" t="s">
        <v>875</v>
      </c>
      <c r="AD2310" s="4">
        <v>44</v>
      </c>
      <c r="AE2310" s="4">
        <v>144</v>
      </c>
      <c r="AF2310" s="6">
        <v>66</v>
      </c>
      <c r="AG2310" s="6">
        <v>49</v>
      </c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/>
      <c r="BD2310" s="8"/>
      <c r="BE2310" s="4"/>
      <c r="BF2310" s="8"/>
      <c r="BG2310" s="7"/>
      <c r="BH2310" s="7"/>
      <c r="BI2310" s="7"/>
      <c r="BJ2310" s="4">
        <v>30</v>
      </c>
      <c r="BK2310" s="8">
        <v>7642.9</v>
      </c>
      <c r="BL2310" s="2" t="s">
        <v>8180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2526</v>
      </c>
      <c r="BV2310" s="2" t="s">
        <v>97</v>
      </c>
      <c r="BW2310" s="2" t="s">
        <v>100</v>
      </c>
      <c r="BX2310" s="2" t="s">
        <v>100</v>
      </c>
      <c r="BY2310" s="2" t="s">
        <v>112</v>
      </c>
      <c r="BZ2310" s="2" t="s">
        <v>100</v>
      </c>
    </row>
    <row r="2311">
      <c r="A2311" s="2" t="s">
        <v>8181</v>
      </c>
      <c r="B2311" s="2" t="s">
        <v>6747</v>
      </c>
      <c r="C2311" s="2" t="s">
        <v>88</v>
      </c>
      <c r="D2311" s="2" t="s">
        <v>7152</v>
      </c>
      <c r="E2311" s="2" t="s">
        <v>8154</v>
      </c>
      <c r="F2311" s="2" t="s">
        <v>8182</v>
      </c>
      <c r="G2311" s="2" t="s">
        <v>8183</v>
      </c>
      <c r="H2311" s="2" t="s">
        <v>8184</v>
      </c>
      <c r="I2311" s="2" t="s">
        <v>8160</v>
      </c>
      <c r="J2311" s="2" t="s">
        <v>3385</v>
      </c>
      <c r="K2311" s="2" t="s">
        <v>4743</v>
      </c>
      <c r="L2311" s="3">
        <v>261.25</v>
      </c>
      <c r="M2311" s="3">
        <v>274.31</v>
      </c>
      <c r="N2311" s="3">
        <v>549</v>
      </c>
      <c r="O2311" s="2" t="s">
        <v>97</v>
      </c>
      <c r="P2311" s="2" t="s">
        <v>98</v>
      </c>
      <c r="Q2311" s="2" t="s">
        <v>99</v>
      </c>
      <c r="R2311" s="2" t="s">
        <v>100</v>
      </c>
      <c r="S2311" s="2" t="s">
        <v>8185</v>
      </c>
      <c r="T2311" s="2" t="s">
        <v>100</v>
      </c>
      <c r="U2311" s="2" t="s">
        <v>100</v>
      </c>
      <c r="V2311" s="2" t="s">
        <v>461</v>
      </c>
      <c r="W2311" s="2" t="s">
        <v>142</v>
      </c>
      <c r="X2311" s="2" t="s">
        <v>100</v>
      </c>
      <c r="Y2311" s="2" t="s">
        <v>8186</v>
      </c>
      <c r="Z2311" s="4">
        <v>48</v>
      </c>
      <c r="AA2311" s="4">
        <f>=ROUNDDOWN(6.85714285714286,0)</f>
      </c>
      <c r="AB2311" s="5">
        <v>7</v>
      </c>
      <c r="AC2311" s="2" t="s">
        <v>1452</v>
      </c>
      <c r="AD2311" s="4">
        <v>81</v>
      </c>
      <c r="AE2311" s="4">
        <v>213</v>
      </c>
      <c r="AF2311" s="6">
        <v>66</v>
      </c>
      <c r="AG2311" s="6">
        <v>49</v>
      </c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/>
      <c r="BD2311" s="8"/>
      <c r="BE2311" s="4"/>
      <c r="BF2311" s="8"/>
      <c r="BG2311" s="7"/>
      <c r="BH2311" s="7"/>
      <c r="BI2311" s="7"/>
      <c r="BJ2311" s="4">
        <v>78</v>
      </c>
      <c r="BK2311" s="8">
        <v>19332.47</v>
      </c>
      <c r="BL2311" s="2" t="s">
        <v>8187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2526</v>
      </c>
      <c r="BV2311" s="2" t="s">
        <v>97</v>
      </c>
      <c r="BW2311" s="2" t="s">
        <v>100</v>
      </c>
      <c r="BX2311" s="2" t="s">
        <v>100</v>
      </c>
      <c r="BY2311" s="2" t="s">
        <v>112</v>
      </c>
      <c r="BZ2311" s="2" t="s">
        <v>100</v>
      </c>
    </row>
    <row r="2312">
      <c r="A2312" s="2" t="s">
        <v>8188</v>
      </c>
      <c r="B2312" s="2" t="s">
        <v>6747</v>
      </c>
      <c r="C2312" s="2" t="s">
        <v>88</v>
      </c>
      <c r="D2312" s="2" t="s">
        <v>7152</v>
      </c>
      <c r="E2312" s="2" t="s">
        <v>8154</v>
      </c>
      <c r="F2312" s="2" t="s">
        <v>8189</v>
      </c>
      <c r="G2312" s="2" t="s">
        <v>8190</v>
      </c>
      <c r="H2312" s="2" t="s">
        <v>8191</v>
      </c>
      <c r="I2312" s="2" t="s">
        <v>8160</v>
      </c>
      <c r="J2312" s="2" t="s">
        <v>3385</v>
      </c>
      <c r="K2312" s="2" t="s">
        <v>96</v>
      </c>
      <c r="L2312" s="3">
        <v>270.75</v>
      </c>
      <c r="M2312" s="3">
        <v>284.29</v>
      </c>
      <c r="N2312" s="3">
        <v>569</v>
      </c>
      <c r="O2312" s="2" t="s">
        <v>97</v>
      </c>
      <c r="P2312" s="2" t="s">
        <v>98</v>
      </c>
      <c r="Q2312" s="2" t="s">
        <v>99</v>
      </c>
      <c r="R2312" s="2" t="s">
        <v>100</v>
      </c>
      <c r="S2312" s="2" t="s">
        <v>8192</v>
      </c>
      <c r="T2312" s="2" t="s">
        <v>100</v>
      </c>
      <c r="U2312" s="2" t="s">
        <v>100</v>
      </c>
      <c r="V2312" s="2" t="s">
        <v>4636</v>
      </c>
      <c r="W2312" s="2" t="s">
        <v>142</v>
      </c>
      <c r="X2312" s="2" t="s">
        <v>100</v>
      </c>
      <c r="Y2312" s="2" t="s">
        <v>4946</v>
      </c>
      <c r="Z2312" s="4">
        <v>68</v>
      </c>
      <c r="AA2312" s="4">
        <f>=ROUNDDOWN(8.5,0)</f>
      </c>
      <c r="AB2312" s="5">
        <v>8</v>
      </c>
      <c r="AC2312" s="2" t="s">
        <v>130</v>
      </c>
      <c r="AD2312" s="4">
        <v>44</v>
      </c>
      <c r="AE2312" s="4">
        <v>247</v>
      </c>
      <c r="AF2312" s="6">
        <v>66</v>
      </c>
      <c r="AG2312" s="6">
        <v>49</v>
      </c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/>
      <c r="BJ2312" s="4">
        <v>83</v>
      </c>
      <c r="BK2312" s="8">
        <v>20808.34</v>
      </c>
      <c r="BL2312" s="2" t="s">
        <v>8193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2526</v>
      </c>
      <c r="BV2312" s="2" t="s">
        <v>97</v>
      </c>
      <c r="BW2312" s="2" t="s">
        <v>100</v>
      </c>
      <c r="BX2312" s="2" t="s">
        <v>100</v>
      </c>
      <c r="BY2312" s="2" t="s">
        <v>112</v>
      </c>
      <c r="BZ2312" s="2" t="s">
        <v>100</v>
      </c>
    </row>
    <row r="2313">
      <c r="A2313" s="2" t="s">
        <v>8194</v>
      </c>
      <c r="B2313" s="2" t="s">
        <v>6747</v>
      </c>
      <c r="C2313" s="2" t="s">
        <v>88</v>
      </c>
      <c r="D2313" s="2" t="s">
        <v>7152</v>
      </c>
      <c r="E2313" s="2" t="s">
        <v>8154</v>
      </c>
      <c r="F2313" s="2" t="s">
        <v>8189</v>
      </c>
      <c r="G2313" s="2" t="s">
        <v>8190</v>
      </c>
      <c r="H2313" s="2" t="s">
        <v>8191</v>
      </c>
      <c r="I2313" s="2" t="s">
        <v>8160</v>
      </c>
      <c r="J2313" s="2" t="s">
        <v>3385</v>
      </c>
      <c r="K2313" s="2" t="s">
        <v>8195</v>
      </c>
      <c r="L2313" s="3">
        <v>270.75</v>
      </c>
      <c r="M2313" s="3">
        <v>284.29</v>
      </c>
      <c r="N2313" s="3">
        <v>569</v>
      </c>
      <c r="O2313" s="2" t="s">
        <v>97</v>
      </c>
      <c r="P2313" s="2" t="s">
        <v>98</v>
      </c>
      <c r="Q2313" s="2" t="s">
        <v>99</v>
      </c>
      <c r="R2313" s="2" t="s">
        <v>100</v>
      </c>
      <c r="S2313" s="2" t="s">
        <v>100</v>
      </c>
      <c r="T2313" s="2" t="s">
        <v>100</v>
      </c>
      <c r="U2313" s="2" t="s">
        <v>1776</v>
      </c>
      <c r="V2313" s="2" t="s">
        <v>473</v>
      </c>
      <c r="W2313" s="2" t="s">
        <v>142</v>
      </c>
      <c r="X2313" s="2" t="s">
        <v>104</v>
      </c>
      <c r="Y2313" s="2" t="s">
        <v>8196</v>
      </c>
      <c r="Z2313" s="4">
        <v>98</v>
      </c>
      <c r="AA2313" s="4">
        <f>=ROUNDDOWN(8.90909090909091,0)</f>
      </c>
      <c r="AB2313" s="5">
        <v>11</v>
      </c>
      <c r="AC2313" s="2" t="s">
        <v>2604</v>
      </c>
      <c r="AD2313" s="4">
        <v>92</v>
      </c>
      <c r="AE2313" s="4">
        <v>242</v>
      </c>
      <c r="AF2313" s="6">
        <v>66</v>
      </c>
      <c r="AG2313" s="6">
        <v>49</v>
      </c>
      <c r="AH2313" s="7">
        <v>0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7"/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/>
      <c r="BJ2313" s="4"/>
      <c r="BK2313" s="8"/>
      <c r="BL2313" s="2" t="s">
        <v>100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2526</v>
      </c>
      <c r="BV2313" s="2" t="s">
        <v>97</v>
      </c>
      <c r="BW2313" s="2" t="s">
        <v>100</v>
      </c>
      <c r="BX2313" s="2" t="s">
        <v>100</v>
      </c>
      <c r="BY2313" s="2" t="s">
        <v>112</v>
      </c>
      <c r="BZ2313" s="2" t="s">
        <v>100</v>
      </c>
    </row>
    <row r="2314">
      <c r="A2314" s="2" t="s">
        <v>8197</v>
      </c>
      <c r="B2314" s="2" t="s">
        <v>6747</v>
      </c>
      <c r="C2314" s="2" t="s">
        <v>88</v>
      </c>
      <c r="D2314" s="2" t="s">
        <v>7152</v>
      </c>
      <c r="E2314" s="2" t="s">
        <v>8154</v>
      </c>
      <c r="F2314" s="2" t="s">
        <v>8198</v>
      </c>
      <c r="G2314" s="2" t="s">
        <v>8199</v>
      </c>
      <c r="H2314" s="2" t="s">
        <v>8200</v>
      </c>
      <c r="I2314" s="2" t="s">
        <v>8160</v>
      </c>
      <c r="J2314" s="2" t="s">
        <v>3385</v>
      </c>
      <c r="K2314" s="2" t="s">
        <v>96</v>
      </c>
      <c r="L2314" s="3">
        <v>217.8</v>
      </c>
      <c r="M2314" s="3">
        <v>228.69</v>
      </c>
      <c r="N2314" s="3">
        <v>459</v>
      </c>
      <c r="O2314" s="2" t="s">
        <v>97</v>
      </c>
      <c r="P2314" s="2" t="s">
        <v>707</v>
      </c>
      <c r="Q2314" s="2" t="s">
        <v>99</v>
      </c>
      <c r="R2314" s="2" t="s">
        <v>100</v>
      </c>
      <c r="S2314" s="2" t="s">
        <v>100</v>
      </c>
      <c r="T2314" s="2" t="s">
        <v>100</v>
      </c>
      <c r="U2314" s="2" t="s">
        <v>1776</v>
      </c>
      <c r="V2314" s="2" t="s">
        <v>3412</v>
      </c>
      <c r="W2314" s="2" t="s">
        <v>142</v>
      </c>
      <c r="X2314" s="2" t="s">
        <v>609</v>
      </c>
      <c r="Y2314" s="2" t="s">
        <v>7186</v>
      </c>
      <c r="Z2314" s="4">
        <v>36</v>
      </c>
      <c r="AA2314" s="4">
        <f>=ROUNDDOWN(10,0)</f>
      </c>
      <c r="AB2314" s="5">
        <v>3.6</v>
      </c>
      <c r="AC2314" s="2" t="s">
        <v>2604</v>
      </c>
      <c r="AD2314" s="4">
        <v>100</v>
      </c>
      <c r="AE2314" s="4">
        <v>100</v>
      </c>
      <c r="AF2314" s="6">
        <v>66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/>
      <c r="BD2314" s="8"/>
      <c r="BE2314" s="4"/>
      <c r="BF2314" s="8"/>
      <c r="BG2314" s="7"/>
      <c r="BH2314" s="7"/>
      <c r="BI2314" s="7"/>
      <c r="BJ2314" s="4">
        <v>14</v>
      </c>
      <c r="BK2314" s="8">
        <v>3023.21</v>
      </c>
      <c r="BL2314" s="2" t="s">
        <v>8201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2526</v>
      </c>
      <c r="BV2314" s="2" t="s">
        <v>97</v>
      </c>
      <c r="BW2314" s="2" t="s">
        <v>100</v>
      </c>
      <c r="BX2314" s="2" t="s">
        <v>100</v>
      </c>
      <c r="BY2314" s="2" t="s">
        <v>112</v>
      </c>
      <c r="BZ2314" s="2" t="s">
        <v>100</v>
      </c>
    </row>
    <row r="2315">
      <c r="A2315" s="2" t="s">
        <v>8202</v>
      </c>
      <c r="B2315" s="2" t="s">
        <v>6747</v>
      </c>
      <c r="C2315" s="2" t="s">
        <v>88</v>
      </c>
      <c r="D2315" s="2" t="s">
        <v>7152</v>
      </c>
      <c r="E2315" s="2" t="s">
        <v>7153</v>
      </c>
      <c r="F2315" s="2" t="s">
        <v>8203</v>
      </c>
      <c r="G2315" s="2" t="s">
        <v>8204</v>
      </c>
      <c r="H2315" s="2" t="s">
        <v>8205</v>
      </c>
      <c r="I2315" s="2" t="s">
        <v>8206</v>
      </c>
      <c r="J2315" s="2" t="s">
        <v>3385</v>
      </c>
      <c r="K2315" s="2" t="s">
        <v>179</v>
      </c>
      <c r="L2315" s="3">
        <v>238.5</v>
      </c>
      <c r="M2315" s="3">
        <v>250.42</v>
      </c>
      <c r="N2315" s="3">
        <v>499</v>
      </c>
      <c r="O2315" s="2" t="s">
        <v>97</v>
      </c>
      <c r="P2315" s="2" t="s">
        <v>707</v>
      </c>
      <c r="Q2315" s="2" t="s">
        <v>99</v>
      </c>
      <c r="R2315" s="2" t="s">
        <v>100</v>
      </c>
      <c r="S2315" s="2" t="s">
        <v>100</v>
      </c>
      <c r="T2315" s="2" t="s">
        <v>100</v>
      </c>
      <c r="U2315" s="2" t="s">
        <v>1776</v>
      </c>
      <c r="V2315" s="2" t="s">
        <v>461</v>
      </c>
      <c r="W2315" s="2" t="s">
        <v>142</v>
      </c>
      <c r="X2315" s="2" t="s">
        <v>100</v>
      </c>
      <c r="Y2315" s="2" t="s">
        <v>7263</v>
      </c>
      <c r="Z2315" s="4">
        <v>130</v>
      </c>
      <c r="AA2315" s="4">
        <f>=ROUNDDOWN(32.5,0)</f>
      </c>
      <c r="AB2315" s="5">
        <v>4</v>
      </c>
      <c r="AC2315" s="2" t="s">
        <v>100</v>
      </c>
      <c r="AD2315" s="4"/>
      <c r="AE2315" s="4"/>
      <c r="AF2315" s="6">
        <v>66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/>
      <c r="BJ2315" s="4">
        <v>16</v>
      </c>
      <c r="BK2315" s="8">
        <v>3794.8</v>
      </c>
      <c r="BL2315" s="2" t="s">
        <v>6909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2526</v>
      </c>
      <c r="BV2315" s="2" t="s">
        <v>97</v>
      </c>
      <c r="BW2315" s="2" t="s">
        <v>100</v>
      </c>
      <c r="BX2315" s="2" t="s">
        <v>100</v>
      </c>
      <c r="BY2315" s="2" t="s">
        <v>112</v>
      </c>
      <c r="BZ2315" s="2" t="s">
        <v>100</v>
      </c>
    </row>
    <row r="2316">
      <c r="A2316" s="2" t="s">
        <v>8207</v>
      </c>
      <c r="B2316" s="2" t="s">
        <v>6747</v>
      </c>
      <c r="C2316" s="2" t="s">
        <v>88</v>
      </c>
      <c r="D2316" s="2" t="s">
        <v>7152</v>
      </c>
      <c r="E2316" s="2" t="s">
        <v>7153</v>
      </c>
      <c r="F2316" s="2" t="s">
        <v>8203</v>
      </c>
      <c r="G2316" s="2" t="s">
        <v>8204</v>
      </c>
      <c r="H2316" s="2" t="s">
        <v>8205</v>
      </c>
      <c r="I2316" s="2" t="s">
        <v>8206</v>
      </c>
      <c r="J2316" s="2" t="s">
        <v>3385</v>
      </c>
      <c r="K2316" s="2" t="s">
        <v>3623</v>
      </c>
      <c r="L2316" s="3">
        <v>238.5</v>
      </c>
      <c r="M2316" s="3">
        <v>250.42</v>
      </c>
      <c r="N2316" s="3">
        <v>499</v>
      </c>
      <c r="O2316" s="2" t="s">
        <v>97</v>
      </c>
      <c r="P2316" s="2" t="s">
        <v>707</v>
      </c>
      <c r="Q2316" s="2" t="s">
        <v>99</v>
      </c>
      <c r="R2316" s="2" t="s">
        <v>100</v>
      </c>
      <c r="S2316" s="2" t="s">
        <v>8208</v>
      </c>
      <c r="T2316" s="2" t="s">
        <v>100</v>
      </c>
      <c r="U2316" s="2" t="s">
        <v>100</v>
      </c>
      <c r="V2316" s="2" t="s">
        <v>461</v>
      </c>
      <c r="W2316" s="2" t="s">
        <v>142</v>
      </c>
      <c r="X2316" s="2" t="s">
        <v>100</v>
      </c>
      <c r="Y2316" s="2" t="s">
        <v>1783</v>
      </c>
      <c r="Z2316" s="4">
        <v>234</v>
      </c>
      <c r="AA2316" s="4">
        <f>=ROUNDDOWN(46.8,0)</f>
      </c>
      <c r="AB2316" s="5">
        <v>5</v>
      </c>
      <c r="AC2316" s="2" t="s">
        <v>100</v>
      </c>
      <c r="AD2316" s="4"/>
      <c r="AE2316" s="4"/>
      <c r="AF2316" s="6">
        <v>66</v>
      </c>
      <c r="AG2316" s="6">
        <v>49</v>
      </c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7"/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/>
      <c r="BJ2316" s="4">
        <v>11</v>
      </c>
      <c r="BK2316" s="8">
        <v>2527.91</v>
      </c>
      <c r="BL2316" s="2" t="s">
        <v>2765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2526</v>
      </c>
      <c r="BV2316" s="2" t="s">
        <v>97</v>
      </c>
      <c r="BW2316" s="2" t="s">
        <v>100</v>
      </c>
      <c r="BX2316" s="2" t="s">
        <v>100</v>
      </c>
      <c r="BY2316" s="2" t="s">
        <v>112</v>
      </c>
      <c r="BZ2316" s="2" t="s">
        <v>100</v>
      </c>
    </row>
    <row r="2317">
      <c r="A2317" s="2" t="s">
        <v>8209</v>
      </c>
      <c r="B2317" s="2" t="s">
        <v>6747</v>
      </c>
      <c r="C2317" s="2" t="s">
        <v>88</v>
      </c>
      <c r="D2317" s="2" t="s">
        <v>7152</v>
      </c>
      <c r="E2317" s="2" t="s">
        <v>7153</v>
      </c>
      <c r="F2317" s="2" t="s">
        <v>8210</v>
      </c>
      <c r="G2317" s="2" t="s">
        <v>8211</v>
      </c>
      <c r="H2317" s="2" t="s">
        <v>1065</v>
      </c>
      <c r="I2317" s="2" t="s">
        <v>8212</v>
      </c>
      <c r="J2317" s="2" t="s">
        <v>3385</v>
      </c>
      <c r="K2317" s="2" t="s">
        <v>6752</v>
      </c>
      <c r="L2317" s="3">
        <v>237.5</v>
      </c>
      <c r="M2317" s="3">
        <v>249.38</v>
      </c>
      <c r="N2317" s="3">
        <v>499</v>
      </c>
      <c r="O2317" s="2" t="s">
        <v>97</v>
      </c>
      <c r="P2317" s="2" t="s">
        <v>123</v>
      </c>
      <c r="Q2317" s="2" t="s">
        <v>99</v>
      </c>
      <c r="R2317" s="2" t="s">
        <v>100</v>
      </c>
      <c r="S2317" s="2" t="s">
        <v>100</v>
      </c>
      <c r="T2317" s="2" t="s">
        <v>100</v>
      </c>
      <c r="U2317" s="2" t="s">
        <v>1776</v>
      </c>
      <c r="V2317" s="2" t="s">
        <v>461</v>
      </c>
      <c r="W2317" s="2" t="s">
        <v>142</v>
      </c>
      <c r="X2317" s="2" t="s">
        <v>100</v>
      </c>
      <c r="Y2317" s="2" t="s">
        <v>957</v>
      </c>
      <c r="Z2317" s="4">
        <v>741</v>
      </c>
      <c r="AA2317" s="4">
        <f>=ROUNDDOWN(35.2857142857143,0)</f>
      </c>
      <c r="AB2317" s="5">
        <v>21</v>
      </c>
      <c r="AC2317" s="2" t="s">
        <v>2604</v>
      </c>
      <c r="AD2317" s="4">
        <v>153</v>
      </c>
      <c r="AE2317" s="4">
        <v>153</v>
      </c>
      <c r="AF2317" s="6">
        <v>66</v>
      </c>
      <c r="AG2317" s="6">
        <v>49</v>
      </c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/>
      <c r="AW2317" s="8"/>
      <c r="AX2317" s="4"/>
      <c r="AY2317" s="8"/>
      <c r="AZ2317" s="7"/>
      <c r="BA2317" s="7"/>
      <c r="BB2317" s="7"/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/>
      <c r="BJ2317" s="4">
        <v>60</v>
      </c>
      <c r="BK2317" s="8">
        <v>13322.57</v>
      </c>
      <c r="BL2317" s="2" t="s">
        <v>7215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2526</v>
      </c>
      <c r="BV2317" s="2" t="s">
        <v>97</v>
      </c>
      <c r="BW2317" s="2" t="s">
        <v>100</v>
      </c>
      <c r="BX2317" s="2" t="s">
        <v>100</v>
      </c>
      <c r="BY2317" s="2" t="s">
        <v>112</v>
      </c>
      <c r="BZ2317" s="2" t="s">
        <v>100</v>
      </c>
    </row>
    <row r="2318">
      <c r="A2318" s="2" t="s">
        <v>8213</v>
      </c>
      <c r="B2318" s="2" t="s">
        <v>6747</v>
      </c>
      <c r="C2318" s="2" t="s">
        <v>88</v>
      </c>
      <c r="D2318" s="2" t="s">
        <v>7152</v>
      </c>
      <c r="E2318" s="2" t="s">
        <v>7153</v>
      </c>
      <c r="F2318" s="2" t="s">
        <v>8210</v>
      </c>
      <c r="G2318" s="2" t="s">
        <v>8211</v>
      </c>
      <c r="H2318" s="2" t="s">
        <v>1065</v>
      </c>
      <c r="I2318" s="2" t="s">
        <v>8212</v>
      </c>
      <c r="J2318" s="2" t="s">
        <v>3385</v>
      </c>
      <c r="K2318" s="2" t="s">
        <v>706</v>
      </c>
      <c r="L2318" s="3">
        <v>237.5</v>
      </c>
      <c r="M2318" s="3">
        <v>249.38</v>
      </c>
      <c r="N2318" s="3">
        <v>499</v>
      </c>
      <c r="O2318" s="2" t="s">
        <v>97</v>
      </c>
      <c r="P2318" s="2" t="s">
        <v>98</v>
      </c>
      <c r="Q2318" s="2" t="s">
        <v>99</v>
      </c>
      <c r="R2318" s="2" t="s">
        <v>100</v>
      </c>
      <c r="S2318" s="2" t="s">
        <v>8214</v>
      </c>
      <c r="T2318" s="2" t="s">
        <v>100</v>
      </c>
      <c r="U2318" s="2" t="s">
        <v>1776</v>
      </c>
      <c r="V2318" s="2" t="s">
        <v>4636</v>
      </c>
      <c r="W2318" s="2" t="s">
        <v>142</v>
      </c>
      <c r="X2318" s="2" t="s">
        <v>100</v>
      </c>
      <c r="Y2318" s="2" t="s">
        <v>1783</v>
      </c>
      <c r="Z2318" s="4">
        <v>164</v>
      </c>
      <c r="AA2318" s="4">
        <f>=ROUNDDOWN(12.6153846153846,0)</f>
      </c>
      <c r="AB2318" s="5">
        <v>13</v>
      </c>
      <c r="AC2318" s="2" t="s">
        <v>173</v>
      </c>
      <c r="AD2318" s="4">
        <v>100</v>
      </c>
      <c r="AE2318" s="4">
        <v>235</v>
      </c>
      <c r="AF2318" s="6">
        <v>66</v>
      </c>
      <c r="AG2318" s="6">
        <v>49</v>
      </c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/>
      <c r="AW2318" s="8"/>
      <c r="AX2318" s="4"/>
      <c r="AY2318" s="8"/>
      <c r="AZ2318" s="7"/>
      <c r="BA2318" s="7"/>
      <c r="BB2318" s="7"/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/>
      <c r="BJ2318" s="4">
        <v>50</v>
      </c>
      <c r="BK2318" s="8">
        <v>11928.6</v>
      </c>
      <c r="BL2318" s="2" t="s">
        <v>8215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2526</v>
      </c>
      <c r="BV2318" s="2" t="s">
        <v>97</v>
      </c>
      <c r="BW2318" s="2" t="s">
        <v>100</v>
      </c>
      <c r="BX2318" s="2" t="s">
        <v>100</v>
      </c>
      <c r="BY2318" s="2" t="s">
        <v>112</v>
      </c>
      <c r="BZ2318" s="2" t="s">
        <v>100</v>
      </c>
    </row>
    <row r="2319">
      <c r="A2319" s="2" t="s">
        <v>8216</v>
      </c>
      <c r="B2319" s="2" t="s">
        <v>6747</v>
      </c>
      <c r="C2319" s="2" t="s">
        <v>88</v>
      </c>
      <c r="D2319" s="2" t="s">
        <v>7152</v>
      </c>
      <c r="E2319" s="2" t="s">
        <v>7153</v>
      </c>
      <c r="F2319" s="2" t="s">
        <v>8210</v>
      </c>
      <c r="G2319" s="2" t="s">
        <v>8211</v>
      </c>
      <c r="H2319" s="2" t="s">
        <v>1065</v>
      </c>
      <c r="I2319" s="2" t="s">
        <v>8212</v>
      </c>
      <c r="J2319" s="2" t="s">
        <v>3385</v>
      </c>
      <c r="K2319" s="2" t="s">
        <v>223</v>
      </c>
      <c r="L2319" s="3">
        <v>237.5</v>
      </c>
      <c r="M2319" s="3">
        <v>249.38</v>
      </c>
      <c r="N2319" s="3">
        <v>499</v>
      </c>
      <c r="O2319" s="2" t="s">
        <v>97</v>
      </c>
      <c r="P2319" s="2" t="s">
        <v>139</v>
      </c>
      <c r="Q2319" s="2" t="s">
        <v>99</v>
      </c>
      <c r="R2319" s="2" t="s">
        <v>100</v>
      </c>
      <c r="S2319" s="2" t="s">
        <v>100</v>
      </c>
      <c r="T2319" s="2" t="s">
        <v>100</v>
      </c>
      <c r="U2319" s="2" t="s">
        <v>1776</v>
      </c>
      <c r="V2319" s="2" t="s">
        <v>461</v>
      </c>
      <c r="W2319" s="2" t="s">
        <v>142</v>
      </c>
      <c r="X2319" s="2" t="s">
        <v>100</v>
      </c>
      <c r="Y2319" s="2" t="s">
        <v>4931</v>
      </c>
      <c r="Z2319" s="4">
        <v>270</v>
      </c>
      <c r="AA2319" s="4">
        <f>=ROUNDDOWN(11.7391304347826,0)</f>
      </c>
      <c r="AB2319" s="5">
        <v>23</v>
      </c>
      <c r="AC2319" s="2" t="s">
        <v>130</v>
      </c>
      <c r="AD2319" s="4">
        <v>144</v>
      </c>
      <c r="AE2319" s="4">
        <v>209</v>
      </c>
      <c r="AF2319" s="6">
        <v>66</v>
      </c>
      <c r="AG2319" s="6">
        <v>49</v>
      </c>
      <c r="AH2319" s="7">
        <v>1</v>
      </c>
      <c r="AI2319" s="4"/>
      <c r="AJ2319" s="4">
        <f>=ROUNDDOWN({0},0)</f>
      </c>
      <c r="AK2319" s="5"/>
      <c r="AL2319" s="2" t="s">
        <v>824</v>
      </c>
      <c r="AM2319" s="4">
        <v>135</v>
      </c>
      <c r="AN2319" s="4">
        <v>135</v>
      </c>
      <c r="AO2319" s="7">
        <v>0</v>
      </c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7"/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/>
      <c r="BJ2319" s="4">
        <v>65</v>
      </c>
      <c r="BK2319" s="8">
        <v>14672.06</v>
      </c>
      <c r="BL2319" s="2" t="s">
        <v>8217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2526</v>
      </c>
      <c r="BV2319" s="2" t="s">
        <v>97</v>
      </c>
      <c r="BW2319" s="2" t="s">
        <v>100</v>
      </c>
      <c r="BX2319" s="2" t="s">
        <v>100</v>
      </c>
      <c r="BY2319" s="2" t="s">
        <v>112</v>
      </c>
      <c r="BZ2319" s="2" t="s">
        <v>100</v>
      </c>
    </row>
    <row r="2320">
      <c r="A2320" s="2" t="s">
        <v>8218</v>
      </c>
      <c r="B2320" s="2" t="s">
        <v>6747</v>
      </c>
      <c r="C2320" s="2" t="s">
        <v>88</v>
      </c>
      <c r="D2320" s="2" t="s">
        <v>7152</v>
      </c>
      <c r="E2320" s="2" t="s">
        <v>7153</v>
      </c>
      <c r="F2320" s="2" t="s">
        <v>8210</v>
      </c>
      <c r="G2320" s="2" t="s">
        <v>8211</v>
      </c>
      <c r="H2320" s="2" t="s">
        <v>1065</v>
      </c>
      <c r="I2320" s="2" t="s">
        <v>8212</v>
      </c>
      <c r="J2320" s="2" t="s">
        <v>3385</v>
      </c>
      <c r="K2320" s="2" t="s">
        <v>1252</v>
      </c>
      <c r="L2320" s="3">
        <v>237.5</v>
      </c>
      <c r="M2320" s="3">
        <v>249.38</v>
      </c>
      <c r="N2320" s="3">
        <v>499</v>
      </c>
      <c r="O2320" s="2" t="s">
        <v>97</v>
      </c>
      <c r="P2320" s="2" t="s">
        <v>707</v>
      </c>
      <c r="Q2320" s="2" t="s">
        <v>99</v>
      </c>
      <c r="R2320" s="2" t="s">
        <v>100</v>
      </c>
      <c r="S2320" s="2" t="s">
        <v>100</v>
      </c>
      <c r="T2320" s="2" t="s">
        <v>100</v>
      </c>
      <c r="U2320" s="2" t="s">
        <v>1776</v>
      </c>
      <c r="V2320" s="2" t="s">
        <v>3412</v>
      </c>
      <c r="W2320" s="2" t="s">
        <v>142</v>
      </c>
      <c r="X2320" s="2" t="s">
        <v>100</v>
      </c>
      <c r="Y2320" s="2" t="s">
        <v>8219</v>
      </c>
      <c r="Z2320" s="4">
        <v>120</v>
      </c>
      <c r="AA2320" s="4">
        <f>=ROUNDDOWN(30,0)</f>
      </c>
      <c r="AB2320" s="5">
        <v>4</v>
      </c>
      <c r="AC2320" s="2" t="s">
        <v>100</v>
      </c>
      <c r="AD2320" s="4"/>
      <c r="AE2320" s="4"/>
      <c r="AF2320" s="6">
        <v>66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7"/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/>
      <c r="BJ2320" s="4">
        <v>10</v>
      </c>
      <c r="BK2320" s="8">
        <v>2393.06</v>
      </c>
      <c r="BL2320" s="2" t="s">
        <v>8220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2526</v>
      </c>
      <c r="BV2320" s="2" t="s">
        <v>97</v>
      </c>
      <c r="BW2320" s="2" t="s">
        <v>100</v>
      </c>
      <c r="BX2320" s="2" t="s">
        <v>100</v>
      </c>
      <c r="BY2320" s="2" t="s">
        <v>112</v>
      </c>
      <c r="BZ2320" s="2" t="s">
        <v>100</v>
      </c>
    </row>
    <row r="2321">
      <c r="A2321" s="2" t="s">
        <v>8221</v>
      </c>
      <c r="B2321" s="2" t="s">
        <v>6747</v>
      </c>
      <c r="C2321" s="2" t="s">
        <v>88</v>
      </c>
      <c r="D2321" s="2" t="s">
        <v>7152</v>
      </c>
      <c r="E2321" s="2" t="s">
        <v>7153</v>
      </c>
      <c r="F2321" s="2" t="s">
        <v>8222</v>
      </c>
      <c r="G2321" s="2" t="s">
        <v>8223</v>
      </c>
      <c r="H2321" s="2" t="s">
        <v>8224</v>
      </c>
      <c r="I2321" s="2" t="s">
        <v>8206</v>
      </c>
      <c r="J2321" s="2" t="s">
        <v>3385</v>
      </c>
      <c r="K2321" s="2" t="s">
        <v>8225</v>
      </c>
      <c r="L2321" s="3">
        <v>237.5</v>
      </c>
      <c r="M2321" s="3">
        <v>249.38</v>
      </c>
      <c r="N2321" s="3">
        <v>499</v>
      </c>
      <c r="O2321" s="2" t="s">
        <v>97</v>
      </c>
      <c r="P2321" s="2" t="s">
        <v>98</v>
      </c>
      <c r="Q2321" s="2" t="s">
        <v>99</v>
      </c>
      <c r="R2321" s="2" t="s">
        <v>100</v>
      </c>
      <c r="S2321" s="2" t="s">
        <v>8226</v>
      </c>
      <c r="T2321" s="2" t="s">
        <v>100</v>
      </c>
      <c r="U2321" s="2" t="s">
        <v>100</v>
      </c>
      <c r="V2321" s="2" t="s">
        <v>461</v>
      </c>
      <c r="W2321" s="2" t="s">
        <v>142</v>
      </c>
      <c r="X2321" s="2" t="s">
        <v>100</v>
      </c>
      <c r="Y2321" s="2" t="s">
        <v>1783</v>
      </c>
      <c r="Z2321" s="4">
        <v>40</v>
      </c>
      <c r="AA2321" s="4">
        <f>=ROUNDDOWN(5.71428571428571,0)</f>
      </c>
      <c r="AB2321" s="5">
        <v>7</v>
      </c>
      <c r="AC2321" s="2" t="s">
        <v>1468</v>
      </c>
      <c r="AD2321" s="4">
        <v>120</v>
      </c>
      <c r="AE2321" s="4">
        <v>120</v>
      </c>
      <c r="AF2321" s="6">
        <v>66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/>
      <c r="AW2321" s="8"/>
      <c r="AX2321" s="4"/>
      <c r="AY2321" s="8"/>
      <c r="AZ2321" s="7"/>
      <c r="BA2321" s="7"/>
      <c r="BB2321" s="7"/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/>
      <c r="BJ2321" s="4">
        <v>16</v>
      </c>
      <c r="BK2321" s="8">
        <v>3909.77</v>
      </c>
      <c r="BL2321" s="2" t="s">
        <v>8227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2526</v>
      </c>
      <c r="BV2321" s="2" t="s">
        <v>97</v>
      </c>
      <c r="BW2321" s="2" t="s">
        <v>100</v>
      </c>
      <c r="BX2321" s="2" t="s">
        <v>100</v>
      </c>
      <c r="BY2321" s="2" t="s">
        <v>112</v>
      </c>
      <c r="BZ2321" s="2" t="s">
        <v>100</v>
      </c>
    </row>
    <row r="2322">
      <c r="A2322" s="2" t="s">
        <v>8228</v>
      </c>
      <c r="B2322" s="2" t="s">
        <v>6747</v>
      </c>
      <c r="C2322" s="2" t="s">
        <v>88</v>
      </c>
      <c r="D2322" s="2" t="s">
        <v>7152</v>
      </c>
      <c r="E2322" s="2" t="s">
        <v>7153</v>
      </c>
      <c r="F2322" s="2" t="s">
        <v>8222</v>
      </c>
      <c r="G2322" s="2" t="s">
        <v>8223</v>
      </c>
      <c r="H2322" s="2" t="s">
        <v>8224</v>
      </c>
      <c r="I2322" s="2" t="s">
        <v>7153</v>
      </c>
      <c r="J2322" s="2" t="s">
        <v>3385</v>
      </c>
      <c r="K2322" s="2" t="s">
        <v>446</v>
      </c>
      <c r="L2322" s="3">
        <v>237.5</v>
      </c>
      <c r="M2322" s="3">
        <v>249.38</v>
      </c>
      <c r="N2322" s="3">
        <v>499</v>
      </c>
      <c r="O2322" s="2" t="s">
        <v>97</v>
      </c>
      <c r="P2322" s="2" t="s">
        <v>98</v>
      </c>
      <c r="Q2322" s="2" t="s">
        <v>99</v>
      </c>
      <c r="R2322" s="2" t="s">
        <v>100</v>
      </c>
      <c r="S2322" s="2" t="s">
        <v>100</v>
      </c>
      <c r="T2322" s="2" t="s">
        <v>100</v>
      </c>
      <c r="U2322" s="2" t="s">
        <v>1776</v>
      </c>
      <c r="V2322" s="2" t="s">
        <v>461</v>
      </c>
      <c r="W2322" s="2" t="s">
        <v>142</v>
      </c>
      <c r="X2322" s="2" t="s">
        <v>104</v>
      </c>
      <c r="Y2322" s="2" t="s">
        <v>8229</v>
      </c>
      <c r="Z2322" s="4">
        <v>88</v>
      </c>
      <c r="AA2322" s="4">
        <f>=ROUNDDOWN(8.8,0)</f>
      </c>
      <c r="AB2322" s="5">
        <v>10</v>
      </c>
      <c r="AC2322" s="2" t="s">
        <v>2604</v>
      </c>
      <c r="AD2322" s="4">
        <v>108</v>
      </c>
      <c r="AE2322" s="4">
        <v>210</v>
      </c>
      <c r="AF2322" s="6">
        <v>66</v>
      </c>
      <c r="AG2322" s="6">
        <v>49</v>
      </c>
      <c r="AH2322" s="7">
        <v>0.9355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/>
      <c r="BJ2322" s="4">
        <v>42</v>
      </c>
      <c r="BK2322" s="8">
        <v>10206.75</v>
      </c>
      <c r="BL2322" s="2" t="s">
        <v>8230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2526</v>
      </c>
      <c r="BV2322" s="2" t="s">
        <v>97</v>
      </c>
      <c r="BW2322" s="2" t="s">
        <v>100</v>
      </c>
      <c r="BX2322" s="2" t="s">
        <v>100</v>
      </c>
      <c r="BY2322" s="2" t="s">
        <v>112</v>
      </c>
      <c r="BZ2322" s="2" t="s">
        <v>100</v>
      </c>
    </row>
    <row r="2323">
      <c r="A2323" s="2" t="s">
        <v>8231</v>
      </c>
      <c r="B2323" s="2" t="s">
        <v>6747</v>
      </c>
      <c r="C2323" s="2" t="s">
        <v>88</v>
      </c>
      <c r="D2323" s="2" t="s">
        <v>7152</v>
      </c>
      <c r="E2323" s="2" t="s">
        <v>7153</v>
      </c>
      <c r="F2323" s="2" t="s">
        <v>8232</v>
      </c>
      <c r="G2323" s="2" t="s">
        <v>8233</v>
      </c>
      <c r="H2323" s="2" t="s">
        <v>8234</v>
      </c>
      <c r="I2323" s="2" t="s">
        <v>8235</v>
      </c>
      <c r="J2323" s="2" t="s">
        <v>3385</v>
      </c>
      <c r="K2323" s="2" t="s">
        <v>138</v>
      </c>
      <c r="L2323" s="3">
        <v>202.3</v>
      </c>
      <c r="M2323" s="3">
        <v>212.42</v>
      </c>
      <c r="N2323" s="3">
        <v>429</v>
      </c>
      <c r="O2323" s="2" t="s">
        <v>97</v>
      </c>
      <c r="P2323" s="2" t="s">
        <v>98</v>
      </c>
      <c r="Q2323" s="2" t="s">
        <v>99</v>
      </c>
      <c r="R2323" s="2" t="s">
        <v>100</v>
      </c>
      <c r="S2323" s="2" t="s">
        <v>100</v>
      </c>
      <c r="T2323" s="2" t="s">
        <v>100</v>
      </c>
      <c r="U2323" s="2" t="s">
        <v>100</v>
      </c>
      <c r="V2323" s="2" t="s">
        <v>461</v>
      </c>
      <c r="W2323" s="2" t="s">
        <v>142</v>
      </c>
      <c r="X2323" s="2" t="s">
        <v>104</v>
      </c>
      <c r="Y2323" s="2" t="s">
        <v>8236</v>
      </c>
      <c r="Z2323" s="4">
        <v>13</v>
      </c>
      <c r="AA2323" s="4">
        <f>=ROUNDDOWN(1,0)</f>
      </c>
      <c r="AB2323" s="5">
        <v>13</v>
      </c>
      <c r="AC2323" s="2" t="s">
        <v>1468</v>
      </c>
      <c r="AD2323" s="4">
        <v>135</v>
      </c>
      <c r="AE2323" s="4">
        <v>270</v>
      </c>
      <c r="AF2323" s="6">
        <v>74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/>
      <c r="BJ2323" s="4">
        <v>81</v>
      </c>
      <c r="BK2323" s="8">
        <v>15909.4</v>
      </c>
      <c r="BL2323" s="2" t="s">
        <v>3560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2526</v>
      </c>
      <c r="BV2323" s="2" t="s">
        <v>97</v>
      </c>
      <c r="BW2323" s="2" t="s">
        <v>100</v>
      </c>
      <c r="BX2323" s="2" t="s">
        <v>100</v>
      </c>
      <c r="BY2323" s="2" t="s">
        <v>112</v>
      </c>
      <c r="BZ2323" s="2" t="s">
        <v>100</v>
      </c>
    </row>
    <row r="2324">
      <c r="A2324" s="2" t="s">
        <v>8237</v>
      </c>
      <c r="B2324" s="2" t="s">
        <v>6747</v>
      </c>
      <c r="C2324" s="2" t="s">
        <v>88</v>
      </c>
      <c r="D2324" s="2" t="s">
        <v>7152</v>
      </c>
      <c r="E2324" s="2" t="s">
        <v>7153</v>
      </c>
      <c r="F2324" s="2" t="s">
        <v>8232</v>
      </c>
      <c r="G2324" s="2" t="s">
        <v>8233</v>
      </c>
      <c r="H2324" s="2" t="s">
        <v>8234</v>
      </c>
      <c r="I2324" s="2" t="s">
        <v>8235</v>
      </c>
      <c r="J2324" s="2" t="s">
        <v>3385</v>
      </c>
      <c r="K2324" s="2" t="s">
        <v>96</v>
      </c>
      <c r="L2324" s="3">
        <v>202.3</v>
      </c>
      <c r="M2324" s="3">
        <v>212.42</v>
      </c>
      <c r="N2324" s="3">
        <v>429</v>
      </c>
      <c r="O2324" s="2" t="s">
        <v>97</v>
      </c>
      <c r="P2324" s="2" t="s">
        <v>98</v>
      </c>
      <c r="Q2324" s="2" t="s">
        <v>99</v>
      </c>
      <c r="R2324" s="2" t="s">
        <v>100</v>
      </c>
      <c r="S2324" s="2" t="s">
        <v>100</v>
      </c>
      <c r="T2324" s="2" t="s">
        <v>100</v>
      </c>
      <c r="U2324" s="2" t="s">
        <v>1776</v>
      </c>
      <c r="V2324" s="2" t="s">
        <v>461</v>
      </c>
      <c r="W2324" s="2" t="s">
        <v>142</v>
      </c>
      <c r="X2324" s="2" t="s">
        <v>104</v>
      </c>
      <c r="Y2324" s="2" t="s">
        <v>3503</v>
      </c>
      <c r="Z2324" s="4">
        <v>83</v>
      </c>
      <c r="AA2324" s="4">
        <f>=ROUNDDOWN(13.8333333333333,0)</f>
      </c>
      <c r="AB2324" s="5">
        <v>6</v>
      </c>
      <c r="AC2324" s="2" t="s">
        <v>3271</v>
      </c>
      <c r="AD2324" s="4">
        <v>100</v>
      </c>
      <c r="AE2324" s="4">
        <v>100</v>
      </c>
      <c r="AF2324" s="6">
        <v>74</v>
      </c>
      <c r="AG2324" s="6">
        <v>60</v>
      </c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7"/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/>
      <c r="BJ2324" s="4">
        <v>5</v>
      </c>
      <c r="BK2324" s="8">
        <v>822.6</v>
      </c>
      <c r="BL2324" s="2" t="s">
        <v>8238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2526</v>
      </c>
      <c r="BV2324" s="2" t="s">
        <v>97</v>
      </c>
      <c r="BW2324" s="2" t="s">
        <v>100</v>
      </c>
      <c r="BX2324" s="2" t="s">
        <v>100</v>
      </c>
      <c r="BY2324" s="2" t="s">
        <v>112</v>
      </c>
      <c r="BZ2324" s="2" t="s">
        <v>100</v>
      </c>
    </row>
    <row r="2325">
      <c r="A2325" s="2" t="s">
        <v>8239</v>
      </c>
      <c r="B2325" s="2" t="s">
        <v>6747</v>
      </c>
      <c r="C2325" s="2" t="s">
        <v>88</v>
      </c>
      <c r="D2325" s="2" t="s">
        <v>7152</v>
      </c>
      <c r="E2325" s="2" t="s">
        <v>7153</v>
      </c>
      <c r="F2325" s="2" t="s">
        <v>8232</v>
      </c>
      <c r="G2325" s="2" t="s">
        <v>8233</v>
      </c>
      <c r="H2325" s="2" t="s">
        <v>8234</v>
      </c>
      <c r="I2325" s="2" t="s">
        <v>8235</v>
      </c>
      <c r="J2325" s="2" t="s">
        <v>3385</v>
      </c>
      <c r="K2325" s="2" t="s">
        <v>8240</v>
      </c>
      <c r="L2325" s="3">
        <v>202.3</v>
      </c>
      <c r="M2325" s="3">
        <v>212.42</v>
      </c>
      <c r="N2325" s="3">
        <v>429</v>
      </c>
      <c r="O2325" s="2" t="s">
        <v>97</v>
      </c>
      <c r="P2325" s="2" t="s">
        <v>98</v>
      </c>
      <c r="Q2325" s="2" t="s">
        <v>99</v>
      </c>
      <c r="R2325" s="2" t="s">
        <v>100</v>
      </c>
      <c r="S2325" s="2" t="s">
        <v>8241</v>
      </c>
      <c r="T2325" s="2" t="s">
        <v>100</v>
      </c>
      <c r="U2325" s="2" t="s">
        <v>100</v>
      </c>
      <c r="V2325" s="2" t="s">
        <v>461</v>
      </c>
      <c r="W2325" s="2" t="s">
        <v>142</v>
      </c>
      <c r="X2325" s="2" t="s">
        <v>100</v>
      </c>
      <c r="Y2325" s="2" t="s">
        <v>8132</v>
      </c>
      <c r="Z2325" s="4">
        <v>67</v>
      </c>
      <c r="AA2325" s="4">
        <f>=ROUNDDOWN(74.4444444444444,0)</f>
      </c>
      <c r="AB2325" s="5">
        <v>0.9</v>
      </c>
      <c r="AC2325" s="2" t="s">
        <v>3271</v>
      </c>
      <c r="AD2325" s="4">
        <v>35</v>
      </c>
      <c r="AE2325" s="4">
        <v>70</v>
      </c>
      <c r="AF2325" s="6">
        <v>74</v>
      </c>
      <c r="AG2325" s="6">
        <v>60</v>
      </c>
      <c r="AH2325" s="7">
        <v>1</v>
      </c>
      <c r="AI2325" s="4"/>
      <c r="AJ2325" s="4">
        <f>=ROUNDDOWN({0},0)</f>
      </c>
      <c r="AK2325" s="5"/>
      <c r="AL2325" s="2" t="s">
        <v>107</v>
      </c>
      <c r="AM2325" s="4">
        <v>35</v>
      </c>
      <c r="AN2325" s="4">
        <v>70</v>
      </c>
      <c r="AO2325" s="7">
        <v>0</v>
      </c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7"/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/>
      <c r="BJ2325" s="4">
        <v>20</v>
      </c>
      <c r="BK2325" s="8">
        <v>3555.26</v>
      </c>
      <c r="BL2325" s="2" t="s">
        <v>8242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2526</v>
      </c>
      <c r="BV2325" s="2" t="s">
        <v>97</v>
      </c>
      <c r="BW2325" s="2" t="s">
        <v>100</v>
      </c>
      <c r="BX2325" s="2" t="s">
        <v>100</v>
      </c>
      <c r="BY2325" s="2" t="s">
        <v>112</v>
      </c>
      <c r="BZ2325" s="2" t="s">
        <v>100</v>
      </c>
    </row>
    <row r="2326">
      <c r="A2326" s="2" t="s">
        <v>8243</v>
      </c>
      <c r="B2326" s="2" t="s">
        <v>6747</v>
      </c>
      <c r="C2326" s="2" t="s">
        <v>88</v>
      </c>
      <c r="D2326" s="2" t="s">
        <v>7152</v>
      </c>
      <c r="E2326" s="2" t="s">
        <v>7153</v>
      </c>
      <c r="F2326" s="2" t="s">
        <v>8232</v>
      </c>
      <c r="G2326" s="2" t="s">
        <v>8233</v>
      </c>
      <c r="H2326" s="2" t="s">
        <v>8234</v>
      </c>
      <c r="I2326" s="2" t="s">
        <v>8235</v>
      </c>
      <c r="J2326" s="2" t="s">
        <v>3385</v>
      </c>
      <c r="K2326" s="2" t="s">
        <v>7359</v>
      </c>
      <c r="L2326" s="3">
        <v>202.3</v>
      </c>
      <c r="M2326" s="3">
        <v>212.42</v>
      </c>
      <c r="N2326" s="3">
        <v>429</v>
      </c>
      <c r="O2326" s="2" t="s">
        <v>97</v>
      </c>
      <c r="P2326" s="2" t="s">
        <v>123</v>
      </c>
      <c r="Q2326" s="2" t="s">
        <v>99</v>
      </c>
      <c r="R2326" s="2" t="s">
        <v>100</v>
      </c>
      <c r="S2326" s="2" t="s">
        <v>100</v>
      </c>
      <c r="T2326" s="2" t="s">
        <v>100</v>
      </c>
      <c r="U2326" s="2" t="s">
        <v>100</v>
      </c>
      <c r="V2326" s="2" t="s">
        <v>461</v>
      </c>
      <c r="W2326" s="2" t="s">
        <v>142</v>
      </c>
      <c r="X2326" s="2" t="s">
        <v>100</v>
      </c>
      <c r="Y2326" s="2" t="s">
        <v>1935</v>
      </c>
      <c r="Z2326" s="4">
        <v>150</v>
      </c>
      <c r="AA2326" s="4">
        <f>=ROUNDDOWN(51.7241379310345,0)</f>
      </c>
      <c r="AB2326" s="5">
        <v>2.9</v>
      </c>
      <c r="AC2326" s="2" t="s">
        <v>2709</v>
      </c>
      <c r="AD2326" s="4">
        <v>70</v>
      </c>
      <c r="AE2326" s="4">
        <v>240</v>
      </c>
      <c r="AF2326" s="6">
        <v>74</v>
      </c>
      <c r="AG2326" s="6">
        <v>60</v>
      </c>
      <c r="AH2326" s="7">
        <v>1</v>
      </c>
      <c r="AI2326" s="4"/>
      <c r="AJ2326" s="4">
        <f>=ROUNDDOWN({0},0)</f>
      </c>
      <c r="AK2326" s="5"/>
      <c r="AL2326" s="2" t="s">
        <v>107</v>
      </c>
      <c r="AM2326" s="4">
        <v>100</v>
      </c>
      <c r="AN2326" s="4">
        <v>200</v>
      </c>
      <c r="AO2326" s="7">
        <v>0</v>
      </c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/>
      <c r="BJ2326" s="4">
        <v>105</v>
      </c>
      <c r="BK2326" s="8">
        <v>19624.08</v>
      </c>
      <c r="BL2326" s="2" t="s">
        <v>8244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2526</v>
      </c>
      <c r="BV2326" s="2" t="s">
        <v>97</v>
      </c>
      <c r="BW2326" s="2" t="s">
        <v>100</v>
      </c>
      <c r="BX2326" s="2" t="s">
        <v>100</v>
      </c>
      <c r="BY2326" s="2" t="s">
        <v>112</v>
      </c>
      <c r="BZ2326" s="2" t="s">
        <v>100</v>
      </c>
    </row>
    <row r="2327">
      <c r="A2327" s="2" t="s">
        <v>8245</v>
      </c>
      <c r="B2327" s="2" t="s">
        <v>6747</v>
      </c>
      <c r="C2327" s="2" t="s">
        <v>88</v>
      </c>
      <c r="D2327" s="2" t="s">
        <v>7152</v>
      </c>
      <c r="E2327" s="2" t="s">
        <v>7153</v>
      </c>
      <c r="F2327" s="2" t="s">
        <v>8246</v>
      </c>
      <c r="G2327" s="2" t="s">
        <v>8247</v>
      </c>
      <c r="H2327" s="2" t="s">
        <v>8248</v>
      </c>
      <c r="I2327" s="2" t="s">
        <v>8249</v>
      </c>
      <c r="J2327" s="2" t="s">
        <v>3385</v>
      </c>
      <c r="K2327" s="2" t="s">
        <v>179</v>
      </c>
      <c r="L2327" s="3">
        <v>190.4</v>
      </c>
      <c r="M2327" s="3">
        <v>199.92</v>
      </c>
      <c r="N2327" s="3">
        <v>399</v>
      </c>
      <c r="O2327" s="2" t="s">
        <v>97</v>
      </c>
      <c r="P2327" s="2" t="s">
        <v>98</v>
      </c>
      <c r="Q2327" s="2" t="s">
        <v>99</v>
      </c>
      <c r="R2327" s="2" t="s">
        <v>100</v>
      </c>
      <c r="S2327" s="2" t="s">
        <v>8250</v>
      </c>
      <c r="T2327" s="2" t="s">
        <v>100</v>
      </c>
      <c r="U2327" s="2" t="s">
        <v>100</v>
      </c>
      <c r="V2327" s="2" t="s">
        <v>461</v>
      </c>
      <c r="W2327" s="2" t="s">
        <v>142</v>
      </c>
      <c r="X2327" s="2" t="s">
        <v>100</v>
      </c>
      <c r="Y2327" s="2" t="s">
        <v>8132</v>
      </c>
      <c r="Z2327" s="4">
        <v>107</v>
      </c>
      <c r="AA2327" s="4">
        <f>=ROUNDDOWN(27.4358974358974,0)</f>
      </c>
      <c r="AB2327" s="5">
        <v>3.9</v>
      </c>
      <c r="AC2327" s="2" t="s">
        <v>550</v>
      </c>
      <c r="AD2327" s="4">
        <v>126</v>
      </c>
      <c r="AE2327" s="4">
        <v>252</v>
      </c>
      <c r="AF2327" s="6">
        <v>74</v>
      </c>
      <c r="AG2327" s="6">
        <v>60</v>
      </c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/>
      <c r="BD2327" s="8"/>
      <c r="BE2327" s="4"/>
      <c r="BF2327" s="8"/>
      <c r="BG2327" s="7"/>
      <c r="BH2327" s="7"/>
      <c r="BI2327" s="7"/>
      <c r="BJ2327" s="4">
        <v>16</v>
      </c>
      <c r="BK2327" s="8">
        <v>3108.05</v>
      </c>
      <c r="BL2327" s="2" t="s">
        <v>8251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2526</v>
      </c>
      <c r="BV2327" s="2" t="s">
        <v>97</v>
      </c>
      <c r="BW2327" s="2" t="s">
        <v>100</v>
      </c>
      <c r="BX2327" s="2" t="s">
        <v>100</v>
      </c>
      <c r="BY2327" s="2" t="s">
        <v>112</v>
      </c>
      <c r="BZ2327" s="2" t="s">
        <v>100</v>
      </c>
    </row>
    <row r="2328">
      <c r="A2328" s="2" t="s">
        <v>8252</v>
      </c>
      <c r="B2328" s="2" t="s">
        <v>6747</v>
      </c>
      <c r="C2328" s="2" t="s">
        <v>88</v>
      </c>
      <c r="D2328" s="2" t="s">
        <v>7152</v>
      </c>
      <c r="E2328" s="2" t="s">
        <v>7153</v>
      </c>
      <c r="F2328" s="2" t="s">
        <v>8253</v>
      </c>
      <c r="G2328" s="2" t="s">
        <v>8254</v>
      </c>
      <c r="H2328" s="2" t="s">
        <v>8255</v>
      </c>
      <c r="I2328" s="2" t="s">
        <v>8206</v>
      </c>
      <c r="J2328" s="2" t="s">
        <v>3385</v>
      </c>
      <c r="K2328" s="2" t="s">
        <v>1090</v>
      </c>
      <c r="L2328" s="3">
        <v>226.1</v>
      </c>
      <c r="M2328" s="3">
        <v>237.4</v>
      </c>
      <c r="N2328" s="3">
        <v>479</v>
      </c>
      <c r="O2328" s="2" t="s">
        <v>97</v>
      </c>
      <c r="P2328" s="2" t="s">
        <v>98</v>
      </c>
      <c r="Q2328" s="2" t="s">
        <v>99</v>
      </c>
      <c r="R2328" s="2" t="s">
        <v>100</v>
      </c>
      <c r="S2328" s="2" t="s">
        <v>8256</v>
      </c>
      <c r="T2328" s="2" t="s">
        <v>100</v>
      </c>
      <c r="U2328" s="2" t="s">
        <v>100</v>
      </c>
      <c r="V2328" s="2" t="s">
        <v>461</v>
      </c>
      <c r="W2328" s="2" t="s">
        <v>142</v>
      </c>
      <c r="X2328" s="2" t="s">
        <v>100</v>
      </c>
      <c r="Y2328" s="2" t="s">
        <v>8132</v>
      </c>
      <c r="Z2328" s="4">
        <v>109</v>
      </c>
      <c r="AA2328" s="4">
        <f>=ROUNDDOWN(90.8333333333333,0)</f>
      </c>
      <c r="AB2328" s="5">
        <v>1.2</v>
      </c>
      <c r="AC2328" s="2" t="s">
        <v>145</v>
      </c>
      <c r="AD2328" s="4">
        <v>31</v>
      </c>
      <c r="AE2328" s="4">
        <v>31</v>
      </c>
      <c r="AF2328" s="6">
        <v>66</v>
      </c>
      <c r="AG2328" s="6">
        <v>49</v>
      </c>
      <c r="AH2328" s="7">
        <v>1</v>
      </c>
      <c r="AI2328" s="4"/>
      <c r="AJ2328" s="4">
        <f>=ROUNDDOWN({0},0)</f>
      </c>
      <c r="AK2328" s="5"/>
      <c r="AL2328" s="2" t="s">
        <v>1353</v>
      </c>
      <c r="AM2328" s="4">
        <v>135</v>
      </c>
      <c r="AN2328" s="4">
        <v>135</v>
      </c>
      <c r="AO2328" s="7">
        <v>0</v>
      </c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/>
      <c r="BJ2328" s="4">
        <v>44</v>
      </c>
      <c r="BK2328" s="8">
        <v>9735.67</v>
      </c>
      <c r="BL2328" s="2" t="s">
        <v>8257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2526</v>
      </c>
      <c r="BV2328" s="2" t="s">
        <v>97</v>
      </c>
      <c r="BW2328" s="2" t="s">
        <v>100</v>
      </c>
      <c r="BX2328" s="2" t="s">
        <v>100</v>
      </c>
      <c r="BY2328" s="2" t="s">
        <v>112</v>
      </c>
      <c r="BZ2328" s="2" t="s">
        <v>100</v>
      </c>
    </row>
    <row r="2329">
      <c r="A2329" s="2" t="s">
        <v>8258</v>
      </c>
      <c r="B2329" s="2" t="s">
        <v>6747</v>
      </c>
      <c r="C2329" s="2" t="s">
        <v>88</v>
      </c>
      <c r="D2329" s="2" t="s">
        <v>7152</v>
      </c>
      <c r="E2329" s="2" t="s">
        <v>7153</v>
      </c>
      <c r="F2329" s="2" t="s">
        <v>8253</v>
      </c>
      <c r="G2329" s="2" t="s">
        <v>8254</v>
      </c>
      <c r="H2329" s="2" t="s">
        <v>8255</v>
      </c>
      <c r="I2329" s="2" t="s">
        <v>8259</v>
      </c>
      <c r="J2329" s="2" t="s">
        <v>3385</v>
      </c>
      <c r="K2329" s="2" t="s">
        <v>8260</v>
      </c>
      <c r="L2329" s="3">
        <v>226.1</v>
      </c>
      <c r="M2329" s="3">
        <v>237.4</v>
      </c>
      <c r="N2329" s="3">
        <v>479</v>
      </c>
      <c r="O2329" s="2" t="s">
        <v>97</v>
      </c>
      <c r="P2329" s="2" t="s">
        <v>98</v>
      </c>
      <c r="Q2329" s="2" t="s">
        <v>99</v>
      </c>
      <c r="R2329" s="2" t="s">
        <v>100</v>
      </c>
      <c r="S2329" s="2" t="s">
        <v>100</v>
      </c>
      <c r="T2329" s="2" t="s">
        <v>100</v>
      </c>
      <c r="U2329" s="2" t="s">
        <v>1776</v>
      </c>
      <c r="V2329" s="2" t="s">
        <v>461</v>
      </c>
      <c r="W2329" s="2" t="s">
        <v>142</v>
      </c>
      <c r="X2329" s="2" t="s">
        <v>609</v>
      </c>
      <c r="Y2329" s="2" t="s">
        <v>4931</v>
      </c>
      <c r="Z2329" s="4">
        <v>316</v>
      </c>
      <c r="AA2329" s="4">
        <f>=ROUNDDOWN(35.1111111111111,0)</f>
      </c>
      <c r="AB2329" s="5">
        <v>9</v>
      </c>
      <c r="AC2329" s="2" t="s">
        <v>2604</v>
      </c>
      <c r="AD2329" s="4">
        <v>114</v>
      </c>
      <c r="AE2329" s="4">
        <v>114</v>
      </c>
      <c r="AF2329" s="6">
        <v>66</v>
      </c>
      <c r="AG2329" s="6">
        <v>49</v>
      </c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/>
      <c r="AW2329" s="8"/>
      <c r="AX2329" s="4"/>
      <c r="AY2329" s="8"/>
      <c r="AZ2329" s="7"/>
      <c r="BA2329" s="7"/>
      <c r="BB2329" s="7"/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/>
      <c r="BJ2329" s="4">
        <v>27</v>
      </c>
      <c r="BK2329" s="8">
        <v>5656.54</v>
      </c>
      <c r="BL2329" s="2" t="s">
        <v>2807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2526</v>
      </c>
      <c r="BV2329" s="2" t="s">
        <v>97</v>
      </c>
      <c r="BW2329" s="2" t="s">
        <v>100</v>
      </c>
      <c r="BX2329" s="2" t="s">
        <v>100</v>
      </c>
      <c r="BY2329" s="2" t="s">
        <v>112</v>
      </c>
      <c r="BZ2329" s="2" t="s">
        <v>100</v>
      </c>
    </row>
    <row r="2330">
      <c r="A2330" s="2" t="s">
        <v>8261</v>
      </c>
      <c r="B2330" s="2" t="s">
        <v>6747</v>
      </c>
      <c r="C2330" s="2" t="s">
        <v>88</v>
      </c>
      <c r="D2330" s="2" t="s">
        <v>7152</v>
      </c>
      <c r="E2330" s="2" t="s">
        <v>7153</v>
      </c>
      <c r="F2330" s="2" t="s">
        <v>8253</v>
      </c>
      <c r="G2330" s="2" t="s">
        <v>8254</v>
      </c>
      <c r="H2330" s="2" t="s">
        <v>8255</v>
      </c>
      <c r="I2330" s="2" t="s">
        <v>8259</v>
      </c>
      <c r="J2330" s="2" t="s">
        <v>3385</v>
      </c>
      <c r="K2330" s="2" t="s">
        <v>96</v>
      </c>
      <c r="L2330" s="3">
        <v>226.1</v>
      </c>
      <c r="M2330" s="3">
        <v>237.4</v>
      </c>
      <c r="N2330" s="3">
        <v>479</v>
      </c>
      <c r="O2330" s="2" t="s">
        <v>97</v>
      </c>
      <c r="P2330" s="2" t="s">
        <v>98</v>
      </c>
      <c r="Q2330" s="2" t="s">
        <v>99</v>
      </c>
      <c r="R2330" s="2" t="s">
        <v>100</v>
      </c>
      <c r="S2330" s="2" t="s">
        <v>8262</v>
      </c>
      <c r="T2330" s="2" t="s">
        <v>100</v>
      </c>
      <c r="U2330" s="2" t="s">
        <v>100</v>
      </c>
      <c r="V2330" s="2" t="s">
        <v>461</v>
      </c>
      <c r="W2330" s="2" t="s">
        <v>142</v>
      </c>
      <c r="X2330" s="2" t="s">
        <v>100</v>
      </c>
      <c r="Y2330" s="2" t="s">
        <v>225</v>
      </c>
      <c r="Z2330" s="4">
        <v>178</v>
      </c>
      <c r="AA2330" s="4">
        <f>=ROUNDDOWN(39.5555555555556,0)</f>
      </c>
      <c r="AB2330" s="5">
        <v>4.5</v>
      </c>
      <c r="AC2330" s="2" t="s">
        <v>145</v>
      </c>
      <c r="AD2330" s="4">
        <v>110</v>
      </c>
      <c r="AE2330" s="4">
        <v>110</v>
      </c>
      <c r="AF2330" s="6">
        <v>66</v>
      </c>
      <c r="AG2330" s="6">
        <v>49</v>
      </c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/>
      <c r="AW2330" s="8"/>
      <c r="AX2330" s="4"/>
      <c r="AY2330" s="8"/>
      <c r="AZ2330" s="7"/>
      <c r="BA2330" s="7"/>
      <c r="BB2330" s="7"/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/>
      <c r="BJ2330" s="4">
        <v>18</v>
      </c>
      <c r="BK2330" s="8">
        <v>3863.12</v>
      </c>
      <c r="BL2330" s="2" t="s">
        <v>8263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2526</v>
      </c>
      <c r="BV2330" s="2" t="s">
        <v>97</v>
      </c>
      <c r="BW2330" s="2" t="s">
        <v>100</v>
      </c>
      <c r="BX2330" s="2" t="s">
        <v>100</v>
      </c>
      <c r="BY2330" s="2" t="s">
        <v>112</v>
      </c>
      <c r="BZ2330" s="2" t="s">
        <v>100</v>
      </c>
    </row>
    <row r="2331">
      <c r="A2331" s="2" t="s">
        <v>8264</v>
      </c>
      <c r="B2331" s="2" t="s">
        <v>6747</v>
      </c>
      <c r="C2331" s="2" t="s">
        <v>88</v>
      </c>
      <c r="D2331" s="2" t="s">
        <v>7152</v>
      </c>
      <c r="E2331" s="2" t="s">
        <v>7153</v>
      </c>
      <c r="F2331" s="2" t="s">
        <v>8265</v>
      </c>
      <c r="G2331" s="2" t="s">
        <v>8266</v>
      </c>
      <c r="H2331" s="2" t="s">
        <v>8267</v>
      </c>
      <c r="I2331" s="2" t="s">
        <v>7155</v>
      </c>
      <c r="J2331" s="2" t="s">
        <v>3385</v>
      </c>
      <c r="K2331" s="2" t="s">
        <v>256</v>
      </c>
      <c r="L2331" s="3">
        <v>216.6</v>
      </c>
      <c r="M2331" s="3">
        <v>227.43</v>
      </c>
      <c r="N2331" s="3">
        <v>449</v>
      </c>
      <c r="O2331" s="2" t="s">
        <v>97</v>
      </c>
      <c r="P2331" s="2" t="s">
        <v>707</v>
      </c>
      <c r="Q2331" s="2" t="s">
        <v>99</v>
      </c>
      <c r="R2331" s="2" t="s">
        <v>100</v>
      </c>
      <c r="S2331" s="2" t="s">
        <v>100</v>
      </c>
      <c r="T2331" s="2" t="s">
        <v>100</v>
      </c>
      <c r="U2331" s="2" t="s">
        <v>100</v>
      </c>
      <c r="V2331" s="2" t="s">
        <v>461</v>
      </c>
      <c r="W2331" s="2" t="s">
        <v>493</v>
      </c>
      <c r="X2331" s="2" t="s">
        <v>1136</v>
      </c>
      <c r="Y2331" s="2" t="s">
        <v>7061</v>
      </c>
      <c r="Z2331" s="4">
        <v>112</v>
      </c>
      <c r="AA2331" s="4">
        <f>=ROUNDDOWN(43.0769230769231,0)</f>
      </c>
      <c r="AB2331" s="5">
        <v>2.6</v>
      </c>
      <c r="AC2331" s="2" t="s">
        <v>100</v>
      </c>
      <c r="AD2331" s="4"/>
      <c r="AE2331" s="4"/>
      <c r="AF2331" s="6">
        <v>66</v>
      </c>
      <c r="AG2331" s="6"/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/>
      <c r="AW2331" s="8"/>
      <c r="AX2331" s="4"/>
      <c r="AY2331" s="8"/>
      <c r="AZ2331" s="7"/>
      <c r="BA2331" s="7"/>
      <c r="BB2331" s="7"/>
      <c r="BC2331" s="4"/>
      <c r="BD2331" s="8"/>
      <c r="BE2331" s="4"/>
      <c r="BF2331" s="8"/>
      <c r="BG2331" s="7"/>
      <c r="BH2331" s="7"/>
      <c r="BI2331" s="7"/>
      <c r="BJ2331" s="4">
        <v>14</v>
      </c>
      <c r="BK2331" s="8">
        <v>3207.66</v>
      </c>
      <c r="BL2331" s="2" t="s">
        <v>6821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2526</v>
      </c>
      <c r="BV2331" s="2" t="s">
        <v>97</v>
      </c>
      <c r="BW2331" s="2" t="s">
        <v>100</v>
      </c>
      <c r="BX2331" s="2" t="s">
        <v>100</v>
      </c>
      <c r="BY2331" s="2" t="s">
        <v>112</v>
      </c>
      <c r="BZ2331" s="2" t="s">
        <v>100</v>
      </c>
    </row>
    <row r="2332">
      <c r="A2332" s="2" t="s">
        <v>8268</v>
      </c>
      <c r="B2332" s="2" t="s">
        <v>6747</v>
      </c>
      <c r="C2332" s="2" t="s">
        <v>88</v>
      </c>
      <c r="D2332" s="2" t="s">
        <v>7152</v>
      </c>
      <c r="E2332" s="2" t="s">
        <v>7153</v>
      </c>
      <c r="F2332" s="2" t="s">
        <v>8269</v>
      </c>
      <c r="G2332" s="2" t="s">
        <v>8270</v>
      </c>
      <c r="H2332" s="2" t="s">
        <v>8271</v>
      </c>
      <c r="I2332" s="2" t="s">
        <v>8206</v>
      </c>
      <c r="J2332" s="2" t="s">
        <v>3385</v>
      </c>
      <c r="K2332" s="2" t="s">
        <v>1373</v>
      </c>
      <c r="L2332" s="3">
        <v>222.3</v>
      </c>
      <c r="M2332" s="3">
        <v>233.42</v>
      </c>
      <c r="N2332" s="3">
        <v>469</v>
      </c>
      <c r="O2332" s="2" t="s">
        <v>97</v>
      </c>
      <c r="P2332" s="2" t="s">
        <v>707</v>
      </c>
      <c r="Q2332" s="2" t="s">
        <v>99</v>
      </c>
      <c r="R2332" s="2" t="s">
        <v>100</v>
      </c>
      <c r="S2332" s="2" t="s">
        <v>100</v>
      </c>
      <c r="T2332" s="2" t="s">
        <v>100</v>
      </c>
      <c r="U2332" s="2" t="s">
        <v>1776</v>
      </c>
      <c r="V2332" s="2" t="s">
        <v>461</v>
      </c>
      <c r="W2332" s="2" t="s">
        <v>142</v>
      </c>
      <c r="X2332" s="2" t="s">
        <v>609</v>
      </c>
      <c r="Y2332" s="2" t="s">
        <v>765</v>
      </c>
      <c r="Z2332" s="4">
        <v>116</v>
      </c>
      <c r="AA2332" s="4">
        <f>=ROUNDDOWN(29,0)</f>
      </c>
      <c r="AB2332" s="5">
        <v>4</v>
      </c>
      <c r="AC2332" s="2" t="s">
        <v>100</v>
      </c>
      <c r="AD2332" s="4"/>
      <c r="AE2332" s="4"/>
      <c r="AF2332" s="6">
        <v>66</v>
      </c>
      <c r="AG2332" s="6"/>
      <c r="AH2332" s="7">
        <v>0.1613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/>
      <c r="AW2332" s="8"/>
      <c r="AX2332" s="4"/>
      <c r="AY2332" s="8"/>
      <c r="AZ2332" s="7"/>
      <c r="BA2332" s="7"/>
      <c r="BB2332" s="7"/>
      <c r="BC2332" s="4"/>
      <c r="BD2332" s="8"/>
      <c r="BE2332" s="4"/>
      <c r="BF2332" s="8"/>
      <c r="BG2332" s="7"/>
      <c r="BH2332" s="7"/>
      <c r="BI2332" s="7"/>
      <c r="BJ2332" s="4">
        <v>2</v>
      </c>
      <c r="BK2332" s="8">
        <v>513.52</v>
      </c>
      <c r="BL2332" s="2" t="s">
        <v>2202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2526</v>
      </c>
      <c r="BV2332" s="2" t="s">
        <v>97</v>
      </c>
      <c r="BW2332" s="2" t="s">
        <v>100</v>
      </c>
      <c r="BX2332" s="2" t="s">
        <v>100</v>
      </c>
      <c r="BY2332" s="2" t="s">
        <v>112</v>
      </c>
      <c r="BZ2332" s="2" t="s">
        <v>100</v>
      </c>
    </row>
    <row r="2333">
      <c r="A2333" s="2" t="s">
        <v>8272</v>
      </c>
      <c r="B2333" s="2" t="s">
        <v>6747</v>
      </c>
      <c r="C2333" s="2" t="s">
        <v>88</v>
      </c>
      <c r="D2333" s="2" t="s">
        <v>7152</v>
      </c>
      <c r="E2333" s="2" t="s">
        <v>7153</v>
      </c>
      <c r="F2333" s="2" t="s">
        <v>8273</v>
      </c>
      <c r="G2333" s="2" t="s">
        <v>8274</v>
      </c>
      <c r="H2333" s="2" t="s">
        <v>7560</v>
      </c>
      <c r="I2333" s="2" t="s">
        <v>8206</v>
      </c>
      <c r="J2333" s="2" t="s">
        <v>3385</v>
      </c>
      <c r="K2333" s="2" t="s">
        <v>179</v>
      </c>
      <c r="L2333" s="3">
        <v>207</v>
      </c>
      <c r="M2333" s="3">
        <v>217.35</v>
      </c>
      <c r="N2333" s="3">
        <v>439</v>
      </c>
      <c r="O2333" s="2" t="s">
        <v>97</v>
      </c>
      <c r="P2333" s="2" t="s">
        <v>98</v>
      </c>
      <c r="Q2333" s="2" t="s">
        <v>99</v>
      </c>
      <c r="R2333" s="2" t="s">
        <v>100</v>
      </c>
      <c r="S2333" s="2" t="s">
        <v>100</v>
      </c>
      <c r="T2333" s="2" t="s">
        <v>100</v>
      </c>
      <c r="U2333" s="2" t="s">
        <v>1776</v>
      </c>
      <c r="V2333" s="2" t="s">
        <v>461</v>
      </c>
      <c r="W2333" s="2" t="s">
        <v>142</v>
      </c>
      <c r="X2333" s="2" t="s">
        <v>493</v>
      </c>
      <c r="Y2333" s="2" t="s">
        <v>8275</v>
      </c>
      <c r="Z2333" s="4">
        <v>128</v>
      </c>
      <c r="AA2333" s="4">
        <f>=ROUNDDOWN(11.6363636363636,0)</f>
      </c>
      <c r="AB2333" s="5">
        <v>11</v>
      </c>
      <c r="AC2333" s="2" t="s">
        <v>832</v>
      </c>
      <c r="AD2333" s="4">
        <v>156</v>
      </c>
      <c r="AE2333" s="4">
        <v>237</v>
      </c>
      <c r="AF2333" s="6">
        <v>74</v>
      </c>
      <c r="AG2333" s="6">
        <v>60</v>
      </c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/>
      <c r="AW2333" s="8"/>
      <c r="AX2333" s="4"/>
      <c r="AY2333" s="8"/>
      <c r="AZ2333" s="7"/>
      <c r="BA2333" s="7"/>
      <c r="BB2333" s="7"/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/>
      <c r="BJ2333" s="4">
        <v>44</v>
      </c>
      <c r="BK2333" s="8">
        <v>9302.3</v>
      </c>
      <c r="BL2333" s="2" t="s">
        <v>8276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2526</v>
      </c>
      <c r="BV2333" s="2" t="s">
        <v>97</v>
      </c>
      <c r="BW2333" s="2" t="s">
        <v>100</v>
      </c>
      <c r="BX2333" s="2" t="s">
        <v>100</v>
      </c>
      <c r="BY2333" s="2" t="s">
        <v>112</v>
      </c>
      <c r="BZ2333" s="2" t="s">
        <v>100</v>
      </c>
    </row>
    <row r="2334">
      <c r="A2334" s="2" t="s">
        <v>8277</v>
      </c>
      <c r="B2334" s="2" t="s">
        <v>6747</v>
      </c>
      <c r="C2334" s="2" t="s">
        <v>88</v>
      </c>
      <c r="D2334" s="2" t="s">
        <v>7152</v>
      </c>
      <c r="E2334" s="2" t="s">
        <v>7153</v>
      </c>
      <c r="F2334" s="2" t="s">
        <v>8273</v>
      </c>
      <c r="G2334" s="2" t="s">
        <v>8274</v>
      </c>
      <c r="H2334" s="2" t="s">
        <v>7560</v>
      </c>
      <c r="I2334" s="2" t="s">
        <v>8206</v>
      </c>
      <c r="J2334" s="2" t="s">
        <v>3385</v>
      </c>
      <c r="K2334" s="2" t="s">
        <v>5349</v>
      </c>
      <c r="L2334" s="3">
        <v>207</v>
      </c>
      <c r="M2334" s="3">
        <v>217.35</v>
      </c>
      <c r="N2334" s="3">
        <v>439</v>
      </c>
      <c r="O2334" s="2" t="s">
        <v>97</v>
      </c>
      <c r="P2334" s="2" t="s">
        <v>98</v>
      </c>
      <c r="Q2334" s="2" t="s">
        <v>99</v>
      </c>
      <c r="R2334" s="2" t="s">
        <v>100</v>
      </c>
      <c r="S2334" s="2" t="s">
        <v>100</v>
      </c>
      <c r="T2334" s="2" t="s">
        <v>100</v>
      </c>
      <c r="U2334" s="2" t="s">
        <v>100</v>
      </c>
      <c r="V2334" s="2" t="s">
        <v>461</v>
      </c>
      <c r="W2334" s="2" t="s">
        <v>142</v>
      </c>
      <c r="X2334" s="2" t="s">
        <v>100</v>
      </c>
      <c r="Y2334" s="2" t="s">
        <v>1935</v>
      </c>
      <c r="Z2334" s="4">
        <v>297</v>
      </c>
      <c r="AA2334" s="4">
        <f>=ROUNDDOWN(29.7,0)</f>
      </c>
      <c r="AB2334" s="5">
        <v>10</v>
      </c>
      <c r="AC2334" s="2" t="s">
        <v>1468</v>
      </c>
      <c r="AD2334" s="4">
        <v>144</v>
      </c>
      <c r="AE2334" s="4">
        <v>144</v>
      </c>
      <c r="AF2334" s="6">
        <v>74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/>
      <c r="BJ2334" s="4">
        <v>40</v>
      </c>
      <c r="BK2334" s="8">
        <v>7758.67</v>
      </c>
      <c r="BL2334" s="2" t="s">
        <v>8278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2526</v>
      </c>
      <c r="BV2334" s="2" t="s">
        <v>97</v>
      </c>
      <c r="BW2334" s="2" t="s">
        <v>100</v>
      </c>
      <c r="BX2334" s="2" t="s">
        <v>100</v>
      </c>
      <c r="BY2334" s="2" t="s">
        <v>112</v>
      </c>
      <c r="BZ2334" s="2" t="s">
        <v>100</v>
      </c>
    </row>
    <row r="2335">
      <c r="A2335" s="2" t="s">
        <v>8279</v>
      </c>
      <c r="B2335" s="2" t="s">
        <v>6747</v>
      </c>
      <c r="C2335" s="2" t="s">
        <v>88</v>
      </c>
      <c r="D2335" s="2" t="s">
        <v>7152</v>
      </c>
      <c r="E2335" s="2" t="s">
        <v>7153</v>
      </c>
      <c r="F2335" s="2" t="s">
        <v>8273</v>
      </c>
      <c r="G2335" s="2" t="s">
        <v>8274</v>
      </c>
      <c r="H2335" s="2" t="s">
        <v>7560</v>
      </c>
      <c r="I2335" s="2" t="s">
        <v>7153</v>
      </c>
      <c r="J2335" s="2" t="s">
        <v>3385</v>
      </c>
      <c r="K2335" s="2" t="s">
        <v>96</v>
      </c>
      <c r="L2335" s="3">
        <v>207</v>
      </c>
      <c r="M2335" s="3">
        <v>217.35</v>
      </c>
      <c r="N2335" s="3">
        <v>439</v>
      </c>
      <c r="O2335" s="2" t="s">
        <v>97</v>
      </c>
      <c r="P2335" s="2" t="s">
        <v>98</v>
      </c>
      <c r="Q2335" s="2" t="s">
        <v>99</v>
      </c>
      <c r="R2335" s="2" t="s">
        <v>100</v>
      </c>
      <c r="S2335" s="2" t="s">
        <v>100</v>
      </c>
      <c r="T2335" s="2" t="s">
        <v>100</v>
      </c>
      <c r="U2335" s="2" t="s">
        <v>1776</v>
      </c>
      <c r="V2335" s="2" t="s">
        <v>461</v>
      </c>
      <c r="W2335" s="2" t="s">
        <v>142</v>
      </c>
      <c r="X2335" s="2" t="s">
        <v>104</v>
      </c>
      <c r="Y2335" s="2" t="s">
        <v>8229</v>
      </c>
      <c r="Z2335" s="4">
        <v>298</v>
      </c>
      <c r="AA2335" s="4">
        <f>=ROUNDDOWN(36.7901234567901,0)</f>
      </c>
      <c r="AB2335" s="5">
        <v>8.1</v>
      </c>
      <c r="AC2335" s="2" t="s">
        <v>2604</v>
      </c>
      <c r="AD2335" s="4">
        <v>42</v>
      </c>
      <c r="AE2335" s="4">
        <v>162</v>
      </c>
      <c r="AF2335" s="6">
        <v>74</v>
      </c>
      <c r="AG2335" s="6">
        <v>60</v>
      </c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/>
      <c r="BJ2335" s="4">
        <v>36</v>
      </c>
      <c r="BK2335" s="8">
        <v>8104.92</v>
      </c>
      <c r="BL2335" s="2" t="s">
        <v>8280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2526</v>
      </c>
      <c r="BV2335" s="2" t="s">
        <v>97</v>
      </c>
      <c r="BW2335" s="2" t="s">
        <v>100</v>
      </c>
      <c r="BX2335" s="2" t="s">
        <v>100</v>
      </c>
      <c r="BY2335" s="2" t="s">
        <v>112</v>
      </c>
      <c r="BZ2335" s="2" t="s">
        <v>100</v>
      </c>
    </row>
    <row r="2336">
      <c r="A2336" s="2" t="s">
        <v>8281</v>
      </c>
      <c r="B2336" s="2" t="s">
        <v>6747</v>
      </c>
      <c r="C2336" s="2" t="s">
        <v>88</v>
      </c>
      <c r="D2336" s="2" t="s">
        <v>7152</v>
      </c>
      <c r="E2336" s="2" t="s">
        <v>7153</v>
      </c>
      <c r="F2336" s="2" t="s">
        <v>8273</v>
      </c>
      <c r="G2336" s="2" t="s">
        <v>8274</v>
      </c>
      <c r="H2336" s="2" t="s">
        <v>7560</v>
      </c>
      <c r="I2336" s="2" t="s">
        <v>8206</v>
      </c>
      <c r="J2336" s="2" t="s">
        <v>3385</v>
      </c>
      <c r="K2336" s="2" t="s">
        <v>8282</v>
      </c>
      <c r="L2336" s="3">
        <v>207</v>
      </c>
      <c r="M2336" s="3">
        <v>217.35</v>
      </c>
      <c r="N2336" s="3">
        <v>439</v>
      </c>
      <c r="O2336" s="2" t="s">
        <v>97</v>
      </c>
      <c r="P2336" s="2" t="s">
        <v>139</v>
      </c>
      <c r="Q2336" s="2" t="s">
        <v>99</v>
      </c>
      <c r="R2336" s="2" t="s">
        <v>100</v>
      </c>
      <c r="S2336" s="2" t="s">
        <v>8283</v>
      </c>
      <c r="T2336" s="2" t="s">
        <v>100</v>
      </c>
      <c r="U2336" s="2" t="s">
        <v>100</v>
      </c>
      <c r="V2336" s="2" t="s">
        <v>461</v>
      </c>
      <c r="W2336" s="2" t="s">
        <v>142</v>
      </c>
      <c r="X2336" s="2" t="s">
        <v>100</v>
      </c>
      <c r="Y2336" s="2" t="s">
        <v>225</v>
      </c>
      <c r="Z2336" s="4">
        <v>374</v>
      </c>
      <c r="AA2336" s="4">
        <f>=ROUNDDOWN(38.5567010309278,0)</f>
      </c>
      <c r="AB2336" s="5">
        <v>9.7</v>
      </c>
      <c r="AC2336" s="2" t="s">
        <v>2604</v>
      </c>
      <c r="AD2336" s="4">
        <v>56</v>
      </c>
      <c r="AE2336" s="4">
        <v>396</v>
      </c>
      <c r="AF2336" s="6">
        <v>74</v>
      </c>
      <c r="AG2336" s="6">
        <v>60</v>
      </c>
      <c r="AH2336" s="7">
        <v>1</v>
      </c>
      <c r="AI2336" s="4"/>
      <c r="AJ2336" s="4">
        <f>=ROUNDDOWN({0},0)</f>
      </c>
      <c r="AK2336" s="5"/>
      <c r="AL2336" s="2" t="s">
        <v>107</v>
      </c>
      <c r="AM2336" s="4">
        <v>144</v>
      </c>
      <c r="AN2336" s="4">
        <v>144</v>
      </c>
      <c r="AO2336" s="7">
        <v>0</v>
      </c>
      <c r="AP2336" s="4"/>
      <c r="AQ2336" s="8"/>
      <c r="AR2336" s="4"/>
      <c r="AS2336" s="8"/>
      <c r="AT2336" s="7"/>
      <c r="AU2336" s="7"/>
      <c r="AV2336" s="4"/>
      <c r="AW2336" s="8"/>
      <c r="AX2336" s="4"/>
      <c r="AY2336" s="8"/>
      <c r="AZ2336" s="7"/>
      <c r="BA2336" s="7"/>
      <c r="BB2336" s="7"/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/>
      <c r="BJ2336" s="4">
        <v>134</v>
      </c>
      <c r="BK2336" s="8">
        <v>26277.04</v>
      </c>
      <c r="BL2336" s="2" t="s">
        <v>8284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2526</v>
      </c>
      <c r="BV2336" s="2" t="s">
        <v>97</v>
      </c>
      <c r="BW2336" s="2" t="s">
        <v>100</v>
      </c>
      <c r="BX2336" s="2" t="s">
        <v>100</v>
      </c>
      <c r="BY2336" s="2" t="s">
        <v>112</v>
      </c>
      <c r="BZ2336" s="2" t="s">
        <v>100</v>
      </c>
    </row>
    <row r="2337">
      <c r="A2337" s="2" t="s">
        <v>8285</v>
      </c>
      <c r="B2337" s="2" t="s">
        <v>6747</v>
      </c>
      <c r="C2337" s="2" t="s">
        <v>88</v>
      </c>
      <c r="D2337" s="2" t="s">
        <v>7152</v>
      </c>
      <c r="E2337" s="2" t="s">
        <v>7153</v>
      </c>
      <c r="F2337" s="2" t="s">
        <v>8273</v>
      </c>
      <c r="G2337" s="2" t="s">
        <v>8274</v>
      </c>
      <c r="H2337" s="2" t="s">
        <v>7560</v>
      </c>
      <c r="I2337" s="2" t="s">
        <v>8206</v>
      </c>
      <c r="J2337" s="2" t="s">
        <v>3385</v>
      </c>
      <c r="K2337" s="2" t="s">
        <v>8286</v>
      </c>
      <c r="L2337" s="3">
        <v>207</v>
      </c>
      <c r="M2337" s="3">
        <v>217.35</v>
      </c>
      <c r="N2337" s="3">
        <v>439</v>
      </c>
      <c r="O2337" s="2" t="s">
        <v>97</v>
      </c>
      <c r="P2337" s="2" t="s">
        <v>123</v>
      </c>
      <c r="Q2337" s="2" t="s">
        <v>99</v>
      </c>
      <c r="R2337" s="2" t="s">
        <v>100</v>
      </c>
      <c r="S2337" s="2" t="s">
        <v>100</v>
      </c>
      <c r="T2337" s="2" t="s">
        <v>100</v>
      </c>
      <c r="U2337" s="2" t="s">
        <v>1776</v>
      </c>
      <c r="V2337" s="2" t="s">
        <v>461</v>
      </c>
      <c r="W2337" s="2" t="s">
        <v>142</v>
      </c>
      <c r="X2337" s="2" t="s">
        <v>100</v>
      </c>
      <c r="Y2337" s="2" t="s">
        <v>4931</v>
      </c>
      <c r="Z2337" s="4">
        <v>27</v>
      </c>
      <c r="AA2337" s="4">
        <f>=ROUNDDOWN(2.5,0)</f>
      </c>
      <c r="AB2337" s="5">
        <v>10.8</v>
      </c>
      <c r="AC2337" s="2" t="s">
        <v>2604</v>
      </c>
      <c r="AD2337" s="4">
        <v>190</v>
      </c>
      <c r="AE2337" s="4">
        <v>265</v>
      </c>
      <c r="AF2337" s="6">
        <v>74</v>
      </c>
      <c r="AG2337" s="6">
        <v>60</v>
      </c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7"/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/>
      <c r="BJ2337" s="4">
        <v>46</v>
      </c>
      <c r="BK2337" s="8">
        <v>9457.66</v>
      </c>
      <c r="BL2337" s="2" t="s">
        <v>8287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2526</v>
      </c>
      <c r="BV2337" s="2" t="s">
        <v>97</v>
      </c>
      <c r="BW2337" s="2" t="s">
        <v>100</v>
      </c>
      <c r="BX2337" s="2" t="s">
        <v>100</v>
      </c>
      <c r="BY2337" s="2" t="s">
        <v>112</v>
      </c>
      <c r="BZ2337" s="2" t="s">
        <v>100</v>
      </c>
    </row>
    <row r="2338">
      <c r="A2338" s="2" t="s">
        <v>8288</v>
      </c>
      <c r="B2338" s="2" t="s">
        <v>6747</v>
      </c>
      <c r="C2338" s="2" t="s">
        <v>88</v>
      </c>
      <c r="D2338" s="2" t="s">
        <v>7152</v>
      </c>
      <c r="E2338" s="2" t="s">
        <v>8289</v>
      </c>
      <c r="F2338" s="2" t="s">
        <v>8290</v>
      </c>
      <c r="G2338" s="2" t="s">
        <v>8291</v>
      </c>
      <c r="H2338" s="2" t="s">
        <v>8292</v>
      </c>
      <c r="I2338" s="2" t="s">
        <v>8293</v>
      </c>
      <c r="J2338" s="2" t="s">
        <v>3385</v>
      </c>
      <c r="K2338" s="2" t="s">
        <v>3653</v>
      </c>
      <c r="L2338" s="3">
        <v>262.35</v>
      </c>
      <c r="M2338" s="3">
        <v>275.47</v>
      </c>
      <c r="N2338" s="3">
        <v>549</v>
      </c>
      <c r="O2338" s="2" t="s">
        <v>97</v>
      </c>
      <c r="P2338" s="2" t="s">
        <v>98</v>
      </c>
      <c r="Q2338" s="2" t="s">
        <v>99</v>
      </c>
      <c r="R2338" s="2" t="s">
        <v>100</v>
      </c>
      <c r="S2338" s="2" t="s">
        <v>100</v>
      </c>
      <c r="T2338" s="2" t="s">
        <v>100</v>
      </c>
      <c r="U2338" s="2" t="s">
        <v>100</v>
      </c>
      <c r="V2338" s="2" t="s">
        <v>4636</v>
      </c>
      <c r="W2338" s="2" t="s">
        <v>142</v>
      </c>
      <c r="X2338" s="2" t="s">
        <v>100</v>
      </c>
      <c r="Y2338" s="2" t="s">
        <v>8294</v>
      </c>
      <c r="Z2338" s="4">
        <v>132</v>
      </c>
      <c r="AA2338" s="4">
        <f>=ROUNDDOWN(14.6666666666667,0)</f>
      </c>
      <c r="AB2338" s="5">
        <v>9</v>
      </c>
      <c r="AC2338" s="2" t="s">
        <v>2604</v>
      </c>
      <c r="AD2338" s="4">
        <v>93</v>
      </c>
      <c r="AE2338" s="4">
        <v>197</v>
      </c>
      <c r="AF2338" s="6">
        <v>66</v>
      </c>
      <c r="AG2338" s="6">
        <v>49</v>
      </c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/>
      <c r="BD2338" s="8"/>
      <c r="BE2338" s="4"/>
      <c r="BF2338" s="8"/>
      <c r="BG2338" s="7"/>
      <c r="BH2338" s="7"/>
      <c r="BI2338" s="7"/>
      <c r="BJ2338" s="4">
        <v>16</v>
      </c>
      <c r="BK2338" s="8">
        <v>4101.79</v>
      </c>
      <c r="BL2338" s="2" t="s">
        <v>8295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2526</v>
      </c>
      <c r="BV2338" s="2" t="s">
        <v>97</v>
      </c>
      <c r="BW2338" s="2" t="s">
        <v>100</v>
      </c>
      <c r="BX2338" s="2" t="s">
        <v>100</v>
      </c>
      <c r="BY2338" s="2" t="s">
        <v>112</v>
      </c>
      <c r="BZ2338" s="2" t="s">
        <v>100</v>
      </c>
    </row>
    <row r="2339">
      <c r="A2339" s="2" t="s">
        <v>8296</v>
      </c>
      <c r="B2339" s="2" t="s">
        <v>6747</v>
      </c>
      <c r="C2339" s="2" t="s">
        <v>88</v>
      </c>
      <c r="D2339" s="2" t="s">
        <v>7152</v>
      </c>
      <c r="E2339" s="2" t="s">
        <v>8289</v>
      </c>
      <c r="F2339" s="2" t="s">
        <v>8297</v>
      </c>
      <c r="G2339" s="2" t="s">
        <v>8298</v>
      </c>
      <c r="H2339" s="2" t="s">
        <v>8299</v>
      </c>
      <c r="I2339" s="2" t="s">
        <v>8300</v>
      </c>
      <c r="J2339" s="2" t="s">
        <v>3385</v>
      </c>
      <c r="K2339" s="2" t="s">
        <v>1090</v>
      </c>
      <c r="L2339" s="3">
        <v>237.5</v>
      </c>
      <c r="M2339" s="3">
        <v>249.38</v>
      </c>
      <c r="N2339" s="3">
        <v>499</v>
      </c>
      <c r="O2339" s="2" t="s">
        <v>97</v>
      </c>
      <c r="P2339" s="2" t="s">
        <v>98</v>
      </c>
      <c r="Q2339" s="2" t="s">
        <v>99</v>
      </c>
      <c r="R2339" s="2" t="s">
        <v>100</v>
      </c>
      <c r="S2339" s="2" t="s">
        <v>8301</v>
      </c>
      <c r="T2339" s="2" t="s">
        <v>100</v>
      </c>
      <c r="U2339" s="2" t="s">
        <v>1776</v>
      </c>
      <c r="V2339" s="2" t="s">
        <v>461</v>
      </c>
      <c r="W2339" s="2" t="s">
        <v>142</v>
      </c>
      <c r="X2339" s="2" t="s">
        <v>100</v>
      </c>
      <c r="Y2339" s="2" t="s">
        <v>4946</v>
      </c>
      <c r="Z2339" s="4">
        <v>34</v>
      </c>
      <c r="AA2339" s="4">
        <f>=ROUNDDOWN(2.83333333333333,0)</f>
      </c>
      <c r="AB2339" s="5">
        <v>12</v>
      </c>
      <c r="AC2339" s="2" t="s">
        <v>2604</v>
      </c>
      <c r="AD2339" s="4">
        <v>100</v>
      </c>
      <c r="AE2339" s="4">
        <v>372</v>
      </c>
      <c r="AF2339" s="6">
        <v>66</v>
      </c>
      <c r="AG2339" s="6">
        <v>49</v>
      </c>
      <c r="AH2339" s="7">
        <v>0.9677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/>
      <c r="BJ2339" s="4">
        <v>113</v>
      </c>
      <c r="BK2339" s="8">
        <v>21685.16</v>
      </c>
      <c r="BL2339" s="2" t="s">
        <v>6821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2526</v>
      </c>
      <c r="BV2339" s="2" t="s">
        <v>97</v>
      </c>
      <c r="BW2339" s="2" t="s">
        <v>100</v>
      </c>
      <c r="BX2339" s="2" t="s">
        <v>100</v>
      </c>
      <c r="BY2339" s="2" t="s">
        <v>112</v>
      </c>
      <c r="BZ2339" s="2" t="s">
        <v>100</v>
      </c>
    </row>
    <row r="2340">
      <c r="A2340" s="2" t="s">
        <v>8302</v>
      </c>
      <c r="B2340" s="2" t="s">
        <v>6747</v>
      </c>
      <c r="C2340" s="2" t="s">
        <v>88</v>
      </c>
      <c r="D2340" s="2" t="s">
        <v>7152</v>
      </c>
      <c r="E2340" s="2" t="s">
        <v>8289</v>
      </c>
      <c r="F2340" s="2" t="s">
        <v>8297</v>
      </c>
      <c r="G2340" s="2" t="s">
        <v>8298</v>
      </c>
      <c r="H2340" s="2" t="s">
        <v>8299</v>
      </c>
      <c r="I2340" s="2" t="s">
        <v>8300</v>
      </c>
      <c r="J2340" s="2" t="s">
        <v>3385</v>
      </c>
      <c r="K2340" s="2" t="s">
        <v>365</v>
      </c>
      <c r="L2340" s="3">
        <v>237.5</v>
      </c>
      <c r="M2340" s="3">
        <v>249.38</v>
      </c>
      <c r="N2340" s="3">
        <v>499</v>
      </c>
      <c r="O2340" s="2" t="s">
        <v>97</v>
      </c>
      <c r="P2340" s="2" t="s">
        <v>98</v>
      </c>
      <c r="Q2340" s="2" t="s">
        <v>99</v>
      </c>
      <c r="R2340" s="2" t="s">
        <v>100</v>
      </c>
      <c r="S2340" s="2" t="s">
        <v>100</v>
      </c>
      <c r="T2340" s="2" t="s">
        <v>100</v>
      </c>
      <c r="U2340" s="2" t="s">
        <v>1776</v>
      </c>
      <c r="V2340" s="2" t="s">
        <v>461</v>
      </c>
      <c r="W2340" s="2" t="s">
        <v>142</v>
      </c>
      <c r="X2340" s="2" t="s">
        <v>100</v>
      </c>
      <c r="Y2340" s="2" t="s">
        <v>905</v>
      </c>
      <c r="Z2340" s="4">
        <v>31</v>
      </c>
      <c r="AA2340" s="4">
        <f>=ROUNDDOWN(3.875,0)</f>
      </c>
      <c r="AB2340" s="5">
        <v>8</v>
      </c>
      <c r="AC2340" s="2" t="s">
        <v>2604</v>
      </c>
      <c r="AD2340" s="4">
        <v>100</v>
      </c>
      <c r="AE2340" s="4">
        <v>230</v>
      </c>
      <c r="AF2340" s="6">
        <v>66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/>
      <c r="BJ2340" s="4">
        <v>41</v>
      </c>
      <c r="BK2340" s="8">
        <v>7933.8</v>
      </c>
      <c r="BL2340" s="2" t="s">
        <v>4034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2526</v>
      </c>
      <c r="BV2340" s="2" t="s">
        <v>97</v>
      </c>
      <c r="BW2340" s="2" t="s">
        <v>100</v>
      </c>
      <c r="BX2340" s="2" t="s">
        <v>100</v>
      </c>
      <c r="BY2340" s="2" t="s">
        <v>112</v>
      </c>
      <c r="BZ2340" s="2" t="s">
        <v>100</v>
      </c>
    </row>
    <row r="2341">
      <c r="A2341" s="2" t="s">
        <v>8303</v>
      </c>
      <c r="B2341" s="2" t="s">
        <v>6747</v>
      </c>
      <c r="C2341" s="2" t="s">
        <v>88</v>
      </c>
      <c r="D2341" s="2" t="s">
        <v>7152</v>
      </c>
      <c r="E2341" s="2" t="s">
        <v>8289</v>
      </c>
      <c r="F2341" s="2" t="s">
        <v>3556</v>
      </c>
      <c r="G2341" s="2" t="s">
        <v>8304</v>
      </c>
      <c r="H2341" s="2" t="s">
        <v>8305</v>
      </c>
      <c r="I2341" s="2" t="s">
        <v>8300</v>
      </c>
      <c r="J2341" s="2" t="s">
        <v>3385</v>
      </c>
      <c r="K2341" s="2" t="s">
        <v>1090</v>
      </c>
      <c r="L2341" s="3">
        <v>292.05</v>
      </c>
      <c r="M2341" s="3">
        <v>306.65</v>
      </c>
      <c r="N2341" s="3">
        <v>609</v>
      </c>
      <c r="O2341" s="2" t="s">
        <v>97</v>
      </c>
      <c r="P2341" s="2" t="s">
        <v>707</v>
      </c>
      <c r="Q2341" s="2" t="s">
        <v>99</v>
      </c>
      <c r="R2341" s="2" t="s">
        <v>100</v>
      </c>
      <c r="S2341" s="2" t="s">
        <v>100</v>
      </c>
      <c r="T2341" s="2" t="s">
        <v>100</v>
      </c>
      <c r="U2341" s="2" t="s">
        <v>100</v>
      </c>
      <c r="V2341" s="2" t="s">
        <v>461</v>
      </c>
      <c r="W2341" s="2" t="s">
        <v>142</v>
      </c>
      <c r="X2341" s="2" t="s">
        <v>100</v>
      </c>
      <c r="Y2341" s="2" t="s">
        <v>8306</v>
      </c>
      <c r="Z2341" s="4">
        <v>24</v>
      </c>
      <c r="AA2341" s="4">
        <f>=ROUNDDOWN(8,0)</f>
      </c>
      <c r="AB2341" s="5">
        <v>3</v>
      </c>
      <c r="AC2341" s="2" t="s">
        <v>130</v>
      </c>
      <c r="AD2341" s="4">
        <v>89</v>
      </c>
      <c r="AE2341" s="4">
        <v>89</v>
      </c>
      <c r="AF2341" s="6">
        <v>66</v>
      </c>
      <c r="AG2341" s="6">
        <v>49</v>
      </c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/>
      <c r="AW2341" s="8"/>
      <c r="AX2341" s="4"/>
      <c r="AY2341" s="8"/>
      <c r="AZ2341" s="7"/>
      <c r="BA2341" s="7"/>
      <c r="BB2341" s="7"/>
      <c r="BC2341" s="4"/>
      <c r="BD2341" s="8"/>
      <c r="BE2341" s="4"/>
      <c r="BF2341" s="8"/>
      <c r="BG2341" s="7"/>
      <c r="BH2341" s="7"/>
      <c r="BI2341" s="7"/>
      <c r="BJ2341" s="4">
        <v>14</v>
      </c>
      <c r="BK2341" s="8">
        <v>4189.5</v>
      </c>
      <c r="BL2341" s="2" t="s">
        <v>8307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2526</v>
      </c>
      <c r="BV2341" s="2" t="s">
        <v>97</v>
      </c>
      <c r="BW2341" s="2" t="s">
        <v>100</v>
      </c>
      <c r="BX2341" s="2" t="s">
        <v>100</v>
      </c>
      <c r="BY2341" s="2" t="s">
        <v>112</v>
      </c>
      <c r="BZ2341" s="2" t="s">
        <v>100</v>
      </c>
    </row>
    <row r="2342">
      <c r="A2342" s="2" t="s">
        <v>8308</v>
      </c>
      <c r="B2342" s="2" t="s">
        <v>6747</v>
      </c>
      <c r="C2342" s="2" t="s">
        <v>88</v>
      </c>
      <c r="D2342" s="2" t="s">
        <v>7152</v>
      </c>
      <c r="E2342" s="2" t="s">
        <v>8289</v>
      </c>
      <c r="F2342" s="2" t="s">
        <v>8309</v>
      </c>
      <c r="G2342" s="2" t="s">
        <v>4234</v>
      </c>
      <c r="H2342" s="2" t="s">
        <v>8310</v>
      </c>
      <c r="I2342" s="2" t="s">
        <v>8300</v>
      </c>
      <c r="J2342" s="2" t="s">
        <v>3385</v>
      </c>
      <c r="K2342" s="2" t="s">
        <v>523</v>
      </c>
      <c r="L2342" s="3">
        <v>270.75</v>
      </c>
      <c r="M2342" s="3">
        <v>284.29</v>
      </c>
      <c r="N2342" s="3">
        <v>569</v>
      </c>
      <c r="O2342" s="2" t="s">
        <v>97</v>
      </c>
      <c r="P2342" s="2" t="s">
        <v>98</v>
      </c>
      <c r="Q2342" s="2" t="s">
        <v>99</v>
      </c>
      <c r="R2342" s="2" t="s">
        <v>100</v>
      </c>
      <c r="S2342" s="2" t="s">
        <v>100</v>
      </c>
      <c r="T2342" s="2" t="s">
        <v>100</v>
      </c>
      <c r="U2342" s="2" t="s">
        <v>1776</v>
      </c>
      <c r="V2342" s="2" t="s">
        <v>461</v>
      </c>
      <c r="W2342" s="2" t="s">
        <v>142</v>
      </c>
      <c r="X2342" s="2" t="s">
        <v>100</v>
      </c>
      <c r="Y2342" s="2" t="s">
        <v>1853</v>
      </c>
      <c r="Z2342" s="4">
        <v>106</v>
      </c>
      <c r="AA2342" s="4">
        <f>=ROUNDDOWN(17.6666666666667,0)</f>
      </c>
      <c r="AB2342" s="5">
        <v>6</v>
      </c>
      <c r="AC2342" s="2" t="s">
        <v>130</v>
      </c>
      <c r="AD2342" s="4">
        <v>96</v>
      </c>
      <c r="AE2342" s="4">
        <v>120</v>
      </c>
      <c r="AF2342" s="6">
        <v>66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/>
      <c r="AW2342" s="8"/>
      <c r="AX2342" s="4"/>
      <c r="AY2342" s="8"/>
      <c r="AZ2342" s="7"/>
      <c r="BA2342" s="7"/>
      <c r="BB2342" s="7"/>
      <c r="BC2342" s="4"/>
      <c r="BD2342" s="8"/>
      <c r="BE2342" s="4"/>
      <c r="BF2342" s="8"/>
      <c r="BG2342" s="7"/>
      <c r="BH2342" s="7"/>
      <c r="BI2342" s="7"/>
      <c r="BJ2342" s="4">
        <v>25</v>
      </c>
      <c r="BK2342" s="8">
        <v>7687.27</v>
      </c>
      <c r="BL2342" s="2" t="s">
        <v>8311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2526</v>
      </c>
      <c r="BV2342" s="2" t="s">
        <v>97</v>
      </c>
      <c r="BW2342" s="2" t="s">
        <v>100</v>
      </c>
      <c r="BX2342" s="2" t="s">
        <v>100</v>
      </c>
      <c r="BY2342" s="2" t="s">
        <v>112</v>
      </c>
      <c r="BZ2342" s="2" t="s">
        <v>100</v>
      </c>
    </row>
    <row r="2343">
      <c r="A2343" s="2" t="s">
        <v>8312</v>
      </c>
      <c r="B2343" s="2" t="s">
        <v>6747</v>
      </c>
      <c r="C2343" s="2" t="s">
        <v>88</v>
      </c>
      <c r="D2343" s="2" t="s">
        <v>7152</v>
      </c>
      <c r="E2343" s="2" t="s">
        <v>8289</v>
      </c>
      <c r="F2343" s="2" t="s">
        <v>8313</v>
      </c>
      <c r="G2343" s="2" t="s">
        <v>8314</v>
      </c>
      <c r="H2343" s="2" t="s">
        <v>8315</v>
      </c>
      <c r="I2343" s="2" t="s">
        <v>8300</v>
      </c>
      <c r="J2343" s="2" t="s">
        <v>3385</v>
      </c>
      <c r="K2343" s="2" t="s">
        <v>179</v>
      </c>
      <c r="L2343" s="3">
        <v>270.75</v>
      </c>
      <c r="M2343" s="3">
        <v>284.29</v>
      </c>
      <c r="N2343" s="3">
        <v>569</v>
      </c>
      <c r="O2343" s="2" t="s">
        <v>97</v>
      </c>
      <c r="P2343" s="2" t="s">
        <v>707</v>
      </c>
      <c r="Q2343" s="2" t="s">
        <v>99</v>
      </c>
      <c r="R2343" s="2" t="s">
        <v>100</v>
      </c>
      <c r="S2343" s="2" t="s">
        <v>100</v>
      </c>
      <c r="T2343" s="2" t="s">
        <v>100</v>
      </c>
      <c r="U2343" s="2" t="s">
        <v>1776</v>
      </c>
      <c r="V2343" s="2" t="s">
        <v>461</v>
      </c>
      <c r="W2343" s="2" t="s">
        <v>104</v>
      </c>
      <c r="X2343" s="2" t="s">
        <v>100</v>
      </c>
      <c r="Y2343" s="2" t="s">
        <v>7594</v>
      </c>
      <c r="Z2343" s="4">
        <v>124</v>
      </c>
      <c r="AA2343" s="4">
        <f>=ROUNDDOWN(62,0)</f>
      </c>
      <c r="AB2343" s="5">
        <v>2</v>
      </c>
      <c r="AC2343" s="2" t="s">
        <v>100</v>
      </c>
      <c r="AD2343" s="4"/>
      <c r="AE2343" s="4"/>
      <c r="AF2343" s="6">
        <v>65</v>
      </c>
      <c r="AG2343" s="6">
        <v>48</v>
      </c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/>
      <c r="AW2343" s="8"/>
      <c r="AX2343" s="4"/>
      <c r="AY2343" s="8"/>
      <c r="AZ2343" s="7"/>
      <c r="BA2343" s="7"/>
      <c r="BB2343" s="7"/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/>
      <c r="BJ2343" s="4">
        <v>9</v>
      </c>
      <c r="BK2343" s="8">
        <v>2478.65</v>
      </c>
      <c r="BL2343" s="2" t="s">
        <v>7144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2526</v>
      </c>
      <c r="BV2343" s="2" t="s">
        <v>97</v>
      </c>
      <c r="BW2343" s="2" t="s">
        <v>100</v>
      </c>
      <c r="BX2343" s="2" t="s">
        <v>100</v>
      </c>
      <c r="BY2343" s="2" t="s">
        <v>112</v>
      </c>
      <c r="BZ2343" s="2" t="s">
        <v>100</v>
      </c>
    </row>
    <row r="2344">
      <c r="A2344" s="2" t="s">
        <v>8316</v>
      </c>
      <c r="B2344" s="2" t="s">
        <v>6747</v>
      </c>
      <c r="C2344" s="2" t="s">
        <v>88</v>
      </c>
      <c r="D2344" s="2" t="s">
        <v>7152</v>
      </c>
      <c r="E2344" s="2" t="s">
        <v>8289</v>
      </c>
      <c r="F2344" s="2" t="s">
        <v>8313</v>
      </c>
      <c r="G2344" s="2" t="s">
        <v>8314</v>
      </c>
      <c r="H2344" s="2" t="s">
        <v>8315</v>
      </c>
      <c r="I2344" s="2" t="s">
        <v>8300</v>
      </c>
      <c r="J2344" s="2" t="s">
        <v>3385</v>
      </c>
      <c r="K2344" s="2" t="s">
        <v>545</v>
      </c>
      <c r="L2344" s="3">
        <v>270.75</v>
      </c>
      <c r="M2344" s="3">
        <v>284.29</v>
      </c>
      <c r="N2344" s="3">
        <v>569</v>
      </c>
      <c r="O2344" s="2" t="s">
        <v>97</v>
      </c>
      <c r="P2344" s="2" t="s">
        <v>707</v>
      </c>
      <c r="Q2344" s="2" t="s">
        <v>99</v>
      </c>
      <c r="R2344" s="2" t="s">
        <v>100</v>
      </c>
      <c r="S2344" s="2" t="s">
        <v>100</v>
      </c>
      <c r="T2344" s="2" t="s">
        <v>100</v>
      </c>
      <c r="U2344" s="2" t="s">
        <v>1776</v>
      </c>
      <c r="V2344" s="2" t="s">
        <v>461</v>
      </c>
      <c r="W2344" s="2" t="s">
        <v>104</v>
      </c>
      <c r="X2344" s="2" t="s">
        <v>100</v>
      </c>
      <c r="Y2344" s="2" t="s">
        <v>8317</v>
      </c>
      <c r="Z2344" s="4">
        <v>47</v>
      </c>
      <c r="AA2344" s="4">
        <f>=ROUNDDOWN(16.2068965517241,0)</f>
      </c>
      <c r="AB2344" s="5">
        <v>2.9</v>
      </c>
      <c r="AC2344" s="2" t="s">
        <v>875</v>
      </c>
      <c r="AD2344" s="4">
        <v>30</v>
      </c>
      <c r="AE2344" s="4">
        <v>50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/>
      <c r="AW2344" s="8"/>
      <c r="AX2344" s="4"/>
      <c r="AY2344" s="8"/>
      <c r="AZ2344" s="7"/>
      <c r="BA2344" s="7"/>
      <c r="BB2344" s="7"/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/>
      <c r="BJ2344" s="4">
        <v>5</v>
      </c>
      <c r="BK2344" s="8">
        <v>1179.98</v>
      </c>
      <c r="BL2344" s="2" t="s">
        <v>6821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2526</v>
      </c>
      <c r="BV2344" s="2" t="s">
        <v>97</v>
      </c>
      <c r="BW2344" s="2" t="s">
        <v>100</v>
      </c>
      <c r="BX2344" s="2" t="s">
        <v>100</v>
      </c>
      <c r="BY2344" s="2" t="s">
        <v>112</v>
      </c>
      <c r="BZ2344" s="2" t="s">
        <v>100</v>
      </c>
    </row>
    <row r="2345">
      <c r="A2345" s="2" t="s">
        <v>8318</v>
      </c>
      <c r="B2345" s="2" t="s">
        <v>6747</v>
      </c>
      <c r="C2345" s="2" t="s">
        <v>88</v>
      </c>
      <c r="D2345" s="2" t="s">
        <v>7152</v>
      </c>
      <c r="E2345" s="2" t="s">
        <v>8289</v>
      </c>
      <c r="F2345" s="2" t="s">
        <v>8313</v>
      </c>
      <c r="G2345" s="2" t="s">
        <v>8314</v>
      </c>
      <c r="H2345" s="2" t="s">
        <v>8315</v>
      </c>
      <c r="I2345" s="2" t="s">
        <v>8300</v>
      </c>
      <c r="J2345" s="2" t="s">
        <v>3385</v>
      </c>
      <c r="K2345" s="2" t="s">
        <v>446</v>
      </c>
      <c r="L2345" s="3">
        <v>270.75</v>
      </c>
      <c r="M2345" s="3">
        <v>284.29</v>
      </c>
      <c r="N2345" s="3">
        <v>569</v>
      </c>
      <c r="O2345" s="2" t="s">
        <v>97</v>
      </c>
      <c r="P2345" s="2" t="s">
        <v>98</v>
      </c>
      <c r="Q2345" s="2" t="s">
        <v>99</v>
      </c>
      <c r="R2345" s="2" t="s">
        <v>100</v>
      </c>
      <c r="S2345" s="2" t="s">
        <v>100</v>
      </c>
      <c r="T2345" s="2" t="s">
        <v>100</v>
      </c>
      <c r="U2345" s="2" t="s">
        <v>1776</v>
      </c>
      <c r="V2345" s="2" t="s">
        <v>461</v>
      </c>
      <c r="W2345" s="2" t="s">
        <v>104</v>
      </c>
      <c r="X2345" s="2" t="s">
        <v>100</v>
      </c>
      <c r="Y2345" s="2" t="s">
        <v>8317</v>
      </c>
      <c r="Z2345" s="4">
        <v>68</v>
      </c>
      <c r="AA2345" s="4">
        <f>=ROUNDDOWN(17,0)</f>
      </c>
      <c r="AB2345" s="5">
        <v>4</v>
      </c>
      <c r="AC2345" s="2" t="s">
        <v>875</v>
      </c>
      <c r="AD2345" s="4">
        <v>34</v>
      </c>
      <c r="AE2345" s="4">
        <v>70</v>
      </c>
      <c r="AF2345" s="6">
        <v>65</v>
      </c>
      <c r="AG2345" s="6"/>
      <c r="AH2345" s="7">
        <v>0.9677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/>
      <c r="AW2345" s="8"/>
      <c r="AX2345" s="4"/>
      <c r="AY2345" s="8"/>
      <c r="AZ2345" s="7"/>
      <c r="BA2345" s="7"/>
      <c r="BB2345" s="7"/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/>
      <c r="BJ2345" s="4">
        <v>22</v>
      </c>
      <c r="BK2345" s="8">
        <v>5964.28</v>
      </c>
      <c r="BL2345" s="2" t="s">
        <v>6821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2526</v>
      </c>
      <c r="BV2345" s="2" t="s">
        <v>97</v>
      </c>
      <c r="BW2345" s="2" t="s">
        <v>100</v>
      </c>
      <c r="BX2345" s="2" t="s">
        <v>100</v>
      </c>
      <c r="BY2345" s="2" t="s">
        <v>112</v>
      </c>
      <c r="BZ2345" s="2" t="s">
        <v>100</v>
      </c>
    </row>
    <row r="2346">
      <c r="A2346" s="2" t="s">
        <v>8319</v>
      </c>
      <c r="B2346" s="2" t="s">
        <v>6747</v>
      </c>
      <c r="C2346" s="2" t="s">
        <v>88</v>
      </c>
      <c r="D2346" s="2" t="s">
        <v>7152</v>
      </c>
      <c r="E2346" s="2" t="s">
        <v>8289</v>
      </c>
      <c r="F2346" s="2" t="s">
        <v>8320</v>
      </c>
      <c r="G2346" s="2" t="s">
        <v>8321</v>
      </c>
      <c r="H2346" s="2" t="s">
        <v>8322</v>
      </c>
      <c r="I2346" s="2" t="s">
        <v>8300</v>
      </c>
      <c r="J2346" s="2" t="s">
        <v>3385</v>
      </c>
      <c r="K2346" s="2" t="s">
        <v>8323</v>
      </c>
      <c r="L2346" s="3">
        <v>261.25</v>
      </c>
      <c r="M2346" s="3">
        <v>274.31</v>
      </c>
      <c r="N2346" s="3">
        <v>549</v>
      </c>
      <c r="O2346" s="2" t="s">
        <v>97</v>
      </c>
      <c r="P2346" s="2" t="s">
        <v>98</v>
      </c>
      <c r="Q2346" s="2" t="s">
        <v>99</v>
      </c>
      <c r="R2346" s="2" t="s">
        <v>100</v>
      </c>
      <c r="S2346" s="2" t="s">
        <v>8324</v>
      </c>
      <c r="T2346" s="2" t="s">
        <v>100</v>
      </c>
      <c r="U2346" s="2" t="s">
        <v>100</v>
      </c>
      <c r="V2346" s="2" t="s">
        <v>3412</v>
      </c>
      <c r="W2346" s="2" t="s">
        <v>594</v>
      </c>
      <c r="X2346" s="2" t="s">
        <v>142</v>
      </c>
      <c r="Y2346" s="2" t="s">
        <v>1642</v>
      </c>
      <c r="Z2346" s="4">
        <v>108</v>
      </c>
      <c r="AA2346" s="4">
        <f>=ROUNDDOWN(27,0)</f>
      </c>
      <c r="AB2346" s="5">
        <v>4</v>
      </c>
      <c r="AC2346" s="2" t="s">
        <v>100</v>
      </c>
      <c r="AD2346" s="4"/>
      <c r="AE2346" s="4"/>
      <c r="AF2346" s="6">
        <v>66</v>
      </c>
      <c r="AG2346" s="6">
        <v>49</v>
      </c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/>
      <c r="AW2346" s="8"/>
      <c r="AX2346" s="4"/>
      <c r="AY2346" s="8"/>
      <c r="AZ2346" s="7"/>
      <c r="BA2346" s="7"/>
      <c r="BB2346" s="7"/>
      <c r="BC2346" s="4"/>
      <c r="BD2346" s="8"/>
      <c r="BE2346" s="4"/>
      <c r="BF2346" s="8"/>
      <c r="BG2346" s="7"/>
      <c r="BH2346" s="7"/>
      <c r="BI2346" s="7"/>
      <c r="BJ2346" s="4">
        <v>12</v>
      </c>
      <c r="BK2346" s="8">
        <v>3353.78</v>
      </c>
      <c r="BL2346" s="2" t="s">
        <v>8325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2526</v>
      </c>
      <c r="BV2346" s="2" t="s">
        <v>97</v>
      </c>
      <c r="BW2346" s="2" t="s">
        <v>100</v>
      </c>
      <c r="BX2346" s="2" t="s">
        <v>100</v>
      </c>
      <c r="BY2346" s="2" t="s">
        <v>112</v>
      </c>
      <c r="BZ2346" s="2" t="s">
        <v>100</v>
      </c>
    </row>
    <row r="2347">
      <c r="A2347" s="2" t="s">
        <v>8326</v>
      </c>
      <c r="B2347" s="2" t="s">
        <v>6747</v>
      </c>
      <c r="C2347" s="2" t="s">
        <v>88</v>
      </c>
      <c r="D2347" s="2" t="s">
        <v>7179</v>
      </c>
      <c r="E2347" s="2" t="s">
        <v>7728</v>
      </c>
      <c r="F2347" s="2" t="s">
        <v>8327</v>
      </c>
      <c r="G2347" s="2" t="s">
        <v>1063</v>
      </c>
      <c r="H2347" s="2" t="s">
        <v>8328</v>
      </c>
      <c r="I2347" s="2" t="s">
        <v>8329</v>
      </c>
      <c r="J2347" s="2" t="s">
        <v>3385</v>
      </c>
      <c r="K2347" s="2" t="s">
        <v>8330</v>
      </c>
      <c r="L2347" s="3">
        <v>121.44</v>
      </c>
      <c r="M2347" s="3">
        <v>127.51</v>
      </c>
      <c r="N2347" s="3">
        <v>259</v>
      </c>
      <c r="O2347" s="2" t="s">
        <v>97</v>
      </c>
      <c r="P2347" s="2" t="s">
        <v>98</v>
      </c>
      <c r="Q2347" s="2" t="s">
        <v>99</v>
      </c>
      <c r="R2347" s="2" t="s">
        <v>100</v>
      </c>
      <c r="S2347" s="2" t="s">
        <v>8331</v>
      </c>
      <c r="T2347" s="2" t="s">
        <v>100</v>
      </c>
      <c r="U2347" s="2" t="s">
        <v>100</v>
      </c>
      <c r="V2347" s="2" t="s">
        <v>461</v>
      </c>
      <c r="W2347" s="2" t="s">
        <v>104</v>
      </c>
      <c r="X2347" s="2" t="s">
        <v>100</v>
      </c>
      <c r="Y2347" s="2" t="s">
        <v>8332</v>
      </c>
      <c r="Z2347" s="4">
        <v>153</v>
      </c>
      <c r="AA2347" s="4">
        <f>=ROUNDDOWN(21.8571428571429,0)</f>
      </c>
      <c r="AB2347" s="5">
        <v>7</v>
      </c>
      <c r="AC2347" s="2" t="s">
        <v>2286</v>
      </c>
      <c r="AD2347" s="4">
        <v>110</v>
      </c>
      <c r="AE2347" s="4">
        <v>110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/>
      <c r="AW2347" s="8"/>
      <c r="AX2347" s="4"/>
      <c r="AY2347" s="8"/>
      <c r="AZ2347" s="7"/>
      <c r="BA2347" s="7"/>
      <c r="BB2347" s="7"/>
      <c r="BC2347" s="4"/>
      <c r="BD2347" s="8"/>
      <c r="BE2347" s="4"/>
      <c r="BF2347" s="8"/>
      <c r="BG2347" s="7"/>
      <c r="BH2347" s="7"/>
      <c r="BI2347" s="7"/>
      <c r="BJ2347" s="4">
        <v>25</v>
      </c>
      <c r="BK2347" s="8">
        <v>2793.43</v>
      </c>
      <c r="BL2347" s="2" t="s">
        <v>6821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171</v>
      </c>
      <c r="BV2347" s="2" t="s">
        <v>97</v>
      </c>
      <c r="BW2347" s="2" t="s">
        <v>100</v>
      </c>
      <c r="BX2347" s="2" t="s">
        <v>100</v>
      </c>
      <c r="BY2347" s="2" t="s">
        <v>112</v>
      </c>
      <c r="BZ2347" s="2" t="s">
        <v>100</v>
      </c>
    </row>
    <row r="2348">
      <c r="A2348" s="2" t="s">
        <v>8333</v>
      </c>
      <c r="B2348" s="2" t="s">
        <v>6747</v>
      </c>
      <c r="C2348" s="2" t="s">
        <v>88</v>
      </c>
      <c r="D2348" s="2" t="s">
        <v>7179</v>
      </c>
      <c r="E2348" s="2" t="s">
        <v>7180</v>
      </c>
      <c r="F2348" s="2" t="s">
        <v>8334</v>
      </c>
      <c r="G2348" s="2" t="s">
        <v>8335</v>
      </c>
      <c r="H2348" s="2" t="s">
        <v>8336</v>
      </c>
      <c r="I2348" s="2" t="s">
        <v>7180</v>
      </c>
      <c r="J2348" s="2" t="s">
        <v>3385</v>
      </c>
      <c r="K2348" s="2" t="s">
        <v>8337</v>
      </c>
      <c r="L2348" s="3">
        <v>161.5</v>
      </c>
      <c r="M2348" s="3">
        <v>169.58</v>
      </c>
      <c r="N2348" s="3">
        <v>339</v>
      </c>
      <c r="O2348" s="2" t="s">
        <v>97</v>
      </c>
      <c r="P2348" s="2" t="s">
        <v>139</v>
      </c>
      <c r="Q2348" s="2" t="s">
        <v>99</v>
      </c>
      <c r="R2348" s="2" t="s">
        <v>100</v>
      </c>
      <c r="S2348" s="2" t="s">
        <v>100</v>
      </c>
      <c r="T2348" s="2" t="s">
        <v>100</v>
      </c>
      <c r="U2348" s="2" t="s">
        <v>1776</v>
      </c>
      <c r="V2348" s="2" t="s">
        <v>461</v>
      </c>
      <c r="W2348" s="2" t="s">
        <v>493</v>
      </c>
      <c r="X2348" s="2" t="s">
        <v>142</v>
      </c>
      <c r="Y2348" s="2" t="s">
        <v>8338</v>
      </c>
      <c r="Z2348" s="4">
        <v>503</v>
      </c>
      <c r="AA2348" s="4">
        <f>=ROUNDDOWN(7.859375,0)</f>
      </c>
      <c r="AB2348" s="5">
        <v>64</v>
      </c>
      <c r="AC2348" s="2" t="s">
        <v>1468</v>
      </c>
      <c r="AD2348" s="4">
        <v>400</v>
      </c>
      <c r="AE2348" s="4">
        <v>1540</v>
      </c>
      <c r="AF2348" s="6">
        <v>74</v>
      </c>
      <c r="AG2348" s="6">
        <v>60</v>
      </c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/>
      <c r="AW2348" s="8"/>
      <c r="AX2348" s="4"/>
      <c r="AY2348" s="8"/>
      <c r="AZ2348" s="7"/>
      <c r="BA2348" s="7"/>
      <c r="BB2348" s="7"/>
      <c r="BC2348" s="4"/>
      <c r="BD2348" s="8"/>
      <c r="BE2348" s="4"/>
      <c r="BF2348" s="8"/>
      <c r="BG2348" s="7"/>
      <c r="BH2348" s="7"/>
      <c r="BI2348" s="7"/>
      <c r="BJ2348" s="4">
        <v>261</v>
      </c>
      <c r="BK2348" s="8">
        <v>41673.56</v>
      </c>
      <c r="BL2348" s="2" t="s">
        <v>8339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2526</v>
      </c>
      <c r="BV2348" s="2" t="s">
        <v>97</v>
      </c>
      <c r="BW2348" s="2" t="s">
        <v>100</v>
      </c>
      <c r="BX2348" s="2" t="s">
        <v>100</v>
      </c>
      <c r="BY2348" s="2" t="s">
        <v>112</v>
      </c>
      <c r="BZ2348" s="2" t="s">
        <v>100</v>
      </c>
    </row>
    <row r="2349">
      <c r="A2349" s="2" t="s">
        <v>8340</v>
      </c>
      <c r="B2349" s="2" t="s">
        <v>6747</v>
      </c>
      <c r="C2349" s="2" t="s">
        <v>88</v>
      </c>
      <c r="D2349" s="2" t="s">
        <v>7179</v>
      </c>
      <c r="E2349" s="2" t="s">
        <v>7180</v>
      </c>
      <c r="F2349" s="2" t="s">
        <v>8341</v>
      </c>
      <c r="G2349" s="2" t="s">
        <v>8342</v>
      </c>
      <c r="H2349" s="2" t="s">
        <v>8343</v>
      </c>
      <c r="I2349" s="2" t="s">
        <v>7180</v>
      </c>
      <c r="J2349" s="2" t="s">
        <v>3385</v>
      </c>
      <c r="K2349" s="2" t="s">
        <v>8344</v>
      </c>
      <c r="L2349" s="3">
        <v>148.5</v>
      </c>
      <c r="M2349" s="3">
        <v>155.92</v>
      </c>
      <c r="N2349" s="3">
        <v>309</v>
      </c>
      <c r="O2349" s="2" t="s">
        <v>97</v>
      </c>
      <c r="P2349" s="2" t="s">
        <v>98</v>
      </c>
      <c r="Q2349" s="2" t="s">
        <v>99</v>
      </c>
      <c r="R2349" s="2" t="s">
        <v>100</v>
      </c>
      <c r="S2349" s="2" t="s">
        <v>8345</v>
      </c>
      <c r="T2349" s="2" t="s">
        <v>100</v>
      </c>
      <c r="U2349" s="2" t="s">
        <v>100</v>
      </c>
      <c r="V2349" s="2" t="s">
        <v>461</v>
      </c>
      <c r="W2349" s="2" t="s">
        <v>2835</v>
      </c>
      <c r="X2349" s="2" t="s">
        <v>100</v>
      </c>
      <c r="Y2349" s="2" t="s">
        <v>1116</v>
      </c>
      <c r="Z2349" s="4">
        <v>77</v>
      </c>
      <c r="AA2349" s="4">
        <f>=ROUNDDOWN(15.4,0)</f>
      </c>
      <c r="AB2349" s="5">
        <v>5</v>
      </c>
      <c r="AC2349" s="2" t="s">
        <v>3271</v>
      </c>
      <c r="AD2349" s="4">
        <v>100</v>
      </c>
      <c r="AE2349" s="4">
        <v>100</v>
      </c>
      <c r="AF2349" s="6">
        <v>74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/>
      <c r="BD2349" s="8"/>
      <c r="BE2349" s="4"/>
      <c r="BF2349" s="8"/>
      <c r="BG2349" s="7"/>
      <c r="BH2349" s="7"/>
      <c r="BI2349" s="7"/>
      <c r="BJ2349" s="4">
        <v>17</v>
      </c>
      <c r="BK2349" s="8">
        <v>2751.3</v>
      </c>
      <c r="BL2349" s="2" t="s">
        <v>8033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2526</v>
      </c>
      <c r="BV2349" s="2" t="s">
        <v>97</v>
      </c>
      <c r="BW2349" s="2" t="s">
        <v>100</v>
      </c>
      <c r="BX2349" s="2" t="s">
        <v>100</v>
      </c>
      <c r="BY2349" s="2" t="s">
        <v>112</v>
      </c>
      <c r="BZ2349" s="2" t="s">
        <v>100</v>
      </c>
    </row>
    <row r="2350">
      <c r="A2350" s="2" t="s">
        <v>8346</v>
      </c>
      <c r="B2350" s="2" t="s">
        <v>6747</v>
      </c>
      <c r="C2350" s="2" t="s">
        <v>88</v>
      </c>
      <c r="D2350" s="2" t="s">
        <v>7179</v>
      </c>
      <c r="E2350" s="2" t="s">
        <v>7180</v>
      </c>
      <c r="F2350" s="2" t="s">
        <v>8327</v>
      </c>
      <c r="G2350" s="2" t="s">
        <v>1063</v>
      </c>
      <c r="H2350" s="2" t="s">
        <v>8328</v>
      </c>
      <c r="I2350" s="2" t="s">
        <v>7180</v>
      </c>
      <c r="J2350" s="2" t="s">
        <v>3385</v>
      </c>
      <c r="K2350" s="2" t="s">
        <v>2990</v>
      </c>
      <c r="L2350" s="3">
        <v>350</v>
      </c>
      <c r="M2350" s="3">
        <v>367.5</v>
      </c>
      <c r="N2350" s="3">
        <v>729</v>
      </c>
      <c r="O2350" s="2" t="s">
        <v>97</v>
      </c>
      <c r="P2350" s="2" t="s">
        <v>707</v>
      </c>
      <c r="Q2350" s="2" t="s">
        <v>99</v>
      </c>
      <c r="R2350" s="2" t="s">
        <v>100</v>
      </c>
      <c r="S2350" s="2" t="s">
        <v>8331</v>
      </c>
      <c r="T2350" s="2" t="s">
        <v>100</v>
      </c>
      <c r="U2350" s="2" t="s">
        <v>100</v>
      </c>
      <c r="V2350" s="2" t="s">
        <v>461</v>
      </c>
      <c r="W2350" s="2" t="s">
        <v>493</v>
      </c>
      <c r="X2350" s="2" t="s">
        <v>100</v>
      </c>
      <c r="Y2350" s="2" t="s">
        <v>980</v>
      </c>
      <c r="Z2350" s="4">
        <v>72</v>
      </c>
      <c r="AA2350" s="4">
        <f>=ROUNDDOWN(24,0)</f>
      </c>
      <c r="AB2350" s="5">
        <v>3</v>
      </c>
      <c r="AC2350" s="2" t="s">
        <v>100</v>
      </c>
      <c r="AD2350" s="4"/>
      <c r="AE2350" s="4"/>
      <c r="AF2350" s="6">
        <v>65</v>
      </c>
      <c r="AG2350" s="6">
        <v>48</v>
      </c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/>
      <c r="BD2350" s="8"/>
      <c r="BE2350" s="4"/>
      <c r="BF2350" s="8"/>
      <c r="BG2350" s="7"/>
      <c r="BH2350" s="7"/>
      <c r="BI2350" s="7"/>
      <c r="BJ2350" s="4">
        <v>9</v>
      </c>
      <c r="BK2350" s="8">
        <v>2901.3</v>
      </c>
      <c r="BL2350" s="2" t="s">
        <v>2807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2526</v>
      </c>
      <c r="BV2350" s="2" t="s">
        <v>97</v>
      </c>
      <c r="BW2350" s="2" t="s">
        <v>100</v>
      </c>
      <c r="BX2350" s="2" t="s">
        <v>100</v>
      </c>
      <c r="BY2350" s="2" t="s">
        <v>112</v>
      </c>
      <c r="BZ2350" s="2" t="s">
        <v>100</v>
      </c>
    </row>
    <row r="2351">
      <c r="A2351" s="2" t="s">
        <v>8347</v>
      </c>
      <c r="B2351" s="2" t="s">
        <v>6747</v>
      </c>
      <c r="C2351" s="2" t="s">
        <v>88</v>
      </c>
      <c r="D2351" s="2" t="s">
        <v>7179</v>
      </c>
      <c r="E2351" s="2" t="s">
        <v>7180</v>
      </c>
      <c r="F2351" s="2" t="s">
        <v>2154</v>
      </c>
      <c r="G2351" s="2" t="s">
        <v>7986</v>
      </c>
      <c r="H2351" s="2" t="s">
        <v>7987</v>
      </c>
      <c r="I2351" s="2" t="s">
        <v>7180</v>
      </c>
      <c r="J2351" s="2" t="s">
        <v>3385</v>
      </c>
      <c r="K2351" s="2" t="s">
        <v>8348</v>
      </c>
      <c r="L2351" s="3">
        <v>133</v>
      </c>
      <c r="M2351" s="3">
        <v>139.65</v>
      </c>
      <c r="N2351" s="3">
        <v>279</v>
      </c>
      <c r="O2351" s="2" t="s">
        <v>97</v>
      </c>
      <c r="P2351" s="2" t="s">
        <v>707</v>
      </c>
      <c r="Q2351" s="2" t="s">
        <v>99</v>
      </c>
      <c r="R2351" s="2" t="s">
        <v>100</v>
      </c>
      <c r="S2351" s="2" t="s">
        <v>100</v>
      </c>
      <c r="T2351" s="2" t="s">
        <v>100</v>
      </c>
      <c r="U2351" s="2" t="s">
        <v>1776</v>
      </c>
      <c r="V2351" s="2" t="s">
        <v>461</v>
      </c>
      <c r="W2351" s="2" t="s">
        <v>493</v>
      </c>
      <c r="X2351" s="2" t="s">
        <v>2835</v>
      </c>
      <c r="Y2351" s="2" t="s">
        <v>8349</v>
      </c>
      <c r="Z2351" s="4">
        <v>171</v>
      </c>
      <c r="AA2351" s="4">
        <f>=ROUNDDOWN(114,0)</f>
      </c>
      <c r="AB2351" s="5">
        <v>1.5</v>
      </c>
      <c r="AC2351" s="2" t="s">
        <v>100</v>
      </c>
      <c r="AD2351" s="4"/>
      <c r="AE2351" s="4"/>
      <c r="AF2351" s="6">
        <v>74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/>
      <c r="AW2351" s="8"/>
      <c r="AX2351" s="4"/>
      <c r="AY2351" s="8"/>
      <c r="AZ2351" s="7"/>
      <c r="BA2351" s="7"/>
      <c r="BB2351" s="7"/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/>
      <c r="BJ2351" s="4">
        <v>12</v>
      </c>
      <c r="BK2351" s="8">
        <v>1583.84</v>
      </c>
      <c r="BL2351" s="2" t="s">
        <v>8350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2526</v>
      </c>
      <c r="BV2351" s="2" t="s">
        <v>97</v>
      </c>
      <c r="BW2351" s="2" t="s">
        <v>100</v>
      </c>
      <c r="BX2351" s="2" t="s">
        <v>100</v>
      </c>
      <c r="BY2351" s="2" t="s">
        <v>112</v>
      </c>
      <c r="BZ2351" s="2" t="s">
        <v>100</v>
      </c>
    </row>
    <row r="2352">
      <c r="A2352" s="2" t="s">
        <v>8351</v>
      </c>
      <c r="B2352" s="2" t="s">
        <v>6747</v>
      </c>
      <c r="C2352" s="2" t="s">
        <v>88</v>
      </c>
      <c r="D2352" s="2" t="s">
        <v>7179</v>
      </c>
      <c r="E2352" s="2" t="s">
        <v>7180</v>
      </c>
      <c r="F2352" s="2" t="s">
        <v>2154</v>
      </c>
      <c r="G2352" s="2" t="s">
        <v>7986</v>
      </c>
      <c r="H2352" s="2" t="s">
        <v>7987</v>
      </c>
      <c r="I2352" s="2" t="s">
        <v>7180</v>
      </c>
      <c r="J2352" s="2" t="s">
        <v>3385</v>
      </c>
      <c r="K2352" s="2" t="s">
        <v>7989</v>
      </c>
      <c r="L2352" s="3">
        <v>133</v>
      </c>
      <c r="M2352" s="3">
        <v>139.65</v>
      </c>
      <c r="N2352" s="3">
        <v>279</v>
      </c>
      <c r="O2352" s="2" t="s">
        <v>97</v>
      </c>
      <c r="P2352" s="2" t="s">
        <v>123</v>
      </c>
      <c r="Q2352" s="2" t="s">
        <v>99</v>
      </c>
      <c r="R2352" s="2" t="s">
        <v>100</v>
      </c>
      <c r="S2352" s="2" t="s">
        <v>100</v>
      </c>
      <c r="T2352" s="2" t="s">
        <v>100</v>
      </c>
      <c r="U2352" s="2" t="s">
        <v>1776</v>
      </c>
      <c r="V2352" s="2" t="s">
        <v>461</v>
      </c>
      <c r="W2352" s="2" t="s">
        <v>2835</v>
      </c>
      <c r="X2352" s="2" t="s">
        <v>493</v>
      </c>
      <c r="Y2352" s="2" t="s">
        <v>7990</v>
      </c>
      <c r="Z2352" s="4">
        <v>380</v>
      </c>
      <c r="AA2352" s="4">
        <f>=ROUNDDOWN(100,0)</f>
      </c>
      <c r="AB2352" s="5">
        <v>3.8</v>
      </c>
      <c r="AC2352" s="2" t="s">
        <v>262</v>
      </c>
      <c r="AD2352" s="4">
        <v>70</v>
      </c>
      <c r="AE2352" s="4">
        <v>180</v>
      </c>
      <c r="AF2352" s="6">
        <v>74</v>
      </c>
      <c r="AG2352" s="6">
        <v>60</v>
      </c>
      <c r="AH2352" s="7">
        <v>1</v>
      </c>
      <c r="AI2352" s="4"/>
      <c r="AJ2352" s="4">
        <f>=ROUNDDOWN({0},0)</f>
      </c>
      <c r="AK2352" s="5"/>
      <c r="AL2352" s="2" t="s">
        <v>312</v>
      </c>
      <c r="AM2352" s="4">
        <v>130</v>
      </c>
      <c r="AN2352" s="4">
        <v>130</v>
      </c>
      <c r="AO2352" s="7">
        <v>0</v>
      </c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/>
      <c r="BJ2352" s="4">
        <v>54</v>
      </c>
      <c r="BK2352" s="8">
        <v>7094.83</v>
      </c>
      <c r="BL2352" s="2" t="s">
        <v>8352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2526</v>
      </c>
      <c r="BV2352" s="2" t="s">
        <v>97</v>
      </c>
      <c r="BW2352" s="2" t="s">
        <v>100</v>
      </c>
      <c r="BX2352" s="2" t="s">
        <v>100</v>
      </c>
      <c r="BY2352" s="2" t="s">
        <v>112</v>
      </c>
      <c r="BZ2352" s="2" t="s">
        <v>100</v>
      </c>
    </row>
    <row r="2353">
      <c r="A2353" s="2" t="s">
        <v>8353</v>
      </c>
      <c r="B2353" s="2" t="s">
        <v>6747</v>
      </c>
      <c r="C2353" s="2" t="s">
        <v>88</v>
      </c>
      <c r="D2353" s="2" t="s">
        <v>7179</v>
      </c>
      <c r="E2353" s="2" t="s">
        <v>7180</v>
      </c>
      <c r="F2353" s="2" t="s">
        <v>2154</v>
      </c>
      <c r="G2353" s="2" t="s">
        <v>7986</v>
      </c>
      <c r="H2353" s="2" t="s">
        <v>7987</v>
      </c>
      <c r="I2353" s="2" t="s">
        <v>7180</v>
      </c>
      <c r="J2353" s="2" t="s">
        <v>3385</v>
      </c>
      <c r="K2353" s="2" t="s">
        <v>7992</v>
      </c>
      <c r="L2353" s="3">
        <v>133</v>
      </c>
      <c r="M2353" s="3">
        <v>139.65</v>
      </c>
      <c r="N2353" s="3">
        <v>279</v>
      </c>
      <c r="O2353" s="2" t="s">
        <v>97</v>
      </c>
      <c r="P2353" s="2" t="s">
        <v>139</v>
      </c>
      <c r="Q2353" s="2" t="s">
        <v>99</v>
      </c>
      <c r="R2353" s="2" t="s">
        <v>100</v>
      </c>
      <c r="S2353" s="2" t="s">
        <v>8354</v>
      </c>
      <c r="T2353" s="2" t="s">
        <v>100</v>
      </c>
      <c r="U2353" s="2" t="s">
        <v>100</v>
      </c>
      <c r="V2353" s="2" t="s">
        <v>461</v>
      </c>
      <c r="W2353" s="2" t="s">
        <v>2835</v>
      </c>
      <c r="X2353" s="2" t="s">
        <v>100</v>
      </c>
      <c r="Y2353" s="2" t="s">
        <v>144</v>
      </c>
      <c r="Z2353" s="4">
        <v>131</v>
      </c>
      <c r="AA2353" s="4">
        <f>=ROUNDDOWN(8.61842105263158,0)</f>
      </c>
      <c r="AB2353" s="5">
        <v>15.2</v>
      </c>
      <c r="AC2353" s="2" t="s">
        <v>3271</v>
      </c>
      <c r="AD2353" s="4">
        <v>270</v>
      </c>
      <c r="AE2353" s="4">
        <v>646</v>
      </c>
      <c r="AF2353" s="6">
        <v>74</v>
      </c>
      <c r="AG2353" s="6">
        <v>60</v>
      </c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/>
      <c r="BJ2353" s="4">
        <v>126</v>
      </c>
      <c r="BK2353" s="8">
        <v>17478.12</v>
      </c>
      <c r="BL2353" s="2" t="s">
        <v>8355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2526</v>
      </c>
      <c r="BV2353" s="2" t="s">
        <v>97</v>
      </c>
      <c r="BW2353" s="2" t="s">
        <v>100</v>
      </c>
      <c r="BX2353" s="2" t="s">
        <v>100</v>
      </c>
      <c r="BY2353" s="2" t="s">
        <v>112</v>
      </c>
      <c r="BZ2353" s="2" t="s">
        <v>100</v>
      </c>
    </row>
    <row r="2354">
      <c r="A2354" s="2" t="s">
        <v>8356</v>
      </c>
      <c r="B2354" s="2" t="s">
        <v>6747</v>
      </c>
      <c r="C2354" s="2" t="s">
        <v>88</v>
      </c>
      <c r="D2354" s="2" t="s">
        <v>7179</v>
      </c>
      <c r="E2354" s="2" t="s">
        <v>7204</v>
      </c>
      <c r="F2354" s="2" t="s">
        <v>2154</v>
      </c>
      <c r="G2354" s="2" t="s">
        <v>7986</v>
      </c>
      <c r="H2354" s="2" t="s">
        <v>7987</v>
      </c>
      <c r="I2354" s="2" t="s">
        <v>8357</v>
      </c>
      <c r="J2354" s="2" t="s">
        <v>3385</v>
      </c>
      <c r="K2354" s="2" t="s">
        <v>7989</v>
      </c>
      <c r="L2354" s="3">
        <v>126.35</v>
      </c>
      <c r="M2354" s="3">
        <v>132.67</v>
      </c>
      <c r="N2354" s="3">
        <v>269</v>
      </c>
      <c r="O2354" s="2" t="s">
        <v>97</v>
      </c>
      <c r="P2354" s="2" t="s">
        <v>98</v>
      </c>
      <c r="Q2354" s="2" t="s">
        <v>99</v>
      </c>
      <c r="R2354" s="2" t="s">
        <v>100</v>
      </c>
      <c r="S2354" s="2" t="s">
        <v>100</v>
      </c>
      <c r="T2354" s="2" t="s">
        <v>100</v>
      </c>
      <c r="U2354" s="2" t="s">
        <v>1776</v>
      </c>
      <c r="V2354" s="2" t="s">
        <v>461</v>
      </c>
      <c r="W2354" s="2" t="s">
        <v>2835</v>
      </c>
      <c r="X2354" s="2" t="s">
        <v>493</v>
      </c>
      <c r="Y2354" s="2" t="s">
        <v>7990</v>
      </c>
      <c r="Z2354" s="4">
        <v>72</v>
      </c>
      <c r="AA2354" s="4">
        <f>=ROUNDDOWN(14.4,0)</f>
      </c>
      <c r="AB2354" s="5">
        <v>5</v>
      </c>
      <c r="AC2354" s="2" t="s">
        <v>3271</v>
      </c>
      <c r="AD2354" s="4">
        <v>150</v>
      </c>
      <c r="AE2354" s="4">
        <v>150</v>
      </c>
      <c r="AF2354" s="6">
        <v>74</v>
      </c>
      <c r="AG2354" s="6">
        <v>60</v>
      </c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/>
      <c r="BJ2354" s="4">
        <v>19</v>
      </c>
      <c r="BK2354" s="8">
        <v>2712.18</v>
      </c>
      <c r="BL2354" s="2" t="s">
        <v>8358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2526</v>
      </c>
      <c r="BV2354" s="2" t="s">
        <v>97</v>
      </c>
      <c r="BW2354" s="2" t="s">
        <v>100</v>
      </c>
      <c r="BX2354" s="2" t="s">
        <v>100</v>
      </c>
      <c r="BY2354" s="2" t="s">
        <v>112</v>
      </c>
      <c r="BZ2354" s="2" t="s">
        <v>100</v>
      </c>
    </row>
    <row r="2355">
      <c r="A2355" s="2" t="s">
        <v>8359</v>
      </c>
      <c r="B2355" s="2" t="s">
        <v>6747</v>
      </c>
      <c r="C2355" s="2" t="s">
        <v>88</v>
      </c>
      <c r="D2355" s="2" t="s">
        <v>7179</v>
      </c>
      <c r="E2355" s="2" t="s">
        <v>7204</v>
      </c>
      <c r="F2355" s="2" t="s">
        <v>2154</v>
      </c>
      <c r="G2355" s="2" t="s">
        <v>7986</v>
      </c>
      <c r="H2355" s="2" t="s">
        <v>7987</v>
      </c>
      <c r="I2355" s="2" t="s">
        <v>8357</v>
      </c>
      <c r="J2355" s="2" t="s">
        <v>3385</v>
      </c>
      <c r="K2355" s="2" t="s">
        <v>7992</v>
      </c>
      <c r="L2355" s="3">
        <v>126.35</v>
      </c>
      <c r="M2355" s="3">
        <v>132.67</v>
      </c>
      <c r="N2355" s="3">
        <v>269</v>
      </c>
      <c r="O2355" s="2" t="s">
        <v>97</v>
      </c>
      <c r="P2355" s="2" t="s">
        <v>98</v>
      </c>
      <c r="Q2355" s="2" t="s">
        <v>99</v>
      </c>
      <c r="R2355" s="2" t="s">
        <v>100</v>
      </c>
      <c r="S2355" s="2" t="s">
        <v>8360</v>
      </c>
      <c r="T2355" s="2" t="s">
        <v>100</v>
      </c>
      <c r="U2355" s="2" t="s">
        <v>100</v>
      </c>
      <c r="V2355" s="2" t="s">
        <v>461</v>
      </c>
      <c r="W2355" s="2" t="s">
        <v>2835</v>
      </c>
      <c r="X2355" s="2" t="s">
        <v>100</v>
      </c>
      <c r="Y2355" s="2" t="s">
        <v>144</v>
      </c>
      <c r="Z2355" s="4">
        <v>258</v>
      </c>
      <c r="AA2355" s="4">
        <f>=ROUNDDOWN(15.1764705882353,0)</f>
      </c>
      <c r="AB2355" s="5">
        <v>17</v>
      </c>
      <c r="AC2355" s="2" t="s">
        <v>3271</v>
      </c>
      <c r="AD2355" s="4">
        <v>90</v>
      </c>
      <c r="AE2355" s="4">
        <v>290</v>
      </c>
      <c r="AF2355" s="6">
        <v>74</v>
      </c>
      <c r="AG2355" s="6">
        <v>60</v>
      </c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/>
      <c r="BJ2355" s="4">
        <v>42</v>
      </c>
      <c r="BK2355" s="8">
        <v>5306.11</v>
      </c>
      <c r="BL2355" s="2" t="s">
        <v>8361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2526</v>
      </c>
      <c r="BV2355" s="2" t="s">
        <v>97</v>
      </c>
      <c r="BW2355" s="2" t="s">
        <v>100</v>
      </c>
      <c r="BX2355" s="2" t="s">
        <v>100</v>
      </c>
      <c r="BY2355" s="2" t="s">
        <v>112</v>
      </c>
      <c r="BZ2355" s="2" t="s">
        <v>100</v>
      </c>
    </row>
    <row r="2356">
      <c r="A2356" s="2" t="s">
        <v>8362</v>
      </c>
      <c r="B2356" s="2" t="s">
        <v>6747</v>
      </c>
      <c r="C2356" s="2" t="s">
        <v>88</v>
      </c>
      <c r="D2356" s="2" t="s">
        <v>7179</v>
      </c>
      <c r="E2356" s="2" t="s">
        <v>6932</v>
      </c>
      <c r="F2356" s="2" t="s">
        <v>8334</v>
      </c>
      <c r="G2356" s="2" t="s">
        <v>8335</v>
      </c>
      <c r="H2356" s="2" t="s">
        <v>8336</v>
      </c>
      <c r="I2356" s="2" t="s">
        <v>6932</v>
      </c>
      <c r="J2356" s="2" t="s">
        <v>3385</v>
      </c>
      <c r="K2356" s="2" t="s">
        <v>8337</v>
      </c>
      <c r="L2356" s="3">
        <v>95</v>
      </c>
      <c r="M2356" s="3">
        <v>99.75</v>
      </c>
      <c r="N2356" s="3">
        <v>199</v>
      </c>
      <c r="O2356" s="2" t="s">
        <v>97</v>
      </c>
      <c r="P2356" s="2" t="s">
        <v>123</v>
      </c>
      <c r="Q2356" s="2" t="s">
        <v>99</v>
      </c>
      <c r="R2356" s="2" t="s">
        <v>100</v>
      </c>
      <c r="S2356" s="2" t="s">
        <v>100</v>
      </c>
      <c r="T2356" s="2" t="s">
        <v>100</v>
      </c>
      <c r="U2356" s="2" t="s">
        <v>1776</v>
      </c>
      <c r="V2356" s="2" t="s">
        <v>461</v>
      </c>
      <c r="W2356" s="2" t="s">
        <v>493</v>
      </c>
      <c r="X2356" s="2" t="s">
        <v>142</v>
      </c>
      <c r="Y2356" s="2" t="s">
        <v>8338</v>
      </c>
      <c r="Z2356" s="4">
        <v>103</v>
      </c>
      <c r="AA2356" s="4">
        <f>=ROUNDDOWN(4.29166666666667,0)</f>
      </c>
      <c r="AB2356" s="5">
        <v>24</v>
      </c>
      <c r="AC2356" s="2" t="s">
        <v>6780</v>
      </c>
      <c r="AD2356" s="4">
        <v>500</v>
      </c>
      <c r="AE2356" s="4">
        <v>500</v>
      </c>
      <c r="AF2356" s="6">
        <v>74</v>
      </c>
      <c r="AG2356" s="6"/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/>
      <c r="BD2356" s="8"/>
      <c r="BE2356" s="4"/>
      <c r="BF2356" s="8"/>
      <c r="BG2356" s="7"/>
      <c r="BH2356" s="7"/>
      <c r="BI2356" s="7"/>
      <c r="BJ2356" s="4">
        <v>74</v>
      </c>
      <c r="BK2356" s="8">
        <v>7211.01</v>
      </c>
      <c r="BL2356" s="2" t="s">
        <v>2765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2526</v>
      </c>
      <c r="BV2356" s="2" t="s">
        <v>97</v>
      </c>
      <c r="BW2356" s="2" t="s">
        <v>100</v>
      </c>
      <c r="BX2356" s="2" t="s">
        <v>100</v>
      </c>
      <c r="BY2356" s="2" t="s">
        <v>112</v>
      </c>
      <c r="BZ2356" s="2" t="s">
        <v>100</v>
      </c>
    </row>
    <row r="2357">
      <c r="A2357" s="2" t="s">
        <v>8363</v>
      </c>
      <c r="B2357" s="2" t="s">
        <v>6747</v>
      </c>
      <c r="C2357" s="2" t="s">
        <v>88</v>
      </c>
      <c r="D2357" s="2" t="s">
        <v>7179</v>
      </c>
      <c r="E2357" s="2" t="s">
        <v>6932</v>
      </c>
      <c r="F2357" s="2" t="s">
        <v>8341</v>
      </c>
      <c r="G2357" s="2" t="s">
        <v>8342</v>
      </c>
      <c r="H2357" s="2" t="s">
        <v>8343</v>
      </c>
      <c r="I2357" s="2" t="s">
        <v>6932</v>
      </c>
      <c r="J2357" s="2" t="s">
        <v>3385</v>
      </c>
      <c r="K2357" s="2" t="s">
        <v>8344</v>
      </c>
      <c r="L2357" s="3">
        <v>94.5</v>
      </c>
      <c r="M2357" s="3">
        <v>99.22</v>
      </c>
      <c r="N2357" s="3">
        <v>199</v>
      </c>
      <c r="O2357" s="2" t="s">
        <v>97</v>
      </c>
      <c r="P2357" s="2" t="s">
        <v>98</v>
      </c>
      <c r="Q2357" s="2" t="s">
        <v>99</v>
      </c>
      <c r="R2357" s="2" t="s">
        <v>100</v>
      </c>
      <c r="S2357" s="2" t="s">
        <v>8364</v>
      </c>
      <c r="T2357" s="2" t="s">
        <v>100</v>
      </c>
      <c r="U2357" s="2" t="s">
        <v>100</v>
      </c>
      <c r="V2357" s="2" t="s">
        <v>461</v>
      </c>
      <c r="W2357" s="2" t="s">
        <v>2835</v>
      </c>
      <c r="X2357" s="2" t="s">
        <v>100</v>
      </c>
      <c r="Y2357" s="2" t="s">
        <v>1116</v>
      </c>
      <c r="Z2357" s="4">
        <v>69</v>
      </c>
      <c r="AA2357" s="4">
        <f>=ROUNDDOWN(11.6949152542373,0)</f>
      </c>
      <c r="AB2357" s="5">
        <v>5.9</v>
      </c>
      <c r="AC2357" s="2" t="s">
        <v>1468</v>
      </c>
      <c r="AD2357" s="4">
        <v>100</v>
      </c>
      <c r="AE2357" s="4">
        <v>100</v>
      </c>
      <c r="AF2357" s="6">
        <v>74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/>
      <c r="BD2357" s="8"/>
      <c r="BE2357" s="4"/>
      <c r="BF2357" s="8"/>
      <c r="BG2357" s="7"/>
      <c r="BH2357" s="7"/>
      <c r="BI2357" s="7"/>
      <c r="BJ2357" s="4">
        <v>24</v>
      </c>
      <c r="BK2357" s="8">
        <v>2767.47</v>
      </c>
      <c r="BL2357" s="2" t="s">
        <v>8365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2526</v>
      </c>
      <c r="BV2357" s="2" t="s">
        <v>97</v>
      </c>
      <c r="BW2357" s="2" t="s">
        <v>100</v>
      </c>
      <c r="BX2357" s="2" t="s">
        <v>100</v>
      </c>
      <c r="BY2357" s="2" t="s">
        <v>112</v>
      </c>
      <c r="BZ2357" s="2" t="s">
        <v>100</v>
      </c>
    </row>
    <row r="2358">
      <c r="A2358" s="2" t="s">
        <v>8366</v>
      </c>
      <c r="B2358" s="2" t="s">
        <v>6747</v>
      </c>
      <c r="C2358" s="2" t="s">
        <v>88</v>
      </c>
      <c r="D2358" s="2" t="s">
        <v>7179</v>
      </c>
      <c r="E2358" s="2" t="s">
        <v>6932</v>
      </c>
      <c r="F2358" s="2" t="s">
        <v>8327</v>
      </c>
      <c r="G2358" s="2" t="s">
        <v>1063</v>
      </c>
      <c r="H2358" s="2" t="s">
        <v>8328</v>
      </c>
      <c r="I2358" s="2" t="s">
        <v>6932</v>
      </c>
      <c r="J2358" s="2" t="s">
        <v>3385</v>
      </c>
      <c r="K2358" s="2" t="s">
        <v>2990</v>
      </c>
      <c r="L2358" s="3">
        <v>171</v>
      </c>
      <c r="M2358" s="3">
        <v>179.55</v>
      </c>
      <c r="N2358" s="3">
        <v>359</v>
      </c>
      <c r="O2358" s="2" t="s">
        <v>97</v>
      </c>
      <c r="P2358" s="2" t="s">
        <v>98</v>
      </c>
      <c r="Q2358" s="2" t="s">
        <v>99</v>
      </c>
      <c r="R2358" s="2" t="s">
        <v>100</v>
      </c>
      <c r="S2358" s="2" t="s">
        <v>8331</v>
      </c>
      <c r="T2358" s="2" t="s">
        <v>100</v>
      </c>
      <c r="U2358" s="2" t="s">
        <v>100</v>
      </c>
      <c r="V2358" s="2" t="s">
        <v>461</v>
      </c>
      <c r="W2358" s="2" t="s">
        <v>493</v>
      </c>
      <c r="X2358" s="2" t="s">
        <v>100</v>
      </c>
      <c r="Y2358" s="2" t="s">
        <v>980</v>
      </c>
      <c r="Z2358" s="4">
        <v>40</v>
      </c>
      <c r="AA2358" s="4">
        <f>=ROUNDDOWN(6.66666666666667,0)</f>
      </c>
      <c r="AB2358" s="5">
        <v>6</v>
      </c>
      <c r="AC2358" s="2" t="s">
        <v>8367</v>
      </c>
      <c r="AD2358" s="4">
        <v>120</v>
      </c>
      <c r="AE2358" s="4">
        <v>220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/>
      <c r="BD2358" s="8"/>
      <c r="BE2358" s="4"/>
      <c r="BF2358" s="8"/>
      <c r="BG2358" s="7"/>
      <c r="BH2358" s="7"/>
      <c r="BI2358" s="7"/>
      <c r="BJ2358" s="4">
        <v>13</v>
      </c>
      <c r="BK2358" s="8">
        <v>2103.94</v>
      </c>
      <c r="BL2358" s="2" t="s">
        <v>6821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2526</v>
      </c>
      <c r="BV2358" s="2" t="s">
        <v>97</v>
      </c>
      <c r="BW2358" s="2" t="s">
        <v>100</v>
      </c>
      <c r="BX2358" s="2" t="s">
        <v>100</v>
      </c>
      <c r="BY2358" s="2" t="s">
        <v>112</v>
      </c>
      <c r="BZ2358" s="2" t="s">
        <v>100</v>
      </c>
    </row>
    <row r="2359">
      <c r="A2359" s="2" t="s">
        <v>8368</v>
      </c>
      <c r="B2359" s="2" t="s">
        <v>6747</v>
      </c>
      <c r="C2359" s="2" t="s">
        <v>88</v>
      </c>
      <c r="D2359" s="2" t="s">
        <v>7179</v>
      </c>
      <c r="E2359" s="2" t="s">
        <v>6932</v>
      </c>
      <c r="F2359" s="2" t="s">
        <v>2154</v>
      </c>
      <c r="G2359" s="2" t="s">
        <v>7986</v>
      </c>
      <c r="H2359" s="2" t="s">
        <v>7987</v>
      </c>
      <c r="I2359" s="2" t="s">
        <v>6932</v>
      </c>
      <c r="J2359" s="2" t="s">
        <v>3385</v>
      </c>
      <c r="K2359" s="2" t="s">
        <v>7989</v>
      </c>
      <c r="L2359" s="3">
        <v>90</v>
      </c>
      <c r="M2359" s="3">
        <v>94.5</v>
      </c>
      <c r="N2359" s="3">
        <v>189</v>
      </c>
      <c r="O2359" s="2" t="s">
        <v>97</v>
      </c>
      <c r="P2359" s="2" t="s">
        <v>98</v>
      </c>
      <c r="Q2359" s="2" t="s">
        <v>99</v>
      </c>
      <c r="R2359" s="2" t="s">
        <v>100</v>
      </c>
      <c r="S2359" s="2" t="s">
        <v>100</v>
      </c>
      <c r="T2359" s="2" t="s">
        <v>100</v>
      </c>
      <c r="U2359" s="2" t="s">
        <v>1776</v>
      </c>
      <c r="V2359" s="2" t="s">
        <v>461</v>
      </c>
      <c r="W2359" s="2" t="s">
        <v>2835</v>
      </c>
      <c r="X2359" s="2" t="s">
        <v>493</v>
      </c>
      <c r="Y2359" s="2" t="s">
        <v>7990</v>
      </c>
      <c r="Z2359" s="4">
        <v>248</v>
      </c>
      <c r="AA2359" s="4">
        <f>=ROUNDDOWN(17.7142857142857,0)</f>
      </c>
      <c r="AB2359" s="5">
        <v>14</v>
      </c>
      <c r="AC2359" s="2" t="s">
        <v>262</v>
      </c>
      <c r="AD2359" s="4">
        <v>50</v>
      </c>
      <c r="AE2359" s="4">
        <v>250</v>
      </c>
      <c r="AF2359" s="6">
        <v>74</v>
      </c>
      <c r="AG2359" s="6">
        <v>60</v>
      </c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/>
      <c r="BJ2359" s="4">
        <v>41</v>
      </c>
      <c r="BK2359" s="8">
        <v>3494.32</v>
      </c>
      <c r="BL2359" s="2" t="s">
        <v>8369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2526</v>
      </c>
      <c r="BV2359" s="2" t="s">
        <v>97</v>
      </c>
      <c r="BW2359" s="2" t="s">
        <v>100</v>
      </c>
      <c r="BX2359" s="2" t="s">
        <v>100</v>
      </c>
      <c r="BY2359" s="2" t="s">
        <v>112</v>
      </c>
      <c r="BZ2359" s="2" t="s">
        <v>100</v>
      </c>
    </row>
    <row r="2360">
      <c r="A2360" s="2" t="s">
        <v>8370</v>
      </c>
      <c r="B2360" s="2" t="s">
        <v>6747</v>
      </c>
      <c r="C2360" s="2" t="s">
        <v>88</v>
      </c>
      <c r="D2360" s="2" t="s">
        <v>7179</v>
      </c>
      <c r="E2360" s="2" t="s">
        <v>6932</v>
      </c>
      <c r="F2360" s="2" t="s">
        <v>2154</v>
      </c>
      <c r="G2360" s="2" t="s">
        <v>7986</v>
      </c>
      <c r="H2360" s="2" t="s">
        <v>7987</v>
      </c>
      <c r="I2360" s="2" t="s">
        <v>6932</v>
      </c>
      <c r="J2360" s="2" t="s">
        <v>3385</v>
      </c>
      <c r="K2360" s="2" t="s">
        <v>7992</v>
      </c>
      <c r="L2360" s="3">
        <v>90</v>
      </c>
      <c r="M2360" s="3">
        <v>94.5</v>
      </c>
      <c r="N2360" s="3">
        <v>189</v>
      </c>
      <c r="O2360" s="2" t="s">
        <v>97</v>
      </c>
      <c r="P2360" s="2" t="s">
        <v>139</v>
      </c>
      <c r="Q2360" s="2" t="s">
        <v>99</v>
      </c>
      <c r="R2360" s="2" t="s">
        <v>100</v>
      </c>
      <c r="S2360" s="2" t="s">
        <v>8371</v>
      </c>
      <c r="T2360" s="2" t="s">
        <v>100</v>
      </c>
      <c r="U2360" s="2" t="s">
        <v>100</v>
      </c>
      <c r="V2360" s="2" t="s">
        <v>461</v>
      </c>
      <c r="W2360" s="2" t="s">
        <v>2835</v>
      </c>
      <c r="X2360" s="2" t="s">
        <v>100</v>
      </c>
      <c r="Y2360" s="2" t="s">
        <v>144</v>
      </c>
      <c r="Z2360" s="4">
        <v>408</v>
      </c>
      <c r="AA2360" s="4">
        <f>=ROUNDDOWN(12.4770642201835,0)</f>
      </c>
      <c r="AB2360" s="5">
        <v>32.7</v>
      </c>
      <c r="AC2360" s="2" t="s">
        <v>3271</v>
      </c>
      <c r="AD2360" s="4">
        <v>180</v>
      </c>
      <c r="AE2360" s="4">
        <v>690</v>
      </c>
      <c r="AF2360" s="6">
        <v>74</v>
      </c>
      <c r="AG2360" s="6">
        <v>60</v>
      </c>
      <c r="AH2360" s="7">
        <v>1</v>
      </c>
      <c r="AI2360" s="4"/>
      <c r="AJ2360" s="4">
        <f>=ROUNDDOWN({0},0)</f>
      </c>
      <c r="AK2360" s="5"/>
      <c r="AL2360" s="2" t="s">
        <v>312</v>
      </c>
      <c r="AM2360" s="4">
        <v>280</v>
      </c>
      <c r="AN2360" s="4">
        <v>280</v>
      </c>
      <c r="AO2360" s="7">
        <v>0</v>
      </c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/>
      <c r="BJ2360" s="4">
        <v>141</v>
      </c>
      <c r="BK2360" s="8">
        <v>12328.2</v>
      </c>
      <c r="BL2360" s="2" t="s">
        <v>8372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2526</v>
      </c>
      <c r="BV2360" s="2" t="s">
        <v>97</v>
      </c>
      <c r="BW2360" s="2" t="s">
        <v>100</v>
      </c>
      <c r="BX2360" s="2" t="s">
        <v>100</v>
      </c>
      <c r="BY2360" s="2" t="s">
        <v>112</v>
      </c>
      <c r="BZ2360" s="2" t="s">
        <v>100</v>
      </c>
    </row>
    <row r="2361">
      <c r="A2361" s="2" t="s">
        <v>8373</v>
      </c>
      <c r="B2361" s="2" t="s">
        <v>6747</v>
      </c>
      <c r="C2361" s="2" t="s">
        <v>88</v>
      </c>
      <c r="D2361" s="2" t="s">
        <v>7179</v>
      </c>
      <c r="E2361" s="2" t="s">
        <v>8374</v>
      </c>
      <c r="F2361" s="2" t="s">
        <v>7792</v>
      </c>
      <c r="G2361" s="2" t="s">
        <v>7793</v>
      </c>
      <c r="H2361" s="2" t="s">
        <v>7794</v>
      </c>
      <c r="I2361" s="2" t="s">
        <v>8375</v>
      </c>
      <c r="J2361" s="2" t="s">
        <v>3385</v>
      </c>
      <c r="K2361" s="2" t="s">
        <v>7677</v>
      </c>
      <c r="L2361" s="3">
        <v>205.2</v>
      </c>
      <c r="M2361" s="3">
        <v>215.46</v>
      </c>
      <c r="N2361" s="3">
        <v>429</v>
      </c>
      <c r="O2361" s="2" t="s">
        <v>97</v>
      </c>
      <c r="P2361" s="2" t="s">
        <v>707</v>
      </c>
      <c r="Q2361" s="2" t="s">
        <v>99</v>
      </c>
      <c r="R2361" s="2" t="s">
        <v>100</v>
      </c>
      <c r="S2361" s="2" t="s">
        <v>100</v>
      </c>
      <c r="T2361" s="2" t="s">
        <v>100</v>
      </c>
      <c r="U2361" s="2" t="s">
        <v>1776</v>
      </c>
      <c r="V2361" s="2" t="s">
        <v>461</v>
      </c>
      <c r="W2361" s="2" t="s">
        <v>142</v>
      </c>
      <c r="X2361" s="2" t="s">
        <v>609</v>
      </c>
      <c r="Y2361" s="2" t="s">
        <v>7027</v>
      </c>
      <c r="Z2361" s="4">
        <v>89</v>
      </c>
      <c r="AA2361" s="4">
        <f>=ROUNDDOWN({0},0)</f>
      </c>
      <c r="AB2361" s="5"/>
      <c r="AC2361" s="2" t="s">
        <v>100</v>
      </c>
      <c r="AD2361" s="4"/>
      <c r="AE2361" s="4"/>
      <c r="AF2361" s="6">
        <v>74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/>
      <c r="BD2361" s="8"/>
      <c r="BE2361" s="4"/>
      <c r="BF2361" s="8"/>
      <c r="BG2361" s="7"/>
      <c r="BH2361" s="7"/>
      <c r="BI2361" s="7"/>
      <c r="BJ2361" s="4"/>
      <c r="BK2361" s="8"/>
      <c r="BL2361" s="2" t="s">
        <v>100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2526</v>
      </c>
      <c r="BV2361" s="2" t="s">
        <v>97</v>
      </c>
      <c r="BW2361" s="2" t="s">
        <v>100</v>
      </c>
      <c r="BX2361" s="2" t="s">
        <v>100</v>
      </c>
      <c r="BY2361" s="2" t="s">
        <v>112</v>
      </c>
      <c r="BZ2361" s="2" t="s">
        <v>100</v>
      </c>
    </row>
    <row r="2362">
      <c r="A2362" s="2" t="s">
        <v>8376</v>
      </c>
      <c r="B2362" s="2" t="s">
        <v>6747</v>
      </c>
      <c r="C2362" s="2" t="s">
        <v>88</v>
      </c>
      <c r="D2362" s="2" t="s">
        <v>7223</v>
      </c>
      <c r="E2362" s="2" t="s">
        <v>7224</v>
      </c>
      <c r="F2362" s="2" t="s">
        <v>8377</v>
      </c>
      <c r="G2362" s="2" t="s">
        <v>7589</v>
      </c>
      <c r="H2362" s="2" t="s">
        <v>8378</v>
      </c>
      <c r="I2362" s="2" t="s">
        <v>8379</v>
      </c>
      <c r="J2362" s="2" t="s">
        <v>3385</v>
      </c>
      <c r="K2362" s="2" t="s">
        <v>179</v>
      </c>
      <c r="L2362" s="3">
        <v>125.4</v>
      </c>
      <c r="M2362" s="3">
        <v>131.67</v>
      </c>
      <c r="N2362" s="3">
        <v>269</v>
      </c>
      <c r="O2362" s="2" t="s">
        <v>97</v>
      </c>
      <c r="P2362" s="2" t="s">
        <v>98</v>
      </c>
      <c r="Q2362" s="2" t="s">
        <v>99</v>
      </c>
      <c r="R2362" s="2" t="s">
        <v>100</v>
      </c>
      <c r="S2362" s="2" t="s">
        <v>100</v>
      </c>
      <c r="T2362" s="2" t="s">
        <v>100</v>
      </c>
      <c r="U2362" s="2" t="s">
        <v>1776</v>
      </c>
      <c r="V2362" s="2" t="s">
        <v>461</v>
      </c>
      <c r="W2362" s="2" t="s">
        <v>142</v>
      </c>
      <c r="X2362" s="2" t="s">
        <v>100</v>
      </c>
      <c r="Y2362" s="2" t="s">
        <v>8380</v>
      </c>
      <c r="Z2362" s="4">
        <v>157</v>
      </c>
      <c r="AA2362" s="4">
        <f>=ROUNDDOWN(13.0833333333333,0)</f>
      </c>
      <c r="AB2362" s="5">
        <v>12</v>
      </c>
      <c r="AC2362" s="2" t="s">
        <v>2709</v>
      </c>
      <c r="AD2362" s="4">
        <v>126</v>
      </c>
      <c r="AE2362" s="4">
        <v>226</v>
      </c>
      <c r="AF2362" s="6">
        <v>76</v>
      </c>
      <c r="AG2362" s="6">
        <v>67</v>
      </c>
      <c r="AH2362" s="7">
        <v>0.3548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/>
      <c r="BJ2362" s="4">
        <v>9</v>
      </c>
      <c r="BK2362" s="8">
        <v>1027.41</v>
      </c>
      <c r="BL2362" s="2" t="s">
        <v>8381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2526</v>
      </c>
      <c r="BV2362" s="2" t="s">
        <v>97</v>
      </c>
      <c r="BW2362" s="2" t="s">
        <v>100</v>
      </c>
      <c r="BX2362" s="2" t="s">
        <v>100</v>
      </c>
      <c r="BY2362" s="2" t="s">
        <v>112</v>
      </c>
      <c r="BZ2362" s="2" t="s">
        <v>100</v>
      </c>
    </row>
    <row r="2363">
      <c r="A2363" s="2" t="s">
        <v>8382</v>
      </c>
      <c r="B2363" s="2" t="s">
        <v>6747</v>
      </c>
      <c r="C2363" s="2" t="s">
        <v>88</v>
      </c>
      <c r="D2363" s="2" t="s">
        <v>7223</v>
      </c>
      <c r="E2363" s="2" t="s">
        <v>7224</v>
      </c>
      <c r="F2363" s="2" t="s">
        <v>8377</v>
      </c>
      <c r="G2363" s="2" t="s">
        <v>7589</v>
      </c>
      <c r="H2363" s="2" t="s">
        <v>8378</v>
      </c>
      <c r="I2363" s="2" t="s">
        <v>8379</v>
      </c>
      <c r="J2363" s="2" t="s">
        <v>3385</v>
      </c>
      <c r="K2363" s="2" t="s">
        <v>4362</v>
      </c>
      <c r="L2363" s="3">
        <v>125.4</v>
      </c>
      <c r="M2363" s="3">
        <v>131.67</v>
      </c>
      <c r="N2363" s="3">
        <v>269</v>
      </c>
      <c r="O2363" s="2" t="s">
        <v>97</v>
      </c>
      <c r="P2363" s="2" t="s">
        <v>98</v>
      </c>
      <c r="Q2363" s="2" t="s">
        <v>99</v>
      </c>
      <c r="R2363" s="2" t="s">
        <v>100</v>
      </c>
      <c r="S2363" s="2" t="s">
        <v>8383</v>
      </c>
      <c r="T2363" s="2" t="s">
        <v>100</v>
      </c>
      <c r="U2363" s="2" t="s">
        <v>100</v>
      </c>
      <c r="V2363" s="2" t="s">
        <v>461</v>
      </c>
      <c r="W2363" s="2" t="s">
        <v>142</v>
      </c>
      <c r="X2363" s="2" t="s">
        <v>100</v>
      </c>
      <c r="Y2363" s="2" t="s">
        <v>144</v>
      </c>
      <c r="Z2363" s="4">
        <v>340</v>
      </c>
      <c r="AA2363" s="4">
        <f>=ROUNDDOWN(37.7777777777778,0)</f>
      </c>
      <c r="AB2363" s="5">
        <v>9</v>
      </c>
      <c r="AC2363" s="2" t="s">
        <v>262</v>
      </c>
      <c r="AD2363" s="4">
        <v>110</v>
      </c>
      <c r="AE2363" s="4">
        <v>185</v>
      </c>
      <c r="AF2363" s="6">
        <v>76</v>
      </c>
      <c r="AG2363" s="6">
        <v>67</v>
      </c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/>
      <c r="BJ2363" s="4">
        <v>30</v>
      </c>
      <c r="BK2363" s="8">
        <v>3499.86</v>
      </c>
      <c r="BL2363" s="2" t="s">
        <v>8384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2526</v>
      </c>
      <c r="BV2363" s="2" t="s">
        <v>97</v>
      </c>
      <c r="BW2363" s="2" t="s">
        <v>100</v>
      </c>
      <c r="BX2363" s="2" t="s">
        <v>100</v>
      </c>
      <c r="BY2363" s="2" t="s">
        <v>112</v>
      </c>
      <c r="BZ2363" s="2" t="s">
        <v>100</v>
      </c>
    </row>
    <row r="2364">
      <c r="A2364" s="2" t="s">
        <v>8385</v>
      </c>
      <c r="B2364" s="2" t="s">
        <v>6747</v>
      </c>
      <c r="C2364" s="2" t="s">
        <v>88</v>
      </c>
      <c r="D2364" s="2" t="s">
        <v>7223</v>
      </c>
      <c r="E2364" s="2" t="s">
        <v>7224</v>
      </c>
      <c r="F2364" s="2" t="s">
        <v>8377</v>
      </c>
      <c r="G2364" s="2" t="s">
        <v>7589</v>
      </c>
      <c r="H2364" s="2" t="s">
        <v>8378</v>
      </c>
      <c r="I2364" s="2" t="s">
        <v>8379</v>
      </c>
      <c r="J2364" s="2" t="s">
        <v>3385</v>
      </c>
      <c r="K2364" s="2" t="s">
        <v>4743</v>
      </c>
      <c r="L2364" s="3">
        <v>125.4</v>
      </c>
      <c r="M2364" s="3">
        <v>131.67</v>
      </c>
      <c r="N2364" s="3">
        <v>269</v>
      </c>
      <c r="O2364" s="2" t="s">
        <v>97</v>
      </c>
      <c r="P2364" s="2" t="s">
        <v>98</v>
      </c>
      <c r="Q2364" s="2" t="s">
        <v>99</v>
      </c>
      <c r="R2364" s="2" t="s">
        <v>100</v>
      </c>
      <c r="S2364" s="2" t="s">
        <v>8386</v>
      </c>
      <c r="T2364" s="2" t="s">
        <v>100</v>
      </c>
      <c r="U2364" s="2" t="s">
        <v>100</v>
      </c>
      <c r="V2364" s="2" t="s">
        <v>461</v>
      </c>
      <c r="W2364" s="2" t="s">
        <v>142</v>
      </c>
      <c r="X2364" s="2" t="s">
        <v>100</v>
      </c>
      <c r="Y2364" s="2" t="s">
        <v>144</v>
      </c>
      <c r="Z2364" s="4">
        <v>198</v>
      </c>
      <c r="AA2364" s="4">
        <f>=ROUNDDOWN(24.75,0)</f>
      </c>
      <c r="AB2364" s="5">
        <v>8</v>
      </c>
      <c r="AC2364" s="2" t="s">
        <v>783</v>
      </c>
      <c r="AD2364" s="4">
        <v>80</v>
      </c>
      <c r="AE2364" s="4">
        <v>190</v>
      </c>
      <c r="AF2364" s="6">
        <v>76</v>
      </c>
      <c r="AG2364" s="6">
        <v>67</v>
      </c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/>
      <c r="BJ2364" s="4">
        <v>28</v>
      </c>
      <c r="BK2364" s="8">
        <v>3401.77</v>
      </c>
      <c r="BL2364" s="2" t="s">
        <v>8387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2526</v>
      </c>
      <c r="BV2364" s="2" t="s">
        <v>97</v>
      </c>
      <c r="BW2364" s="2" t="s">
        <v>100</v>
      </c>
      <c r="BX2364" s="2" t="s">
        <v>100</v>
      </c>
      <c r="BY2364" s="2" t="s">
        <v>112</v>
      </c>
      <c r="BZ2364" s="2" t="s">
        <v>100</v>
      </c>
    </row>
    <row r="2365">
      <c r="A2365" s="2" t="s">
        <v>8388</v>
      </c>
      <c r="B2365" s="2" t="s">
        <v>6747</v>
      </c>
      <c r="C2365" s="2" t="s">
        <v>88</v>
      </c>
      <c r="D2365" s="2" t="s">
        <v>7223</v>
      </c>
      <c r="E2365" s="2" t="s">
        <v>7224</v>
      </c>
      <c r="F2365" s="2" t="s">
        <v>8389</v>
      </c>
      <c r="G2365" s="2" t="s">
        <v>8390</v>
      </c>
      <c r="H2365" s="2" t="s">
        <v>1065</v>
      </c>
      <c r="I2365" s="2" t="s">
        <v>8391</v>
      </c>
      <c r="J2365" s="2" t="s">
        <v>3385</v>
      </c>
      <c r="K2365" s="2" t="s">
        <v>179</v>
      </c>
      <c r="L2365" s="3">
        <v>153</v>
      </c>
      <c r="M2365" s="3">
        <v>160.65</v>
      </c>
      <c r="N2365" s="3">
        <v>319</v>
      </c>
      <c r="O2365" s="2" t="s">
        <v>97</v>
      </c>
      <c r="P2365" s="2" t="s">
        <v>98</v>
      </c>
      <c r="Q2365" s="2" t="s">
        <v>99</v>
      </c>
      <c r="R2365" s="2" t="s">
        <v>100</v>
      </c>
      <c r="S2365" s="2" t="s">
        <v>8392</v>
      </c>
      <c r="T2365" s="2" t="s">
        <v>100</v>
      </c>
      <c r="U2365" s="2" t="s">
        <v>100</v>
      </c>
      <c r="V2365" s="2" t="s">
        <v>461</v>
      </c>
      <c r="W2365" s="2" t="s">
        <v>104</v>
      </c>
      <c r="X2365" s="2" t="s">
        <v>100</v>
      </c>
      <c r="Y2365" s="2" t="s">
        <v>144</v>
      </c>
      <c r="Z2365" s="4">
        <v>24</v>
      </c>
      <c r="AA2365" s="4">
        <f>=ROUNDDOWN(3.33333333333333,0)</f>
      </c>
      <c r="AB2365" s="5">
        <v>7.2</v>
      </c>
      <c r="AC2365" s="2" t="s">
        <v>932</v>
      </c>
      <c r="AD2365" s="4">
        <v>29</v>
      </c>
      <c r="AE2365" s="4">
        <v>119</v>
      </c>
      <c r="AF2365" s="6">
        <v>66</v>
      </c>
      <c r="AG2365" s="6">
        <v>49</v>
      </c>
      <c r="AH2365" s="7">
        <v>1</v>
      </c>
      <c r="AI2365" s="4"/>
      <c r="AJ2365" s="4">
        <f>=ROUNDDOWN({0},0)</f>
      </c>
      <c r="AK2365" s="5"/>
      <c r="AL2365" s="2" t="s">
        <v>1353</v>
      </c>
      <c r="AM2365" s="4">
        <v>44</v>
      </c>
      <c r="AN2365" s="4">
        <v>44</v>
      </c>
      <c r="AO2365" s="7">
        <v>0</v>
      </c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/>
      <c r="BJ2365" s="4">
        <v>75</v>
      </c>
      <c r="BK2365" s="8">
        <v>10852.83</v>
      </c>
      <c r="BL2365" s="2" t="s">
        <v>8393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171</v>
      </c>
      <c r="BV2365" s="2" t="s">
        <v>97</v>
      </c>
      <c r="BW2365" s="2" t="s">
        <v>100</v>
      </c>
      <c r="BX2365" s="2" t="s">
        <v>100</v>
      </c>
      <c r="BY2365" s="2" t="s">
        <v>112</v>
      </c>
      <c r="BZ2365" s="2" t="s">
        <v>100</v>
      </c>
    </row>
    <row r="2366">
      <c r="A2366" s="2" t="s">
        <v>8394</v>
      </c>
      <c r="B2366" s="2" t="s">
        <v>6747</v>
      </c>
      <c r="C2366" s="2" t="s">
        <v>88</v>
      </c>
      <c r="D2366" s="2" t="s">
        <v>7223</v>
      </c>
      <c r="E2366" s="2" t="s">
        <v>7224</v>
      </c>
      <c r="F2366" s="2" t="s">
        <v>8389</v>
      </c>
      <c r="G2366" s="2" t="s">
        <v>8390</v>
      </c>
      <c r="H2366" s="2" t="s">
        <v>1065</v>
      </c>
      <c r="I2366" s="2" t="s">
        <v>8391</v>
      </c>
      <c r="J2366" s="2" t="s">
        <v>3385</v>
      </c>
      <c r="K2366" s="2" t="s">
        <v>1090</v>
      </c>
      <c r="L2366" s="3">
        <v>153</v>
      </c>
      <c r="M2366" s="3">
        <v>160.65</v>
      </c>
      <c r="N2366" s="3">
        <v>319</v>
      </c>
      <c r="O2366" s="2" t="s">
        <v>97</v>
      </c>
      <c r="P2366" s="2" t="s">
        <v>123</v>
      </c>
      <c r="Q2366" s="2" t="s">
        <v>99</v>
      </c>
      <c r="R2366" s="2" t="s">
        <v>100</v>
      </c>
      <c r="S2366" s="2" t="s">
        <v>100</v>
      </c>
      <c r="T2366" s="2" t="s">
        <v>100</v>
      </c>
      <c r="U2366" s="2" t="s">
        <v>1776</v>
      </c>
      <c r="V2366" s="2" t="s">
        <v>461</v>
      </c>
      <c r="W2366" s="2" t="s">
        <v>104</v>
      </c>
      <c r="X2366" s="2" t="s">
        <v>100</v>
      </c>
      <c r="Y2366" s="2" t="s">
        <v>4788</v>
      </c>
      <c r="Z2366" s="4">
        <v>26</v>
      </c>
      <c r="AA2366" s="4">
        <f>=ROUNDDOWN(11.304347826087,0)</f>
      </c>
      <c r="AB2366" s="5">
        <v>2.3</v>
      </c>
      <c r="AC2366" s="2" t="s">
        <v>130</v>
      </c>
      <c r="AD2366" s="4">
        <v>90</v>
      </c>
      <c r="AE2366" s="4">
        <v>203</v>
      </c>
      <c r="AF2366" s="6">
        <v>66</v>
      </c>
      <c r="AG2366" s="6">
        <v>49</v>
      </c>
      <c r="AH2366" s="7">
        <v>0.871</v>
      </c>
      <c r="AI2366" s="4"/>
      <c r="AJ2366" s="4">
        <f>=ROUNDDOWN({0},0)</f>
      </c>
      <c r="AK2366" s="5"/>
      <c r="AL2366" s="2" t="s">
        <v>1353</v>
      </c>
      <c r="AM2366" s="4">
        <v>29</v>
      </c>
      <c r="AN2366" s="4">
        <v>244</v>
      </c>
      <c r="AO2366" s="7">
        <v>0</v>
      </c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/>
      <c r="BJ2366" s="4">
        <v>62</v>
      </c>
      <c r="BK2366" s="8">
        <v>9287.81</v>
      </c>
      <c r="BL2366" s="2" t="s">
        <v>8395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2526</v>
      </c>
      <c r="BV2366" s="2" t="s">
        <v>97</v>
      </c>
      <c r="BW2366" s="2" t="s">
        <v>100</v>
      </c>
      <c r="BX2366" s="2" t="s">
        <v>100</v>
      </c>
      <c r="BY2366" s="2" t="s">
        <v>112</v>
      </c>
      <c r="BZ2366" s="2" t="s">
        <v>100</v>
      </c>
    </row>
    <row r="2367">
      <c r="A2367" s="2" t="s">
        <v>8396</v>
      </c>
      <c r="B2367" s="2" t="s">
        <v>6747</v>
      </c>
      <c r="C2367" s="2" t="s">
        <v>88</v>
      </c>
      <c r="D2367" s="2" t="s">
        <v>7223</v>
      </c>
      <c r="E2367" s="2" t="s">
        <v>7224</v>
      </c>
      <c r="F2367" s="2" t="s">
        <v>8397</v>
      </c>
      <c r="G2367" s="2" t="s">
        <v>8398</v>
      </c>
      <c r="H2367" s="2" t="s">
        <v>8399</v>
      </c>
      <c r="I2367" s="2" t="s">
        <v>8400</v>
      </c>
      <c r="J2367" s="2" t="s">
        <v>3385</v>
      </c>
      <c r="K2367" s="2" t="s">
        <v>96</v>
      </c>
      <c r="L2367" s="3">
        <v>140.25</v>
      </c>
      <c r="M2367" s="3">
        <v>147.26</v>
      </c>
      <c r="N2367" s="3">
        <v>299</v>
      </c>
      <c r="O2367" s="2" t="s">
        <v>97</v>
      </c>
      <c r="P2367" s="2" t="s">
        <v>98</v>
      </c>
      <c r="Q2367" s="2" t="s">
        <v>99</v>
      </c>
      <c r="R2367" s="2" t="s">
        <v>100</v>
      </c>
      <c r="S2367" s="2" t="s">
        <v>100</v>
      </c>
      <c r="T2367" s="2" t="s">
        <v>100</v>
      </c>
      <c r="U2367" s="2" t="s">
        <v>1776</v>
      </c>
      <c r="V2367" s="2" t="s">
        <v>461</v>
      </c>
      <c r="W2367" s="2" t="s">
        <v>142</v>
      </c>
      <c r="X2367" s="2" t="s">
        <v>493</v>
      </c>
      <c r="Y2367" s="2" t="s">
        <v>7968</v>
      </c>
      <c r="Z2367" s="4">
        <v>89</v>
      </c>
      <c r="AA2367" s="4">
        <f>=ROUNDDOWN(17.8,0)</f>
      </c>
      <c r="AB2367" s="5">
        <v>5</v>
      </c>
      <c r="AC2367" s="2" t="s">
        <v>330</v>
      </c>
      <c r="AD2367" s="4">
        <v>75</v>
      </c>
      <c r="AE2367" s="4">
        <v>75</v>
      </c>
      <c r="AF2367" s="6">
        <v>66</v>
      </c>
      <c r="AG2367" s="6"/>
      <c r="AH2367" s="7">
        <v>0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/>
      <c r="BD2367" s="8"/>
      <c r="BE2367" s="4"/>
      <c r="BF2367" s="8"/>
      <c r="BG2367" s="7"/>
      <c r="BH2367" s="7"/>
      <c r="BI2367" s="7"/>
      <c r="BJ2367" s="4">
        <v>2</v>
      </c>
      <c r="BK2367" s="8">
        <v>294.52</v>
      </c>
      <c r="BL2367" s="2" t="s">
        <v>3477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2526</v>
      </c>
      <c r="BV2367" s="2" t="s">
        <v>97</v>
      </c>
      <c r="BW2367" s="2" t="s">
        <v>100</v>
      </c>
      <c r="BX2367" s="2" t="s">
        <v>100</v>
      </c>
      <c r="BY2367" s="2" t="s">
        <v>112</v>
      </c>
      <c r="BZ2367" s="2" t="s">
        <v>100</v>
      </c>
    </row>
    <row r="2368">
      <c r="A2368" s="2" t="s">
        <v>8401</v>
      </c>
      <c r="B2368" s="2" t="s">
        <v>6747</v>
      </c>
      <c r="C2368" s="2" t="s">
        <v>88</v>
      </c>
      <c r="D2368" s="2" t="s">
        <v>7223</v>
      </c>
      <c r="E2368" s="2" t="s">
        <v>7224</v>
      </c>
      <c r="F2368" s="2" t="s">
        <v>8402</v>
      </c>
      <c r="G2368" s="2" t="s">
        <v>760</v>
      </c>
      <c r="H2368" s="2" t="s">
        <v>8403</v>
      </c>
      <c r="I2368" s="2" t="s">
        <v>8404</v>
      </c>
      <c r="J2368" s="2" t="s">
        <v>3385</v>
      </c>
      <c r="K2368" s="2" t="s">
        <v>179</v>
      </c>
      <c r="L2368" s="3">
        <v>95</v>
      </c>
      <c r="M2368" s="3">
        <v>99.75</v>
      </c>
      <c r="N2368" s="3">
        <v>199</v>
      </c>
      <c r="O2368" s="2" t="s">
        <v>97</v>
      </c>
      <c r="P2368" s="2" t="s">
        <v>98</v>
      </c>
      <c r="Q2368" s="2" t="s">
        <v>99</v>
      </c>
      <c r="R2368" s="2" t="s">
        <v>100</v>
      </c>
      <c r="S2368" s="2" t="s">
        <v>8405</v>
      </c>
      <c r="T2368" s="2" t="s">
        <v>100</v>
      </c>
      <c r="U2368" s="2" t="s">
        <v>100</v>
      </c>
      <c r="V2368" s="2" t="s">
        <v>461</v>
      </c>
      <c r="W2368" s="2" t="s">
        <v>493</v>
      </c>
      <c r="X2368" s="2" t="s">
        <v>100</v>
      </c>
      <c r="Y2368" s="2" t="s">
        <v>144</v>
      </c>
      <c r="Z2368" s="4">
        <v>115</v>
      </c>
      <c r="AA2368" s="4">
        <f>=ROUNDDOWN(19.1666666666667,0)</f>
      </c>
      <c r="AB2368" s="5">
        <v>6</v>
      </c>
      <c r="AC2368" s="2" t="s">
        <v>875</v>
      </c>
      <c r="AD2368" s="4">
        <v>32</v>
      </c>
      <c r="AE2368" s="4">
        <v>112</v>
      </c>
      <c r="AF2368" s="6">
        <v>65</v>
      </c>
      <c r="AG2368" s="6">
        <v>48</v>
      </c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/>
      <c r="BD2368" s="8"/>
      <c r="BE2368" s="4"/>
      <c r="BF2368" s="8"/>
      <c r="BG2368" s="7"/>
      <c r="BH2368" s="7"/>
      <c r="BI2368" s="7"/>
      <c r="BJ2368" s="4">
        <v>14</v>
      </c>
      <c r="BK2368" s="8">
        <v>1426.44</v>
      </c>
      <c r="BL2368" s="2" t="s">
        <v>8406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2526</v>
      </c>
      <c r="BV2368" s="2" t="s">
        <v>97</v>
      </c>
      <c r="BW2368" s="2" t="s">
        <v>100</v>
      </c>
      <c r="BX2368" s="2" t="s">
        <v>100</v>
      </c>
      <c r="BY2368" s="2" t="s">
        <v>112</v>
      </c>
      <c r="BZ2368" s="2" t="s">
        <v>100</v>
      </c>
    </row>
    <row r="2369">
      <c r="A2369" s="2" t="s">
        <v>8407</v>
      </c>
      <c r="B2369" s="2" t="s">
        <v>6747</v>
      </c>
      <c r="C2369" s="2" t="s">
        <v>88</v>
      </c>
      <c r="D2369" s="2" t="s">
        <v>7223</v>
      </c>
      <c r="E2369" s="2" t="s">
        <v>7224</v>
      </c>
      <c r="F2369" s="2" t="s">
        <v>8408</v>
      </c>
      <c r="G2369" s="2" t="s">
        <v>1993</v>
      </c>
      <c r="H2369" s="2" t="s">
        <v>8409</v>
      </c>
      <c r="I2369" s="2" t="s">
        <v>8410</v>
      </c>
      <c r="J2369" s="2" t="s">
        <v>3385</v>
      </c>
      <c r="K2369" s="2" t="s">
        <v>138</v>
      </c>
      <c r="L2369" s="3">
        <v>173.25</v>
      </c>
      <c r="M2369" s="3">
        <v>181.91</v>
      </c>
      <c r="N2369" s="3">
        <v>369</v>
      </c>
      <c r="O2369" s="2" t="s">
        <v>97</v>
      </c>
      <c r="P2369" s="2" t="s">
        <v>98</v>
      </c>
      <c r="Q2369" s="2" t="s">
        <v>99</v>
      </c>
      <c r="R2369" s="2" t="s">
        <v>100</v>
      </c>
      <c r="S2369" s="2" t="s">
        <v>8411</v>
      </c>
      <c r="T2369" s="2" t="s">
        <v>100</v>
      </c>
      <c r="U2369" s="2" t="s">
        <v>100</v>
      </c>
      <c r="V2369" s="2" t="s">
        <v>461</v>
      </c>
      <c r="W2369" s="2" t="s">
        <v>104</v>
      </c>
      <c r="X2369" s="2" t="s">
        <v>100</v>
      </c>
      <c r="Y2369" s="2" t="s">
        <v>144</v>
      </c>
      <c r="Z2369" s="4">
        <v>114</v>
      </c>
      <c r="AA2369" s="4">
        <f>=ROUNDDOWN(12.6666666666667,0)</f>
      </c>
      <c r="AB2369" s="5">
        <v>9</v>
      </c>
      <c r="AC2369" s="2" t="s">
        <v>262</v>
      </c>
      <c r="AD2369" s="4">
        <v>86</v>
      </c>
      <c r="AE2369" s="4">
        <v>133</v>
      </c>
      <c r="AF2369" s="6">
        <v>65</v>
      </c>
      <c r="AG2369" s="6">
        <v>48</v>
      </c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/>
      <c r="BJ2369" s="4">
        <v>21</v>
      </c>
      <c r="BK2369" s="8">
        <v>3636.18</v>
      </c>
      <c r="BL2369" s="2" t="s">
        <v>8412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2526</v>
      </c>
      <c r="BV2369" s="2" t="s">
        <v>97</v>
      </c>
      <c r="BW2369" s="2" t="s">
        <v>100</v>
      </c>
      <c r="BX2369" s="2" t="s">
        <v>100</v>
      </c>
      <c r="BY2369" s="2" t="s">
        <v>112</v>
      </c>
      <c r="BZ2369" s="2" t="s">
        <v>100</v>
      </c>
    </row>
    <row r="2370">
      <c r="A2370" s="2" t="s">
        <v>8413</v>
      </c>
      <c r="B2370" s="2" t="s">
        <v>6747</v>
      </c>
      <c r="C2370" s="2" t="s">
        <v>88</v>
      </c>
      <c r="D2370" s="2" t="s">
        <v>7223</v>
      </c>
      <c r="E2370" s="2" t="s">
        <v>7224</v>
      </c>
      <c r="F2370" s="2" t="s">
        <v>8408</v>
      </c>
      <c r="G2370" s="2" t="s">
        <v>1993</v>
      </c>
      <c r="H2370" s="2" t="s">
        <v>8409</v>
      </c>
      <c r="I2370" s="2" t="s">
        <v>8410</v>
      </c>
      <c r="J2370" s="2" t="s">
        <v>3385</v>
      </c>
      <c r="K2370" s="2" t="s">
        <v>673</v>
      </c>
      <c r="L2370" s="3">
        <v>173.25</v>
      </c>
      <c r="M2370" s="3">
        <v>181.91</v>
      </c>
      <c r="N2370" s="3">
        <v>369</v>
      </c>
      <c r="O2370" s="2" t="s">
        <v>97</v>
      </c>
      <c r="P2370" s="2" t="s">
        <v>98</v>
      </c>
      <c r="Q2370" s="2" t="s">
        <v>99</v>
      </c>
      <c r="R2370" s="2" t="s">
        <v>100</v>
      </c>
      <c r="S2370" s="2" t="s">
        <v>100</v>
      </c>
      <c r="T2370" s="2" t="s">
        <v>100</v>
      </c>
      <c r="U2370" s="2" t="s">
        <v>100</v>
      </c>
      <c r="V2370" s="2" t="s">
        <v>461</v>
      </c>
      <c r="W2370" s="2" t="s">
        <v>104</v>
      </c>
      <c r="X2370" s="2" t="s">
        <v>100</v>
      </c>
      <c r="Y2370" s="2" t="s">
        <v>1446</v>
      </c>
      <c r="Z2370" s="4">
        <v>65</v>
      </c>
      <c r="AA2370" s="4">
        <f>=ROUNDDOWN(9.28571428571429,0)</f>
      </c>
      <c r="AB2370" s="5">
        <v>7</v>
      </c>
      <c r="AC2370" s="2" t="s">
        <v>307</v>
      </c>
      <c r="AD2370" s="4">
        <v>80</v>
      </c>
      <c r="AE2370" s="4">
        <v>160</v>
      </c>
      <c r="AF2370" s="6">
        <v>65</v>
      </c>
      <c r="AG2370" s="6">
        <v>48</v>
      </c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/>
      <c r="BJ2370" s="4">
        <v>19</v>
      </c>
      <c r="BK2370" s="8">
        <v>3481.7</v>
      </c>
      <c r="BL2370" s="2" t="s">
        <v>8414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2526</v>
      </c>
      <c r="BV2370" s="2" t="s">
        <v>97</v>
      </c>
      <c r="BW2370" s="2" t="s">
        <v>100</v>
      </c>
      <c r="BX2370" s="2" t="s">
        <v>100</v>
      </c>
      <c r="BY2370" s="2" t="s">
        <v>112</v>
      </c>
      <c r="BZ2370" s="2" t="s">
        <v>100</v>
      </c>
    </row>
    <row r="2371">
      <c r="A2371" s="2" t="s">
        <v>8415</v>
      </c>
      <c r="B2371" s="2" t="s">
        <v>6747</v>
      </c>
      <c r="C2371" s="2" t="s">
        <v>88</v>
      </c>
      <c r="D2371" s="2" t="s">
        <v>7223</v>
      </c>
      <c r="E2371" s="2" t="s">
        <v>7224</v>
      </c>
      <c r="F2371" s="2" t="s">
        <v>8416</v>
      </c>
      <c r="G2371" s="2" t="s">
        <v>8417</v>
      </c>
      <c r="H2371" s="2" t="s">
        <v>8418</v>
      </c>
      <c r="I2371" s="2" t="s">
        <v>8419</v>
      </c>
      <c r="J2371" s="2" t="s">
        <v>3385</v>
      </c>
      <c r="K2371" s="2" t="s">
        <v>179</v>
      </c>
      <c r="L2371" s="3">
        <v>121.41</v>
      </c>
      <c r="M2371" s="3">
        <v>127.48</v>
      </c>
      <c r="N2371" s="3">
        <v>259</v>
      </c>
      <c r="O2371" s="2" t="s">
        <v>97</v>
      </c>
      <c r="P2371" s="2" t="s">
        <v>98</v>
      </c>
      <c r="Q2371" s="2" t="s">
        <v>99</v>
      </c>
      <c r="R2371" s="2" t="s">
        <v>100</v>
      </c>
      <c r="S2371" s="2" t="s">
        <v>8420</v>
      </c>
      <c r="T2371" s="2" t="s">
        <v>100</v>
      </c>
      <c r="U2371" s="2" t="s">
        <v>100</v>
      </c>
      <c r="V2371" s="2" t="s">
        <v>461</v>
      </c>
      <c r="W2371" s="2" t="s">
        <v>142</v>
      </c>
      <c r="X2371" s="2" t="s">
        <v>100</v>
      </c>
      <c r="Y2371" s="2" t="s">
        <v>144</v>
      </c>
      <c r="Z2371" s="4">
        <v>146</v>
      </c>
      <c r="AA2371" s="4">
        <f>=ROUNDDOWN(29.2,0)</f>
      </c>
      <c r="AB2371" s="5">
        <v>5</v>
      </c>
      <c r="AC2371" s="2" t="s">
        <v>958</v>
      </c>
      <c r="AD2371" s="4">
        <v>50</v>
      </c>
      <c r="AE2371" s="4">
        <v>50</v>
      </c>
      <c r="AF2371" s="6">
        <v>74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/>
      <c r="BJ2371" s="4">
        <v>19</v>
      </c>
      <c r="BK2371" s="8">
        <v>2472.2</v>
      </c>
      <c r="BL2371" s="2" t="s">
        <v>8421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2526</v>
      </c>
      <c r="BV2371" s="2" t="s">
        <v>97</v>
      </c>
      <c r="BW2371" s="2" t="s">
        <v>100</v>
      </c>
      <c r="BX2371" s="2" t="s">
        <v>100</v>
      </c>
      <c r="BY2371" s="2" t="s">
        <v>112</v>
      </c>
      <c r="BZ2371" s="2" t="s">
        <v>100</v>
      </c>
    </row>
    <row r="2372">
      <c r="A2372" s="2" t="s">
        <v>8422</v>
      </c>
      <c r="B2372" s="2" t="s">
        <v>6747</v>
      </c>
      <c r="C2372" s="2" t="s">
        <v>88</v>
      </c>
      <c r="D2372" s="2" t="s">
        <v>7223</v>
      </c>
      <c r="E2372" s="2" t="s">
        <v>7224</v>
      </c>
      <c r="F2372" s="2" t="s">
        <v>8416</v>
      </c>
      <c r="G2372" s="2" t="s">
        <v>8417</v>
      </c>
      <c r="H2372" s="2" t="s">
        <v>8418</v>
      </c>
      <c r="I2372" s="2" t="s">
        <v>8419</v>
      </c>
      <c r="J2372" s="2" t="s">
        <v>3385</v>
      </c>
      <c r="K2372" s="2" t="s">
        <v>7160</v>
      </c>
      <c r="L2372" s="3">
        <v>121.41</v>
      </c>
      <c r="M2372" s="3">
        <v>127.48</v>
      </c>
      <c r="N2372" s="3">
        <v>259</v>
      </c>
      <c r="O2372" s="2" t="s">
        <v>97</v>
      </c>
      <c r="P2372" s="2" t="s">
        <v>98</v>
      </c>
      <c r="Q2372" s="2" t="s">
        <v>99</v>
      </c>
      <c r="R2372" s="2" t="s">
        <v>100</v>
      </c>
      <c r="S2372" s="2" t="s">
        <v>8423</v>
      </c>
      <c r="T2372" s="2" t="s">
        <v>100</v>
      </c>
      <c r="U2372" s="2" t="s">
        <v>100</v>
      </c>
      <c r="V2372" s="2" t="s">
        <v>461</v>
      </c>
      <c r="W2372" s="2" t="s">
        <v>493</v>
      </c>
      <c r="X2372" s="2" t="s">
        <v>100</v>
      </c>
      <c r="Y2372" s="2" t="s">
        <v>144</v>
      </c>
      <c r="Z2372" s="4">
        <v>188</v>
      </c>
      <c r="AA2372" s="4">
        <f>=ROUNDDOWN(64.8275862068966,0)</f>
      </c>
      <c r="AB2372" s="5">
        <v>2.9</v>
      </c>
      <c r="AC2372" s="2" t="s">
        <v>262</v>
      </c>
      <c r="AD2372" s="4">
        <v>103</v>
      </c>
      <c r="AE2372" s="4">
        <v>203</v>
      </c>
      <c r="AF2372" s="6">
        <v>74</v>
      </c>
      <c r="AG2372" s="6">
        <v>60</v>
      </c>
      <c r="AH2372" s="7">
        <v>0.0968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7"/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/>
      <c r="BJ2372" s="4"/>
      <c r="BK2372" s="8"/>
      <c r="BL2372" s="2" t="s">
        <v>100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2526</v>
      </c>
      <c r="BV2372" s="2" t="s">
        <v>97</v>
      </c>
      <c r="BW2372" s="2" t="s">
        <v>100</v>
      </c>
      <c r="BX2372" s="2" t="s">
        <v>100</v>
      </c>
      <c r="BY2372" s="2" t="s">
        <v>112</v>
      </c>
      <c r="BZ2372" s="2" t="s">
        <v>100</v>
      </c>
    </row>
    <row r="2373">
      <c r="A2373" s="2" t="s">
        <v>8424</v>
      </c>
      <c r="B2373" s="2" t="s">
        <v>6747</v>
      </c>
      <c r="C2373" s="2" t="s">
        <v>88</v>
      </c>
      <c r="D2373" s="2" t="s">
        <v>7223</v>
      </c>
      <c r="E2373" s="2" t="s">
        <v>7224</v>
      </c>
      <c r="F2373" s="2" t="s">
        <v>8416</v>
      </c>
      <c r="G2373" s="2" t="s">
        <v>8417</v>
      </c>
      <c r="H2373" s="2" t="s">
        <v>8418</v>
      </c>
      <c r="I2373" s="2" t="s">
        <v>8419</v>
      </c>
      <c r="J2373" s="2" t="s">
        <v>3385</v>
      </c>
      <c r="K2373" s="2" t="s">
        <v>7649</v>
      </c>
      <c r="L2373" s="3">
        <v>121.41</v>
      </c>
      <c r="M2373" s="3">
        <v>127.48</v>
      </c>
      <c r="N2373" s="3">
        <v>259</v>
      </c>
      <c r="O2373" s="2" t="s">
        <v>97</v>
      </c>
      <c r="P2373" s="2" t="s">
        <v>98</v>
      </c>
      <c r="Q2373" s="2" t="s">
        <v>99</v>
      </c>
      <c r="R2373" s="2" t="s">
        <v>100</v>
      </c>
      <c r="S2373" s="2" t="s">
        <v>100</v>
      </c>
      <c r="T2373" s="2" t="s">
        <v>100</v>
      </c>
      <c r="U2373" s="2" t="s">
        <v>1776</v>
      </c>
      <c r="V2373" s="2" t="s">
        <v>461</v>
      </c>
      <c r="W2373" s="2" t="s">
        <v>493</v>
      </c>
      <c r="X2373" s="2" t="s">
        <v>100</v>
      </c>
      <c r="Y2373" s="2" t="s">
        <v>4788</v>
      </c>
      <c r="Z2373" s="4">
        <v>146</v>
      </c>
      <c r="AA2373" s="4">
        <f>=ROUNDDOWN(29.2,0)</f>
      </c>
      <c r="AB2373" s="5">
        <v>5</v>
      </c>
      <c r="AC2373" s="2" t="s">
        <v>262</v>
      </c>
      <c r="AD2373" s="4">
        <v>100</v>
      </c>
      <c r="AE2373" s="4">
        <v>200</v>
      </c>
      <c r="AF2373" s="6">
        <v>74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/>
      <c r="BJ2373" s="4">
        <v>15</v>
      </c>
      <c r="BK2373" s="8">
        <v>1993.73</v>
      </c>
      <c r="BL2373" s="2" t="s">
        <v>8425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2526</v>
      </c>
      <c r="BV2373" s="2" t="s">
        <v>97</v>
      </c>
      <c r="BW2373" s="2" t="s">
        <v>100</v>
      </c>
      <c r="BX2373" s="2" t="s">
        <v>100</v>
      </c>
      <c r="BY2373" s="2" t="s">
        <v>112</v>
      </c>
      <c r="BZ2373" s="2" t="s">
        <v>100</v>
      </c>
    </row>
    <row r="2374">
      <c r="A2374" s="2" t="s">
        <v>8426</v>
      </c>
      <c r="B2374" s="2" t="s">
        <v>6747</v>
      </c>
      <c r="C2374" s="2" t="s">
        <v>88</v>
      </c>
      <c r="D2374" s="2" t="s">
        <v>7223</v>
      </c>
      <c r="E2374" s="2" t="s">
        <v>7224</v>
      </c>
      <c r="F2374" s="2" t="s">
        <v>8416</v>
      </c>
      <c r="G2374" s="2" t="s">
        <v>8417</v>
      </c>
      <c r="H2374" s="2" t="s">
        <v>8418</v>
      </c>
      <c r="I2374" s="2" t="s">
        <v>8419</v>
      </c>
      <c r="J2374" s="2" t="s">
        <v>3385</v>
      </c>
      <c r="K2374" s="2" t="s">
        <v>2548</v>
      </c>
      <c r="L2374" s="3">
        <v>121.41</v>
      </c>
      <c r="M2374" s="3">
        <v>127.48</v>
      </c>
      <c r="N2374" s="3">
        <v>259</v>
      </c>
      <c r="O2374" s="2" t="s">
        <v>97</v>
      </c>
      <c r="P2374" s="2" t="s">
        <v>98</v>
      </c>
      <c r="Q2374" s="2" t="s">
        <v>99</v>
      </c>
      <c r="R2374" s="2" t="s">
        <v>100</v>
      </c>
      <c r="S2374" s="2" t="s">
        <v>8427</v>
      </c>
      <c r="T2374" s="2" t="s">
        <v>100</v>
      </c>
      <c r="U2374" s="2" t="s">
        <v>100</v>
      </c>
      <c r="V2374" s="2" t="s">
        <v>461</v>
      </c>
      <c r="W2374" s="2" t="s">
        <v>493</v>
      </c>
      <c r="X2374" s="2" t="s">
        <v>100</v>
      </c>
      <c r="Y2374" s="2" t="s">
        <v>144</v>
      </c>
      <c r="Z2374" s="4">
        <v>446</v>
      </c>
      <c r="AA2374" s="4">
        <f>=ROUNDDOWN(34.3076923076923,0)</f>
      </c>
      <c r="AB2374" s="5">
        <v>13</v>
      </c>
      <c r="AC2374" s="2" t="s">
        <v>262</v>
      </c>
      <c r="AD2374" s="4">
        <v>67</v>
      </c>
      <c r="AE2374" s="4">
        <v>67</v>
      </c>
      <c r="AF2374" s="6">
        <v>74</v>
      </c>
      <c r="AG2374" s="6">
        <v>60</v>
      </c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/>
      <c r="BJ2374" s="4">
        <v>31</v>
      </c>
      <c r="BK2374" s="8">
        <v>4038.95</v>
      </c>
      <c r="BL2374" s="2" t="s">
        <v>8428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2526</v>
      </c>
      <c r="BV2374" s="2" t="s">
        <v>97</v>
      </c>
      <c r="BW2374" s="2" t="s">
        <v>100</v>
      </c>
      <c r="BX2374" s="2" t="s">
        <v>100</v>
      </c>
      <c r="BY2374" s="2" t="s">
        <v>112</v>
      </c>
      <c r="BZ2374" s="2" t="s">
        <v>100</v>
      </c>
    </row>
    <row r="2375">
      <c r="A2375" s="2" t="s">
        <v>8429</v>
      </c>
      <c r="B2375" s="2" t="s">
        <v>6747</v>
      </c>
      <c r="C2375" s="2" t="s">
        <v>88</v>
      </c>
      <c r="D2375" s="2" t="s">
        <v>7223</v>
      </c>
      <c r="E2375" s="2" t="s">
        <v>7224</v>
      </c>
      <c r="F2375" s="2" t="s">
        <v>1017</v>
      </c>
      <c r="G2375" s="2" t="s">
        <v>8430</v>
      </c>
      <c r="H2375" s="2" t="s">
        <v>8431</v>
      </c>
      <c r="I2375" s="2" t="s">
        <v>8432</v>
      </c>
      <c r="J2375" s="2" t="s">
        <v>3385</v>
      </c>
      <c r="K2375" s="2" t="s">
        <v>8433</v>
      </c>
      <c r="L2375" s="3">
        <v>183.83</v>
      </c>
      <c r="M2375" s="3">
        <v>193.02</v>
      </c>
      <c r="N2375" s="3">
        <v>389</v>
      </c>
      <c r="O2375" s="2" t="s">
        <v>97</v>
      </c>
      <c r="P2375" s="2" t="s">
        <v>98</v>
      </c>
      <c r="Q2375" s="2" t="s">
        <v>99</v>
      </c>
      <c r="R2375" s="2" t="s">
        <v>100</v>
      </c>
      <c r="S2375" s="2" t="s">
        <v>8434</v>
      </c>
      <c r="T2375" s="2" t="s">
        <v>100</v>
      </c>
      <c r="U2375" s="2" t="s">
        <v>100</v>
      </c>
      <c r="V2375" s="2" t="s">
        <v>461</v>
      </c>
      <c r="W2375" s="2" t="s">
        <v>104</v>
      </c>
      <c r="X2375" s="2" t="s">
        <v>100</v>
      </c>
      <c r="Y2375" s="2" t="s">
        <v>8435</v>
      </c>
      <c r="Z2375" s="4">
        <v>1</v>
      </c>
      <c r="AA2375" s="4">
        <f>=ROUNDDOWN(0.166666666666667,0)</f>
      </c>
      <c r="AB2375" s="5">
        <v>6</v>
      </c>
      <c r="AC2375" s="2" t="s">
        <v>2709</v>
      </c>
      <c r="AD2375" s="4">
        <v>63</v>
      </c>
      <c r="AE2375" s="4">
        <v>200</v>
      </c>
      <c r="AF2375" s="6">
        <v>65</v>
      </c>
      <c r="AG2375" s="6">
        <v>48</v>
      </c>
      <c r="AH2375" s="7">
        <v>0.2581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/>
      <c r="BJ2375" s="4">
        <v>8</v>
      </c>
      <c r="BK2375" s="8">
        <v>1470.03</v>
      </c>
      <c r="BL2375" s="2" t="s">
        <v>6821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2526</v>
      </c>
      <c r="BV2375" s="2" t="s">
        <v>97</v>
      </c>
      <c r="BW2375" s="2" t="s">
        <v>100</v>
      </c>
      <c r="BX2375" s="2" t="s">
        <v>100</v>
      </c>
      <c r="BY2375" s="2" t="s">
        <v>112</v>
      </c>
      <c r="BZ2375" s="2" t="s">
        <v>100</v>
      </c>
    </row>
    <row r="2376">
      <c r="A2376" s="2" t="s">
        <v>8436</v>
      </c>
      <c r="B2376" s="2" t="s">
        <v>6747</v>
      </c>
      <c r="C2376" s="2" t="s">
        <v>88</v>
      </c>
      <c r="D2376" s="2" t="s">
        <v>7223</v>
      </c>
      <c r="E2376" s="2" t="s">
        <v>7224</v>
      </c>
      <c r="F2376" s="2" t="s">
        <v>1017</v>
      </c>
      <c r="G2376" s="2" t="s">
        <v>8430</v>
      </c>
      <c r="H2376" s="2" t="s">
        <v>8431</v>
      </c>
      <c r="I2376" s="2" t="s">
        <v>8432</v>
      </c>
      <c r="J2376" s="2" t="s">
        <v>3385</v>
      </c>
      <c r="K2376" s="2" t="s">
        <v>8437</v>
      </c>
      <c r="L2376" s="3">
        <v>183.83</v>
      </c>
      <c r="M2376" s="3">
        <v>193.02</v>
      </c>
      <c r="N2376" s="3">
        <v>389</v>
      </c>
      <c r="O2376" s="2" t="s">
        <v>97</v>
      </c>
      <c r="P2376" s="2" t="s">
        <v>707</v>
      </c>
      <c r="Q2376" s="2" t="s">
        <v>99</v>
      </c>
      <c r="R2376" s="2" t="s">
        <v>100</v>
      </c>
      <c r="S2376" s="2" t="s">
        <v>8438</v>
      </c>
      <c r="T2376" s="2" t="s">
        <v>100</v>
      </c>
      <c r="U2376" s="2" t="s">
        <v>100</v>
      </c>
      <c r="V2376" s="2" t="s">
        <v>461</v>
      </c>
      <c r="W2376" s="2" t="s">
        <v>104</v>
      </c>
      <c r="X2376" s="2" t="s">
        <v>100</v>
      </c>
      <c r="Y2376" s="2" t="s">
        <v>8435</v>
      </c>
      <c r="Z2376" s="4">
        <v>25</v>
      </c>
      <c r="AA2376" s="4">
        <f>=ROUNDDOWN(6.25,0)</f>
      </c>
      <c r="AB2376" s="5">
        <v>4</v>
      </c>
      <c r="AC2376" s="2" t="s">
        <v>4919</v>
      </c>
      <c r="AD2376" s="4">
        <v>60</v>
      </c>
      <c r="AE2376" s="4">
        <v>100</v>
      </c>
      <c r="AF2376" s="6">
        <v>65</v>
      </c>
      <c r="AG2376" s="6">
        <v>48</v>
      </c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/>
      <c r="BJ2376" s="4">
        <v>6</v>
      </c>
      <c r="BK2376" s="8">
        <v>1121.27</v>
      </c>
      <c r="BL2376" s="2" t="s">
        <v>8439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2526</v>
      </c>
      <c r="BV2376" s="2" t="s">
        <v>97</v>
      </c>
      <c r="BW2376" s="2" t="s">
        <v>100</v>
      </c>
      <c r="BX2376" s="2" t="s">
        <v>100</v>
      </c>
      <c r="BY2376" s="2" t="s">
        <v>112</v>
      </c>
      <c r="BZ2376" s="2" t="s">
        <v>100</v>
      </c>
    </row>
    <row r="2377">
      <c r="A2377" s="2" t="s">
        <v>8440</v>
      </c>
      <c r="B2377" s="2" t="s">
        <v>6747</v>
      </c>
      <c r="C2377" s="2" t="s">
        <v>3196</v>
      </c>
      <c r="D2377" s="2" t="s">
        <v>6789</v>
      </c>
      <c r="E2377" s="2" t="s">
        <v>6800</v>
      </c>
      <c r="F2377" s="2" t="s">
        <v>8441</v>
      </c>
      <c r="G2377" s="2" t="s">
        <v>8441</v>
      </c>
      <c r="H2377" s="2" t="s">
        <v>8441</v>
      </c>
      <c r="I2377" s="2" t="s">
        <v>8442</v>
      </c>
      <c r="J2377" s="2" t="s">
        <v>3385</v>
      </c>
      <c r="K2377" s="2" t="s">
        <v>8443</v>
      </c>
      <c r="L2377" s="3">
        <v>212.85</v>
      </c>
      <c r="M2377" s="3">
        <v>223.49</v>
      </c>
      <c r="N2377" s="3">
        <v>449</v>
      </c>
      <c r="O2377" s="2" t="s">
        <v>97</v>
      </c>
      <c r="P2377" s="2" t="s">
        <v>98</v>
      </c>
      <c r="Q2377" s="2" t="s">
        <v>99</v>
      </c>
      <c r="R2377" s="2" t="s">
        <v>100</v>
      </c>
      <c r="S2377" s="2" t="s">
        <v>100</v>
      </c>
      <c r="T2377" s="2" t="s">
        <v>100</v>
      </c>
      <c r="U2377" s="2" t="s">
        <v>1776</v>
      </c>
      <c r="V2377" s="2" t="s">
        <v>461</v>
      </c>
      <c r="W2377" s="2" t="s">
        <v>104</v>
      </c>
      <c r="X2377" s="2" t="s">
        <v>100</v>
      </c>
      <c r="Y2377" s="2" t="s">
        <v>4679</v>
      </c>
      <c r="Z2377" s="4">
        <v>48</v>
      </c>
      <c r="AA2377" s="4">
        <f>=ROUNDDOWN(4.8,0)</f>
      </c>
      <c r="AB2377" s="5">
        <v>10</v>
      </c>
      <c r="AC2377" s="2" t="s">
        <v>312</v>
      </c>
      <c r="AD2377" s="4">
        <v>96</v>
      </c>
      <c r="AE2377" s="4">
        <v>192</v>
      </c>
      <c r="AF2377" s="6">
        <v>66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/>
      <c r="BJ2377" s="4">
        <v>18</v>
      </c>
      <c r="BK2377" s="8">
        <v>3764.41</v>
      </c>
      <c r="BL2377" s="2" t="s">
        <v>6985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2526</v>
      </c>
      <c r="BV2377" s="2" t="s">
        <v>97</v>
      </c>
      <c r="BW2377" s="2" t="s">
        <v>100</v>
      </c>
      <c r="BX2377" s="2" t="s">
        <v>100</v>
      </c>
      <c r="BY2377" s="2" t="s">
        <v>112</v>
      </c>
      <c r="BZ2377" s="2" t="s">
        <v>100</v>
      </c>
    </row>
    <row r="2378">
      <c r="A2378" s="2" t="s">
        <v>8444</v>
      </c>
      <c r="B2378" s="2" t="s">
        <v>6747</v>
      </c>
      <c r="C2378" s="2" t="s">
        <v>3196</v>
      </c>
      <c r="D2378" s="2" t="s">
        <v>6789</v>
      </c>
      <c r="E2378" s="2" t="s">
        <v>6800</v>
      </c>
      <c r="F2378" s="2" t="s">
        <v>8441</v>
      </c>
      <c r="G2378" s="2" t="s">
        <v>8441</v>
      </c>
      <c r="H2378" s="2" t="s">
        <v>8441</v>
      </c>
      <c r="I2378" s="2" t="s">
        <v>8445</v>
      </c>
      <c r="J2378" s="2" t="s">
        <v>3385</v>
      </c>
      <c r="K2378" s="2" t="s">
        <v>3007</v>
      </c>
      <c r="L2378" s="3">
        <v>212.85</v>
      </c>
      <c r="M2378" s="3">
        <v>223.49</v>
      </c>
      <c r="N2378" s="3">
        <v>449</v>
      </c>
      <c r="O2378" s="2" t="s">
        <v>97</v>
      </c>
      <c r="P2378" s="2" t="s">
        <v>98</v>
      </c>
      <c r="Q2378" s="2" t="s">
        <v>99</v>
      </c>
      <c r="R2378" s="2" t="s">
        <v>100</v>
      </c>
      <c r="S2378" s="2" t="s">
        <v>8446</v>
      </c>
      <c r="T2378" s="2" t="s">
        <v>100</v>
      </c>
      <c r="U2378" s="2" t="s">
        <v>1776</v>
      </c>
      <c r="V2378" s="2" t="s">
        <v>461</v>
      </c>
      <c r="W2378" s="2" t="s">
        <v>104</v>
      </c>
      <c r="X2378" s="2" t="s">
        <v>100</v>
      </c>
      <c r="Y2378" s="2" t="s">
        <v>1783</v>
      </c>
      <c r="Z2378" s="4">
        <v>45</v>
      </c>
      <c r="AA2378" s="4">
        <f>=ROUNDDOWN(7.5,0)</f>
      </c>
      <c r="AB2378" s="5">
        <v>6</v>
      </c>
      <c r="AC2378" s="2" t="s">
        <v>1142</v>
      </c>
      <c r="AD2378" s="4">
        <v>96</v>
      </c>
      <c r="AE2378" s="4">
        <v>96</v>
      </c>
      <c r="AF2378" s="6">
        <v>66</v>
      </c>
      <c r="AG2378" s="6">
        <v>49</v>
      </c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/>
      <c r="BJ2378" s="4">
        <v>17</v>
      </c>
      <c r="BK2378" s="8">
        <v>3483.29</v>
      </c>
      <c r="BL2378" s="2" t="s">
        <v>8008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2526</v>
      </c>
      <c r="BV2378" s="2" t="s">
        <v>97</v>
      </c>
      <c r="BW2378" s="2" t="s">
        <v>100</v>
      </c>
      <c r="BX2378" s="2" t="s">
        <v>100</v>
      </c>
      <c r="BY2378" s="2" t="s">
        <v>112</v>
      </c>
      <c r="BZ2378" s="2" t="s">
        <v>100</v>
      </c>
    </row>
    <row r="2379">
      <c r="A2379" s="2" t="s">
        <v>8447</v>
      </c>
      <c r="B2379" s="2" t="s">
        <v>6747</v>
      </c>
      <c r="C2379" s="2" t="s">
        <v>3196</v>
      </c>
      <c r="D2379" s="2" t="s">
        <v>6789</v>
      </c>
      <c r="E2379" s="2" t="s">
        <v>6800</v>
      </c>
      <c r="F2379" s="2" t="s">
        <v>6615</v>
      </c>
      <c r="G2379" s="2" t="s">
        <v>6615</v>
      </c>
      <c r="H2379" s="2" t="s">
        <v>6615</v>
      </c>
      <c r="I2379" s="2" t="s">
        <v>6800</v>
      </c>
      <c r="J2379" s="2" t="s">
        <v>3385</v>
      </c>
      <c r="K2379" s="2" t="s">
        <v>446</v>
      </c>
      <c r="L2379" s="3">
        <v>237.6</v>
      </c>
      <c r="M2379" s="3">
        <v>249.48</v>
      </c>
      <c r="N2379" s="3">
        <v>499</v>
      </c>
      <c r="O2379" s="2" t="s">
        <v>97</v>
      </c>
      <c r="P2379" s="2" t="s">
        <v>98</v>
      </c>
      <c r="Q2379" s="2" t="s">
        <v>99</v>
      </c>
      <c r="R2379" s="2" t="s">
        <v>100</v>
      </c>
      <c r="S2379" s="2" t="s">
        <v>100</v>
      </c>
      <c r="T2379" s="2" t="s">
        <v>100</v>
      </c>
      <c r="U2379" s="2" t="s">
        <v>100</v>
      </c>
      <c r="V2379" s="2" t="s">
        <v>461</v>
      </c>
      <c r="W2379" s="2" t="s">
        <v>104</v>
      </c>
      <c r="X2379" s="2" t="s">
        <v>100</v>
      </c>
      <c r="Y2379" s="2" t="s">
        <v>1978</v>
      </c>
      <c r="Z2379" s="4">
        <v>182</v>
      </c>
      <c r="AA2379" s="4">
        <f>=ROUNDDOWN(45.5,0)</f>
      </c>
      <c r="AB2379" s="5">
        <v>4</v>
      </c>
      <c r="AC2379" s="2" t="s">
        <v>100</v>
      </c>
      <c r="AD2379" s="4"/>
      <c r="AE2379" s="4"/>
      <c r="AF2379" s="6">
        <v>65</v>
      </c>
      <c r="AG2379" s="6">
        <v>48</v>
      </c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/>
      <c r="BD2379" s="8"/>
      <c r="BE2379" s="4"/>
      <c r="BF2379" s="8"/>
      <c r="BG2379" s="7"/>
      <c r="BH2379" s="7"/>
      <c r="BI2379" s="7"/>
      <c r="BJ2379" s="4">
        <v>18</v>
      </c>
      <c r="BK2379" s="8">
        <v>4185.59</v>
      </c>
      <c r="BL2379" s="2" t="s">
        <v>6904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2526</v>
      </c>
      <c r="BV2379" s="2" t="s">
        <v>97</v>
      </c>
      <c r="BW2379" s="2" t="s">
        <v>100</v>
      </c>
      <c r="BX2379" s="2" t="s">
        <v>100</v>
      </c>
      <c r="BY2379" s="2" t="s">
        <v>112</v>
      </c>
      <c r="BZ2379" s="2" t="s">
        <v>100</v>
      </c>
    </row>
    <row r="2380">
      <c r="A2380" s="2" t="s">
        <v>8448</v>
      </c>
      <c r="B2380" s="2" t="s">
        <v>6747</v>
      </c>
      <c r="C2380" s="2" t="s">
        <v>3196</v>
      </c>
      <c r="D2380" s="2" t="s">
        <v>6919</v>
      </c>
      <c r="E2380" s="2" t="s">
        <v>7704</v>
      </c>
      <c r="F2380" s="2" t="s">
        <v>8449</v>
      </c>
      <c r="G2380" s="2" t="s">
        <v>8449</v>
      </c>
      <c r="H2380" s="2" t="s">
        <v>8449</v>
      </c>
      <c r="I2380" s="2" t="s">
        <v>8450</v>
      </c>
      <c r="J2380" s="2" t="s">
        <v>3385</v>
      </c>
      <c r="K2380" s="2" t="s">
        <v>8451</v>
      </c>
      <c r="L2380" s="3">
        <v>217.8</v>
      </c>
      <c r="M2380" s="3">
        <v>228.69</v>
      </c>
      <c r="N2380" s="3">
        <v>459</v>
      </c>
      <c r="O2380" s="2" t="s">
        <v>97</v>
      </c>
      <c r="P2380" s="2" t="s">
        <v>98</v>
      </c>
      <c r="Q2380" s="2" t="s">
        <v>99</v>
      </c>
      <c r="R2380" s="2" t="s">
        <v>100</v>
      </c>
      <c r="S2380" s="2" t="s">
        <v>100</v>
      </c>
      <c r="T2380" s="2" t="s">
        <v>100</v>
      </c>
      <c r="U2380" s="2" t="s">
        <v>1776</v>
      </c>
      <c r="V2380" s="2" t="s">
        <v>3412</v>
      </c>
      <c r="W2380" s="2" t="s">
        <v>104</v>
      </c>
      <c r="X2380" s="2" t="s">
        <v>594</v>
      </c>
      <c r="Y2380" s="2" t="s">
        <v>8452</v>
      </c>
      <c r="Z2380" s="4">
        <v>23</v>
      </c>
      <c r="AA2380" s="4">
        <f>=ROUNDDOWN(2.55555555555556,0)</f>
      </c>
      <c r="AB2380" s="5">
        <v>9</v>
      </c>
      <c r="AC2380" s="2" t="s">
        <v>3024</v>
      </c>
      <c r="AD2380" s="4">
        <v>150</v>
      </c>
      <c r="AE2380" s="4">
        <v>320</v>
      </c>
      <c r="AF2380" s="6">
        <v>74</v>
      </c>
      <c r="AG2380" s="6">
        <v>60</v>
      </c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/>
      <c r="BJ2380" s="4">
        <v>32</v>
      </c>
      <c r="BK2380" s="8">
        <v>7336.6</v>
      </c>
      <c r="BL2380" s="2" t="s">
        <v>7526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2526</v>
      </c>
      <c r="BV2380" s="2" t="s">
        <v>97</v>
      </c>
      <c r="BW2380" s="2" t="s">
        <v>100</v>
      </c>
      <c r="BX2380" s="2" t="s">
        <v>100</v>
      </c>
      <c r="BY2380" s="2" t="s">
        <v>112</v>
      </c>
      <c r="BZ2380" s="2" t="s">
        <v>100</v>
      </c>
    </row>
    <row r="2381">
      <c r="A2381" s="2" t="s">
        <v>8453</v>
      </c>
      <c r="B2381" s="2" t="s">
        <v>6747</v>
      </c>
      <c r="C2381" s="2" t="s">
        <v>3196</v>
      </c>
      <c r="D2381" s="2" t="s">
        <v>6919</v>
      </c>
      <c r="E2381" s="2" t="s">
        <v>7704</v>
      </c>
      <c r="F2381" s="2" t="s">
        <v>8449</v>
      </c>
      <c r="G2381" s="2" t="s">
        <v>8449</v>
      </c>
      <c r="H2381" s="2" t="s">
        <v>8449</v>
      </c>
      <c r="I2381" s="2" t="s">
        <v>8450</v>
      </c>
      <c r="J2381" s="2" t="s">
        <v>3385</v>
      </c>
      <c r="K2381" s="2" t="s">
        <v>8454</v>
      </c>
      <c r="L2381" s="3">
        <v>217.8</v>
      </c>
      <c r="M2381" s="3">
        <v>228.69</v>
      </c>
      <c r="N2381" s="3">
        <v>459</v>
      </c>
      <c r="O2381" s="2" t="s">
        <v>97</v>
      </c>
      <c r="P2381" s="2" t="s">
        <v>98</v>
      </c>
      <c r="Q2381" s="2" t="s">
        <v>99</v>
      </c>
      <c r="R2381" s="2" t="s">
        <v>100</v>
      </c>
      <c r="S2381" s="2" t="s">
        <v>100</v>
      </c>
      <c r="T2381" s="2" t="s">
        <v>100</v>
      </c>
      <c r="U2381" s="2" t="s">
        <v>1776</v>
      </c>
      <c r="V2381" s="2" t="s">
        <v>461</v>
      </c>
      <c r="W2381" s="2" t="s">
        <v>104</v>
      </c>
      <c r="X2381" s="2" t="s">
        <v>594</v>
      </c>
      <c r="Y2381" s="2" t="s">
        <v>8455</v>
      </c>
      <c r="Z2381" s="4">
        <v>44</v>
      </c>
      <c r="AA2381" s="4">
        <f>=ROUNDDOWN(3.14285714285714,0)</f>
      </c>
      <c r="AB2381" s="5">
        <v>14</v>
      </c>
      <c r="AC2381" s="2" t="s">
        <v>2709</v>
      </c>
      <c r="AD2381" s="4">
        <v>120</v>
      </c>
      <c r="AE2381" s="4">
        <v>320</v>
      </c>
      <c r="AF2381" s="6">
        <v>74</v>
      </c>
      <c r="AG2381" s="6"/>
      <c r="AH2381" s="7">
        <v>0.3871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/>
      <c r="BJ2381" s="4">
        <v>29</v>
      </c>
      <c r="BK2381" s="8">
        <v>6533.48</v>
      </c>
      <c r="BL2381" s="2" t="s">
        <v>1149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2526</v>
      </c>
      <c r="BV2381" s="2" t="s">
        <v>97</v>
      </c>
      <c r="BW2381" s="2" t="s">
        <v>100</v>
      </c>
      <c r="BX2381" s="2" t="s">
        <v>100</v>
      </c>
      <c r="BY2381" s="2" t="s">
        <v>112</v>
      </c>
      <c r="BZ2381" s="2" t="s">
        <v>100</v>
      </c>
    </row>
    <row r="2382">
      <c r="A2382" s="2" t="s">
        <v>8456</v>
      </c>
      <c r="B2382" s="2" t="s">
        <v>6747</v>
      </c>
      <c r="C2382" s="2" t="s">
        <v>3196</v>
      </c>
      <c r="D2382" s="2" t="s">
        <v>8457</v>
      </c>
      <c r="E2382" s="2" t="s">
        <v>8458</v>
      </c>
      <c r="F2382" s="2" t="s">
        <v>4674</v>
      </c>
      <c r="G2382" s="2" t="s">
        <v>100</v>
      </c>
      <c r="H2382" s="2" t="s">
        <v>100</v>
      </c>
      <c r="I2382" s="2" t="s">
        <v>8458</v>
      </c>
      <c r="J2382" s="2" t="s">
        <v>3385</v>
      </c>
      <c r="K2382" s="2" t="s">
        <v>8459</v>
      </c>
      <c r="L2382" s="3">
        <v>166.98</v>
      </c>
      <c r="M2382" s="3">
        <v>175.33</v>
      </c>
      <c r="N2382" s="3">
        <v>349</v>
      </c>
      <c r="O2382" s="2" t="s">
        <v>97</v>
      </c>
      <c r="P2382" s="2" t="s">
        <v>98</v>
      </c>
      <c r="Q2382" s="2" t="s">
        <v>99</v>
      </c>
      <c r="R2382" s="2" t="s">
        <v>100</v>
      </c>
      <c r="S2382" s="2" t="s">
        <v>8460</v>
      </c>
      <c r="T2382" s="2" t="s">
        <v>100</v>
      </c>
      <c r="U2382" s="2" t="s">
        <v>100</v>
      </c>
      <c r="V2382" s="2" t="s">
        <v>461</v>
      </c>
      <c r="W2382" s="2" t="s">
        <v>493</v>
      </c>
      <c r="X2382" s="2" t="s">
        <v>100</v>
      </c>
      <c r="Y2382" s="2" t="s">
        <v>980</v>
      </c>
      <c r="Z2382" s="4">
        <v>71</v>
      </c>
      <c r="AA2382" s="4">
        <f>=ROUNDDOWN(7.1,0)</f>
      </c>
      <c r="AB2382" s="5">
        <v>10</v>
      </c>
      <c r="AC2382" s="2" t="s">
        <v>2772</v>
      </c>
      <c r="AD2382" s="4">
        <v>100</v>
      </c>
      <c r="AE2382" s="4">
        <v>320</v>
      </c>
      <c r="AF2382" s="6">
        <v>65</v>
      </c>
      <c r="AG2382" s="6">
        <v>48</v>
      </c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/>
      <c r="BD2382" s="8"/>
      <c r="BE2382" s="4"/>
      <c r="BF2382" s="8"/>
      <c r="BG2382" s="7"/>
      <c r="BH2382" s="7"/>
      <c r="BI2382" s="7"/>
      <c r="BJ2382" s="4">
        <v>24</v>
      </c>
      <c r="BK2382" s="8">
        <v>3710.82</v>
      </c>
      <c r="BL2382" s="2" t="s">
        <v>8461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2526</v>
      </c>
      <c r="BV2382" s="2" t="s">
        <v>97</v>
      </c>
      <c r="BW2382" s="2" t="s">
        <v>100</v>
      </c>
      <c r="BX2382" s="2" t="s">
        <v>100</v>
      </c>
      <c r="BY2382" s="2" t="s">
        <v>112</v>
      </c>
      <c r="BZ2382" s="2" t="s">
        <v>100</v>
      </c>
    </row>
    <row r="2383">
      <c r="A2383" s="2" t="s">
        <v>8462</v>
      </c>
      <c r="B2383" s="2" t="s">
        <v>6747</v>
      </c>
      <c r="C2383" s="2" t="s">
        <v>3196</v>
      </c>
      <c r="D2383" s="2" t="s">
        <v>7012</v>
      </c>
      <c r="E2383" s="2" t="s">
        <v>7013</v>
      </c>
      <c r="F2383" s="2" t="s">
        <v>8449</v>
      </c>
      <c r="G2383" s="2" t="s">
        <v>8449</v>
      </c>
      <c r="H2383" s="2" t="s">
        <v>8449</v>
      </c>
      <c r="I2383" s="2" t="s">
        <v>7013</v>
      </c>
      <c r="J2383" s="2" t="s">
        <v>95</v>
      </c>
      <c r="K2383" s="2" t="s">
        <v>8451</v>
      </c>
      <c r="L2383" s="3">
        <v>370</v>
      </c>
      <c r="M2383" s="3">
        <v>388.5</v>
      </c>
      <c r="N2383" s="3">
        <v>769</v>
      </c>
      <c r="O2383" s="2" t="s">
        <v>97</v>
      </c>
      <c r="P2383" s="2" t="s">
        <v>139</v>
      </c>
      <c r="Q2383" s="2" t="s">
        <v>99</v>
      </c>
      <c r="R2383" s="2" t="s">
        <v>100</v>
      </c>
      <c r="S2383" s="2" t="s">
        <v>100</v>
      </c>
      <c r="T2383" s="2" t="s">
        <v>100</v>
      </c>
      <c r="U2383" s="2" t="s">
        <v>1776</v>
      </c>
      <c r="V2383" s="2" t="s">
        <v>461</v>
      </c>
      <c r="W2383" s="2" t="s">
        <v>104</v>
      </c>
      <c r="X2383" s="2" t="s">
        <v>594</v>
      </c>
      <c r="Y2383" s="2" t="s">
        <v>1523</v>
      </c>
      <c r="Z2383" s="4">
        <v>165</v>
      </c>
      <c r="AA2383" s="4">
        <f>=ROUNDDOWN(15.8653846153846,0)</f>
      </c>
      <c r="AB2383" s="5">
        <v>10.4</v>
      </c>
      <c r="AC2383" s="2" t="s">
        <v>7126</v>
      </c>
      <c r="AD2383" s="4">
        <v>70</v>
      </c>
      <c r="AE2383" s="4">
        <v>580</v>
      </c>
      <c r="AF2383" s="6">
        <v>74</v>
      </c>
      <c r="AG2383" s="6">
        <v>60</v>
      </c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/>
      <c r="BJ2383" s="4">
        <v>69</v>
      </c>
      <c r="BK2383" s="8">
        <v>25345.61</v>
      </c>
      <c r="BL2383" s="2" t="s">
        <v>2807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2526</v>
      </c>
      <c r="BV2383" s="2" t="s">
        <v>97</v>
      </c>
      <c r="BW2383" s="2" t="s">
        <v>100</v>
      </c>
      <c r="BX2383" s="2" t="s">
        <v>100</v>
      </c>
      <c r="BY2383" s="2" t="s">
        <v>112</v>
      </c>
      <c r="BZ2383" s="2" t="s">
        <v>100</v>
      </c>
    </row>
    <row r="2384">
      <c r="A2384" s="2" t="s">
        <v>8463</v>
      </c>
      <c r="B2384" s="2" t="s">
        <v>6747</v>
      </c>
      <c r="C2384" s="2" t="s">
        <v>3196</v>
      </c>
      <c r="D2384" s="2" t="s">
        <v>7012</v>
      </c>
      <c r="E2384" s="2" t="s">
        <v>7013</v>
      </c>
      <c r="F2384" s="2" t="s">
        <v>8449</v>
      </c>
      <c r="G2384" s="2" t="s">
        <v>8449</v>
      </c>
      <c r="H2384" s="2" t="s">
        <v>8449</v>
      </c>
      <c r="I2384" s="2" t="s">
        <v>7013</v>
      </c>
      <c r="J2384" s="2" t="s">
        <v>95</v>
      </c>
      <c r="K2384" s="2" t="s">
        <v>8454</v>
      </c>
      <c r="L2384" s="3">
        <v>370</v>
      </c>
      <c r="M2384" s="3">
        <v>388.5</v>
      </c>
      <c r="N2384" s="3">
        <v>769</v>
      </c>
      <c r="O2384" s="2" t="s">
        <v>97</v>
      </c>
      <c r="P2384" s="2" t="s">
        <v>139</v>
      </c>
      <c r="Q2384" s="2" t="s">
        <v>99</v>
      </c>
      <c r="R2384" s="2" t="s">
        <v>100</v>
      </c>
      <c r="S2384" s="2" t="s">
        <v>8464</v>
      </c>
      <c r="T2384" s="2" t="s">
        <v>100</v>
      </c>
      <c r="U2384" s="2" t="s">
        <v>100</v>
      </c>
      <c r="V2384" s="2" t="s">
        <v>461</v>
      </c>
      <c r="W2384" s="2" t="s">
        <v>104</v>
      </c>
      <c r="X2384" s="2" t="s">
        <v>594</v>
      </c>
      <c r="Y2384" s="2" t="s">
        <v>144</v>
      </c>
      <c r="Z2384" s="4">
        <v>645</v>
      </c>
      <c r="AA2384" s="4">
        <f>=ROUNDDOWN(29.3181818181818,0)</f>
      </c>
      <c r="AB2384" s="5">
        <v>22</v>
      </c>
      <c r="AC2384" s="2" t="s">
        <v>2581</v>
      </c>
      <c r="AD2384" s="4">
        <v>50</v>
      </c>
      <c r="AE2384" s="4">
        <v>50</v>
      </c>
      <c r="AF2384" s="6">
        <v>74</v>
      </c>
      <c r="AG2384" s="6">
        <v>60</v>
      </c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/>
      <c r="BJ2384" s="4">
        <v>64</v>
      </c>
      <c r="BK2384" s="8">
        <v>22925.38</v>
      </c>
      <c r="BL2384" s="2" t="s">
        <v>2765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2526</v>
      </c>
      <c r="BV2384" s="2" t="s">
        <v>97</v>
      </c>
      <c r="BW2384" s="2" t="s">
        <v>100</v>
      </c>
      <c r="BX2384" s="2" t="s">
        <v>100</v>
      </c>
      <c r="BY2384" s="2" t="s">
        <v>112</v>
      </c>
      <c r="BZ2384" s="2" t="s">
        <v>100</v>
      </c>
    </row>
    <row r="2385">
      <c r="A2385" s="2" t="s">
        <v>8465</v>
      </c>
      <c r="B2385" s="2" t="s">
        <v>6747</v>
      </c>
      <c r="C2385" s="2" t="s">
        <v>3196</v>
      </c>
      <c r="D2385" s="2" t="s">
        <v>7035</v>
      </c>
      <c r="E2385" s="2" t="s">
        <v>7036</v>
      </c>
      <c r="F2385" s="2" t="s">
        <v>8466</v>
      </c>
      <c r="G2385" s="2" t="s">
        <v>8466</v>
      </c>
      <c r="H2385" s="2" t="s">
        <v>8466</v>
      </c>
      <c r="I2385" s="2" t="s">
        <v>8467</v>
      </c>
      <c r="J2385" s="2" t="s">
        <v>3385</v>
      </c>
      <c r="K2385" s="2" t="s">
        <v>7085</v>
      </c>
      <c r="L2385" s="3">
        <v>118.13</v>
      </c>
      <c r="M2385" s="3">
        <v>124.04</v>
      </c>
      <c r="N2385" s="3">
        <v>249</v>
      </c>
      <c r="O2385" s="2" t="s">
        <v>97</v>
      </c>
      <c r="P2385" s="2" t="s">
        <v>98</v>
      </c>
      <c r="Q2385" s="2" t="s">
        <v>99</v>
      </c>
      <c r="R2385" s="2" t="s">
        <v>100</v>
      </c>
      <c r="S2385" s="2" t="s">
        <v>8468</v>
      </c>
      <c r="T2385" s="2" t="s">
        <v>100</v>
      </c>
      <c r="U2385" s="2" t="s">
        <v>100</v>
      </c>
      <c r="V2385" s="2" t="s">
        <v>461</v>
      </c>
      <c r="W2385" s="2" t="s">
        <v>104</v>
      </c>
      <c r="X2385" s="2" t="s">
        <v>100</v>
      </c>
      <c r="Y2385" s="2" t="s">
        <v>144</v>
      </c>
      <c r="Z2385" s="4">
        <v>3</v>
      </c>
      <c r="AA2385" s="4">
        <f>=ROUNDDOWN(0.3,0)</f>
      </c>
      <c r="AB2385" s="5">
        <v>10</v>
      </c>
      <c r="AC2385" s="2" t="s">
        <v>676</v>
      </c>
      <c r="AD2385" s="4">
        <v>90</v>
      </c>
      <c r="AE2385" s="4">
        <v>190</v>
      </c>
      <c r="AF2385" s="6">
        <v>66</v>
      </c>
      <c r="AG2385" s="6">
        <v>49</v>
      </c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/>
      <c r="BD2385" s="8"/>
      <c r="BE2385" s="4"/>
      <c r="BF2385" s="8"/>
      <c r="BG2385" s="7"/>
      <c r="BH2385" s="7"/>
      <c r="BI2385" s="7"/>
      <c r="BJ2385" s="4">
        <v>46</v>
      </c>
      <c r="BK2385" s="8">
        <v>5235.26</v>
      </c>
      <c r="BL2385" s="2" t="s">
        <v>7144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2526</v>
      </c>
      <c r="BV2385" s="2" t="s">
        <v>97</v>
      </c>
      <c r="BW2385" s="2" t="s">
        <v>100</v>
      </c>
      <c r="BX2385" s="2" t="s">
        <v>100</v>
      </c>
      <c r="BY2385" s="2" t="s">
        <v>112</v>
      </c>
      <c r="BZ2385" s="2" t="s">
        <v>100</v>
      </c>
    </row>
    <row r="2386">
      <c r="A2386" s="2" t="s">
        <v>8469</v>
      </c>
      <c r="B2386" s="2" t="s">
        <v>6747</v>
      </c>
      <c r="C2386" s="2" t="s">
        <v>3196</v>
      </c>
      <c r="D2386" s="2" t="s">
        <v>7035</v>
      </c>
      <c r="E2386" s="2" t="s">
        <v>7036</v>
      </c>
      <c r="F2386" s="2" t="s">
        <v>8470</v>
      </c>
      <c r="G2386" s="2" t="s">
        <v>100</v>
      </c>
      <c r="H2386" s="2" t="s">
        <v>100</v>
      </c>
      <c r="I2386" s="2" t="s">
        <v>8471</v>
      </c>
      <c r="J2386" s="2" t="s">
        <v>3385</v>
      </c>
      <c r="K2386" s="2" t="s">
        <v>96</v>
      </c>
      <c r="L2386" s="3">
        <v>256.03</v>
      </c>
      <c r="M2386" s="3">
        <v>268.83</v>
      </c>
      <c r="N2386" s="3">
        <v>529</v>
      </c>
      <c r="O2386" s="2" t="s">
        <v>97</v>
      </c>
      <c r="P2386" s="2" t="s">
        <v>98</v>
      </c>
      <c r="Q2386" s="2" t="s">
        <v>99</v>
      </c>
      <c r="R2386" s="2" t="s">
        <v>100</v>
      </c>
      <c r="S2386" s="2" t="s">
        <v>100</v>
      </c>
      <c r="T2386" s="2" t="s">
        <v>100</v>
      </c>
      <c r="U2386" s="2" t="s">
        <v>100</v>
      </c>
      <c r="V2386" s="2" t="s">
        <v>461</v>
      </c>
      <c r="W2386" s="2" t="s">
        <v>104</v>
      </c>
      <c r="X2386" s="2" t="s">
        <v>100</v>
      </c>
      <c r="Y2386" s="2" t="s">
        <v>1935</v>
      </c>
      <c r="Z2386" s="4">
        <v>319</v>
      </c>
      <c r="AA2386" s="4">
        <f>=ROUNDDOWN(35.4444444444444,0)</f>
      </c>
      <c r="AB2386" s="5">
        <v>9</v>
      </c>
      <c r="AC2386" s="2" t="s">
        <v>2604</v>
      </c>
      <c r="AD2386" s="4">
        <v>120</v>
      </c>
      <c r="AE2386" s="4">
        <v>120</v>
      </c>
      <c r="AF2386" s="6">
        <v>66</v>
      </c>
      <c r="AG2386" s="6">
        <v>49</v>
      </c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/>
      <c r="BD2386" s="8"/>
      <c r="BE2386" s="4"/>
      <c r="BF2386" s="8"/>
      <c r="BG2386" s="7"/>
      <c r="BH2386" s="7"/>
      <c r="BI2386" s="7"/>
      <c r="BJ2386" s="4">
        <v>18</v>
      </c>
      <c r="BK2386" s="8">
        <v>4557.92</v>
      </c>
      <c r="BL2386" s="2" t="s">
        <v>8472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2526</v>
      </c>
      <c r="BV2386" s="2" t="s">
        <v>97</v>
      </c>
      <c r="BW2386" s="2" t="s">
        <v>100</v>
      </c>
      <c r="BX2386" s="2" t="s">
        <v>100</v>
      </c>
      <c r="BY2386" s="2" t="s">
        <v>112</v>
      </c>
      <c r="BZ2386" s="2" t="s">
        <v>100</v>
      </c>
    </row>
    <row r="2387">
      <c r="A2387" s="2" t="s">
        <v>8473</v>
      </c>
      <c r="B2387" s="2" t="s">
        <v>6747</v>
      </c>
      <c r="C2387" s="2" t="s">
        <v>3196</v>
      </c>
      <c r="D2387" s="2" t="s">
        <v>7035</v>
      </c>
      <c r="E2387" s="2" t="s">
        <v>7036</v>
      </c>
      <c r="F2387" s="2" t="s">
        <v>8474</v>
      </c>
      <c r="G2387" s="2" t="s">
        <v>8474</v>
      </c>
      <c r="H2387" s="2" t="s">
        <v>8474</v>
      </c>
      <c r="I2387" s="2" t="s">
        <v>7041</v>
      </c>
      <c r="J2387" s="2" t="s">
        <v>3385</v>
      </c>
      <c r="K2387" s="2" t="s">
        <v>8475</v>
      </c>
      <c r="L2387" s="3">
        <v>200.36</v>
      </c>
      <c r="M2387" s="3">
        <v>210.38</v>
      </c>
      <c r="N2387" s="3">
        <v>419</v>
      </c>
      <c r="O2387" s="2" t="s">
        <v>97</v>
      </c>
      <c r="P2387" s="2" t="s">
        <v>123</v>
      </c>
      <c r="Q2387" s="2" t="s">
        <v>99</v>
      </c>
      <c r="R2387" s="2" t="s">
        <v>100</v>
      </c>
      <c r="S2387" s="2" t="s">
        <v>8476</v>
      </c>
      <c r="T2387" s="2" t="s">
        <v>100</v>
      </c>
      <c r="U2387" s="2" t="s">
        <v>100</v>
      </c>
      <c r="V2387" s="2" t="s">
        <v>461</v>
      </c>
      <c r="W2387" s="2" t="s">
        <v>493</v>
      </c>
      <c r="X2387" s="2" t="s">
        <v>100</v>
      </c>
      <c r="Y2387" s="2" t="s">
        <v>1483</v>
      </c>
      <c r="Z2387" s="4">
        <v>258</v>
      </c>
      <c r="AA2387" s="4">
        <f>=ROUNDDOWN(14.3333333333333,0)</f>
      </c>
      <c r="AB2387" s="5">
        <v>18</v>
      </c>
      <c r="AC2387" s="2" t="s">
        <v>550</v>
      </c>
      <c r="AD2387" s="4">
        <v>79</v>
      </c>
      <c r="AE2387" s="4">
        <v>330</v>
      </c>
      <c r="AF2387" s="6">
        <v>74</v>
      </c>
      <c r="AG2387" s="6">
        <v>60</v>
      </c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/>
      <c r="BD2387" s="8"/>
      <c r="BE2387" s="4"/>
      <c r="BF2387" s="8"/>
      <c r="BG2387" s="7"/>
      <c r="BH2387" s="7"/>
      <c r="BI2387" s="7"/>
      <c r="BJ2387" s="4">
        <v>79</v>
      </c>
      <c r="BK2387" s="8">
        <v>14981.06</v>
      </c>
      <c r="BL2387" s="2" t="s">
        <v>7053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2526</v>
      </c>
      <c r="BV2387" s="2" t="s">
        <v>97</v>
      </c>
      <c r="BW2387" s="2" t="s">
        <v>100</v>
      </c>
      <c r="BX2387" s="2" t="s">
        <v>100</v>
      </c>
      <c r="BY2387" s="2" t="s">
        <v>112</v>
      </c>
      <c r="BZ2387" s="2" t="s">
        <v>100</v>
      </c>
    </row>
    <row r="2388">
      <c r="A2388" s="2" t="s">
        <v>8477</v>
      </c>
      <c r="B2388" s="2" t="s">
        <v>6747</v>
      </c>
      <c r="C2388" s="2" t="s">
        <v>3196</v>
      </c>
      <c r="D2388" s="2" t="s">
        <v>7035</v>
      </c>
      <c r="E2388" s="2" t="s">
        <v>7036</v>
      </c>
      <c r="F2388" s="2" t="s">
        <v>8478</v>
      </c>
      <c r="G2388" s="2" t="s">
        <v>8478</v>
      </c>
      <c r="H2388" s="2" t="s">
        <v>8478</v>
      </c>
      <c r="I2388" s="2" t="s">
        <v>8471</v>
      </c>
      <c r="J2388" s="2" t="s">
        <v>8479</v>
      </c>
      <c r="K2388" s="2" t="s">
        <v>179</v>
      </c>
      <c r="L2388" s="3">
        <v>214.2</v>
      </c>
      <c r="M2388" s="3">
        <v>224.91</v>
      </c>
      <c r="N2388" s="3">
        <v>449</v>
      </c>
      <c r="O2388" s="2" t="s">
        <v>97</v>
      </c>
      <c r="P2388" s="2" t="s">
        <v>123</v>
      </c>
      <c r="Q2388" s="2" t="s">
        <v>99</v>
      </c>
      <c r="R2388" s="2" t="s">
        <v>100</v>
      </c>
      <c r="S2388" s="2" t="s">
        <v>100</v>
      </c>
      <c r="T2388" s="2" t="s">
        <v>100</v>
      </c>
      <c r="U2388" s="2" t="s">
        <v>894</v>
      </c>
      <c r="V2388" s="2" t="s">
        <v>461</v>
      </c>
      <c r="W2388" s="2" t="s">
        <v>104</v>
      </c>
      <c r="X2388" s="2" t="s">
        <v>100</v>
      </c>
      <c r="Y2388" s="2" t="s">
        <v>6259</v>
      </c>
      <c r="Z2388" s="4">
        <v>357</v>
      </c>
      <c r="AA2388" s="4">
        <f>=ROUNDDOWN(23.8,0)</f>
      </c>
      <c r="AB2388" s="5">
        <v>15</v>
      </c>
      <c r="AC2388" s="2" t="s">
        <v>262</v>
      </c>
      <c r="AD2388" s="4">
        <v>81</v>
      </c>
      <c r="AE2388" s="4">
        <v>311</v>
      </c>
      <c r="AF2388" s="6">
        <v>65</v>
      </c>
      <c r="AG2388" s="6">
        <v>48</v>
      </c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/>
      <c r="BJ2388" s="4">
        <v>51</v>
      </c>
      <c r="BK2388" s="8">
        <v>10955.03</v>
      </c>
      <c r="BL2388" s="2" t="s">
        <v>8480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2526</v>
      </c>
      <c r="BV2388" s="2" t="s">
        <v>97</v>
      </c>
      <c r="BW2388" s="2" t="s">
        <v>100</v>
      </c>
      <c r="BX2388" s="2" t="s">
        <v>100</v>
      </c>
      <c r="BY2388" s="2" t="s">
        <v>112</v>
      </c>
      <c r="BZ2388" s="2" t="s">
        <v>100</v>
      </c>
    </row>
    <row r="2389">
      <c r="A2389" s="2" t="s">
        <v>8481</v>
      </c>
      <c r="B2389" s="2" t="s">
        <v>6747</v>
      </c>
      <c r="C2389" s="2" t="s">
        <v>3196</v>
      </c>
      <c r="D2389" s="2" t="s">
        <v>7035</v>
      </c>
      <c r="E2389" s="2" t="s">
        <v>7036</v>
      </c>
      <c r="F2389" s="2" t="s">
        <v>8478</v>
      </c>
      <c r="G2389" s="2" t="s">
        <v>8478</v>
      </c>
      <c r="H2389" s="2" t="s">
        <v>8478</v>
      </c>
      <c r="I2389" s="2" t="s">
        <v>8471</v>
      </c>
      <c r="J2389" s="2" t="s">
        <v>8479</v>
      </c>
      <c r="K2389" s="2" t="s">
        <v>1090</v>
      </c>
      <c r="L2389" s="3">
        <v>214.2</v>
      </c>
      <c r="M2389" s="3">
        <v>224.91</v>
      </c>
      <c r="N2389" s="3">
        <v>449</v>
      </c>
      <c r="O2389" s="2" t="s">
        <v>97</v>
      </c>
      <c r="P2389" s="2" t="s">
        <v>139</v>
      </c>
      <c r="Q2389" s="2" t="s">
        <v>99</v>
      </c>
      <c r="R2389" s="2" t="s">
        <v>100</v>
      </c>
      <c r="S2389" s="2" t="s">
        <v>100</v>
      </c>
      <c r="T2389" s="2" t="s">
        <v>100</v>
      </c>
      <c r="U2389" s="2" t="s">
        <v>894</v>
      </c>
      <c r="V2389" s="2" t="s">
        <v>461</v>
      </c>
      <c r="W2389" s="2" t="s">
        <v>104</v>
      </c>
      <c r="X2389" s="2" t="s">
        <v>100</v>
      </c>
      <c r="Y2389" s="2" t="s">
        <v>620</v>
      </c>
      <c r="Z2389" s="4">
        <v>319</v>
      </c>
      <c r="AA2389" s="4">
        <f>=ROUNDDOWN(14.1150442477876,0)</f>
      </c>
      <c r="AB2389" s="5">
        <v>22.6</v>
      </c>
      <c r="AC2389" s="2" t="s">
        <v>262</v>
      </c>
      <c r="AD2389" s="4">
        <v>74</v>
      </c>
      <c r="AE2389" s="4">
        <v>410</v>
      </c>
      <c r="AF2389" s="6">
        <v>65</v>
      </c>
      <c r="AG2389" s="6">
        <v>48</v>
      </c>
      <c r="AH2389" s="7">
        <v>1</v>
      </c>
      <c r="AI2389" s="4"/>
      <c r="AJ2389" s="4">
        <f>=ROUNDDOWN({0},0)</f>
      </c>
      <c r="AK2389" s="5"/>
      <c r="AL2389" s="2" t="s">
        <v>629</v>
      </c>
      <c r="AM2389" s="4">
        <v>216</v>
      </c>
      <c r="AN2389" s="4">
        <v>216</v>
      </c>
      <c r="AO2389" s="7">
        <v>0</v>
      </c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/>
      <c r="BJ2389" s="4">
        <v>182</v>
      </c>
      <c r="BK2389" s="8">
        <v>36052.51</v>
      </c>
      <c r="BL2389" s="2" t="s">
        <v>8482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2526</v>
      </c>
      <c r="BV2389" s="2" t="s">
        <v>97</v>
      </c>
      <c r="BW2389" s="2" t="s">
        <v>100</v>
      </c>
      <c r="BX2389" s="2" t="s">
        <v>100</v>
      </c>
      <c r="BY2389" s="2" t="s">
        <v>112</v>
      </c>
      <c r="BZ2389" s="2" t="s">
        <v>100</v>
      </c>
    </row>
    <row r="2390">
      <c r="A2390" s="2" t="s">
        <v>8483</v>
      </c>
      <c r="B2390" s="2" t="s">
        <v>6747</v>
      </c>
      <c r="C2390" s="2" t="s">
        <v>3196</v>
      </c>
      <c r="D2390" s="2" t="s">
        <v>7035</v>
      </c>
      <c r="E2390" s="2" t="s">
        <v>7036</v>
      </c>
      <c r="F2390" s="2" t="s">
        <v>8478</v>
      </c>
      <c r="G2390" s="2" t="s">
        <v>8478</v>
      </c>
      <c r="H2390" s="2" t="s">
        <v>8478</v>
      </c>
      <c r="I2390" s="2" t="s">
        <v>8471</v>
      </c>
      <c r="J2390" s="2" t="s">
        <v>8479</v>
      </c>
      <c r="K2390" s="2" t="s">
        <v>987</v>
      </c>
      <c r="L2390" s="3">
        <v>214.2</v>
      </c>
      <c r="M2390" s="3">
        <v>224.91</v>
      </c>
      <c r="N2390" s="3">
        <v>449</v>
      </c>
      <c r="O2390" s="2" t="s">
        <v>97</v>
      </c>
      <c r="P2390" s="2" t="s">
        <v>139</v>
      </c>
      <c r="Q2390" s="2" t="s">
        <v>99</v>
      </c>
      <c r="R2390" s="2" t="s">
        <v>100</v>
      </c>
      <c r="S2390" s="2" t="s">
        <v>100</v>
      </c>
      <c r="T2390" s="2" t="s">
        <v>100</v>
      </c>
      <c r="U2390" s="2" t="s">
        <v>894</v>
      </c>
      <c r="V2390" s="2" t="s">
        <v>461</v>
      </c>
      <c r="W2390" s="2" t="s">
        <v>104</v>
      </c>
      <c r="X2390" s="2" t="s">
        <v>100</v>
      </c>
      <c r="Y2390" s="2" t="s">
        <v>8484</v>
      </c>
      <c r="Z2390" s="4">
        <v>80</v>
      </c>
      <c r="AA2390" s="4">
        <f>=ROUNDDOWN(9.63855421686747,0)</f>
      </c>
      <c r="AB2390" s="5">
        <v>8.3</v>
      </c>
      <c r="AC2390" s="2" t="s">
        <v>2709</v>
      </c>
      <c r="AD2390" s="4">
        <v>35</v>
      </c>
      <c r="AE2390" s="4">
        <v>325</v>
      </c>
      <c r="AF2390" s="6">
        <v>65</v>
      </c>
      <c r="AG2390" s="6">
        <v>48</v>
      </c>
      <c r="AH2390" s="7">
        <v>1</v>
      </c>
      <c r="AI2390" s="4"/>
      <c r="AJ2390" s="4">
        <f>=ROUNDDOWN({0},0)</f>
      </c>
      <c r="AK2390" s="5"/>
      <c r="AL2390" s="2" t="s">
        <v>2604</v>
      </c>
      <c r="AM2390" s="4">
        <v>216</v>
      </c>
      <c r="AN2390" s="4">
        <v>216</v>
      </c>
      <c r="AO2390" s="7">
        <v>0</v>
      </c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/>
      <c r="BJ2390" s="4">
        <v>125</v>
      </c>
      <c r="BK2390" s="8">
        <v>24753.92</v>
      </c>
      <c r="BL2390" s="2" t="s">
        <v>8485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2526</v>
      </c>
      <c r="BV2390" s="2" t="s">
        <v>97</v>
      </c>
      <c r="BW2390" s="2" t="s">
        <v>100</v>
      </c>
      <c r="BX2390" s="2" t="s">
        <v>100</v>
      </c>
      <c r="BY2390" s="2" t="s">
        <v>112</v>
      </c>
      <c r="BZ2390" s="2" t="s">
        <v>100</v>
      </c>
    </row>
    <row r="2391">
      <c r="A2391" s="2" t="s">
        <v>8486</v>
      </c>
      <c r="B2391" s="2" t="s">
        <v>6747</v>
      </c>
      <c r="C2391" s="2" t="s">
        <v>3196</v>
      </c>
      <c r="D2391" s="2" t="s">
        <v>7035</v>
      </c>
      <c r="E2391" s="2" t="s">
        <v>7036</v>
      </c>
      <c r="F2391" s="2" t="s">
        <v>8478</v>
      </c>
      <c r="G2391" s="2" t="s">
        <v>8478</v>
      </c>
      <c r="H2391" s="2" t="s">
        <v>8478</v>
      </c>
      <c r="I2391" s="2" t="s">
        <v>8471</v>
      </c>
      <c r="J2391" s="2" t="s">
        <v>8479</v>
      </c>
      <c r="K2391" s="2" t="s">
        <v>8487</v>
      </c>
      <c r="L2391" s="3">
        <v>214.2</v>
      </c>
      <c r="M2391" s="3">
        <v>224.91</v>
      </c>
      <c r="N2391" s="3">
        <v>449</v>
      </c>
      <c r="O2391" s="2" t="s">
        <v>97</v>
      </c>
      <c r="P2391" s="2" t="s">
        <v>98</v>
      </c>
      <c r="Q2391" s="2" t="s">
        <v>99</v>
      </c>
      <c r="R2391" s="2" t="s">
        <v>100</v>
      </c>
      <c r="S2391" s="2" t="s">
        <v>100</v>
      </c>
      <c r="T2391" s="2" t="s">
        <v>100</v>
      </c>
      <c r="U2391" s="2" t="s">
        <v>894</v>
      </c>
      <c r="V2391" s="2" t="s">
        <v>461</v>
      </c>
      <c r="W2391" s="2" t="s">
        <v>104</v>
      </c>
      <c r="X2391" s="2" t="s">
        <v>142</v>
      </c>
      <c r="Y2391" s="2" t="s">
        <v>8488</v>
      </c>
      <c r="Z2391" s="4">
        <v>86</v>
      </c>
      <c r="AA2391" s="4">
        <f>=ROUNDDOWN(6.61538461538461,0)</f>
      </c>
      <c r="AB2391" s="5">
        <v>13</v>
      </c>
      <c r="AC2391" s="2" t="s">
        <v>903</v>
      </c>
      <c r="AD2391" s="4">
        <v>180</v>
      </c>
      <c r="AE2391" s="4">
        <v>330</v>
      </c>
      <c r="AF2391" s="6">
        <v>65</v>
      </c>
      <c r="AG2391" s="6">
        <v>48</v>
      </c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/>
      <c r="BJ2391" s="4">
        <v>42</v>
      </c>
      <c r="BK2391" s="8">
        <v>8900.44</v>
      </c>
      <c r="BL2391" s="2" t="s">
        <v>7099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2526</v>
      </c>
      <c r="BV2391" s="2" t="s">
        <v>97</v>
      </c>
      <c r="BW2391" s="2" t="s">
        <v>100</v>
      </c>
      <c r="BX2391" s="2" t="s">
        <v>100</v>
      </c>
      <c r="BY2391" s="2" t="s">
        <v>112</v>
      </c>
      <c r="BZ2391" s="2" t="s">
        <v>100</v>
      </c>
    </row>
    <row r="2392">
      <c r="A2392" s="2" t="s">
        <v>8489</v>
      </c>
      <c r="B2392" s="2" t="s">
        <v>6747</v>
      </c>
      <c r="C2392" s="2" t="s">
        <v>3196</v>
      </c>
      <c r="D2392" s="2" t="s">
        <v>7104</v>
      </c>
      <c r="E2392" s="2" t="s">
        <v>7105</v>
      </c>
      <c r="F2392" s="2" t="s">
        <v>8466</v>
      </c>
      <c r="G2392" s="2" t="s">
        <v>8466</v>
      </c>
      <c r="H2392" s="2" t="s">
        <v>8466</v>
      </c>
      <c r="I2392" s="2" t="s">
        <v>8490</v>
      </c>
      <c r="J2392" s="2" t="s">
        <v>3385</v>
      </c>
      <c r="K2392" s="2" t="s">
        <v>8451</v>
      </c>
      <c r="L2392" s="3">
        <v>218.5</v>
      </c>
      <c r="M2392" s="3">
        <v>229.42</v>
      </c>
      <c r="N2392" s="3">
        <v>459</v>
      </c>
      <c r="O2392" s="2" t="s">
        <v>97</v>
      </c>
      <c r="P2392" s="2" t="s">
        <v>98</v>
      </c>
      <c r="Q2392" s="2" t="s">
        <v>99</v>
      </c>
      <c r="R2392" s="2" t="s">
        <v>100</v>
      </c>
      <c r="S2392" s="2" t="s">
        <v>100</v>
      </c>
      <c r="T2392" s="2" t="s">
        <v>100</v>
      </c>
      <c r="U2392" s="2" t="s">
        <v>1776</v>
      </c>
      <c r="V2392" s="2" t="s">
        <v>461</v>
      </c>
      <c r="W2392" s="2" t="s">
        <v>104</v>
      </c>
      <c r="X2392" s="2" t="s">
        <v>142</v>
      </c>
      <c r="Y2392" s="2" t="s">
        <v>2652</v>
      </c>
      <c r="Z2392" s="4">
        <v>212</v>
      </c>
      <c r="AA2392" s="4">
        <f>=ROUNDDOWN(106,0)</f>
      </c>
      <c r="AB2392" s="5">
        <v>2</v>
      </c>
      <c r="AC2392" s="2" t="s">
        <v>100</v>
      </c>
      <c r="AD2392" s="4"/>
      <c r="AE2392" s="4"/>
      <c r="AF2392" s="6">
        <v>74</v>
      </c>
      <c r="AG2392" s="6">
        <v>60</v>
      </c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/>
      <c r="BJ2392" s="4">
        <v>25</v>
      </c>
      <c r="BK2392" s="8">
        <v>5428.24</v>
      </c>
      <c r="BL2392" s="2" t="s">
        <v>8491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2526</v>
      </c>
      <c r="BV2392" s="2" t="s">
        <v>97</v>
      </c>
      <c r="BW2392" s="2" t="s">
        <v>100</v>
      </c>
      <c r="BX2392" s="2" t="s">
        <v>100</v>
      </c>
      <c r="BY2392" s="2" t="s">
        <v>112</v>
      </c>
      <c r="BZ2392" s="2" t="s">
        <v>100</v>
      </c>
    </row>
    <row r="2393">
      <c r="A2393" s="2" t="s">
        <v>8492</v>
      </c>
      <c r="B2393" s="2" t="s">
        <v>6747</v>
      </c>
      <c r="C2393" s="2" t="s">
        <v>3196</v>
      </c>
      <c r="D2393" s="2" t="s">
        <v>7104</v>
      </c>
      <c r="E2393" s="2" t="s">
        <v>7105</v>
      </c>
      <c r="F2393" s="2" t="s">
        <v>8466</v>
      </c>
      <c r="G2393" s="2" t="s">
        <v>8466</v>
      </c>
      <c r="H2393" s="2" t="s">
        <v>8466</v>
      </c>
      <c r="I2393" s="2" t="s">
        <v>8490</v>
      </c>
      <c r="J2393" s="2" t="s">
        <v>3385</v>
      </c>
      <c r="K2393" s="2" t="s">
        <v>96</v>
      </c>
      <c r="L2393" s="3">
        <v>218.5</v>
      </c>
      <c r="M2393" s="3">
        <v>229.42</v>
      </c>
      <c r="N2393" s="3">
        <v>459</v>
      </c>
      <c r="O2393" s="2" t="s">
        <v>97</v>
      </c>
      <c r="P2393" s="2" t="s">
        <v>98</v>
      </c>
      <c r="Q2393" s="2" t="s">
        <v>99</v>
      </c>
      <c r="R2393" s="2" t="s">
        <v>100</v>
      </c>
      <c r="S2393" s="2" t="s">
        <v>8493</v>
      </c>
      <c r="T2393" s="2" t="s">
        <v>100</v>
      </c>
      <c r="U2393" s="2" t="s">
        <v>100</v>
      </c>
      <c r="V2393" s="2" t="s">
        <v>461</v>
      </c>
      <c r="W2393" s="2" t="s">
        <v>104</v>
      </c>
      <c r="X2393" s="2" t="s">
        <v>100</v>
      </c>
      <c r="Y2393" s="2" t="s">
        <v>1695</v>
      </c>
      <c r="Z2393" s="4">
        <v>147</v>
      </c>
      <c r="AA2393" s="4">
        <f>=ROUNDDOWN(18.375,0)</f>
      </c>
      <c r="AB2393" s="5">
        <v>8</v>
      </c>
      <c r="AC2393" s="2" t="s">
        <v>1468</v>
      </c>
      <c r="AD2393" s="4">
        <v>150</v>
      </c>
      <c r="AE2393" s="4">
        <v>150</v>
      </c>
      <c r="AF2393" s="6">
        <v>74</v>
      </c>
      <c r="AG2393" s="6">
        <v>60</v>
      </c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/>
      <c r="BJ2393" s="4">
        <v>45</v>
      </c>
      <c r="BK2393" s="8">
        <v>8720.82</v>
      </c>
      <c r="BL2393" s="2" t="s">
        <v>8494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2526</v>
      </c>
      <c r="BV2393" s="2" t="s">
        <v>97</v>
      </c>
      <c r="BW2393" s="2" t="s">
        <v>100</v>
      </c>
      <c r="BX2393" s="2" t="s">
        <v>100</v>
      </c>
      <c r="BY2393" s="2" t="s">
        <v>112</v>
      </c>
      <c r="BZ2393" s="2" t="s">
        <v>100</v>
      </c>
    </row>
    <row r="2394">
      <c r="A2394" s="2" t="s">
        <v>8495</v>
      </c>
      <c r="B2394" s="2" t="s">
        <v>6747</v>
      </c>
      <c r="C2394" s="2" t="s">
        <v>3196</v>
      </c>
      <c r="D2394" s="2" t="s">
        <v>8496</v>
      </c>
      <c r="E2394" s="2" t="s">
        <v>8497</v>
      </c>
      <c r="F2394" s="2" t="s">
        <v>350</v>
      </c>
      <c r="G2394" s="2" t="s">
        <v>100</v>
      </c>
      <c r="H2394" s="2" t="s">
        <v>100</v>
      </c>
      <c r="I2394" s="2" t="s">
        <v>8498</v>
      </c>
      <c r="J2394" s="2" t="s">
        <v>3385</v>
      </c>
      <c r="K2394" s="2" t="s">
        <v>8499</v>
      </c>
      <c r="L2394" s="3">
        <v>362.09</v>
      </c>
      <c r="M2394" s="3">
        <v>380.19</v>
      </c>
      <c r="N2394" s="3">
        <v>759</v>
      </c>
      <c r="O2394" s="2" t="s">
        <v>97</v>
      </c>
      <c r="P2394" s="2" t="s">
        <v>139</v>
      </c>
      <c r="Q2394" s="2" t="s">
        <v>99</v>
      </c>
      <c r="R2394" s="2" t="s">
        <v>100</v>
      </c>
      <c r="S2394" s="2" t="s">
        <v>8500</v>
      </c>
      <c r="T2394" s="2" t="s">
        <v>100</v>
      </c>
      <c r="U2394" s="2" t="s">
        <v>100</v>
      </c>
      <c r="V2394" s="2" t="s">
        <v>461</v>
      </c>
      <c r="W2394" s="2" t="s">
        <v>142</v>
      </c>
      <c r="X2394" s="2" t="s">
        <v>100</v>
      </c>
      <c r="Y2394" s="2" t="s">
        <v>1483</v>
      </c>
      <c r="Z2394" s="4">
        <v>156</v>
      </c>
      <c r="AA2394" s="4">
        <f>=ROUNDDOWN(4.72727272727273,0)</f>
      </c>
      <c r="AB2394" s="5">
        <v>33</v>
      </c>
      <c r="AC2394" s="2" t="s">
        <v>783</v>
      </c>
      <c r="AD2394" s="4">
        <v>100</v>
      </c>
      <c r="AE2394" s="4">
        <v>1015</v>
      </c>
      <c r="AF2394" s="6">
        <v>74</v>
      </c>
      <c r="AG2394" s="6">
        <v>60</v>
      </c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/>
      <c r="BD2394" s="8"/>
      <c r="BE2394" s="4"/>
      <c r="BF2394" s="8"/>
      <c r="BG2394" s="7"/>
      <c r="BH2394" s="7"/>
      <c r="BI2394" s="7"/>
      <c r="BJ2394" s="4">
        <v>77</v>
      </c>
      <c r="BK2394" s="8">
        <v>28551.67</v>
      </c>
      <c r="BL2394" s="2" t="s">
        <v>7050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2526</v>
      </c>
      <c r="BV2394" s="2" t="s">
        <v>97</v>
      </c>
      <c r="BW2394" s="2" t="s">
        <v>100</v>
      </c>
      <c r="BX2394" s="2" t="s">
        <v>100</v>
      </c>
      <c r="BY2394" s="2" t="s">
        <v>112</v>
      </c>
      <c r="BZ2394" s="2" t="s">
        <v>100</v>
      </c>
    </row>
    <row r="2395">
      <c r="A2395" s="2" t="s">
        <v>8501</v>
      </c>
      <c r="B2395" s="2" t="s">
        <v>6747</v>
      </c>
      <c r="C2395" s="2" t="s">
        <v>3196</v>
      </c>
      <c r="D2395" s="2" t="s">
        <v>7162</v>
      </c>
      <c r="E2395" s="2" t="s">
        <v>7163</v>
      </c>
      <c r="F2395" s="2" t="s">
        <v>8449</v>
      </c>
      <c r="G2395" s="2" t="s">
        <v>8449</v>
      </c>
      <c r="H2395" s="2" t="s">
        <v>8449</v>
      </c>
      <c r="I2395" s="2" t="s">
        <v>7163</v>
      </c>
      <c r="J2395" s="2" t="s">
        <v>3385</v>
      </c>
      <c r="K2395" s="2" t="s">
        <v>8451</v>
      </c>
      <c r="L2395" s="3">
        <v>109.25</v>
      </c>
      <c r="M2395" s="3">
        <v>114.71</v>
      </c>
      <c r="N2395" s="3">
        <v>229</v>
      </c>
      <c r="O2395" s="2" t="s">
        <v>97</v>
      </c>
      <c r="P2395" s="2" t="s">
        <v>139</v>
      </c>
      <c r="Q2395" s="2" t="s">
        <v>99</v>
      </c>
      <c r="R2395" s="2" t="s">
        <v>100</v>
      </c>
      <c r="S2395" s="2" t="s">
        <v>100</v>
      </c>
      <c r="T2395" s="2" t="s">
        <v>100</v>
      </c>
      <c r="U2395" s="2" t="s">
        <v>1776</v>
      </c>
      <c r="V2395" s="2" t="s">
        <v>461</v>
      </c>
      <c r="W2395" s="2" t="s">
        <v>104</v>
      </c>
      <c r="X2395" s="2" t="s">
        <v>594</v>
      </c>
      <c r="Y2395" s="2" t="s">
        <v>8455</v>
      </c>
      <c r="Z2395" s="4">
        <v>408</v>
      </c>
      <c r="AA2395" s="4">
        <f>=ROUNDDOWN(4.16326530612245,0)</f>
      </c>
      <c r="AB2395" s="5">
        <v>98</v>
      </c>
      <c r="AC2395" s="2" t="s">
        <v>2581</v>
      </c>
      <c r="AD2395" s="4">
        <v>336</v>
      </c>
      <c r="AE2395" s="4">
        <v>2790</v>
      </c>
      <c r="AF2395" s="6">
        <v>74</v>
      </c>
      <c r="AG2395" s="6">
        <v>60</v>
      </c>
      <c r="AH2395" s="7">
        <v>0.129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/>
      <c r="BJ2395" s="4">
        <v>82</v>
      </c>
      <c r="BK2395" s="8">
        <v>9198.37</v>
      </c>
      <c r="BL2395" s="2" t="s">
        <v>2807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2526</v>
      </c>
      <c r="BV2395" s="2" t="s">
        <v>97</v>
      </c>
      <c r="BW2395" s="2" t="s">
        <v>100</v>
      </c>
      <c r="BX2395" s="2" t="s">
        <v>100</v>
      </c>
      <c r="BY2395" s="2" t="s">
        <v>112</v>
      </c>
      <c r="BZ2395" s="2" t="s">
        <v>100</v>
      </c>
    </row>
    <row r="2396">
      <c r="A2396" s="2" t="s">
        <v>8502</v>
      </c>
      <c r="B2396" s="2" t="s">
        <v>6747</v>
      </c>
      <c r="C2396" s="2" t="s">
        <v>3196</v>
      </c>
      <c r="D2396" s="2" t="s">
        <v>7162</v>
      </c>
      <c r="E2396" s="2" t="s">
        <v>7163</v>
      </c>
      <c r="F2396" s="2" t="s">
        <v>8449</v>
      </c>
      <c r="G2396" s="2" t="s">
        <v>8449</v>
      </c>
      <c r="H2396" s="2" t="s">
        <v>8449</v>
      </c>
      <c r="I2396" s="2" t="s">
        <v>7163</v>
      </c>
      <c r="J2396" s="2" t="s">
        <v>3385</v>
      </c>
      <c r="K2396" s="2" t="s">
        <v>8454</v>
      </c>
      <c r="L2396" s="3">
        <v>109.25</v>
      </c>
      <c r="M2396" s="3">
        <v>114.71</v>
      </c>
      <c r="N2396" s="3">
        <v>229</v>
      </c>
      <c r="O2396" s="2" t="s">
        <v>97</v>
      </c>
      <c r="P2396" s="2" t="s">
        <v>139</v>
      </c>
      <c r="Q2396" s="2" t="s">
        <v>99</v>
      </c>
      <c r="R2396" s="2" t="s">
        <v>100</v>
      </c>
      <c r="S2396" s="2" t="s">
        <v>8503</v>
      </c>
      <c r="T2396" s="2" t="s">
        <v>100</v>
      </c>
      <c r="U2396" s="2" t="s">
        <v>100</v>
      </c>
      <c r="V2396" s="2" t="s">
        <v>461</v>
      </c>
      <c r="W2396" s="2" t="s">
        <v>104</v>
      </c>
      <c r="X2396" s="2" t="s">
        <v>594</v>
      </c>
      <c r="Y2396" s="2" t="s">
        <v>144</v>
      </c>
      <c r="Z2396" s="4"/>
      <c r="AA2396" s="4">
        <f>=ROUNDDOWN({0},0)</f>
      </c>
      <c r="AB2396" s="5">
        <v>143</v>
      </c>
      <c r="AC2396" s="2" t="s">
        <v>2581</v>
      </c>
      <c r="AD2396" s="4">
        <v>415</v>
      </c>
      <c r="AE2396" s="4">
        <v>4395</v>
      </c>
      <c r="AF2396" s="6">
        <v>74</v>
      </c>
      <c r="AG2396" s="6">
        <v>60</v>
      </c>
      <c r="AH2396" s="7">
        <v>0.9677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/>
      <c r="BJ2396" s="4">
        <v>537</v>
      </c>
      <c r="BK2396" s="8">
        <v>57831.62</v>
      </c>
      <c r="BL2396" s="2" t="s">
        <v>8504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2526</v>
      </c>
      <c r="BV2396" s="2" t="s">
        <v>97</v>
      </c>
      <c r="BW2396" s="2" t="s">
        <v>100</v>
      </c>
      <c r="BX2396" s="2" t="s">
        <v>100</v>
      </c>
      <c r="BY2396" s="2" t="s">
        <v>112</v>
      </c>
      <c r="BZ2396" s="2" t="s">
        <v>100</v>
      </c>
    </row>
    <row r="2397">
      <c r="A2397" s="2" t="s">
        <v>8505</v>
      </c>
      <c r="B2397" s="2" t="s">
        <v>6747</v>
      </c>
      <c r="C2397" s="2" t="s">
        <v>3196</v>
      </c>
      <c r="D2397" s="2" t="s">
        <v>7162</v>
      </c>
      <c r="E2397" s="2" t="s">
        <v>7163</v>
      </c>
      <c r="F2397" s="2" t="s">
        <v>350</v>
      </c>
      <c r="G2397" s="2" t="s">
        <v>350</v>
      </c>
      <c r="H2397" s="2" t="s">
        <v>350</v>
      </c>
      <c r="I2397" s="2" t="s">
        <v>8506</v>
      </c>
      <c r="J2397" s="2" t="s">
        <v>3385</v>
      </c>
      <c r="K2397" s="2" t="s">
        <v>8499</v>
      </c>
      <c r="L2397" s="3">
        <v>178.17</v>
      </c>
      <c r="M2397" s="3">
        <v>187.08</v>
      </c>
      <c r="N2397" s="3">
        <v>379</v>
      </c>
      <c r="O2397" s="2" t="s">
        <v>97</v>
      </c>
      <c r="P2397" s="2" t="s">
        <v>139</v>
      </c>
      <c r="Q2397" s="2" t="s">
        <v>99</v>
      </c>
      <c r="R2397" s="2" t="s">
        <v>100</v>
      </c>
      <c r="S2397" s="2" t="s">
        <v>100</v>
      </c>
      <c r="T2397" s="2" t="s">
        <v>100</v>
      </c>
      <c r="U2397" s="2" t="s">
        <v>100</v>
      </c>
      <c r="V2397" s="2" t="s">
        <v>461</v>
      </c>
      <c r="W2397" s="2" t="s">
        <v>104</v>
      </c>
      <c r="X2397" s="2" t="s">
        <v>100</v>
      </c>
      <c r="Y2397" s="2" t="s">
        <v>8507</v>
      </c>
      <c r="Z2397" s="4">
        <v>528</v>
      </c>
      <c r="AA2397" s="4">
        <f>=ROUNDDOWN(18.2068965517241,0)</f>
      </c>
      <c r="AB2397" s="5">
        <v>29</v>
      </c>
      <c r="AC2397" s="2" t="s">
        <v>7033</v>
      </c>
      <c r="AD2397" s="4">
        <v>100</v>
      </c>
      <c r="AE2397" s="4">
        <v>100</v>
      </c>
      <c r="AF2397" s="6">
        <v>74</v>
      </c>
      <c r="AG2397" s="6">
        <v>60</v>
      </c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100</v>
      </c>
      <c r="AW2397" s="8" t="s">
        <v>100</v>
      </c>
      <c r="AX2397" s="4" t="s">
        <v>100</v>
      </c>
      <c r="AY2397" s="8" t="s">
        <v>100</v>
      </c>
      <c r="AZ2397" s="7" t="s">
        <v>100</v>
      </c>
      <c r="BA2397" s="7" t="s">
        <v>100</v>
      </c>
      <c r="BB2397" s="7" t="s">
        <v>100</v>
      </c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/>
      <c r="BJ2397" s="4">
        <v>92</v>
      </c>
      <c r="BK2397" s="8">
        <v>17011.41</v>
      </c>
      <c r="BL2397" s="2" t="s">
        <v>3146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2526</v>
      </c>
      <c r="BV2397" s="2" t="s">
        <v>97</v>
      </c>
      <c r="BW2397" s="2" t="s">
        <v>100</v>
      </c>
      <c r="BX2397" s="2" t="s">
        <v>100</v>
      </c>
      <c r="BY2397" s="2" t="s">
        <v>112</v>
      </c>
      <c r="BZ2397" s="2" t="s">
        <v>100</v>
      </c>
    </row>
    <row r="2398">
      <c r="A2398" s="2" t="s">
        <v>8508</v>
      </c>
      <c r="B2398" s="2" t="s">
        <v>6747</v>
      </c>
      <c r="C2398" s="2" t="s">
        <v>3196</v>
      </c>
      <c r="D2398" s="2" t="s">
        <v>7162</v>
      </c>
      <c r="E2398" s="2" t="s">
        <v>7163</v>
      </c>
      <c r="F2398" s="2" t="s">
        <v>350</v>
      </c>
      <c r="G2398" s="2" t="s">
        <v>350</v>
      </c>
      <c r="H2398" s="2" t="s">
        <v>350</v>
      </c>
      <c r="I2398" s="2" t="s">
        <v>7163</v>
      </c>
      <c r="J2398" s="2" t="s">
        <v>3385</v>
      </c>
      <c r="K2398" s="2" t="s">
        <v>8499</v>
      </c>
      <c r="L2398" s="3">
        <v>178.17</v>
      </c>
      <c r="M2398" s="3">
        <v>187.08</v>
      </c>
      <c r="N2398" s="3">
        <v>379</v>
      </c>
      <c r="O2398" s="2" t="s">
        <v>97</v>
      </c>
      <c r="P2398" s="2" t="s">
        <v>98</v>
      </c>
      <c r="Q2398" s="2" t="s">
        <v>99</v>
      </c>
      <c r="R2398" s="2" t="s">
        <v>100</v>
      </c>
      <c r="S2398" s="2" t="s">
        <v>8509</v>
      </c>
      <c r="T2398" s="2" t="s">
        <v>100</v>
      </c>
      <c r="U2398" s="2" t="s">
        <v>100</v>
      </c>
      <c r="V2398" s="2" t="s">
        <v>461</v>
      </c>
      <c r="W2398" s="2" t="s">
        <v>142</v>
      </c>
      <c r="X2398" s="2" t="s">
        <v>100</v>
      </c>
      <c r="Y2398" s="2" t="s">
        <v>144</v>
      </c>
      <c r="Z2398" s="4">
        <v>135</v>
      </c>
      <c r="AA2398" s="4">
        <f>=ROUNDDOWN(12.2727272727273,0)</f>
      </c>
      <c r="AB2398" s="5">
        <v>11</v>
      </c>
      <c r="AC2398" s="2" t="s">
        <v>2709</v>
      </c>
      <c r="AD2398" s="4">
        <v>90</v>
      </c>
      <c r="AE2398" s="4">
        <v>300</v>
      </c>
      <c r="AF2398" s="6">
        <v>74</v>
      </c>
      <c r="AG2398" s="6">
        <v>60</v>
      </c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100</v>
      </c>
      <c r="AW2398" s="8" t="s">
        <v>100</v>
      </c>
      <c r="AX2398" s="4" t="s">
        <v>100</v>
      </c>
      <c r="AY2398" s="8" t="s">
        <v>100</v>
      </c>
      <c r="AZ2398" s="7" t="s">
        <v>100</v>
      </c>
      <c r="BA2398" s="7" t="s">
        <v>100</v>
      </c>
      <c r="BB2398" s="7" t="s">
        <v>100</v>
      </c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/>
      <c r="BJ2398" s="4">
        <v>18</v>
      </c>
      <c r="BK2398" s="8">
        <v>3288.46</v>
      </c>
      <c r="BL2398" s="2" t="s">
        <v>8510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2526</v>
      </c>
      <c r="BV2398" s="2" t="s">
        <v>97</v>
      </c>
      <c r="BW2398" s="2" t="s">
        <v>100</v>
      </c>
      <c r="BX2398" s="2" t="s">
        <v>100</v>
      </c>
      <c r="BY2398" s="2" t="s">
        <v>112</v>
      </c>
      <c r="BZ2398" s="2" t="s">
        <v>100</v>
      </c>
    </row>
    <row r="2399">
      <c r="A2399" s="2" t="s">
        <v>8511</v>
      </c>
      <c r="B2399" s="2" t="s">
        <v>6747</v>
      </c>
      <c r="C2399" s="2" t="s">
        <v>3196</v>
      </c>
      <c r="D2399" s="2" t="s">
        <v>7179</v>
      </c>
      <c r="E2399" s="2" t="s">
        <v>7180</v>
      </c>
      <c r="F2399" s="2" t="s">
        <v>8512</v>
      </c>
      <c r="G2399" s="2" t="s">
        <v>8512</v>
      </c>
      <c r="H2399" s="2" t="s">
        <v>100</v>
      </c>
      <c r="I2399" s="2" t="s">
        <v>7180</v>
      </c>
      <c r="J2399" s="2" t="s">
        <v>3385</v>
      </c>
      <c r="K2399" s="2" t="s">
        <v>8513</v>
      </c>
      <c r="L2399" s="3">
        <v>310</v>
      </c>
      <c r="M2399" s="3">
        <v>325.5</v>
      </c>
      <c r="N2399" s="3">
        <v>649</v>
      </c>
      <c r="O2399" s="2" t="s">
        <v>97</v>
      </c>
      <c r="P2399" s="2" t="s">
        <v>98</v>
      </c>
      <c r="Q2399" s="2" t="s">
        <v>99</v>
      </c>
      <c r="R2399" s="2" t="s">
        <v>100</v>
      </c>
      <c r="S2399" s="2" t="s">
        <v>8514</v>
      </c>
      <c r="T2399" s="2" t="s">
        <v>100</v>
      </c>
      <c r="U2399" s="2" t="s">
        <v>100</v>
      </c>
      <c r="V2399" s="2" t="s">
        <v>461</v>
      </c>
      <c r="W2399" s="2" t="s">
        <v>104</v>
      </c>
      <c r="X2399" s="2" t="s">
        <v>100</v>
      </c>
      <c r="Y2399" s="2" t="s">
        <v>1978</v>
      </c>
      <c r="Z2399" s="4">
        <v>184</v>
      </c>
      <c r="AA2399" s="4">
        <f>=ROUNDDOWN(30.6666666666667,0)</f>
      </c>
      <c r="AB2399" s="5">
        <v>6</v>
      </c>
      <c r="AC2399" s="2" t="s">
        <v>100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/>
      <c r="BD2399" s="8"/>
      <c r="BE2399" s="4"/>
      <c r="BF2399" s="8"/>
      <c r="BG2399" s="7"/>
      <c r="BH2399" s="7"/>
      <c r="BI2399" s="7"/>
      <c r="BJ2399" s="4">
        <v>20</v>
      </c>
      <c r="BK2399" s="8">
        <v>5773.28</v>
      </c>
      <c r="BL2399" s="2" t="s">
        <v>8515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2526</v>
      </c>
      <c r="BV2399" s="2" t="s">
        <v>97</v>
      </c>
      <c r="BW2399" s="2" t="s">
        <v>100</v>
      </c>
      <c r="BX2399" s="2" t="s">
        <v>100</v>
      </c>
      <c r="BY2399" s="2" t="s">
        <v>112</v>
      </c>
      <c r="BZ2399" s="2" t="s">
        <v>100</v>
      </c>
    </row>
    <row r="2400">
      <c r="A2400" s="2" t="s">
        <v>8516</v>
      </c>
      <c r="B2400" s="2" t="s">
        <v>6747</v>
      </c>
      <c r="C2400" s="2" t="s">
        <v>3196</v>
      </c>
      <c r="D2400" s="2" t="s">
        <v>7179</v>
      </c>
      <c r="E2400" s="2" t="s">
        <v>7180</v>
      </c>
      <c r="F2400" s="2" t="s">
        <v>8517</v>
      </c>
      <c r="G2400" s="2" t="s">
        <v>8517</v>
      </c>
      <c r="H2400" s="2" t="s">
        <v>8517</v>
      </c>
      <c r="I2400" s="2" t="s">
        <v>8518</v>
      </c>
      <c r="J2400" s="2" t="s">
        <v>3385</v>
      </c>
      <c r="K2400" s="2" t="s">
        <v>3543</v>
      </c>
      <c r="L2400" s="3">
        <v>172.43</v>
      </c>
      <c r="M2400" s="3">
        <v>181.05</v>
      </c>
      <c r="N2400" s="3">
        <v>359</v>
      </c>
      <c r="O2400" s="2" t="s">
        <v>97</v>
      </c>
      <c r="P2400" s="2" t="s">
        <v>123</v>
      </c>
      <c r="Q2400" s="2" t="s">
        <v>99</v>
      </c>
      <c r="R2400" s="2" t="s">
        <v>100</v>
      </c>
      <c r="S2400" s="2" t="s">
        <v>8519</v>
      </c>
      <c r="T2400" s="2" t="s">
        <v>100</v>
      </c>
      <c r="U2400" s="2" t="s">
        <v>100</v>
      </c>
      <c r="V2400" s="2" t="s">
        <v>461</v>
      </c>
      <c r="W2400" s="2" t="s">
        <v>493</v>
      </c>
      <c r="X2400" s="2" t="s">
        <v>100</v>
      </c>
      <c r="Y2400" s="2" t="s">
        <v>144</v>
      </c>
      <c r="Z2400" s="4">
        <v>255</v>
      </c>
      <c r="AA2400" s="4">
        <f>=ROUNDDOWN(14.1666666666667,0)</f>
      </c>
      <c r="AB2400" s="5">
        <v>18</v>
      </c>
      <c r="AC2400" s="2" t="s">
        <v>2772</v>
      </c>
      <c r="AD2400" s="4">
        <v>140</v>
      </c>
      <c r="AE2400" s="4">
        <v>360</v>
      </c>
      <c r="AF2400" s="6">
        <v>65</v>
      </c>
      <c r="AG2400" s="6">
        <v>48</v>
      </c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/>
      <c r="BD2400" s="8"/>
      <c r="BE2400" s="4"/>
      <c r="BF2400" s="8"/>
      <c r="BG2400" s="7"/>
      <c r="BH2400" s="7"/>
      <c r="BI2400" s="7"/>
      <c r="BJ2400" s="4">
        <v>58</v>
      </c>
      <c r="BK2400" s="8">
        <v>10176.06</v>
      </c>
      <c r="BL2400" s="2" t="s">
        <v>8520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2526</v>
      </c>
      <c r="BV2400" s="2" t="s">
        <v>97</v>
      </c>
      <c r="BW2400" s="2" t="s">
        <v>100</v>
      </c>
      <c r="BX2400" s="2" t="s">
        <v>100</v>
      </c>
      <c r="BY2400" s="2" t="s">
        <v>112</v>
      </c>
      <c r="BZ2400" s="2" t="s">
        <v>100</v>
      </c>
    </row>
    <row r="2401">
      <c r="A2401" s="2" t="s">
        <v>8521</v>
      </c>
      <c r="B2401" s="2" t="s">
        <v>6747</v>
      </c>
      <c r="C2401" s="2" t="s">
        <v>3196</v>
      </c>
      <c r="D2401" s="2" t="s">
        <v>7179</v>
      </c>
      <c r="E2401" s="2" t="s">
        <v>7204</v>
      </c>
      <c r="F2401" s="2" t="s">
        <v>8512</v>
      </c>
      <c r="G2401" s="2" t="s">
        <v>8512</v>
      </c>
      <c r="H2401" s="2" t="s">
        <v>100</v>
      </c>
      <c r="I2401" s="2" t="s">
        <v>7204</v>
      </c>
      <c r="J2401" s="2" t="s">
        <v>3385</v>
      </c>
      <c r="K2401" s="2" t="s">
        <v>8513</v>
      </c>
      <c r="L2401" s="3">
        <v>240</v>
      </c>
      <c r="M2401" s="3">
        <v>252</v>
      </c>
      <c r="N2401" s="3">
        <v>499</v>
      </c>
      <c r="O2401" s="2" t="s">
        <v>97</v>
      </c>
      <c r="P2401" s="2" t="s">
        <v>98</v>
      </c>
      <c r="Q2401" s="2" t="s">
        <v>99</v>
      </c>
      <c r="R2401" s="2" t="s">
        <v>100</v>
      </c>
      <c r="S2401" s="2" t="s">
        <v>8522</v>
      </c>
      <c r="T2401" s="2" t="s">
        <v>100</v>
      </c>
      <c r="U2401" s="2" t="s">
        <v>100</v>
      </c>
      <c r="V2401" s="2" t="s">
        <v>461</v>
      </c>
      <c r="W2401" s="2" t="s">
        <v>104</v>
      </c>
      <c r="X2401" s="2" t="s">
        <v>100</v>
      </c>
      <c r="Y2401" s="2" t="s">
        <v>1935</v>
      </c>
      <c r="Z2401" s="4">
        <v>176</v>
      </c>
      <c r="AA2401" s="4">
        <f>=ROUNDDOWN(29.3333333333333,0)</f>
      </c>
      <c r="AB2401" s="5">
        <v>6</v>
      </c>
      <c r="AC2401" s="2" t="s">
        <v>5741</v>
      </c>
      <c r="AD2401" s="4">
        <v>100</v>
      </c>
      <c r="AE2401" s="4">
        <v>100</v>
      </c>
      <c r="AF2401" s="6">
        <v>65</v>
      </c>
      <c r="AG2401" s="6">
        <v>48</v>
      </c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/>
      <c r="BD2401" s="8"/>
      <c r="BE2401" s="4"/>
      <c r="BF2401" s="8"/>
      <c r="BG2401" s="7"/>
      <c r="BH2401" s="7"/>
      <c r="BI2401" s="7"/>
      <c r="BJ2401" s="4">
        <v>14</v>
      </c>
      <c r="BK2401" s="8">
        <v>3270.56</v>
      </c>
      <c r="BL2401" s="2" t="s">
        <v>8523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2526</v>
      </c>
      <c r="BV2401" s="2" t="s">
        <v>97</v>
      </c>
      <c r="BW2401" s="2" t="s">
        <v>100</v>
      </c>
      <c r="BX2401" s="2" t="s">
        <v>100</v>
      </c>
      <c r="BY2401" s="2" t="s">
        <v>112</v>
      </c>
      <c r="BZ2401" s="2" t="s">
        <v>100</v>
      </c>
    </row>
    <row r="2402">
      <c r="A2402" s="2" t="s">
        <v>8524</v>
      </c>
      <c r="B2402" s="2" t="s">
        <v>6747</v>
      </c>
      <c r="C2402" s="2" t="s">
        <v>3196</v>
      </c>
      <c r="D2402" s="2" t="s">
        <v>7179</v>
      </c>
      <c r="E2402" s="2" t="s">
        <v>6932</v>
      </c>
      <c r="F2402" s="2" t="s">
        <v>8512</v>
      </c>
      <c r="G2402" s="2" t="s">
        <v>8512</v>
      </c>
      <c r="H2402" s="2" t="s">
        <v>100</v>
      </c>
      <c r="I2402" s="2" t="s">
        <v>6932</v>
      </c>
      <c r="J2402" s="2" t="s">
        <v>3385</v>
      </c>
      <c r="K2402" s="2" t="s">
        <v>8513</v>
      </c>
      <c r="L2402" s="3">
        <v>190</v>
      </c>
      <c r="M2402" s="3">
        <v>199.5</v>
      </c>
      <c r="N2402" s="3">
        <v>399</v>
      </c>
      <c r="O2402" s="2" t="s">
        <v>97</v>
      </c>
      <c r="P2402" s="2" t="s">
        <v>98</v>
      </c>
      <c r="Q2402" s="2" t="s">
        <v>99</v>
      </c>
      <c r="R2402" s="2" t="s">
        <v>100</v>
      </c>
      <c r="S2402" s="2" t="s">
        <v>8525</v>
      </c>
      <c r="T2402" s="2" t="s">
        <v>100</v>
      </c>
      <c r="U2402" s="2" t="s">
        <v>100</v>
      </c>
      <c r="V2402" s="2" t="s">
        <v>461</v>
      </c>
      <c r="W2402" s="2" t="s">
        <v>104</v>
      </c>
      <c r="X2402" s="2" t="s">
        <v>100</v>
      </c>
      <c r="Y2402" s="2" t="s">
        <v>1935</v>
      </c>
      <c r="Z2402" s="4">
        <v>145</v>
      </c>
      <c r="AA2402" s="4">
        <f>=ROUNDDOWN(18.125,0)</f>
      </c>
      <c r="AB2402" s="5">
        <v>8</v>
      </c>
      <c r="AC2402" s="2" t="s">
        <v>2772</v>
      </c>
      <c r="AD2402" s="4">
        <v>120</v>
      </c>
      <c r="AE2402" s="4">
        <v>120</v>
      </c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/>
      <c r="BD2402" s="8"/>
      <c r="BE2402" s="4"/>
      <c r="BF2402" s="8"/>
      <c r="BG2402" s="7"/>
      <c r="BH2402" s="7"/>
      <c r="BI2402" s="7"/>
      <c r="BJ2402" s="4">
        <v>14</v>
      </c>
      <c r="BK2402" s="8">
        <v>2627.04</v>
      </c>
      <c r="BL2402" s="2" t="s">
        <v>8526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2526</v>
      </c>
      <c r="BV2402" s="2" t="s">
        <v>97</v>
      </c>
      <c r="BW2402" s="2" t="s">
        <v>100</v>
      </c>
      <c r="BX2402" s="2" t="s">
        <v>100</v>
      </c>
      <c r="BY2402" s="2" t="s">
        <v>112</v>
      </c>
      <c r="BZ2402" s="2" t="s">
        <v>100</v>
      </c>
    </row>
    <row r="2403">
      <c r="A2403" s="2" t="s">
        <v>8527</v>
      </c>
      <c r="B2403" s="2" t="s">
        <v>6747</v>
      </c>
      <c r="C2403" s="2" t="s">
        <v>3950</v>
      </c>
      <c r="D2403" s="2" t="s">
        <v>6748</v>
      </c>
      <c r="E2403" s="2" t="s">
        <v>6749</v>
      </c>
      <c r="F2403" s="2" t="s">
        <v>8528</v>
      </c>
      <c r="G2403" s="2" t="s">
        <v>8528</v>
      </c>
      <c r="H2403" s="2" t="s">
        <v>8529</v>
      </c>
      <c r="I2403" s="2" t="s">
        <v>8530</v>
      </c>
      <c r="J2403" s="2" t="s">
        <v>3385</v>
      </c>
      <c r="K2403" s="2" t="s">
        <v>4488</v>
      </c>
      <c r="L2403" s="3">
        <v>119.7</v>
      </c>
      <c r="M2403" s="3">
        <v>125.68</v>
      </c>
      <c r="N2403" s="3">
        <v>249</v>
      </c>
      <c r="O2403" s="2" t="s">
        <v>97</v>
      </c>
      <c r="P2403" s="2" t="s">
        <v>98</v>
      </c>
      <c r="Q2403" s="2" t="s">
        <v>99</v>
      </c>
      <c r="R2403" s="2" t="s">
        <v>100</v>
      </c>
      <c r="S2403" s="2" t="s">
        <v>100</v>
      </c>
      <c r="T2403" s="2" t="s">
        <v>100</v>
      </c>
      <c r="U2403" s="2" t="s">
        <v>1776</v>
      </c>
      <c r="V2403" s="2" t="s">
        <v>3412</v>
      </c>
      <c r="W2403" s="2" t="s">
        <v>142</v>
      </c>
      <c r="X2403" s="2" t="s">
        <v>3979</v>
      </c>
      <c r="Y2403" s="2" t="s">
        <v>2689</v>
      </c>
      <c r="Z2403" s="4">
        <v>92</v>
      </c>
      <c r="AA2403" s="4">
        <f>=ROUNDDOWN(9.2,0)</f>
      </c>
      <c r="AB2403" s="5">
        <v>10</v>
      </c>
      <c r="AC2403" s="2" t="s">
        <v>7318</v>
      </c>
      <c r="AD2403" s="4">
        <v>34</v>
      </c>
      <c r="AE2403" s="4">
        <v>210</v>
      </c>
      <c r="AF2403" s="6">
        <v>76</v>
      </c>
      <c r="AG2403" s="6">
        <v>67</v>
      </c>
      <c r="AH2403" s="7">
        <v>0.5161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/>
      <c r="BD2403" s="8"/>
      <c r="BE2403" s="4"/>
      <c r="BF2403" s="8"/>
      <c r="BG2403" s="7"/>
      <c r="BH2403" s="7"/>
      <c r="BI2403" s="7"/>
      <c r="BJ2403" s="4">
        <v>25</v>
      </c>
      <c r="BK2403" s="8">
        <v>3289.68</v>
      </c>
      <c r="BL2403" s="2" t="s">
        <v>8421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2551</v>
      </c>
      <c r="BV2403" s="2" t="s">
        <v>97</v>
      </c>
      <c r="BW2403" s="2" t="s">
        <v>100</v>
      </c>
      <c r="BX2403" s="2" t="s">
        <v>100</v>
      </c>
      <c r="BY2403" s="2" t="s">
        <v>112</v>
      </c>
      <c r="BZ2403" s="2" t="s">
        <v>100</v>
      </c>
    </row>
    <row r="2404">
      <c r="A2404" s="2" t="s">
        <v>8531</v>
      </c>
      <c r="B2404" s="2" t="s">
        <v>6747</v>
      </c>
      <c r="C2404" s="2" t="s">
        <v>3950</v>
      </c>
      <c r="D2404" s="2" t="s">
        <v>6748</v>
      </c>
      <c r="E2404" s="2" t="s">
        <v>6749</v>
      </c>
      <c r="F2404" s="2" t="s">
        <v>8532</v>
      </c>
      <c r="G2404" s="2" t="s">
        <v>8532</v>
      </c>
      <c r="H2404" s="2" t="s">
        <v>8532</v>
      </c>
      <c r="I2404" s="2" t="s">
        <v>8533</v>
      </c>
      <c r="J2404" s="2" t="s">
        <v>3385</v>
      </c>
      <c r="K2404" s="2" t="s">
        <v>1373</v>
      </c>
      <c r="L2404" s="3">
        <v>140.25</v>
      </c>
      <c r="M2404" s="3">
        <v>147.26</v>
      </c>
      <c r="N2404" s="3">
        <v>299</v>
      </c>
      <c r="O2404" s="2" t="s">
        <v>97</v>
      </c>
      <c r="P2404" s="2" t="s">
        <v>707</v>
      </c>
      <c r="Q2404" s="2" t="s">
        <v>99</v>
      </c>
      <c r="R2404" s="2" t="s">
        <v>100</v>
      </c>
      <c r="S2404" s="2" t="s">
        <v>100</v>
      </c>
      <c r="T2404" s="2" t="s">
        <v>100</v>
      </c>
      <c r="U2404" s="2" t="s">
        <v>1776</v>
      </c>
      <c r="V2404" s="2" t="s">
        <v>3412</v>
      </c>
      <c r="W2404" s="2" t="s">
        <v>100</v>
      </c>
      <c r="X2404" s="2" t="s">
        <v>3979</v>
      </c>
      <c r="Y2404" s="2" t="s">
        <v>8534</v>
      </c>
      <c r="Z2404" s="4">
        <v>22</v>
      </c>
      <c r="AA2404" s="4">
        <f>=ROUNDDOWN(8.14814814814815,0)</f>
      </c>
      <c r="AB2404" s="5">
        <v>2.7</v>
      </c>
      <c r="AC2404" s="2" t="s">
        <v>3024</v>
      </c>
      <c r="AD2404" s="4">
        <v>100</v>
      </c>
      <c r="AE2404" s="4">
        <v>100</v>
      </c>
      <c r="AF2404" s="6">
        <v>74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/>
      <c r="BD2404" s="8"/>
      <c r="BE2404" s="4"/>
      <c r="BF2404" s="8"/>
      <c r="BG2404" s="7"/>
      <c r="BH2404" s="7"/>
      <c r="BI2404" s="7"/>
      <c r="BJ2404" s="4">
        <v>14</v>
      </c>
      <c r="BK2404" s="8">
        <v>2245.84</v>
      </c>
      <c r="BL2404" s="2" t="s">
        <v>8535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2526</v>
      </c>
      <c r="BV2404" s="2" t="s">
        <v>97</v>
      </c>
      <c r="BW2404" s="2" t="s">
        <v>100</v>
      </c>
      <c r="BX2404" s="2" t="s">
        <v>100</v>
      </c>
      <c r="BY2404" s="2" t="s">
        <v>112</v>
      </c>
      <c r="BZ2404" s="2" t="s">
        <v>100</v>
      </c>
    </row>
    <row r="2405">
      <c r="A2405" s="2" t="s">
        <v>8536</v>
      </c>
      <c r="B2405" s="2" t="s">
        <v>6747</v>
      </c>
      <c r="C2405" s="2" t="s">
        <v>3950</v>
      </c>
      <c r="D2405" s="2" t="s">
        <v>6748</v>
      </c>
      <c r="E2405" s="2" t="s">
        <v>6749</v>
      </c>
      <c r="F2405" s="2" t="s">
        <v>8537</v>
      </c>
      <c r="G2405" s="2" t="s">
        <v>8537</v>
      </c>
      <c r="H2405" s="2" t="s">
        <v>8537</v>
      </c>
      <c r="I2405" s="2" t="s">
        <v>7241</v>
      </c>
      <c r="J2405" s="2" t="s">
        <v>3385</v>
      </c>
      <c r="K2405" s="2" t="s">
        <v>4488</v>
      </c>
      <c r="L2405" s="3">
        <v>119</v>
      </c>
      <c r="M2405" s="3">
        <v>124.95</v>
      </c>
      <c r="N2405" s="3">
        <v>249</v>
      </c>
      <c r="O2405" s="2" t="s">
        <v>97</v>
      </c>
      <c r="P2405" s="2" t="s">
        <v>707</v>
      </c>
      <c r="Q2405" s="2" t="s">
        <v>99</v>
      </c>
      <c r="R2405" s="2" t="s">
        <v>100</v>
      </c>
      <c r="S2405" s="2" t="s">
        <v>100</v>
      </c>
      <c r="T2405" s="2" t="s">
        <v>100</v>
      </c>
      <c r="U2405" s="2" t="s">
        <v>1776</v>
      </c>
      <c r="V2405" s="2" t="s">
        <v>461</v>
      </c>
      <c r="W2405" s="2" t="s">
        <v>493</v>
      </c>
      <c r="X2405" s="2" t="s">
        <v>3953</v>
      </c>
      <c r="Y2405" s="2" t="s">
        <v>2689</v>
      </c>
      <c r="Z2405" s="4">
        <v>39</v>
      </c>
      <c r="AA2405" s="4">
        <f>=ROUNDDOWN(9.75,0)</f>
      </c>
      <c r="AB2405" s="5">
        <v>4</v>
      </c>
      <c r="AC2405" s="2" t="s">
        <v>262</v>
      </c>
      <c r="AD2405" s="4">
        <v>36</v>
      </c>
      <c r="AE2405" s="4">
        <v>136</v>
      </c>
      <c r="AF2405" s="6">
        <v>76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/>
      <c r="BD2405" s="8"/>
      <c r="BE2405" s="4"/>
      <c r="BF2405" s="8"/>
      <c r="BG2405" s="7"/>
      <c r="BH2405" s="7"/>
      <c r="BI2405" s="7"/>
      <c r="BJ2405" s="4">
        <v>17</v>
      </c>
      <c r="BK2405" s="8">
        <v>2295.57</v>
      </c>
      <c r="BL2405" s="2" t="s">
        <v>2613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2526</v>
      </c>
      <c r="BV2405" s="2" t="s">
        <v>97</v>
      </c>
      <c r="BW2405" s="2" t="s">
        <v>100</v>
      </c>
      <c r="BX2405" s="2" t="s">
        <v>100</v>
      </c>
      <c r="BY2405" s="2" t="s">
        <v>112</v>
      </c>
      <c r="BZ2405" s="2" t="s">
        <v>100</v>
      </c>
    </row>
    <row r="2406">
      <c r="A2406" s="2" t="s">
        <v>8538</v>
      </c>
      <c r="B2406" s="2" t="s">
        <v>6747</v>
      </c>
      <c r="C2406" s="2" t="s">
        <v>3950</v>
      </c>
      <c r="D2406" s="2" t="s">
        <v>6748</v>
      </c>
      <c r="E2406" s="2" t="s">
        <v>6765</v>
      </c>
      <c r="F2406" s="2" t="s">
        <v>8539</v>
      </c>
      <c r="G2406" s="2" t="s">
        <v>8539</v>
      </c>
      <c r="H2406" s="2" t="s">
        <v>8539</v>
      </c>
      <c r="I2406" s="2" t="s">
        <v>7259</v>
      </c>
      <c r="J2406" s="2" t="s">
        <v>3385</v>
      </c>
      <c r="K2406" s="2" t="s">
        <v>7938</v>
      </c>
      <c r="L2406" s="3">
        <v>171</v>
      </c>
      <c r="M2406" s="3">
        <v>179.55</v>
      </c>
      <c r="N2406" s="3">
        <v>359</v>
      </c>
      <c r="O2406" s="2" t="s">
        <v>97</v>
      </c>
      <c r="P2406" s="2" t="s">
        <v>707</v>
      </c>
      <c r="Q2406" s="2" t="s">
        <v>99</v>
      </c>
      <c r="R2406" s="2" t="s">
        <v>100</v>
      </c>
      <c r="S2406" s="2" t="s">
        <v>100</v>
      </c>
      <c r="T2406" s="2" t="s">
        <v>100</v>
      </c>
      <c r="U2406" s="2" t="s">
        <v>1776</v>
      </c>
      <c r="V2406" s="2" t="s">
        <v>367</v>
      </c>
      <c r="W2406" s="2" t="s">
        <v>594</v>
      </c>
      <c r="X2406" s="2" t="s">
        <v>3979</v>
      </c>
      <c r="Y2406" s="2" t="s">
        <v>6161</v>
      </c>
      <c r="Z2406" s="4">
        <v>90</v>
      </c>
      <c r="AA2406" s="4">
        <f>=ROUNDDOWN(31.0344827586207,0)</f>
      </c>
      <c r="AB2406" s="5">
        <v>2.9</v>
      </c>
      <c r="AC2406" s="2" t="s">
        <v>100</v>
      </c>
      <c r="AD2406" s="4"/>
      <c r="AE2406" s="4"/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/>
      <c r="BD2406" s="8"/>
      <c r="BE2406" s="4"/>
      <c r="BF2406" s="8"/>
      <c r="BG2406" s="7"/>
      <c r="BH2406" s="7"/>
      <c r="BI2406" s="7"/>
      <c r="BJ2406" s="4">
        <v>13</v>
      </c>
      <c r="BK2406" s="8">
        <v>2221.96</v>
      </c>
      <c r="BL2406" s="2" t="s">
        <v>3201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2526</v>
      </c>
      <c r="BV2406" s="2" t="s">
        <v>97</v>
      </c>
      <c r="BW2406" s="2" t="s">
        <v>100</v>
      </c>
      <c r="BX2406" s="2" t="s">
        <v>100</v>
      </c>
      <c r="BY2406" s="2" t="s">
        <v>112</v>
      </c>
      <c r="BZ2406" s="2" t="s">
        <v>100</v>
      </c>
    </row>
    <row r="2407">
      <c r="A2407" s="2" t="s">
        <v>8540</v>
      </c>
      <c r="B2407" s="2" t="s">
        <v>6747</v>
      </c>
      <c r="C2407" s="2" t="s">
        <v>3950</v>
      </c>
      <c r="D2407" s="2" t="s">
        <v>6748</v>
      </c>
      <c r="E2407" s="2" t="s">
        <v>6765</v>
      </c>
      <c r="F2407" s="2" t="s">
        <v>681</v>
      </c>
      <c r="G2407" s="2" t="s">
        <v>681</v>
      </c>
      <c r="H2407" s="2" t="s">
        <v>681</v>
      </c>
      <c r="I2407" s="2" t="s">
        <v>6751</v>
      </c>
      <c r="J2407" s="2" t="s">
        <v>3385</v>
      </c>
      <c r="K2407" s="2" t="s">
        <v>446</v>
      </c>
      <c r="L2407" s="3">
        <v>190</v>
      </c>
      <c r="M2407" s="3">
        <v>199.5</v>
      </c>
      <c r="N2407" s="3">
        <v>399</v>
      </c>
      <c r="O2407" s="2" t="s">
        <v>97</v>
      </c>
      <c r="P2407" s="2" t="s">
        <v>98</v>
      </c>
      <c r="Q2407" s="2" t="s">
        <v>99</v>
      </c>
      <c r="R2407" s="2" t="s">
        <v>100</v>
      </c>
      <c r="S2407" s="2" t="s">
        <v>100</v>
      </c>
      <c r="T2407" s="2" t="s">
        <v>100</v>
      </c>
      <c r="U2407" s="2" t="s">
        <v>1776</v>
      </c>
      <c r="V2407" s="2" t="s">
        <v>461</v>
      </c>
      <c r="W2407" s="2" t="s">
        <v>594</v>
      </c>
      <c r="X2407" s="2" t="s">
        <v>3979</v>
      </c>
      <c r="Y2407" s="2" t="s">
        <v>8541</v>
      </c>
      <c r="Z2407" s="4">
        <v>62</v>
      </c>
      <c r="AA2407" s="4">
        <f>=ROUNDDOWN(12.4,0)</f>
      </c>
      <c r="AB2407" s="5">
        <v>5</v>
      </c>
      <c r="AC2407" s="2" t="s">
        <v>2772</v>
      </c>
      <c r="AD2407" s="4">
        <v>100</v>
      </c>
      <c r="AE2407" s="4">
        <v>100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/>
      <c r="BD2407" s="8"/>
      <c r="BE2407" s="4"/>
      <c r="BF2407" s="8"/>
      <c r="BG2407" s="7"/>
      <c r="BH2407" s="7"/>
      <c r="BI2407" s="7"/>
      <c r="BJ2407" s="4">
        <v>9</v>
      </c>
      <c r="BK2407" s="8">
        <v>1778.42</v>
      </c>
      <c r="BL2407" s="2" t="s">
        <v>6909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2551</v>
      </c>
      <c r="BV2407" s="2" t="s">
        <v>97</v>
      </c>
      <c r="BW2407" s="2" t="s">
        <v>100</v>
      </c>
      <c r="BX2407" s="2" t="s">
        <v>100</v>
      </c>
      <c r="BY2407" s="2" t="s">
        <v>112</v>
      </c>
      <c r="BZ2407" s="2" t="s">
        <v>100</v>
      </c>
    </row>
    <row r="2408">
      <c r="A2408" s="2" t="s">
        <v>8542</v>
      </c>
      <c r="B2408" s="2" t="s">
        <v>6747</v>
      </c>
      <c r="C2408" s="2" t="s">
        <v>3950</v>
      </c>
      <c r="D2408" s="2" t="s">
        <v>6789</v>
      </c>
      <c r="E2408" s="2" t="s">
        <v>6796</v>
      </c>
      <c r="F2408" s="2" t="s">
        <v>8543</v>
      </c>
      <c r="G2408" s="2" t="s">
        <v>8543</v>
      </c>
      <c r="H2408" s="2" t="s">
        <v>8543</v>
      </c>
      <c r="I2408" s="2" t="s">
        <v>6790</v>
      </c>
      <c r="J2408" s="2" t="s">
        <v>3385</v>
      </c>
      <c r="K2408" s="2" t="s">
        <v>446</v>
      </c>
      <c r="L2408" s="3">
        <v>238</v>
      </c>
      <c r="M2408" s="3">
        <v>249.9</v>
      </c>
      <c r="N2408" s="3">
        <v>499</v>
      </c>
      <c r="O2408" s="2" t="s">
        <v>97</v>
      </c>
      <c r="P2408" s="2" t="s">
        <v>98</v>
      </c>
      <c r="Q2408" s="2" t="s">
        <v>99</v>
      </c>
      <c r="R2408" s="2" t="s">
        <v>100</v>
      </c>
      <c r="S2408" s="2" t="s">
        <v>100</v>
      </c>
      <c r="T2408" s="2" t="s">
        <v>100</v>
      </c>
      <c r="U2408" s="2" t="s">
        <v>1776</v>
      </c>
      <c r="V2408" s="2" t="s">
        <v>3412</v>
      </c>
      <c r="W2408" s="2" t="s">
        <v>8544</v>
      </c>
      <c r="X2408" s="2" t="s">
        <v>104</v>
      </c>
      <c r="Y2408" s="2" t="s">
        <v>7191</v>
      </c>
      <c r="Z2408" s="4">
        <v>3</v>
      </c>
      <c r="AA2408" s="4">
        <f>=ROUNDDOWN(0.25,0)</f>
      </c>
      <c r="AB2408" s="5">
        <v>12</v>
      </c>
      <c r="AC2408" s="2" t="s">
        <v>8545</v>
      </c>
      <c r="AD2408" s="4">
        <v>100</v>
      </c>
      <c r="AE2408" s="4">
        <v>250</v>
      </c>
      <c r="AF2408" s="6">
        <v>65</v>
      </c>
      <c r="AG2408" s="6"/>
      <c r="AH2408" s="7">
        <v>0.9032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/>
      <c r="BD2408" s="8"/>
      <c r="BE2408" s="4"/>
      <c r="BF2408" s="8"/>
      <c r="BG2408" s="7"/>
      <c r="BH2408" s="7"/>
      <c r="BI2408" s="7"/>
      <c r="BJ2408" s="4">
        <v>41</v>
      </c>
      <c r="BK2408" s="8">
        <v>10812.4</v>
      </c>
      <c r="BL2408" s="2" t="s">
        <v>6909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2551</v>
      </c>
      <c r="BV2408" s="2" t="s">
        <v>97</v>
      </c>
      <c r="BW2408" s="2" t="s">
        <v>100</v>
      </c>
      <c r="BX2408" s="2" t="s">
        <v>100</v>
      </c>
      <c r="BY2408" s="2" t="s">
        <v>112</v>
      </c>
      <c r="BZ2408" s="2" t="s">
        <v>100</v>
      </c>
    </row>
    <row r="2409">
      <c r="A2409" s="2" t="s">
        <v>8546</v>
      </c>
      <c r="B2409" s="2" t="s">
        <v>6747</v>
      </c>
      <c r="C2409" s="2" t="s">
        <v>3950</v>
      </c>
      <c r="D2409" s="2" t="s">
        <v>6789</v>
      </c>
      <c r="E2409" s="2" t="s">
        <v>6800</v>
      </c>
      <c r="F2409" s="2" t="s">
        <v>4685</v>
      </c>
      <c r="G2409" s="2" t="s">
        <v>4685</v>
      </c>
      <c r="H2409" s="2" t="s">
        <v>4685</v>
      </c>
      <c r="I2409" s="2" t="s">
        <v>8547</v>
      </c>
      <c r="J2409" s="2" t="s">
        <v>3385</v>
      </c>
      <c r="K2409" s="2" t="s">
        <v>179</v>
      </c>
      <c r="L2409" s="3">
        <v>247.5</v>
      </c>
      <c r="M2409" s="3">
        <v>259.88</v>
      </c>
      <c r="N2409" s="3">
        <v>519</v>
      </c>
      <c r="O2409" s="2" t="s">
        <v>97</v>
      </c>
      <c r="P2409" s="2" t="s">
        <v>98</v>
      </c>
      <c r="Q2409" s="2" t="s">
        <v>99</v>
      </c>
      <c r="R2409" s="2" t="s">
        <v>100</v>
      </c>
      <c r="S2409" s="2" t="s">
        <v>100</v>
      </c>
      <c r="T2409" s="2" t="s">
        <v>100</v>
      </c>
      <c r="U2409" s="2" t="s">
        <v>1776</v>
      </c>
      <c r="V2409" s="2" t="s">
        <v>461</v>
      </c>
      <c r="W2409" s="2" t="s">
        <v>493</v>
      </c>
      <c r="X2409" s="2" t="s">
        <v>3953</v>
      </c>
      <c r="Y2409" s="2" t="s">
        <v>8548</v>
      </c>
      <c r="Z2409" s="4">
        <v>108</v>
      </c>
      <c r="AA2409" s="4">
        <f>=ROUNDDOWN(27.6923076923077,0)</f>
      </c>
      <c r="AB2409" s="5">
        <v>3.9</v>
      </c>
      <c r="AC2409" s="2" t="s">
        <v>100</v>
      </c>
      <c r="AD2409" s="4"/>
      <c r="AE2409" s="4"/>
      <c r="AF2409" s="6">
        <v>66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/>
      <c r="BJ2409" s="4">
        <v>19</v>
      </c>
      <c r="BK2409" s="8">
        <v>4463.4</v>
      </c>
      <c r="BL2409" s="2" t="s">
        <v>8549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2551</v>
      </c>
      <c r="BV2409" s="2" t="s">
        <v>97</v>
      </c>
      <c r="BW2409" s="2" t="s">
        <v>100</v>
      </c>
      <c r="BX2409" s="2" t="s">
        <v>100</v>
      </c>
      <c r="BY2409" s="2" t="s">
        <v>112</v>
      </c>
      <c r="BZ2409" s="2" t="s">
        <v>100</v>
      </c>
    </row>
    <row r="2410">
      <c r="A2410" s="2" t="s">
        <v>8550</v>
      </c>
      <c r="B2410" s="2" t="s">
        <v>6747</v>
      </c>
      <c r="C2410" s="2" t="s">
        <v>3950</v>
      </c>
      <c r="D2410" s="2" t="s">
        <v>6789</v>
      </c>
      <c r="E2410" s="2" t="s">
        <v>6800</v>
      </c>
      <c r="F2410" s="2" t="s">
        <v>4685</v>
      </c>
      <c r="G2410" s="2" t="s">
        <v>4685</v>
      </c>
      <c r="H2410" s="2" t="s">
        <v>4685</v>
      </c>
      <c r="I2410" s="2" t="s">
        <v>8547</v>
      </c>
      <c r="J2410" s="2" t="s">
        <v>3385</v>
      </c>
      <c r="K2410" s="2" t="s">
        <v>4488</v>
      </c>
      <c r="L2410" s="3">
        <v>247.5</v>
      </c>
      <c r="M2410" s="3">
        <v>259.88</v>
      </c>
      <c r="N2410" s="3">
        <v>519</v>
      </c>
      <c r="O2410" s="2" t="s">
        <v>97</v>
      </c>
      <c r="P2410" s="2" t="s">
        <v>98</v>
      </c>
      <c r="Q2410" s="2" t="s">
        <v>99</v>
      </c>
      <c r="R2410" s="2" t="s">
        <v>100</v>
      </c>
      <c r="S2410" s="2" t="s">
        <v>8551</v>
      </c>
      <c r="T2410" s="2" t="s">
        <v>100</v>
      </c>
      <c r="U2410" s="2" t="s">
        <v>1776</v>
      </c>
      <c r="V2410" s="2" t="s">
        <v>461</v>
      </c>
      <c r="W2410" s="2" t="s">
        <v>1136</v>
      </c>
      <c r="X2410" s="2" t="s">
        <v>3953</v>
      </c>
      <c r="Y2410" s="2" t="s">
        <v>3980</v>
      </c>
      <c r="Z2410" s="4">
        <v>66</v>
      </c>
      <c r="AA2410" s="4">
        <f>=ROUNDDOWN(5.5,0)</f>
      </c>
      <c r="AB2410" s="5">
        <v>12</v>
      </c>
      <c r="AC2410" s="2" t="s">
        <v>824</v>
      </c>
      <c r="AD2410" s="4">
        <v>100</v>
      </c>
      <c r="AE2410" s="4">
        <v>330</v>
      </c>
      <c r="AF2410" s="6">
        <v>66</v>
      </c>
      <c r="AG2410" s="6"/>
      <c r="AH2410" s="7">
        <v>0.9677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/>
      <c r="BJ2410" s="4">
        <v>39</v>
      </c>
      <c r="BK2410" s="8">
        <v>9766.15</v>
      </c>
      <c r="BL2410" s="2" t="s">
        <v>7010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2551</v>
      </c>
      <c r="BV2410" s="2" t="s">
        <v>97</v>
      </c>
      <c r="BW2410" s="2" t="s">
        <v>100</v>
      </c>
      <c r="BX2410" s="2" t="s">
        <v>100</v>
      </c>
      <c r="BY2410" s="2" t="s">
        <v>112</v>
      </c>
      <c r="BZ2410" s="2" t="s">
        <v>100</v>
      </c>
    </row>
    <row r="2411">
      <c r="A2411" s="2" t="s">
        <v>8552</v>
      </c>
      <c r="B2411" s="2" t="s">
        <v>6747</v>
      </c>
      <c r="C2411" s="2" t="s">
        <v>3950</v>
      </c>
      <c r="D2411" s="2" t="s">
        <v>6789</v>
      </c>
      <c r="E2411" s="2" t="s">
        <v>6800</v>
      </c>
      <c r="F2411" s="2" t="s">
        <v>8553</v>
      </c>
      <c r="G2411" s="2" t="s">
        <v>8553</v>
      </c>
      <c r="H2411" s="2" t="s">
        <v>8553</v>
      </c>
      <c r="I2411" s="2" t="s">
        <v>8554</v>
      </c>
      <c r="J2411" s="2" t="s">
        <v>3385</v>
      </c>
      <c r="K2411" s="2" t="s">
        <v>3876</v>
      </c>
      <c r="L2411" s="3">
        <v>286.69</v>
      </c>
      <c r="M2411" s="3">
        <v>301.02</v>
      </c>
      <c r="N2411" s="3">
        <v>599</v>
      </c>
      <c r="O2411" s="2" t="s">
        <v>97</v>
      </c>
      <c r="P2411" s="2" t="s">
        <v>139</v>
      </c>
      <c r="Q2411" s="2" t="s">
        <v>99</v>
      </c>
      <c r="R2411" s="2" t="s">
        <v>100</v>
      </c>
      <c r="S2411" s="2" t="s">
        <v>8555</v>
      </c>
      <c r="T2411" s="2" t="s">
        <v>100</v>
      </c>
      <c r="U2411" s="2" t="s">
        <v>100</v>
      </c>
      <c r="V2411" s="2" t="s">
        <v>461</v>
      </c>
      <c r="W2411" s="2" t="s">
        <v>594</v>
      </c>
      <c r="X2411" s="2" t="s">
        <v>3979</v>
      </c>
      <c r="Y2411" s="2" t="s">
        <v>3661</v>
      </c>
      <c r="Z2411" s="4">
        <v>492</v>
      </c>
      <c r="AA2411" s="4">
        <f>=ROUNDDOWN(25.8947368421053,0)</f>
      </c>
      <c r="AB2411" s="5">
        <v>19</v>
      </c>
      <c r="AC2411" s="2" t="s">
        <v>2008</v>
      </c>
      <c r="AD2411" s="4">
        <v>183</v>
      </c>
      <c r="AE2411" s="4">
        <v>183</v>
      </c>
      <c r="AF2411" s="6">
        <v>65</v>
      </c>
      <c r="AG2411" s="6">
        <v>48</v>
      </c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/>
      <c r="BJ2411" s="4">
        <v>57</v>
      </c>
      <c r="BK2411" s="8">
        <v>14525.5</v>
      </c>
      <c r="BL2411" s="2" t="s">
        <v>8556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2551</v>
      </c>
      <c r="BV2411" s="2" t="s">
        <v>97</v>
      </c>
      <c r="BW2411" s="2" t="s">
        <v>100</v>
      </c>
      <c r="BX2411" s="2" t="s">
        <v>100</v>
      </c>
      <c r="BY2411" s="2" t="s">
        <v>112</v>
      </c>
      <c r="BZ2411" s="2" t="s">
        <v>100</v>
      </c>
    </row>
    <row r="2412">
      <c r="A2412" s="2" t="s">
        <v>8557</v>
      </c>
      <c r="B2412" s="2" t="s">
        <v>6747</v>
      </c>
      <c r="C2412" s="2" t="s">
        <v>3950</v>
      </c>
      <c r="D2412" s="2" t="s">
        <v>6789</v>
      </c>
      <c r="E2412" s="2" t="s">
        <v>6800</v>
      </c>
      <c r="F2412" s="2" t="s">
        <v>8553</v>
      </c>
      <c r="G2412" s="2" t="s">
        <v>8553</v>
      </c>
      <c r="H2412" s="2" t="s">
        <v>8553</v>
      </c>
      <c r="I2412" s="2" t="s">
        <v>6790</v>
      </c>
      <c r="J2412" s="2" t="s">
        <v>3385</v>
      </c>
      <c r="K2412" s="2" t="s">
        <v>4362</v>
      </c>
      <c r="L2412" s="3">
        <v>286.69</v>
      </c>
      <c r="M2412" s="3">
        <v>301.02</v>
      </c>
      <c r="N2412" s="3">
        <v>599</v>
      </c>
      <c r="O2412" s="2" t="s">
        <v>97</v>
      </c>
      <c r="P2412" s="2" t="s">
        <v>98</v>
      </c>
      <c r="Q2412" s="2" t="s">
        <v>99</v>
      </c>
      <c r="R2412" s="2" t="s">
        <v>100</v>
      </c>
      <c r="S2412" s="2" t="s">
        <v>100</v>
      </c>
      <c r="T2412" s="2" t="s">
        <v>100</v>
      </c>
      <c r="U2412" s="2" t="s">
        <v>1776</v>
      </c>
      <c r="V2412" s="2" t="s">
        <v>473</v>
      </c>
      <c r="W2412" s="2" t="s">
        <v>142</v>
      </c>
      <c r="X2412" s="2" t="s">
        <v>3979</v>
      </c>
      <c r="Y2412" s="2" t="s">
        <v>8558</v>
      </c>
      <c r="Z2412" s="4">
        <v>212</v>
      </c>
      <c r="AA2412" s="4">
        <f>=ROUNDDOWN(26.5,0)</f>
      </c>
      <c r="AB2412" s="5">
        <v>8</v>
      </c>
      <c r="AC2412" s="2" t="s">
        <v>875</v>
      </c>
      <c r="AD2412" s="4">
        <v>94</v>
      </c>
      <c r="AE2412" s="4">
        <v>94</v>
      </c>
      <c r="AF2412" s="6">
        <v>65</v>
      </c>
      <c r="AG2412" s="6">
        <v>48</v>
      </c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/>
      <c r="BJ2412" s="4">
        <v>30</v>
      </c>
      <c r="BK2412" s="8">
        <v>8238.57</v>
      </c>
      <c r="BL2412" s="2" t="s">
        <v>7010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2551</v>
      </c>
      <c r="BV2412" s="2" t="s">
        <v>97</v>
      </c>
      <c r="BW2412" s="2" t="s">
        <v>100</v>
      </c>
      <c r="BX2412" s="2" t="s">
        <v>100</v>
      </c>
      <c r="BY2412" s="2" t="s">
        <v>112</v>
      </c>
      <c r="BZ2412" s="2" t="s">
        <v>100</v>
      </c>
    </row>
    <row r="2413">
      <c r="A2413" s="2" t="s">
        <v>8559</v>
      </c>
      <c r="B2413" s="2" t="s">
        <v>6747</v>
      </c>
      <c r="C2413" s="2" t="s">
        <v>3950</v>
      </c>
      <c r="D2413" s="2" t="s">
        <v>6789</v>
      </c>
      <c r="E2413" s="2" t="s">
        <v>6800</v>
      </c>
      <c r="F2413" s="2" t="s">
        <v>681</v>
      </c>
      <c r="G2413" s="2" t="s">
        <v>681</v>
      </c>
      <c r="H2413" s="2" t="s">
        <v>681</v>
      </c>
      <c r="I2413" s="2" t="s">
        <v>8554</v>
      </c>
      <c r="J2413" s="2" t="s">
        <v>3385</v>
      </c>
      <c r="K2413" s="2" t="s">
        <v>3876</v>
      </c>
      <c r="L2413" s="3">
        <v>256.5</v>
      </c>
      <c r="M2413" s="3">
        <v>269.32</v>
      </c>
      <c r="N2413" s="3">
        <v>549</v>
      </c>
      <c r="O2413" s="2" t="s">
        <v>97</v>
      </c>
      <c r="P2413" s="2" t="s">
        <v>98</v>
      </c>
      <c r="Q2413" s="2" t="s">
        <v>99</v>
      </c>
      <c r="R2413" s="2" t="s">
        <v>100</v>
      </c>
      <c r="S2413" s="2" t="s">
        <v>8560</v>
      </c>
      <c r="T2413" s="2" t="s">
        <v>100</v>
      </c>
      <c r="U2413" s="2" t="s">
        <v>1776</v>
      </c>
      <c r="V2413" s="2" t="s">
        <v>3412</v>
      </c>
      <c r="W2413" s="2" t="s">
        <v>594</v>
      </c>
      <c r="X2413" s="2" t="s">
        <v>3979</v>
      </c>
      <c r="Y2413" s="2" t="s">
        <v>8561</v>
      </c>
      <c r="Z2413" s="4">
        <v>53</v>
      </c>
      <c r="AA2413" s="4">
        <f>=ROUNDDOWN(5.88888888888889,0)</f>
      </c>
      <c r="AB2413" s="5">
        <v>9</v>
      </c>
      <c r="AC2413" s="2" t="s">
        <v>2772</v>
      </c>
      <c r="AD2413" s="4">
        <v>199</v>
      </c>
      <c r="AE2413" s="4">
        <v>200</v>
      </c>
      <c r="AF2413" s="6">
        <v>65</v>
      </c>
      <c r="AG2413" s="6">
        <v>48</v>
      </c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/>
      <c r="BJ2413" s="4">
        <v>39</v>
      </c>
      <c r="BK2413" s="8">
        <v>10484.2</v>
      </c>
      <c r="BL2413" s="2" t="s">
        <v>8421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2551</v>
      </c>
      <c r="BV2413" s="2" t="s">
        <v>97</v>
      </c>
      <c r="BW2413" s="2" t="s">
        <v>100</v>
      </c>
      <c r="BX2413" s="2" t="s">
        <v>100</v>
      </c>
      <c r="BY2413" s="2" t="s">
        <v>112</v>
      </c>
      <c r="BZ2413" s="2" t="s">
        <v>100</v>
      </c>
    </row>
    <row r="2414">
      <c r="A2414" s="2" t="s">
        <v>8562</v>
      </c>
      <c r="B2414" s="2" t="s">
        <v>6747</v>
      </c>
      <c r="C2414" s="2" t="s">
        <v>3950</v>
      </c>
      <c r="D2414" s="2" t="s">
        <v>6789</v>
      </c>
      <c r="E2414" s="2" t="s">
        <v>6800</v>
      </c>
      <c r="F2414" s="2" t="s">
        <v>681</v>
      </c>
      <c r="G2414" s="2" t="s">
        <v>681</v>
      </c>
      <c r="H2414" s="2" t="s">
        <v>681</v>
      </c>
      <c r="I2414" s="2" t="s">
        <v>8554</v>
      </c>
      <c r="J2414" s="2" t="s">
        <v>3385</v>
      </c>
      <c r="K2414" s="2" t="s">
        <v>138</v>
      </c>
      <c r="L2414" s="3">
        <v>256.5</v>
      </c>
      <c r="M2414" s="3">
        <v>269.32</v>
      </c>
      <c r="N2414" s="3">
        <v>549</v>
      </c>
      <c r="O2414" s="2" t="s">
        <v>97</v>
      </c>
      <c r="P2414" s="2" t="s">
        <v>707</v>
      </c>
      <c r="Q2414" s="2" t="s">
        <v>99</v>
      </c>
      <c r="R2414" s="2" t="s">
        <v>100</v>
      </c>
      <c r="S2414" s="2" t="s">
        <v>100</v>
      </c>
      <c r="T2414" s="2" t="s">
        <v>100</v>
      </c>
      <c r="U2414" s="2" t="s">
        <v>1776</v>
      </c>
      <c r="V2414" s="2" t="s">
        <v>3412</v>
      </c>
      <c r="W2414" s="2" t="s">
        <v>104</v>
      </c>
      <c r="X2414" s="2" t="s">
        <v>4008</v>
      </c>
      <c r="Y2414" s="2" t="s">
        <v>8563</v>
      </c>
      <c r="Z2414" s="4">
        <v>87</v>
      </c>
      <c r="AA2414" s="4">
        <f>=ROUNDDOWN(43.5,0)</f>
      </c>
      <c r="AB2414" s="5">
        <v>2</v>
      </c>
      <c r="AC2414" s="2" t="s">
        <v>100</v>
      </c>
      <c r="AD2414" s="4"/>
      <c r="AE2414" s="4"/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/>
      <c r="BJ2414" s="4">
        <v>6</v>
      </c>
      <c r="BK2414" s="8">
        <v>1646.53</v>
      </c>
      <c r="BL2414" s="2" t="s">
        <v>8564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2526</v>
      </c>
      <c r="BV2414" s="2" t="s">
        <v>97</v>
      </c>
      <c r="BW2414" s="2" t="s">
        <v>100</v>
      </c>
      <c r="BX2414" s="2" t="s">
        <v>100</v>
      </c>
      <c r="BY2414" s="2" t="s">
        <v>112</v>
      </c>
      <c r="BZ2414" s="2" t="s">
        <v>100</v>
      </c>
    </row>
    <row r="2415">
      <c r="A2415" s="2" t="s">
        <v>8565</v>
      </c>
      <c r="B2415" s="2" t="s">
        <v>6747</v>
      </c>
      <c r="C2415" s="2" t="s">
        <v>3950</v>
      </c>
      <c r="D2415" s="2" t="s">
        <v>6789</v>
      </c>
      <c r="E2415" s="2" t="s">
        <v>6800</v>
      </c>
      <c r="F2415" s="2" t="s">
        <v>681</v>
      </c>
      <c r="G2415" s="2" t="s">
        <v>681</v>
      </c>
      <c r="H2415" s="2" t="s">
        <v>681</v>
      </c>
      <c r="I2415" s="2" t="s">
        <v>8554</v>
      </c>
      <c r="J2415" s="2" t="s">
        <v>3385</v>
      </c>
      <c r="K2415" s="2" t="s">
        <v>446</v>
      </c>
      <c r="L2415" s="3">
        <v>256.5</v>
      </c>
      <c r="M2415" s="3">
        <v>269.32</v>
      </c>
      <c r="N2415" s="3">
        <v>549</v>
      </c>
      <c r="O2415" s="2" t="s">
        <v>97</v>
      </c>
      <c r="P2415" s="2" t="s">
        <v>98</v>
      </c>
      <c r="Q2415" s="2" t="s">
        <v>99</v>
      </c>
      <c r="R2415" s="2" t="s">
        <v>100</v>
      </c>
      <c r="S2415" s="2" t="s">
        <v>100</v>
      </c>
      <c r="T2415" s="2" t="s">
        <v>100</v>
      </c>
      <c r="U2415" s="2" t="s">
        <v>1776</v>
      </c>
      <c r="V2415" s="2" t="s">
        <v>3412</v>
      </c>
      <c r="W2415" s="2" t="s">
        <v>142</v>
      </c>
      <c r="X2415" s="2" t="s">
        <v>3979</v>
      </c>
      <c r="Y2415" s="2" t="s">
        <v>8566</v>
      </c>
      <c r="Z2415" s="4">
        <v>112</v>
      </c>
      <c r="AA2415" s="4">
        <f>=ROUNDDOWN(22.4,0)</f>
      </c>
      <c r="AB2415" s="5">
        <v>5</v>
      </c>
      <c r="AC2415" s="2" t="s">
        <v>3343</v>
      </c>
      <c r="AD2415" s="4">
        <v>98</v>
      </c>
      <c r="AE2415" s="4">
        <v>200</v>
      </c>
      <c r="AF2415" s="6">
        <v>65</v>
      </c>
      <c r="AG2415" s="6">
        <v>48</v>
      </c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/>
      <c r="BJ2415" s="4">
        <v>15</v>
      </c>
      <c r="BK2415" s="8">
        <v>4227.74</v>
      </c>
      <c r="BL2415" s="2" t="s">
        <v>2807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2551</v>
      </c>
      <c r="BV2415" s="2" t="s">
        <v>97</v>
      </c>
      <c r="BW2415" s="2" t="s">
        <v>100</v>
      </c>
      <c r="BX2415" s="2" t="s">
        <v>100</v>
      </c>
      <c r="BY2415" s="2" t="s">
        <v>112</v>
      </c>
      <c r="BZ2415" s="2" t="s">
        <v>100</v>
      </c>
    </row>
    <row r="2416">
      <c r="A2416" s="2" t="s">
        <v>8567</v>
      </c>
      <c r="B2416" s="2" t="s">
        <v>6747</v>
      </c>
      <c r="C2416" s="2" t="s">
        <v>3950</v>
      </c>
      <c r="D2416" s="2" t="s">
        <v>6789</v>
      </c>
      <c r="E2416" s="2" t="s">
        <v>6800</v>
      </c>
      <c r="F2416" s="2" t="s">
        <v>8568</v>
      </c>
      <c r="G2416" s="2" t="s">
        <v>8568</v>
      </c>
      <c r="H2416" s="2" t="s">
        <v>8568</v>
      </c>
      <c r="I2416" s="2" t="s">
        <v>6790</v>
      </c>
      <c r="J2416" s="2" t="s">
        <v>3385</v>
      </c>
      <c r="K2416" s="2" t="s">
        <v>1090</v>
      </c>
      <c r="L2416" s="3">
        <v>175.75</v>
      </c>
      <c r="M2416" s="3">
        <v>184.54</v>
      </c>
      <c r="N2416" s="3">
        <v>369</v>
      </c>
      <c r="O2416" s="2" t="s">
        <v>97</v>
      </c>
      <c r="P2416" s="2" t="s">
        <v>98</v>
      </c>
      <c r="Q2416" s="2" t="s">
        <v>99</v>
      </c>
      <c r="R2416" s="2" t="s">
        <v>100</v>
      </c>
      <c r="S2416" s="2" t="s">
        <v>100</v>
      </c>
      <c r="T2416" s="2" t="s">
        <v>100</v>
      </c>
      <c r="U2416" s="2" t="s">
        <v>1776</v>
      </c>
      <c r="V2416" s="2" t="s">
        <v>461</v>
      </c>
      <c r="W2416" s="2" t="s">
        <v>1136</v>
      </c>
      <c r="X2416" s="2" t="s">
        <v>3953</v>
      </c>
      <c r="Y2416" s="2" t="s">
        <v>8275</v>
      </c>
      <c r="Z2416" s="4">
        <v>295</v>
      </c>
      <c r="AA2416" s="4">
        <f>=ROUNDDOWN(42.1428571428571,0)</f>
      </c>
      <c r="AB2416" s="5">
        <v>7</v>
      </c>
      <c r="AC2416" s="2" t="s">
        <v>676</v>
      </c>
      <c r="AD2416" s="4">
        <v>140</v>
      </c>
      <c r="AE2416" s="4">
        <v>140</v>
      </c>
      <c r="AF2416" s="6">
        <v>66</v>
      </c>
      <c r="AG2416" s="6">
        <v>49</v>
      </c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/>
      <c r="BJ2416" s="4">
        <v>27</v>
      </c>
      <c r="BK2416" s="8">
        <v>4789.63</v>
      </c>
      <c r="BL2416" s="2" t="s">
        <v>8152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2551</v>
      </c>
      <c r="BV2416" s="2" t="s">
        <v>97</v>
      </c>
      <c r="BW2416" s="2" t="s">
        <v>100</v>
      </c>
      <c r="BX2416" s="2" t="s">
        <v>100</v>
      </c>
      <c r="BY2416" s="2" t="s">
        <v>112</v>
      </c>
      <c r="BZ2416" s="2" t="s">
        <v>100</v>
      </c>
    </row>
    <row r="2417">
      <c r="A2417" s="2" t="s">
        <v>8569</v>
      </c>
      <c r="B2417" s="2" t="s">
        <v>6747</v>
      </c>
      <c r="C2417" s="2" t="s">
        <v>3950</v>
      </c>
      <c r="D2417" s="2" t="s">
        <v>6789</v>
      </c>
      <c r="E2417" s="2" t="s">
        <v>6800</v>
      </c>
      <c r="F2417" s="2" t="s">
        <v>8568</v>
      </c>
      <c r="G2417" s="2" t="s">
        <v>8568</v>
      </c>
      <c r="H2417" s="2" t="s">
        <v>8568</v>
      </c>
      <c r="I2417" s="2" t="s">
        <v>6790</v>
      </c>
      <c r="J2417" s="2" t="s">
        <v>3385</v>
      </c>
      <c r="K2417" s="2" t="s">
        <v>673</v>
      </c>
      <c r="L2417" s="3">
        <v>175.75</v>
      </c>
      <c r="M2417" s="3">
        <v>184.54</v>
      </c>
      <c r="N2417" s="3">
        <v>369</v>
      </c>
      <c r="O2417" s="2" t="s">
        <v>97</v>
      </c>
      <c r="P2417" s="2" t="s">
        <v>98</v>
      </c>
      <c r="Q2417" s="2" t="s">
        <v>99</v>
      </c>
      <c r="R2417" s="2" t="s">
        <v>100</v>
      </c>
      <c r="S2417" s="2" t="s">
        <v>100</v>
      </c>
      <c r="T2417" s="2" t="s">
        <v>100</v>
      </c>
      <c r="U2417" s="2" t="s">
        <v>1776</v>
      </c>
      <c r="V2417" s="2" t="s">
        <v>461</v>
      </c>
      <c r="W2417" s="2" t="s">
        <v>3953</v>
      </c>
      <c r="X2417" s="2" t="s">
        <v>1136</v>
      </c>
      <c r="Y2417" s="2" t="s">
        <v>8570</v>
      </c>
      <c r="Z2417" s="4">
        <v>35</v>
      </c>
      <c r="AA2417" s="4">
        <f>=ROUNDDOWN(8.75,0)</f>
      </c>
      <c r="AB2417" s="5">
        <v>4</v>
      </c>
      <c r="AC2417" s="2" t="s">
        <v>676</v>
      </c>
      <c r="AD2417" s="4">
        <v>72</v>
      </c>
      <c r="AE2417" s="4">
        <v>172</v>
      </c>
      <c r="AF2417" s="6">
        <v>66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/>
      <c r="BJ2417" s="4">
        <v>8</v>
      </c>
      <c r="BK2417" s="8">
        <v>1386.61</v>
      </c>
      <c r="BL2417" s="2" t="s">
        <v>2807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2551</v>
      </c>
      <c r="BV2417" s="2" t="s">
        <v>97</v>
      </c>
      <c r="BW2417" s="2" t="s">
        <v>100</v>
      </c>
      <c r="BX2417" s="2" t="s">
        <v>100</v>
      </c>
      <c r="BY2417" s="2" t="s">
        <v>112</v>
      </c>
      <c r="BZ2417" s="2" t="s">
        <v>100</v>
      </c>
    </row>
    <row r="2418">
      <c r="A2418" s="2" t="s">
        <v>8571</v>
      </c>
      <c r="B2418" s="2" t="s">
        <v>6747</v>
      </c>
      <c r="C2418" s="2" t="s">
        <v>3950</v>
      </c>
      <c r="D2418" s="2" t="s">
        <v>6919</v>
      </c>
      <c r="E2418" s="2" t="s">
        <v>6926</v>
      </c>
      <c r="F2418" s="2" t="s">
        <v>8572</v>
      </c>
      <c r="G2418" s="2" t="s">
        <v>8572</v>
      </c>
      <c r="H2418" s="2" t="s">
        <v>8572</v>
      </c>
      <c r="I2418" s="2" t="s">
        <v>6928</v>
      </c>
      <c r="J2418" s="2" t="s">
        <v>3385</v>
      </c>
      <c r="K2418" s="2" t="s">
        <v>8573</v>
      </c>
      <c r="L2418" s="3">
        <v>238.5</v>
      </c>
      <c r="M2418" s="3">
        <v>250.42</v>
      </c>
      <c r="N2418" s="3">
        <v>499</v>
      </c>
      <c r="O2418" s="2" t="s">
        <v>97</v>
      </c>
      <c r="P2418" s="2" t="s">
        <v>707</v>
      </c>
      <c r="Q2418" s="2" t="s">
        <v>99</v>
      </c>
      <c r="R2418" s="2" t="s">
        <v>100</v>
      </c>
      <c r="S2418" s="2" t="s">
        <v>100</v>
      </c>
      <c r="T2418" s="2" t="s">
        <v>100</v>
      </c>
      <c r="U2418" s="2" t="s">
        <v>1776</v>
      </c>
      <c r="V2418" s="2" t="s">
        <v>461</v>
      </c>
      <c r="W2418" s="2" t="s">
        <v>493</v>
      </c>
      <c r="X2418" s="2" t="s">
        <v>3953</v>
      </c>
      <c r="Y2418" s="2" t="s">
        <v>8574</v>
      </c>
      <c r="Z2418" s="4">
        <v>81</v>
      </c>
      <c r="AA2418" s="4">
        <f>=ROUNDDOWN(20.25,0)</f>
      </c>
      <c r="AB2418" s="5">
        <v>4</v>
      </c>
      <c r="AC2418" s="2" t="s">
        <v>783</v>
      </c>
      <c r="AD2418" s="4">
        <v>91</v>
      </c>
      <c r="AE2418" s="4">
        <v>91</v>
      </c>
      <c r="AF2418" s="6">
        <v>74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/>
      <c r="BD2418" s="8"/>
      <c r="BE2418" s="4"/>
      <c r="BF2418" s="8"/>
      <c r="BG2418" s="7"/>
      <c r="BH2418" s="7"/>
      <c r="BI2418" s="7"/>
      <c r="BJ2418" s="4">
        <v>14</v>
      </c>
      <c r="BK2418" s="8">
        <v>3807.53</v>
      </c>
      <c r="BL2418" s="2" t="s">
        <v>8575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2526</v>
      </c>
      <c r="BV2418" s="2" t="s">
        <v>97</v>
      </c>
      <c r="BW2418" s="2" t="s">
        <v>100</v>
      </c>
      <c r="BX2418" s="2" t="s">
        <v>100</v>
      </c>
      <c r="BY2418" s="2" t="s">
        <v>112</v>
      </c>
      <c r="BZ2418" s="2" t="s">
        <v>100</v>
      </c>
    </row>
    <row r="2419">
      <c r="A2419" s="2" t="s">
        <v>8576</v>
      </c>
      <c r="B2419" s="2" t="s">
        <v>6747</v>
      </c>
      <c r="C2419" s="2" t="s">
        <v>3950</v>
      </c>
      <c r="D2419" s="2" t="s">
        <v>8457</v>
      </c>
      <c r="E2419" s="2" t="s">
        <v>8458</v>
      </c>
      <c r="F2419" s="2" t="s">
        <v>8577</v>
      </c>
      <c r="G2419" s="2" t="s">
        <v>8577</v>
      </c>
      <c r="H2419" s="2" t="s">
        <v>8577</v>
      </c>
      <c r="I2419" s="2" t="s">
        <v>8578</v>
      </c>
      <c r="J2419" s="2" t="s">
        <v>3385</v>
      </c>
      <c r="K2419" s="2" t="s">
        <v>8459</v>
      </c>
      <c r="L2419" s="3">
        <v>165</v>
      </c>
      <c r="M2419" s="3">
        <v>173.25</v>
      </c>
      <c r="N2419" s="3">
        <v>349</v>
      </c>
      <c r="O2419" s="2" t="s">
        <v>97</v>
      </c>
      <c r="P2419" s="2" t="s">
        <v>707</v>
      </c>
      <c r="Q2419" s="2" t="s">
        <v>99</v>
      </c>
      <c r="R2419" s="2" t="s">
        <v>100</v>
      </c>
      <c r="S2419" s="2" t="s">
        <v>8579</v>
      </c>
      <c r="T2419" s="2" t="s">
        <v>100</v>
      </c>
      <c r="U2419" s="2" t="s">
        <v>100</v>
      </c>
      <c r="V2419" s="2" t="s">
        <v>3412</v>
      </c>
      <c r="W2419" s="2" t="s">
        <v>1136</v>
      </c>
      <c r="X2419" s="2" t="s">
        <v>3953</v>
      </c>
      <c r="Y2419" s="2" t="s">
        <v>8580</v>
      </c>
      <c r="Z2419" s="4">
        <v>95</v>
      </c>
      <c r="AA2419" s="4">
        <f>=ROUNDDOWN(31.6666666666667,0)</f>
      </c>
      <c r="AB2419" s="5">
        <v>3</v>
      </c>
      <c r="AC2419" s="2" t="s">
        <v>100</v>
      </c>
      <c r="AD2419" s="4"/>
      <c r="AE2419" s="4"/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/>
      <c r="BD2419" s="8"/>
      <c r="BE2419" s="4"/>
      <c r="BF2419" s="8"/>
      <c r="BG2419" s="7"/>
      <c r="BH2419" s="7"/>
      <c r="BI2419" s="7"/>
      <c r="BJ2419" s="4">
        <v>11</v>
      </c>
      <c r="BK2419" s="8">
        <v>2037.13</v>
      </c>
      <c r="BL2419" s="2" t="s">
        <v>7010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2526</v>
      </c>
      <c r="BV2419" s="2" t="s">
        <v>97</v>
      </c>
      <c r="BW2419" s="2" t="s">
        <v>100</v>
      </c>
      <c r="BX2419" s="2" t="s">
        <v>100</v>
      </c>
      <c r="BY2419" s="2" t="s">
        <v>112</v>
      </c>
      <c r="BZ2419" s="2" t="s">
        <v>100</v>
      </c>
    </row>
    <row r="2420">
      <c r="A2420" s="2" t="s">
        <v>8581</v>
      </c>
      <c r="B2420" s="2" t="s">
        <v>6747</v>
      </c>
      <c r="C2420" s="2" t="s">
        <v>3950</v>
      </c>
      <c r="D2420" s="2" t="s">
        <v>6949</v>
      </c>
      <c r="E2420" s="2" t="s">
        <v>6970</v>
      </c>
      <c r="F2420" s="2" t="s">
        <v>8582</v>
      </c>
      <c r="G2420" s="2" t="s">
        <v>8582</v>
      </c>
      <c r="H2420" s="2" t="s">
        <v>8582</v>
      </c>
      <c r="I2420" s="2" t="s">
        <v>8583</v>
      </c>
      <c r="J2420" s="2" t="s">
        <v>3385</v>
      </c>
      <c r="K2420" s="2" t="s">
        <v>523</v>
      </c>
      <c r="L2420" s="3">
        <v>85.05</v>
      </c>
      <c r="M2420" s="3">
        <v>89.3</v>
      </c>
      <c r="N2420" s="3">
        <v>179</v>
      </c>
      <c r="O2420" s="2" t="s">
        <v>97</v>
      </c>
      <c r="P2420" s="2" t="s">
        <v>707</v>
      </c>
      <c r="Q2420" s="2" t="s">
        <v>99</v>
      </c>
      <c r="R2420" s="2" t="s">
        <v>100</v>
      </c>
      <c r="S2420" s="2" t="s">
        <v>100</v>
      </c>
      <c r="T2420" s="2" t="s">
        <v>100</v>
      </c>
      <c r="U2420" s="2" t="s">
        <v>1776</v>
      </c>
      <c r="V2420" s="2" t="s">
        <v>3412</v>
      </c>
      <c r="W2420" s="2" t="s">
        <v>142</v>
      </c>
      <c r="X2420" s="2" t="s">
        <v>3979</v>
      </c>
      <c r="Y2420" s="2" t="s">
        <v>8584</v>
      </c>
      <c r="Z2420" s="4">
        <v>161</v>
      </c>
      <c r="AA2420" s="4">
        <f>=ROUNDDOWN(70,0)</f>
      </c>
      <c r="AB2420" s="5">
        <v>2.3</v>
      </c>
      <c r="AC2420" s="2" t="s">
        <v>100</v>
      </c>
      <c r="AD2420" s="4"/>
      <c r="AE2420" s="4"/>
      <c r="AF2420" s="6">
        <v>74</v>
      </c>
      <c r="AG2420" s="6"/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/>
      <c r="BD2420" s="8"/>
      <c r="BE2420" s="4"/>
      <c r="BF2420" s="8"/>
      <c r="BG2420" s="7"/>
      <c r="BH2420" s="7"/>
      <c r="BI2420" s="7"/>
      <c r="BJ2420" s="4">
        <v>14</v>
      </c>
      <c r="BK2420" s="8">
        <v>1385.96</v>
      </c>
      <c r="BL2420" s="2" t="s">
        <v>5249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2526</v>
      </c>
      <c r="BV2420" s="2" t="s">
        <v>97</v>
      </c>
      <c r="BW2420" s="2" t="s">
        <v>100</v>
      </c>
      <c r="BX2420" s="2" t="s">
        <v>100</v>
      </c>
      <c r="BY2420" s="2" t="s">
        <v>112</v>
      </c>
      <c r="BZ2420" s="2" t="s">
        <v>100</v>
      </c>
    </row>
    <row r="2421">
      <c r="A2421" s="2" t="s">
        <v>8585</v>
      </c>
      <c r="B2421" s="2" t="s">
        <v>6747</v>
      </c>
      <c r="C2421" s="2" t="s">
        <v>3950</v>
      </c>
      <c r="D2421" s="2" t="s">
        <v>6949</v>
      </c>
      <c r="E2421" s="2" t="s">
        <v>6970</v>
      </c>
      <c r="F2421" s="2" t="s">
        <v>2153</v>
      </c>
      <c r="G2421" s="2" t="s">
        <v>2153</v>
      </c>
      <c r="H2421" s="2" t="s">
        <v>2153</v>
      </c>
      <c r="I2421" s="2" t="s">
        <v>8586</v>
      </c>
      <c r="J2421" s="2" t="s">
        <v>3385</v>
      </c>
      <c r="K2421" s="2" t="s">
        <v>179</v>
      </c>
      <c r="L2421" s="3">
        <v>132</v>
      </c>
      <c r="M2421" s="3">
        <v>138.6</v>
      </c>
      <c r="N2421" s="3">
        <v>279</v>
      </c>
      <c r="O2421" s="2" t="s">
        <v>97</v>
      </c>
      <c r="P2421" s="2" t="s">
        <v>707</v>
      </c>
      <c r="Q2421" s="2" t="s">
        <v>99</v>
      </c>
      <c r="R2421" s="2" t="s">
        <v>100</v>
      </c>
      <c r="S2421" s="2" t="s">
        <v>100</v>
      </c>
      <c r="T2421" s="2" t="s">
        <v>100</v>
      </c>
      <c r="U2421" s="2" t="s">
        <v>1776</v>
      </c>
      <c r="V2421" s="2" t="s">
        <v>3412</v>
      </c>
      <c r="W2421" s="2" t="s">
        <v>100</v>
      </c>
      <c r="X2421" s="2" t="s">
        <v>3979</v>
      </c>
      <c r="Y2421" s="2" t="s">
        <v>8587</v>
      </c>
      <c r="Z2421" s="4">
        <v>62</v>
      </c>
      <c r="AA2421" s="4">
        <f>=ROUNDDOWN(10.3333333333333,0)</f>
      </c>
      <c r="AB2421" s="5">
        <v>6</v>
      </c>
      <c r="AC2421" s="2" t="s">
        <v>550</v>
      </c>
      <c r="AD2421" s="4">
        <v>100</v>
      </c>
      <c r="AE2421" s="4">
        <v>200</v>
      </c>
      <c r="AF2421" s="6">
        <v>74</v>
      </c>
      <c r="AG2421" s="6"/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/>
      <c r="BD2421" s="8"/>
      <c r="BE2421" s="4"/>
      <c r="BF2421" s="8"/>
      <c r="BG2421" s="7"/>
      <c r="BH2421" s="7"/>
      <c r="BI2421" s="7"/>
      <c r="BJ2421" s="4">
        <v>11</v>
      </c>
      <c r="BK2421" s="8">
        <v>1711.58</v>
      </c>
      <c r="BL2421" s="2" t="s">
        <v>8588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2526</v>
      </c>
      <c r="BV2421" s="2" t="s">
        <v>97</v>
      </c>
      <c r="BW2421" s="2" t="s">
        <v>100</v>
      </c>
      <c r="BX2421" s="2" t="s">
        <v>100</v>
      </c>
      <c r="BY2421" s="2" t="s">
        <v>112</v>
      </c>
      <c r="BZ2421" s="2" t="s">
        <v>100</v>
      </c>
    </row>
    <row r="2422">
      <c r="A2422" s="2" t="s">
        <v>8589</v>
      </c>
      <c r="B2422" s="2" t="s">
        <v>6747</v>
      </c>
      <c r="C2422" s="2" t="s">
        <v>3950</v>
      </c>
      <c r="D2422" s="2" t="s">
        <v>6949</v>
      </c>
      <c r="E2422" s="2" t="s">
        <v>6970</v>
      </c>
      <c r="F2422" s="2" t="s">
        <v>8047</v>
      </c>
      <c r="G2422" s="2" t="s">
        <v>8047</v>
      </c>
      <c r="H2422" s="2" t="s">
        <v>8047</v>
      </c>
      <c r="I2422" s="2" t="s">
        <v>6970</v>
      </c>
      <c r="J2422" s="2" t="s">
        <v>3385</v>
      </c>
      <c r="K2422" s="2" t="s">
        <v>3007</v>
      </c>
      <c r="L2422" s="3">
        <v>95</v>
      </c>
      <c r="M2422" s="3">
        <v>99.75</v>
      </c>
      <c r="N2422" s="3">
        <v>199</v>
      </c>
      <c r="O2422" s="2" t="s">
        <v>97</v>
      </c>
      <c r="P2422" s="2" t="s">
        <v>98</v>
      </c>
      <c r="Q2422" s="2" t="s">
        <v>99</v>
      </c>
      <c r="R2422" s="2" t="s">
        <v>100</v>
      </c>
      <c r="S2422" s="2" t="s">
        <v>100</v>
      </c>
      <c r="T2422" s="2" t="s">
        <v>100</v>
      </c>
      <c r="U2422" s="2" t="s">
        <v>100</v>
      </c>
      <c r="V2422" s="2" t="s">
        <v>461</v>
      </c>
      <c r="W2422" s="2" t="s">
        <v>493</v>
      </c>
      <c r="X2422" s="2" t="s">
        <v>3953</v>
      </c>
      <c r="Y2422" s="2" t="s">
        <v>8590</v>
      </c>
      <c r="Z2422" s="4">
        <v>150</v>
      </c>
      <c r="AA2422" s="4">
        <f>=ROUNDDOWN(21.4285714285714,0)</f>
      </c>
      <c r="AB2422" s="5">
        <v>7</v>
      </c>
      <c r="AC2422" s="2" t="s">
        <v>8545</v>
      </c>
      <c r="AD2422" s="4">
        <v>110</v>
      </c>
      <c r="AE2422" s="4">
        <v>210</v>
      </c>
      <c r="AF2422" s="6">
        <v>65</v>
      </c>
      <c r="AG2422" s="6">
        <v>48</v>
      </c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/>
      <c r="BD2422" s="8"/>
      <c r="BE2422" s="4"/>
      <c r="BF2422" s="8"/>
      <c r="BG2422" s="7"/>
      <c r="BH2422" s="7"/>
      <c r="BI2422" s="7"/>
      <c r="BJ2422" s="4">
        <v>24</v>
      </c>
      <c r="BK2422" s="8">
        <v>2704.74</v>
      </c>
      <c r="BL2422" s="2" t="s">
        <v>8588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2551</v>
      </c>
      <c r="BV2422" s="2" t="s">
        <v>97</v>
      </c>
      <c r="BW2422" s="2" t="s">
        <v>100</v>
      </c>
      <c r="BX2422" s="2" t="s">
        <v>100</v>
      </c>
      <c r="BY2422" s="2" t="s">
        <v>112</v>
      </c>
      <c r="BZ2422" s="2" t="s">
        <v>100</v>
      </c>
    </row>
    <row r="2423">
      <c r="A2423" s="2" t="s">
        <v>8591</v>
      </c>
      <c r="B2423" s="2" t="s">
        <v>6747</v>
      </c>
      <c r="C2423" s="2" t="s">
        <v>3950</v>
      </c>
      <c r="D2423" s="2" t="s">
        <v>6949</v>
      </c>
      <c r="E2423" s="2" t="s">
        <v>6970</v>
      </c>
      <c r="F2423" s="2" t="s">
        <v>8592</v>
      </c>
      <c r="G2423" s="2" t="s">
        <v>8592</v>
      </c>
      <c r="H2423" s="2" t="s">
        <v>8592</v>
      </c>
      <c r="I2423" s="2" t="s">
        <v>8593</v>
      </c>
      <c r="J2423" s="2" t="s">
        <v>3385</v>
      </c>
      <c r="K2423" s="2" t="s">
        <v>446</v>
      </c>
      <c r="L2423" s="3">
        <v>225</v>
      </c>
      <c r="M2423" s="3">
        <v>236.25</v>
      </c>
      <c r="N2423" s="3">
        <v>469</v>
      </c>
      <c r="O2423" s="2" t="s">
        <v>97</v>
      </c>
      <c r="P2423" s="2" t="s">
        <v>123</v>
      </c>
      <c r="Q2423" s="2" t="s">
        <v>99</v>
      </c>
      <c r="R2423" s="2" t="s">
        <v>100</v>
      </c>
      <c r="S2423" s="2" t="s">
        <v>100</v>
      </c>
      <c r="T2423" s="2" t="s">
        <v>100</v>
      </c>
      <c r="U2423" s="2" t="s">
        <v>1776</v>
      </c>
      <c r="V2423" s="2" t="s">
        <v>3412</v>
      </c>
      <c r="W2423" s="2" t="s">
        <v>142</v>
      </c>
      <c r="X2423" s="2" t="s">
        <v>4008</v>
      </c>
      <c r="Y2423" s="2" t="s">
        <v>6923</v>
      </c>
      <c r="Z2423" s="4">
        <v>193</v>
      </c>
      <c r="AA2423" s="4">
        <f>=ROUNDDOWN(13.7857142857143,0)</f>
      </c>
      <c r="AB2423" s="5">
        <v>14</v>
      </c>
      <c r="AC2423" s="2" t="s">
        <v>3491</v>
      </c>
      <c r="AD2423" s="4">
        <v>270</v>
      </c>
      <c r="AE2423" s="4">
        <v>400</v>
      </c>
      <c r="AF2423" s="6">
        <v>76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/>
      <c r="BJ2423" s="4">
        <v>56</v>
      </c>
      <c r="BK2423" s="8">
        <v>14352.41</v>
      </c>
      <c r="BL2423" s="2" t="s">
        <v>8594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2551</v>
      </c>
      <c r="BV2423" s="2" t="s">
        <v>97</v>
      </c>
      <c r="BW2423" s="2" t="s">
        <v>100</v>
      </c>
      <c r="BX2423" s="2" t="s">
        <v>100</v>
      </c>
      <c r="BY2423" s="2" t="s">
        <v>112</v>
      </c>
      <c r="BZ2423" s="2" t="s">
        <v>100</v>
      </c>
    </row>
    <row r="2424">
      <c r="A2424" s="2" t="s">
        <v>8595</v>
      </c>
      <c r="B2424" s="2" t="s">
        <v>6747</v>
      </c>
      <c r="C2424" s="2" t="s">
        <v>3950</v>
      </c>
      <c r="D2424" s="2" t="s">
        <v>6949</v>
      </c>
      <c r="E2424" s="2" t="s">
        <v>6970</v>
      </c>
      <c r="F2424" s="2" t="s">
        <v>8592</v>
      </c>
      <c r="G2424" s="2" t="s">
        <v>8592</v>
      </c>
      <c r="H2424" s="2" t="s">
        <v>8592</v>
      </c>
      <c r="I2424" s="2" t="s">
        <v>8593</v>
      </c>
      <c r="J2424" s="2" t="s">
        <v>3385</v>
      </c>
      <c r="K2424" s="2" t="s">
        <v>8596</v>
      </c>
      <c r="L2424" s="3">
        <v>225</v>
      </c>
      <c r="M2424" s="3">
        <v>236.25</v>
      </c>
      <c r="N2424" s="3">
        <v>469</v>
      </c>
      <c r="O2424" s="2" t="s">
        <v>97</v>
      </c>
      <c r="P2424" s="2" t="s">
        <v>98</v>
      </c>
      <c r="Q2424" s="2" t="s">
        <v>99</v>
      </c>
      <c r="R2424" s="2" t="s">
        <v>100</v>
      </c>
      <c r="S2424" s="2" t="s">
        <v>100</v>
      </c>
      <c r="T2424" s="2" t="s">
        <v>100</v>
      </c>
      <c r="U2424" s="2" t="s">
        <v>1776</v>
      </c>
      <c r="V2424" s="2" t="s">
        <v>3412</v>
      </c>
      <c r="W2424" s="2" t="s">
        <v>142</v>
      </c>
      <c r="X2424" s="2" t="s">
        <v>4008</v>
      </c>
      <c r="Y2424" s="2" t="s">
        <v>8597</v>
      </c>
      <c r="Z2424" s="4">
        <v>53</v>
      </c>
      <c r="AA2424" s="4">
        <f>=ROUNDDOWN(5.88888888888889,0)</f>
      </c>
      <c r="AB2424" s="5">
        <v>9</v>
      </c>
      <c r="AC2424" s="2" t="s">
        <v>173</v>
      </c>
      <c r="AD2424" s="4">
        <v>172</v>
      </c>
      <c r="AE2424" s="4">
        <v>172</v>
      </c>
      <c r="AF2424" s="6">
        <v>76</v>
      </c>
      <c r="AG2424" s="6"/>
      <c r="AH2424" s="7">
        <v>0.1613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/>
      <c r="BJ2424" s="4">
        <v>10</v>
      </c>
      <c r="BK2424" s="8">
        <v>2485.38</v>
      </c>
      <c r="BL2424" s="2" t="s">
        <v>2807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2551</v>
      </c>
      <c r="BV2424" s="2" t="s">
        <v>97</v>
      </c>
      <c r="BW2424" s="2" t="s">
        <v>100</v>
      </c>
      <c r="BX2424" s="2" t="s">
        <v>100</v>
      </c>
      <c r="BY2424" s="2" t="s">
        <v>112</v>
      </c>
      <c r="BZ2424" s="2" t="s">
        <v>100</v>
      </c>
    </row>
    <row r="2425">
      <c r="A2425" s="2" t="s">
        <v>8598</v>
      </c>
      <c r="B2425" s="2" t="s">
        <v>6747</v>
      </c>
      <c r="C2425" s="2" t="s">
        <v>3950</v>
      </c>
      <c r="D2425" s="2" t="s">
        <v>8005</v>
      </c>
      <c r="E2425" s="2" t="s">
        <v>8006</v>
      </c>
      <c r="F2425" s="2" t="s">
        <v>8599</v>
      </c>
      <c r="G2425" s="2" t="s">
        <v>8599</v>
      </c>
      <c r="H2425" s="2" t="s">
        <v>8599</v>
      </c>
      <c r="I2425" s="2" t="s">
        <v>8600</v>
      </c>
      <c r="J2425" s="2" t="s">
        <v>3385</v>
      </c>
      <c r="K2425" s="2" t="s">
        <v>446</v>
      </c>
      <c r="L2425" s="3">
        <v>148.5</v>
      </c>
      <c r="M2425" s="3">
        <v>155.92</v>
      </c>
      <c r="N2425" s="3">
        <v>309</v>
      </c>
      <c r="O2425" s="2" t="s">
        <v>97</v>
      </c>
      <c r="P2425" s="2" t="s">
        <v>707</v>
      </c>
      <c r="Q2425" s="2" t="s">
        <v>99</v>
      </c>
      <c r="R2425" s="2" t="s">
        <v>100</v>
      </c>
      <c r="S2425" s="2" t="s">
        <v>100</v>
      </c>
      <c r="T2425" s="2" t="s">
        <v>100</v>
      </c>
      <c r="U2425" s="2" t="s">
        <v>1776</v>
      </c>
      <c r="V2425" s="2" t="s">
        <v>3412</v>
      </c>
      <c r="W2425" s="2" t="s">
        <v>594</v>
      </c>
      <c r="X2425" s="2" t="s">
        <v>3979</v>
      </c>
      <c r="Y2425" s="2" t="s">
        <v>6432</v>
      </c>
      <c r="Z2425" s="4">
        <v>26</v>
      </c>
      <c r="AA2425" s="4">
        <f>=ROUNDDOWN(5.2,0)</f>
      </c>
      <c r="AB2425" s="5">
        <v>5</v>
      </c>
      <c r="AC2425" s="2" t="s">
        <v>7326</v>
      </c>
      <c r="AD2425" s="4">
        <v>100</v>
      </c>
      <c r="AE2425" s="4">
        <v>100</v>
      </c>
      <c r="AF2425" s="6">
        <v>76</v>
      </c>
      <c r="AG2425" s="6"/>
      <c r="AH2425" s="7">
        <v>0.3548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/>
      <c r="BD2425" s="8"/>
      <c r="BE2425" s="4"/>
      <c r="BF2425" s="8"/>
      <c r="BG2425" s="7"/>
      <c r="BH2425" s="7"/>
      <c r="BI2425" s="7"/>
      <c r="BJ2425" s="4">
        <v>4</v>
      </c>
      <c r="BK2425" s="8">
        <v>642.4</v>
      </c>
      <c r="BL2425" s="2" t="s">
        <v>4509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2526</v>
      </c>
      <c r="BV2425" s="2" t="s">
        <v>97</v>
      </c>
      <c r="BW2425" s="2" t="s">
        <v>100</v>
      </c>
      <c r="BX2425" s="2" t="s">
        <v>100</v>
      </c>
      <c r="BY2425" s="2" t="s">
        <v>112</v>
      </c>
      <c r="BZ2425" s="2" t="s">
        <v>100</v>
      </c>
    </row>
    <row r="2426">
      <c r="A2426" s="2" t="s">
        <v>8601</v>
      </c>
      <c r="B2426" s="2" t="s">
        <v>6747</v>
      </c>
      <c r="C2426" s="2" t="s">
        <v>3950</v>
      </c>
      <c r="D2426" s="2" t="s">
        <v>7035</v>
      </c>
      <c r="E2426" s="2" t="s">
        <v>7036</v>
      </c>
      <c r="F2426" s="2" t="s">
        <v>8602</v>
      </c>
      <c r="G2426" s="2" t="s">
        <v>8602</v>
      </c>
      <c r="H2426" s="2" t="s">
        <v>8602</v>
      </c>
      <c r="I2426" s="2" t="s">
        <v>8603</v>
      </c>
      <c r="J2426" s="2" t="s">
        <v>3385</v>
      </c>
      <c r="K2426" s="2" t="s">
        <v>2548</v>
      </c>
      <c r="L2426" s="3">
        <v>184.5</v>
      </c>
      <c r="M2426" s="3">
        <v>193.72</v>
      </c>
      <c r="N2426" s="3">
        <v>389</v>
      </c>
      <c r="O2426" s="2" t="s">
        <v>97</v>
      </c>
      <c r="P2426" s="2" t="s">
        <v>123</v>
      </c>
      <c r="Q2426" s="2" t="s">
        <v>99</v>
      </c>
      <c r="R2426" s="2" t="s">
        <v>100</v>
      </c>
      <c r="S2426" s="2" t="s">
        <v>100</v>
      </c>
      <c r="T2426" s="2" t="s">
        <v>100</v>
      </c>
      <c r="U2426" s="2" t="s">
        <v>1776</v>
      </c>
      <c r="V2426" s="2" t="s">
        <v>3412</v>
      </c>
      <c r="W2426" s="2" t="s">
        <v>594</v>
      </c>
      <c r="X2426" s="2" t="s">
        <v>3979</v>
      </c>
      <c r="Y2426" s="2" t="s">
        <v>2961</v>
      </c>
      <c r="Z2426" s="4">
        <v>172</v>
      </c>
      <c r="AA2426" s="4">
        <f>=ROUNDDOWN(10.75,0)</f>
      </c>
      <c r="AB2426" s="5">
        <v>16</v>
      </c>
      <c r="AC2426" s="2" t="s">
        <v>3271</v>
      </c>
      <c r="AD2426" s="4">
        <v>177</v>
      </c>
      <c r="AE2426" s="4">
        <v>321</v>
      </c>
      <c r="AF2426" s="6">
        <v>74</v>
      </c>
      <c r="AG2426" s="6">
        <v>60</v>
      </c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/>
      <c r="BJ2426" s="4">
        <v>43</v>
      </c>
      <c r="BK2426" s="8">
        <v>8581.72</v>
      </c>
      <c r="BL2426" s="2" t="s">
        <v>2807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2551</v>
      </c>
      <c r="BV2426" s="2" t="s">
        <v>97</v>
      </c>
      <c r="BW2426" s="2" t="s">
        <v>100</v>
      </c>
      <c r="BX2426" s="2" t="s">
        <v>100</v>
      </c>
      <c r="BY2426" s="2" t="s">
        <v>112</v>
      </c>
      <c r="BZ2426" s="2" t="s">
        <v>100</v>
      </c>
    </row>
    <row r="2427">
      <c r="A2427" s="2" t="s">
        <v>8604</v>
      </c>
      <c r="B2427" s="2" t="s">
        <v>6747</v>
      </c>
      <c r="C2427" s="2" t="s">
        <v>3950</v>
      </c>
      <c r="D2427" s="2" t="s">
        <v>7035</v>
      </c>
      <c r="E2427" s="2" t="s">
        <v>7036</v>
      </c>
      <c r="F2427" s="2" t="s">
        <v>8602</v>
      </c>
      <c r="G2427" s="2" t="s">
        <v>8602</v>
      </c>
      <c r="H2427" s="2" t="s">
        <v>8602</v>
      </c>
      <c r="I2427" s="2" t="s">
        <v>8603</v>
      </c>
      <c r="J2427" s="2" t="s">
        <v>3385</v>
      </c>
      <c r="K2427" s="2" t="s">
        <v>8605</v>
      </c>
      <c r="L2427" s="3">
        <v>184.5</v>
      </c>
      <c r="M2427" s="3">
        <v>193.72</v>
      </c>
      <c r="N2427" s="3">
        <v>389</v>
      </c>
      <c r="O2427" s="2" t="s">
        <v>97</v>
      </c>
      <c r="P2427" s="2" t="s">
        <v>98</v>
      </c>
      <c r="Q2427" s="2" t="s">
        <v>99</v>
      </c>
      <c r="R2427" s="2" t="s">
        <v>100</v>
      </c>
      <c r="S2427" s="2" t="s">
        <v>100</v>
      </c>
      <c r="T2427" s="2" t="s">
        <v>100</v>
      </c>
      <c r="U2427" s="2" t="s">
        <v>1776</v>
      </c>
      <c r="V2427" s="2" t="s">
        <v>3412</v>
      </c>
      <c r="W2427" s="2" t="s">
        <v>594</v>
      </c>
      <c r="X2427" s="2" t="s">
        <v>4008</v>
      </c>
      <c r="Y2427" s="2" t="s">
        <v>8606</v>
      </c>
      <c r="Z2427" s="4">
        <v>10</v>
      </c>
      <c r="AA2427" s="4">
        <f>=ROUNDDOWN(0.769230769230769,0)</f>
      </c>
      <c r="AB2427" s="5">
        <v>13</v>
      </c>
      <c r="AC2427" s="2" t="s">
        <v>7108</v>
      </c>
      <c r="AD2427" s="4">
        <v>177</v>
      </c>
      <c r="AE2427" s="4">
        <v>327</v>
      </c>
      <c r="AF2427" s="6">
        <v>74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/>
      <c r="BJ2427" s="4">
        <v>41</v>
      </c>
      <c r="BK2427" s="8">
        <v>8630.78</v>
      </c>
      <c r="BL2427" s="2" t="s">
        <v>6244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2551</v>
      </c>
      <c r="BV2427" s="2" t="s">
        <v>97</v>
      </c>
      <c r="BW2427" s="2" t="s">
        <v>100</v>
      </c>
      <c r="BX2427" s="2" t="s">
        <v>100</v>
      </c>
      <c r="BY2427" s="2" t="s">
        <v>112</v>
      </c>
      <c r="BZ2427" s="2" t="s">
        <v>100</v>
      </c>
    </row>
    <row r="2428">
      <c r="A2428" s="2" t="s">
        <v>8607</v>
      </c>
      <c r="B2428" s="2" t="s">
        <v>6747</v>
      </c>
      <c r="C2428" s="2" t="s">
        <v>3950</v>
      </c>
      <c r="D2428" s="2" t="s">
        <v>7035</v>
      </c>
      <c r="E2428" s="2" t="s">
        <v>7036</v>
      </c>
      <c r="F2428" s="2" t="s">
        <v>703</v>
      </c>
      <c r="G2428" s="2" t="s">
        <v>703</v>
      </c>
      <c r="H2428" s="2" t="s">
        <v>703</v>
      </c>
      <c r="I2428" s="2" t="s">
        <v>8608</v>
      </c>
      <c r="J2428" s="2" t="s">
        <v>3385</v>
      </c>
      <c r="K2428" s="2" t="s">
        <v>4488</v>
      </c>
      <c r="L2428" s="3">
        <v>145.35</v>
      </c>
      <c r="M2428" s="3">
        <v>152.62</v>
      </c>
      <c r="N2428" s="3">
        <v>299</v>
      </c>
      <c r="O2428" s="2" t="s">
        <v>97</v>
      </c>
      <c r="P2428" s="2" t="s">
        <v>707</v>
      </c>
      <c r="Q2428" s="2" t="s">
        <v>99</v>
      </c>
      <c r="R2428" s="2" t="s">
        <v>100</v>
      </c>
      <c r="S2428" s="2" t="s">
        <v>100</v>
      </c>
      <c r="T2428" s="2" t="s">
        <v>100</v>
      </c>
      <c r="U2428" s="2" t="s">
        <v>894</v>
      </c>
      <c r="V2428" s="2" t="s">
        <v>3412</v>
      </c>
      <c r="W2428" s="2" t="s">
        <v>594</v>
      </c>
      <c r="X2428" s="2" t="s">
        <v>3979</v>
      </c>
      <c r="Y2428" s="2" t="s">
        <v>5542</v>
      </c>
      <c r="Z2428" s="4">
        <v>182</v>
      </c>
      <c r="AA2428" s="4">
        <f>=ROUNDDOWN(91,0)</f>
      </c>
      <c r="AB2428" s="5">
        <v>2</v>
      </c>
      <c r="AC2428" s="2" t="s">
        <v>100</v>
      </c>
      <c r="AD2428" s="4"/>
      <c r="AE2428" s="4"/>
      <c r="AF2428" s="6">
        <v>74</v>
      </c>
      <c r="AG2428" s="6"/>
      <c r="AH2428" s="7">
        <v>1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/>
      <c r="BD2428" s="8"/>
      <c r="BE2428" s="4"/>
      <c r="BF2428" s="8"/>
      <c r="BG2428" s="7"/>
      <c r="BH2428" s="7"/>
      <c r="BI2428" s="7"/>
      <c r="BJ2428" s="4">
        <v>6</v>
      </c>
      <c r="BK2428" s="8">
        <v>964.56</v>
      </c>
      <c r="BL2428" s="2" t="s">
        <v>2230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2526</v>
      </c>
      <c r="BV2428" s="2" t="s">
        <v>97</v>
      </c>
      <c r="BW2428" s="2" t="s">
        <v>100</v>
      </c>
      <c r="BX2428" s="2" t="s">
        <v>100</v>
      </c>
      <c r="BY2428" s="2" t="s">
        <v>112</v>
      </c>
      <c r="BZ2428" s="2" t="s">
        <v>100</v>
      </c>
    </row>
    <row r="2429">
      <c r="A2429" s="2" t="s">
        <v>8609</v>
      </c>
      <c r="B2429" s="2" t="s">
        <v>6747</v>
      </c>
      <c r="C2429" s="2" t="s">
        <v>3950</v>
      </c>
      <c r="D2429" s="2" t="s">
        <v>7035</v>
      </c>
      <c r="E2429" s="2" t="s">
        <v>7036</v>
      </c>
      <c r="F2429" s="2" t="s">
        <v>8610</v>
      </c>
      <c r="G2429" s="2" t="s">
        <v>8610</v>
      </c>
      <c r="H2429" s="2" t="s">
        <v>8610</v>
      </c>
      <c r="I2429" s="2" t="s">
        <v>8031</v>
      </c>
      <c r="J2429" s="2" t="s">
        <v>3385</v>
      </c>
      <c r="K2429" s="2" t="s">
        <v>3876</v>
      </c>
      <c r="L2429" s="3">
        <v>265</v>
      </c>
      <c r="M2429" s="3">
        <v>278.25</v>
      </c>
      <c r="N2429" s="3">
        <v>549</v>
      </c>
      <c r="O2429" s="2" t="s">
        <v>97</v>
      </c>
      <c r="P2429" s="2" t="s">
        <v>98</v>
      </c>
      <c r="Q2429" s="2" t="s">
        <v>99</v>
      </c>
      <c r="R2429" s="2" t="s">
        <v>100</v>
      </c>
      <c r="S2429" s="2" t="s">
        <v>100</v>
      </c>
      <c r="T2429" s="2" t="s">
        <v>100</v>
      </c>
      <c r="U2429" s="2" t="s">
        <v>1776</v>
      </c>
      <c r="V2429" s="2" t="s">
        <v>461</v>
      </c>
      <c r="W2429" s="2" t="s">
        <v>493</v>
      </c>
      <c r="X2429" s="2" t="s">
        <v>3953</v>
      </c>
      <c r="Y2429" s="2" t="s">
        <v>8611</v>
      </c>
      <c r="Z2429" s="4">
        <v>150</v>
      </c>
      <c r="AA2429" s="4">
        <f>=ROUNDDOWN(15,0)</f>
      </c>
      <c r="AB2429" s="5">
        <v>10</v>
      </c>
      <c r="AC2429" s="2" t="s">
        <v>3024</v>
      </c>
      <c r="AD2429" s="4">
        <v>196</v>
      </c>
      <c r="AE2429" s="4">
        <v>348</v>
      </c>
      <c r="AF2429" s="6">
        <v>74</v>
      </c>
      <c r="AG2429" s="6"/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/>
      <c r="BD2429" s="8"/>
      <c r="BE2429" s="4"/>
      <c r="BF2429" s="8"/>
      <c r="BG2429" s="7"/>
      <c r="BH2429" s="7"/>
      <c r="BI2429" s="7"/>
      <c r="BJ2429" s="4">
        <v>26</v>
      </c>
      <c r="BK2429" s="8">
        <v>7338.6</v>
      </c>
      <c r="BL2429" s="2" t="s">
        <v>2807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2551</v>
      </c>
      <c r="BV2429" s="2" t="s">
        <v>97</v>
      </c>
      <c r="BW2429" s="2" t="s">
        <v>100</v>
      </c>
      <c r="BX2429" s="2" t="s">
        <v>100</v>
      </c>
      <c r="BY2429" s="2" t="s">
        <v>112</v>
      </c>
      <c r="BZ2429" s="2" t="s">
        <v>100</v>
      </c>
    </row>
    <row r="2430">
      <c r="A2430" s="2" t="s">
        <v>8612</v>
      </c>
      <c r="B2430" s="2" t="s">
        <v>6747</v>
      </c>
      <c r="C2430" s="2" t="s">
        <v>3950</v>
      </c>
      <c r="D2430" s="2" t="s">
        <v>7035</v>
      </c>
      <c r="E2430" s="2" t="s">
        <v>7036</v>
      </c>
      <c r="F2430" s="2" t="s">
        <v>4435</v>
      </c>
      <c r="G2430" s="2" t="s">
        <v>4435</v>
      </c>
      <c r="H2430" s="2" t="s">
        <v>4435</v>
      </c>
      <c r="I2430" s="2" t="s">
        <v>8613</v>
      </c>
      <c r="J2430" s="2" t="s">
        <v>8479</v>
      </c>
      <c r="K2430" s="2" t="s">
        <v>1373</v>
      </c>
      <c r="L2430" s="3">
        <v>285</v>
      </c>
      <c r="M2430" s="3">
        <v>299.25</v>
      </c>
      <c r="N2430" s="3">
        <v>599</v>
      </c>
      <c r="O2430" s="2" t="s">
        <v>97</v>
      </c>
      <c r="P2430" s="2" t="s">
        <v>139</v>
      </c>
      <c r="Q2430" s="2" t="s">
        <v>99</v>
      </c>
      <c r="R2430" s="2" t="s">
        <v>100</v>
      </c>
      <c r="S2430" s="2" t="s">
        <v>100</v>
      </c>
      <c r="T2430" s="2" t="s">
        <v>100</v>
      </c>
      <c r="U2430" s="2" t="s">
        <v>894</v>
      </c>
      <c r="V2430" s="2" t="s">
        <v>461</v>
      </c>
      <c r="W2430" s="2" t="s">
        <v>594</v>
      </c>
      <c r="X2430" s="2" t="s">
        <v>3979</v>
      </c>
      <c r="Y2430" s="2" t="s">
        <v>8614</v>
      </c>
      <c r="Z2430" s="4">
        <v>205</v>
      </c>
      <c r="AA2430" s="4">
        <f>=ROUNDDOWN(13.6666666666667,0)</f>
      </c>
      <c r="AB2430" s="5">
        <v>15</v>
      </c>
      <c r="AC2430" s="2" t="s">
        <v>1094</v>
      </c>
      <c r="AD2430" s="4">
        <v>100</v>
      </c>
      <c r="AE2430" s="4">
        <v>262</v>
      </c>
      <c r="AF2430" s="6">
        <v>65</v>
      </c>
      <c r="AG2430" s="6">
        <v>48</v>
      </c>
      <c r="AH2430" s="7">
        <v>1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/>
      <c r="AW2430" s="8"/>
      <c r="AX2430" s="4"/>
      <c r="AY2430" s="8"/>
      <c r="AZ2430" s="7"/>
      <c r="BA2430" s="7"/>
      <c r="BB2430" s="7"/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/>
      <c r="BJ2430" s="4">
        <v>46</v>
      </c>
      <c r="BK2430" s="8">
        <v>13559.62</v>
      </c>
      <c r="BL2430" s="2" t="s">
        <v>8615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2551</v>
      </c>
      <c r="BV2430" s="2" t="s">
        <v>97</v>
      </c>
      <c r="BW2430" s="2" t="s">
        <v>100</v>
      </c>
      <c r="BX2430" s="2" t="s">
        <v>100</v>
      </c>
      <c r="BY2430" s="2" t="s">
        <v>112</v>
      </c>
      <c r="BZ2430" s="2" t="s">
        <v>100</v>
      </c>
    </row>
    <row r="2431">
      <c r="A2431" s="2" t="s">
        <v>8616</v>
      </c>
      <c r="B2431" s="2" t="s">
        <v>6747</v>
      </c>
      <c r="C2431" s="2" t="s">
        <v>3950</v>
      </c>
      <c r="D2431" s="2" t="s">
        <v>7035</v>
      </c>
      <c r="E2431" s="2" t="s">
        <v>7036</v>
      </c>
      <c r="F2431" s="2" t="s">
        <v>4435</v>
      </c>
      <c r="G2431" s="2" t="s">
        <v>4435</v>
      </c>
      <c r="H2431" s="2" t="s">
        <v>4435</v>
      </c>
      <c r="I2431" s="2" t="s">
        <v>8613</v>
      </c>
      <c r="J2431" s="2" t="s">
        <v>8479</v>
      </c>
      <c r="K2431" s="2" t="s">
        <v>5681</v>
      </c>
      <c r="L2431" s="3">
        <v>285</v>
      </c>
      <c r="M2431" s="3">
        <v>299.25</v>
      </c>
      <c r="N2431" s="3">
        <v>599</v>
      </c>
      <c r="O2431" s="2" t="s">
        <v>97</v>
      </c>
      <c r="P2431" s="2" t="s">
        <v>123</v>
      </c>
      <c r="Q2431" s="2" t="s">
        <v>99</v>
      </c>
      <c r="R2431" s="2" t="s">
        <v>100</v>
      </c>
      <c r="S2431" s="2" t="s">
        <v>100</v>
      </c>
      <c r="T2431" s="2" t="s">
        <v>100</v>
      </c>
      <c r="U2431" s="2" t="s">
        <v>894</v>
      </c>
      <c r="V2431" s="2" t="s">
        <v>461</v>
      </c>
      <c r="W2431" s="2" t="s">
        <v>594</v>
      </c>
      <c r="X2431" s="2" t="s">
        <v>3979</v>
      </c>
      <c r="Y2431" s="2" t="s">
        <v>910</v>
      </c>
      <c r="Z2431" s="4">
        <v>318</v>
      </c>
      <c r="AA2431" s="4">
        <f>=ROUNDDOWN(16.7368421052632,0)</f>
      </c>
      <c r="AB2431" s="5">
        <v>19</v>
      </c>
      <c r="AC2431" s="2" t="s">
        <v>262</v>
      </c>
      <c r="AD2431" s="4">
        <v>97</v>
      </c>
      <c r="AE2431" s="4">
        <v>499</v>
      </c>
      <c r="AF2431" s="6">
        <v>65</v>
      </c>
      <c r="AG2431" s="6">
        <v>48</v>
      </c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/>
      <c r="BJ2431" s="4">
        <v>77</v>
      </c>
      <c r="BK2431" s="8">
        <v>21699.29</v>
      </c>
      <c r="BL2431" s="2" t="s">
        <v>7891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2551</v>
      </c>
      <c r="BV2431" s="2" t="s">
        <v>97</v>
      </c>
      <c r="BW2431" s="2" t="s">
        <v>100</v>
      </c>
      <c r="BX2431" s="2" t="s">
        <v>100</v>
      </c>
      <c r="BY2431" s="2" t="s">
        <v>112</v>
      </c>
      <c r="BZ2431" s="2" t="s">
        <v>100</v>
      </c>
    </row>
    <row r="2432">
      <c r="A2432" s="2" t="s">
        <v>8617</v>
      </c>
      <c r="B2432" s="2" t="s">
        <v>6747</v>
      </c>
      <c r="C2432" s="2" t="s">
        <v>3950</v>
      </c>
      <c r="D2432" s="2" t="s">
        <v>7035</v>
      </c>
      <c r="E2432" s="2" t="s">
        <v>7036</v>
      </c>
      <c r="F2432" s="2" t="s">
        <v>4435</v>
      </c>
      <c r="G2432" s="2" t="s">
        <v>4435</v>
      </c>
      <c r="H2432" s="2" t="s">
        <v>4435</v>
      </c>
      <c r="I2432" s="2" t="s">
        <v>8613</v>
      </c>
      <c r="J2432" s="2" t="s">
        <v>8479</v>
      </c>
      <c r="K2432" s="2" t="s">
        <v>4488</v>
      </c>
      <c r="L2432" s="3">
        <v>285</v>
      </c>
      <c r="M2432" s="3">
        <v>299.25</v>
      </c>
      <c r="N2432" s="3">
        <v>599</v>
      </c>
      <c r="O2432" s="2" t="s">
        <v>97</v>
      </c>
      <c r="P2432" s="2" t="s">
        <v>98</v>
      </c>
      <c r="Q2432" s="2" t="s">
        <v>99</v>
      </c>
      <c r="R2432" s="2" t="s">
        <v>100</v>
      </c>
      <c r="S2432" s="2" t="s">
        <v>100</v>
      </c>
      <c r="T2432" s="2" t="s">
        <v>100</v>
      </c>
      <c r="U2432" s="2" t="s">
        <v>894</v>
      </c>
      <c r="V2432" s="2" t="s">
        <v>461</v>
      </c>
      <c r="W2432" s="2" t="s">
        <v>594</v>
      </c>
      <c r="X2432" s="2" t="s">
        <v>3979</v>
      </c>
      <c r="Y2432" s="2" t="s">
        <v>3387</v>
      </c>
      <c r="Z2432" s="4">
        <v>47</v>
      </c>
      <c r="AA2432" s="4">
        <f>=ROUNDDOWN(9.4,0)</f>
      </c>
      <c r="AB2432" s="5">
        <v>5</v>
      </c>
      <c r="AC2432" s="2" t="s">
        <v>2772</v>
      </c>
      <c r="AD2432" s="4">
        <v>100</v>
      </c>
      <c r="AE2432" s="4">
        <v>100</v>
      </c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/>
      <c r="AW2432" s="8"/>
      <c r="AX2432" s="4"/>
      <c r="AY2432" s="8"/>
      <c r="AZ2432" s="7"/>
      <c r="BA2432" s="7"/>
      <c r="BB2432" s="7"/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/>
      <c r="BJ2432" s="4">
        <v>16</v>
      </c>
      <c r="BK2432" s="8">
        <v>4678.93</v>
      </c>
      <c r="BL2432" s="2" t="s">
        <v>8618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2551</v>
      </c>
      <c r="BV2432" s="2" t="s">
        <v>97</v>
      </c>
      <c r="BW2432" s="2" t="s">
        <v>100</v>
      </c>
      <c r="BX2432" s="2" t="s">
        <v>100</v>
      </c>
      <c r="BY2432" s="2" t="s">
        <v>112</v>
      </c>
      <c r="BZ2432" s="2" t="s">
        <v>100</v>
      </c>
    </row>
    <row r="2433">
      <c r="A2433" s="2" t="s">
        <v>8619</v>
      </c>
      <c r="B2433" s="2" t="s">
        <v>6747</v>
      </c>
      <c r="C2433" s="2" t="s">
        <v>3950</v>
      </c>
      <c r="D2433" s="2" t="s">
        <v>7152</v>
      </c>
      <c r="E2433" s="2" t="s">
        <v>7153</v>
      </c>
      <c r="F2433" s="2" t="s">
        <v>1026</v>
      </c>
      <c r="G2433" s="2" t="s">
        <v>1026</v>
      </c>
      <c r="H2433" s="2" t="s">
        <v>1026</v>
      </c>
      <c r="I2433" s="2" t="s">
        <v>8206</v>
      </c>
      <c r="J2433" s="2" t="s">
        <v>3385</v>
      </c>
      <c r="K2433" s="2" t="s">
        <v>1373</v>
      </c>
      <c r="L2433" s="3">
        <v>292.05</v>
      </c>
      <c r="M2433" s="3">
        <v>306.65</v>
      </c>
      <c r="N2433" s="3">
        <v>619</v>
      </c>
      <c r="O2433" s="2" t="s">
        <v>97</v>
      </c>
      <c r="P2433" s="2" t="s">
        <v>98</v>
      </c>
      <c r="Q2433" s="2" t="s">
        <v>99</v>
      </c>
      <c r="R2433" s="2" t="s">
        <v>100</v>
      </c>
      <c r="S2433" s="2" t="s">
        <v>100</v>
      </c>
      <c r="T2433" s="2" t="s">
        <v>100</v>
      </c>
      <c r="U2433" s="2" t="s">
        <v>1776</v>
      </c>
      <c r="V2433" s="2" t="s">
        <v>461</v>
      </c>
      <c r="W2433" s="2" t="s">
        <v>142</v>
      </c>
      <c r="X2433" s="2" t="s">
        <v>3953</v>
      </c>
      <c r="Y2433" s="2" t="s">
        <v>8620</v>
      </c>
      <c r="Z2433" s="4">
        <v>150</v>
      </c>
      <c r="AA2433" s="4">
        <f>=ROUNDDOWN(30,0)</f>
      </c>
      <c r="AB2433" s="5">
        <v>5</v>
      </c>
      <c r="AC2433" s="2" t="s">
        <v>262</v>
      </c>
      <c r="AD2433" s="4">
        <v>72</v>
      </c>
      <c r="AE2433" s="4">
        <v>110</v>
      </c>
      <c r="AF2433" s="6">
        <v>65</v>
      </c>
      <c r="AG2433" s="6">
        <v>48</v>
      </c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/>
      <c r="AW2433" s="8"/>
      <c r="AX2433" s="4"/>
      <c r="AY2433" s="8"/>
      <c r="AZ2433" s="7"/>
      <c r="BA2433" s="7"/>
      <c r="BB2433" s="7"/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/>
      <c r="BJ2433" s="4">
        <v>13</v>
      </c>
      <c r="BK2433" s="8">
        <v>4068.01</v>
      </c>
      <c r="BL2433" s="2" t="s">
        <v>8136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2551</v>
      </c>
      <c r="BV2433" s="2" t="s">
        <v>97</v>
      </c>
      <c r="BW2433" s="2" t="s">
        <v>100</v>
      </c>
      <c r="BX2433" s="2" t="s">
        <v>100</v>
      </c>
      <c r="BY2433" s="2" t="s">
        <v>112</v>
      </c>
      <c r="BZ2433" s="2" t="s">
        <v>100</v>
      </c>
    </row>
    <row r="2434">
      <c r="A2434" s="2" t="s">
        <v>8621</v>
      </c>
      <c r="B2434" s="2" t="s">
        <v>6747</v>
      </c>
      <c r="C2434" s="2" t="s">
        <v>3950</v>
      </c>
      <c r="D2434" s="2" t="s">
        <v>7152</v>
      </c>
      <c r="E2434" s="2" t="s">
        <v>7153</v>
      </c>
      <c r="F2434" s="2" t="s">
        <v>1026</v>
      </c>
      <c r="G2434" s="2" t="s">
        <v>1026</v>
      </c>
      <c r="H2434" s="2" t="s">
        <v>1026</v>
      </c>
      <c r="I2434" s="2" t="s">
        <v>8206</v>
      </c>
      <c r="J2434" s="2" t="s">
        <v>3385</v>
      </c>
      <c r="K2434" s="2" t="s">
        <v>5681</v>
      </c>
      <c r="L2434" s="3">
        <v>292.05</v>
      </c>
      <c r="M2434" s="3">
        <v>306.65</v>
      </c>
      <c r="N2434" s="3">
        <v>619</v>
      </c>
      <c r="O2434" s="2" t="s">
        <v>97</v>
      </c>
      <c r="P2434" s="2" t="s">
        <v>98</v>
      </c>
      <c r="Q2434" s="2" t="s">
        <v>99</v>
      </c>
      <c r="R2434" s="2" t="s">
        <v>100</v>
      </c>
      <c r="S2434" s="2" t="s">
        <v>8622</v>
      </c>
      <c r="T2434" s="2" t="s">
        <v>100</v>
      </c>
      <c r="U2434" s="2" t="s">
        <v>1776</v>
      </c>
      <c r="V2434" s="2" t="s">
        <v>461</v>
      </c>
      <c r="W2434" s="2" t="s">
        <v>1136</v>
      </c>
      <c r="X2434" s="2" t="s">
        <v>3953</v>
      </c>
      <c r="Y2434" s="2" t="s">
        <v>8623</v>
      </c>
      <c r="Z2434" s="4">
        <v>154</v>
      </c>
      <c r="AA2434" s="4">
        <f>=ROUNDDOWN(38.5,0)</f>
      </c>
      <c r="AB2434" s="5">
        <v>4</v>
      </c>
      <c r="AC2434" s="2" t="s">
        <v>262</v>
      </c>
      <c r="AD2434" s="4">
        <v>20</v>
      </c>
      <c r="AE2434" s="4">
        <v>20</v>
      </c>
      <c r="AF2434" s="6">
        <v>65</v>
      </c>
      <c r="AG2434" s="6">
        <v>48</v>
      </c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/>
      <c r="AW2434" s="8"/>
      <c r="AX2434" s="4"/>
      <c r="AY2434" s="8"/>
      <c r="AZ2434" s="7"/>
      <c r="BA2434" s="7"/>
      <c r="BB2434" s="7"/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/>
      <c r="BJ2434" s="4">
        <v>18</v>
      </c>
      <c r="BK2434" s="8">
        <v>5146.27</v>
      </c>
      <c r="BL2434" s="2" t="s">
        <v>7749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2551</v>
      </c>
      <c r="BV2434" s="2" t="s">
        <v>97</v>
      </c>
      <c r="BW2434" s="2" t="s">
        <v>100</v>
      </c>
      <c r="BX2434" s="2" t="s">
        <v>100</v>
      </c>
      <c r="BY2434" s="2" t="s">
        <v>112</v>
      </c>
      <c r="BZ2434" s="2" t="s">
        <v>100</v>
      </c>
    </row>
    <row r="2435">
      <c r="A2435" s="2" t="s">
        <v>8624</v>
      </c>
      <c r="B2435" s="2" t="s">
        <v>6747</v>
      </c>
      <c r="C2435" s="2" t="s">
        <v>3950</v>
      </c>
      <c r="D2435" s="2" t="s">
        <v>7152</v>
      </c>
      <c r="E2435" s="2" t="s">
        <v>7153</v>
      </c>
      <c r="F2435" s="2" t="s">
        <v>8093</v>
      </c>
      <c r="G2435" s="2" t="s">
        <v>8093</v>
      </c>
      <c r="H2435" s="2" t="s">
        <v>8093</v>
      </c>
      <c r="I2435" s="2" t="s">
        <v>8625</v>
      </c>
      <c r="J2435" s="2" t="s">
        <v>3385</v>
      </c>
      <c r="K2435" s="2" t="s">
        <v>7938</v>
      </c>
      <c r="L2435" s="3">
        <v>285</v>
      </c>
      <c r="M2435" s="3">
        <v>299.25</v>
      </c>
      <c r="N2435" s="3">
        <v>599</v>
      </c>
      <c r="O2435" s="2" t="s">
        <v>97</v>
      </c>
      <c r="P2435" s="2" t="s">
        <v>98</v>
      </c>
      <c r="Q2435" s="2" t="s">
        <v>99</v>
      </c>
      <c r="R2435" s="2" t="s">
        <v>100</v>
      </c>
      <c r="S2435" s="2" t="s">
        <v>100</v>
      </c>
      <c r="T2435" s="2" t="s">
        <v>100</v>
      </c>
      <c r="U2435" s="2" t="s">
        <v>1776</v>
      </c>
      <c r="V2435" s="2" t="s">
        <v>461</v>
      </c>
      <c r="W2435" s="2" t="s">
        <v>594</v>
      </c>
      <c r="X2435" s="2" t="s">
        <v>3979</v>
      </c>
      <c r="Y2435" s="2" t="s">
        <v>8626</v>
      </c>
      <c r="Z2435" s="4">
        <v>486</v>
      </c>
      <c r="AA2435" s="4">
        <f>=ROUNDDOWN(14.2941176470588,0)</f>
      </c>
      <c r="AB2435" s="5">
        <v>34</v>
      </c>
      <c r="AC2435" s="2" t="s">
        <v>875</v>
      </c>
      <c r="AD2435" s="4">
        <v>70</v>
      </c>
      <c r="AE2435" s="4">
        <v>298</v>
      </c>
      <c r="AF2435" s="6">
        <v>65</v>
      </c>
      <c r="AG2435" s="6">
        <v>48</v>
      </c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/>
      <c r="AW2435" s="8"/>
      <c r="AX2435" s="4"/>
      <c r="AY2435" s="8"/>
      <c r="AZ2435" s="7"/>
      <c r="BA2435" s="7"/>
      <c r="BB2435" s="7"/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/>
      <c r="BJ2435" s="4">
        <v>27</v>
      </c>
      <c r="BK2435" s="8">
        <v>7584.61</v>
      </c>
      <c r="BL2435" s="2" t="s">
        <v>2807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2551</v>
      </c>
      <c r="BV2435" s="2" t="s">
        <v>97</v>
      </c>
      <c r="BW2435" s="2" t="s">
        <v>100</v>
      </c>
      <c r="BX2435" s="2" t="s">
        <v>100</v>
      </c>
      <c r="BY2435" s="2" t="s">
        <v>112</v>
      </c>
      <c r="BZ2435" s="2" t="s">
        <v>100</v>
      </c>
    </row>
    <row r="2436">
      <c r="A2436" s="2" t="s">
        <v>8627</v>
      </c>
      <c r="B2436" s="2" t="s">
        <v>6747</v>
      </c>
      <c r="C2436" s="2" t="s">
        <v>3950</v>
      </c>
      <c r="D2436" s="2" t="s">
        <v>7152</v>
      </c>
      <c r="E2436" s="2" t="s">
        <v>7153</v>
      </c>
      <c r="F2436" s="2" t="s">
        <v>8093</v>
      </c>
      <c r="G2436" s="2" t="s">
        <v>8093</v>
      </c>
      <c r="H2436" s="2" t="s">
        <v>8093</v>
      </c>
      <c r="I2436" s="2" t="s">
        <v>8625</v>
      </c>
      <c r="J2436" s="2" t="s">
        <v>3385</v>
      </c>
      <c r="K2436" s="2" t="s">
        <v>96</v>
      </c>
      <c r="L2436" s="3">
        <v>285</v>
      </c>
      <c r="M2436" s="3">
        <v>299.25</v>
      </c>
      <c r="N2436" s="3">
        <v>599</v>
      </c>
      <c r="O2436" s="2" t="s">
        <v>97</v>
      </c>
      <c r="P2436" s="2" t="s">
        <v>98</v>
      </c>
      <c r="Q2436" s="2" t="s">
        <v>99</v>
      </c>
      <c r="R2436" s="2" t="s">
        <v>100</v>
      </c>
      <c r="S2436" s="2" t="s">
        <v>100</v>
      </c>
      <c r="T2436" s="2" t="s">
        <v>100</v>
      </c>
      <c r="U2436" s="2" t="s">
        <v>1776</v>
      </c>
      <c r="V2436" s="2" t="s">
        <v>461</v>
      </c>
      <c r="W2436" s="2" t="s">
        <v>594</v>
      </c>
      <c r="X2436" s="2" t="s">
        <v>3979</v>
      </c>
      <c r="Y2436" s="2" t="s">
        <v>2045</v>
      </c>
      <c r="Z2436" s="4">
        <v>43</v>
      </c>
      <c r="AA2436" s="4">
        <f>=ROUNDDOWN(16.5384615384615,0)</f>
      </c>
      <c r="AB2436" s="5">
        <v>2.6</v>
      </c>
      <c r="AC2436" s="2" t="s">
        <v>1452</v>
      </c>
      <c r="AD2436" s="4">
        <v>141</v>
      </c>
      <c r="AE2436" s="4">
        <v>141</v>
      </c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/>
      <c r="AW2436" s="8"/>
      <c r="AX2436" s="4"/>
      <c r="AY2436" s="8"/>
      <c r="AZ2436" s="7"/>
      <c r="BA2436" s="7"/>
      <c r="BB2436" s="7"/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/>
      <c r="BJ2436" s="4">
        <v>11</v>
      </c>
      <c r="BK2436" s="8">
        <v>3164.13</v>
      </c>
      <c r="BL2436" s="2" t="s">
        <v>2807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2551</v>
      </c>
      <c r="BV2436" s="2" t="s">
        <v>97</v>
      </c>
      <c r="BW2436" s="2" t="s">
        <v>100</v>
      </c>
      <c r="BX2436" s="2" t="s">
        <v>100</v>
      </c>
      <c r="BY2436" s="2" t="s">
        <v>112</v>
      </c>
      <c r="BZ2436" s="2" t="s">
        <v>100</v>
      </c>
    </row>
    <row r="2437">
      <c r="A2437" s="2" t="s">
        <v>8628</v>
      </c>
      <c r="B2437" s="2" t="s">
        <v>6747</v>
      </c>
      <c r="C2437" s="2" t="s">
        <v>3950</v>
      </c>
      <c r="D2437" s="2" t="s">
        <v>7152</v>
      </c>
      <c r="E2437" s="2" t="s">
        <v>7153</v>
      </c>
      <c r="F2437" s="2" t="s">
        <v>8093</v>
      </c>
      <c r="G2437" s="2" t="s">
        <v>8093</v>
      </c>
      <c r="H2437" s="2" t="s">
        <v>8093</v>
      </c>
      <c r="I2437" s="2" t="s">
        <v>8625</v>
      </c>
      <c r="J2437" s="2" t="s">
        <v>3385</v>
      </c>
      <c r="K2437" s="2" t="s">
        <v>5681</v>
      </c>
      <c r="L2437" s="3">
        <v>285</v>
      </c>
      <c r="M2437" s="3">
        <v>299.25</v>
      </c>
      <c r="N2437" s="3">
        <v>599</v>
      </c>
      <c r="O2437" s="2" t="s">
        <v>97</v>
      </c>
      <c r="P2437" s="2" t="s">
        <v>139</v>
      </c>
      <c r="Q2437" s="2" t="s">
        <v>99</v>
      </c>
      <c r="R2437" s="2" t="s">
        <v>100</v>
      </c>
      <c r="S2437" s="2" t="s">
        <v>100</v>
      </c>
      <c r="T2437" s="2" t="s">
        <v>100</v>
      </c>
      <c r="U2437" s="2" t="s">
        <v>1776</v>
      </c>
      <c r="V2437" s="2" t="s">
        <v>461</v>
      </c>
      <c r="W2437" s="2" t="s">
        <v>594</v>
      </c>
      <c r="X2437" s="2" t="s">
        <v>3979</v>
      </c>
      <c r="Y2437" s="2" t="s">
        <v>8629</v>
      </c>
      <c r="Z2437" s="4">
        <v>373</v>
      </c>
      <c r="AA2437" s="4">
        <f>=ROUNDDOWN(7.93617021276596,0)</f>
      </c>
      <c r="AB2437" s="5">
        <v>47</v>
      </c>
      <c r="AC2437" s="2" t="s">
        <v>875</v>
      </c>
      <c r="AD2437" s="4">
        <v>179</v>
      </c>
      <c r="AE2437" s="4">
        <v>1011</v>
      </c>
      <c r="AF2437" s="6">
        <v>65</v>
      </c>
      <c r="AG2437" s="6">
        <v>48</v>
      </c>
      <c r="AH2437" s="7">
        <v>1</v>
      </c>
      <c r="AI2437" s="4"/>
      <c r="AJ2437" s="4">
        <f>=ROUNDDOWN({0},0)</f>
      </c>
      <c r="AK2437" s="5"/>
      <c r="AL2437" s="2" t="s">
        <v>6946</v>
      </c>
      <c r="AM2437" s="4">
        <v>282</v>
      </c>
      <c r="AN2437" s="4">
        <v>423</v>
      </c>
      <c r="AO2437" s="7">
        <v>0</v>
      </c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/>
      <c r="BJ2437" s="4">
        <v>203</v>
      </c>
      <c r="BK2437" s="8">
        <v>62230.27</v>
      </c>
      <c r="BL2437" s="2" t="s">
        <v>3146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2551</v>
      </c>
      <c r="BV2437" s="2" t="s">
        <v>97</v>
      </c>
      <c r="BW2437" s="2" t="s">
        <v>100</v>
      </c>
      <c r="BX2437" s="2" t="s">
        <v>100</v>
      </c>
      <c r="BY2437" s="2" t="s">
        <v>112</v>
      </c>
      <c r="BZ2437" s="2" t="s">
        <v>100</v>
      </c>
    </row>
    <row r="2438">
      <c r="A2438" s="2" t="s">
        <v>8630</v>
      </c>
      <c r="B2438" s="2" t="s">
        <v>6747</v>
      </c>
      <c r="C2438" s="2" t="s">
        <v>3950</v>
      </c>
      <c r="D2438" s="2" t="s">
        <v>7152</v>
      </c>
      <c r="E2438" s="2" t="s">
        <v>7153</v>
      </c>
      <c r="F2438" s="2" t="s">
        <v>8093</v>
      </c>
      <c r="G2438" s="2" t="s">
        <v>8093</v>
      </c>
      <c r="H2438" s="2" t="s">
        <v>8093</v>
      </c>
      <c r="I2438" s="2" t="s">
        <v>8625</v>
      </c>
      <c r="J2438" s="2" t="s">
        <v>3385</v>
      </c>
      <c r="K2438" s="2" t="s">
        <v>8631</v>
      </c>
      <c r="L2438" s="3">
        <v>285</v>
      </c>
      <c r="M2438" s="3">
        <v>299.25</v>
      </c>
      <c r="N2438" s="3">
        <v>599</v>
      </c>
      <c r="O2438" s="2" t="s">
        <v>97</v>
      </c>
      <c r="P2438" s="2" t="s">
        <v>98</v>
      </c>
      <c r="Q2438" s="2" t="s">
        <v>99</v>
      </c>
      <c r="R2438" s="2" t="s">
        <v>100</v>
      </c>
      <c r="S2438" s="2" t="s">
        <v>100</v>
      </c>
      <c r="T2438" s="2" t="s">
        <v>100</v>
      </c>
      <c r="U2438" s="2" t="s">
        <v>1776</v>
      </c>
      <c r="V2438" s="2" t="s">
        <v>461</v>
      </c>
      <c r="W2438" s="2" t="s">
        <v>594</v>
      </c>
      <c r="X2438" s="2" t="s">
        <v>3979</v>
      </c>
      <c r="Y2438" s="2" t="s">
        <v>8632</v>
      </c>
      <c r="Z2438" s="4">
        <v>196</v>
      </c>
      <c r="AA2438" s="4">
        <f>=ROUNDDOWN(32.6666666666667,0)</f>
      </c>
      <c r="AB2438" s="5">
        <v>6</v>
      </c>
      <c r="AC2438" s="2" t="s">
        <v>100</v>
      </c>
      <c r="AD2438" s="4"/>
      <c r="AE2438" s="4"/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/>
      <c r="BJ2438" s="4">
        <v>16</v>
      </c>
      <c r="BK2438" s="8">
        <v>4667.24</v>
      </c>
      <c r="BL2438" s="2" t="s">
        <v>2230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2551</v>
      </c>
      <c r="BV2438" s="2" t="s">
        <v>97</v>
      </c>
      <c r="BW2438" s="2" t="s">
        <v>100</v>
      </c>
      <c r="BX2438" s="2" t="s">
        <v>100</v>
      </c>
      <c r="BY2438" s="2" t="s">
        <v>112</v>
      </c>
      <c r="BZ2438" s="2" t="s">
        <v>100</v>
      </c>
    </row>
    <row r="2439">
      <c r="A2439" s="2" t="s">
        <v>8633</v>
      </c>
      <c r="B2439" s="2" t="s">
        <v>6747</v>
      </c>
      <c r="C2439" s="2" t="s">
        <v>3950</v>
      </c>
      <c r="D2439" s="2" t="s">
        <v>7179</v>
      </c>
      <c r="E2439" s="2" t="s">
        <v>8634</v>
      </c>
      <c r="F2439" s="2" t="s">
        <v>8635</v>
      </c>
      <c r="G2439" s="2" t="s">
        <v>8635</v>
      </c>
      <c r="H2439" s="2" t="s">
        <v>8635</v>
      </c>
      <c r="I2439" s="2" t="s">
        <v>8636</v>
      </c>
      <c r="J2439" s="2" t="s">
        <v>3385</v>
      </c>
      <c r="K2439" s="2" t="s">
        <v>8637</v>
      </c>
      <c r="L2439" s="3">
        <v>103.5</v>
      </c>
      <c r="M2439" s="3">
        <v>108.68</v>
      </c>
      <c r="N2439" s="3">
        <v>219</v>
      </c>
      <c r="O2439" s="2" t="s">
        <v>97</v>
      </c>
      <c r="P2439" s="2" t="s">
        <v>98</v>
      </c>
      <c r="Q2439" s="2" t="s">
        <v>99</v>
      </c>
      <c r="R2439" s="2" t="s">
        <v>100</v>
      </c>
      <c r="S2439" s="2" t="s">
        <v>8638</v>
      </c>
      <c r="T2439" s="2" t="s">
        <v>100</v>
      </c>
      <c r="U2439" s="2" t="s">
        <v>1776</v>
      </c>
      <c r="V2439" s="2" t="s">
        <v>3412</v>
      </c>
      <c r="W2439" s="2" t="s">
        <v>594</v>
      </c>
      <c r="X2439" s="2" t="s">
        <v>3979</v>
      </c>
      <c r="Y2439" s="2" t="s">
        <v>905</v>
      </c>
      <c r="Z2439" s="4">
        <v>215</v>
      </c>
      <c r="AA2439" s="4">
        <f>=ROUNDDOWN(19.5454545454545,0)</f>
      </c>
      <c r="AB2439" s="5">
        <v>11</v>
      </c>
      <c r="AC2439" s="2" t="s">
        <v>2709</v>
      </c>
      <c r="AD2439" s="4">
        <v>1</v>
      </c>
      <c r="AE2439" s="4">
        <v>131</v>
      </c>
      <c r="AF2439" s="6">
        <v>65</v>
      </c>
      <c r="AG2439" s="6">
        <v>48</v>
      </c>
      <c r="AH2439" s="7">
        <v>1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/>
      <c r="BD2439" s="8"/>
      <c r="BE2439" s="4"/>
      <c r="BF2439" s="8"/>
      <c r="BG2439" s="7"/>
      <c r="BH2439" s="7"/>
      <c r="BI2439" s="7"/>
      <c r="BJ2439" s="4">
        <v>25</v>
      </c>
      <c r="BK2439" s="8">
        <v>3040.59</v>
      </c>
      <c r="BL2439" s="2" t="s">
        <v>1744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2551</v>
      </c>
      <c r="BV2439" s="2" t="s">
        <v>97</v>
      </c>
      <c r="BW2439" s="2" t="s">
        <v>100</v>
      </c>
      <c r="BX2439" s="2" t="s">
        <v>100</v>
      </c>
      <c r="BY2439" s="2" t="s">
        <v>112</v>
      </c>
      <c r="BZ2439" s="2" t="s">
        <v>100</v>
      </c>
    </row>
    <row r="2440">
      <c r="A2440" s="2" t="s">
        <v>8639</v>
      </c>
      <c r="B2440" s="2" t="s">
        <v>6747</v>
      </c>
      <c r="C2440" s="2" t="s">
        <v>3950</v>
      </c>
      <c r="D2440" s="2" t="s">
        <v>7179</v>
      </c>
      <c r="E2440" s="2" t="s">
        <v>8634</v>
      </c>
      <c r="F2440" s="2" t="s">
        <v>8640</v>
      </c>
      <c r="G2440" s="2" t="s">
        <v>8640</v>
      </c>
      <c r="H2440" s="2" t="s">
        <v>8640</v>
      </c>
      <c r="I2440" s="2" t="s">
        <v>8636</v>
      </c>
      <c r="J2440" s="2" t="s">
        <v>3385</v>
      </c>
      <c r="K2440" s="2" t="s">
        <v>8637</v>
      </c>
      <c r="L2440" s="3">
        <v>112.2</v>
      </c>
      <c r="M2440" s="3">
        <v>117.81</v>
      </c>
      <c r="N2440" s="3">
        <v>239</v>
      </c>
      <c r="O2440" s="2" t="s">
        <v>97</v>
      </c>
      <c r="P2440" s="2" t="s">
        <v>98</v>
      </c>
      <c r="Q2440" s="2" t="s">
        <v>99</v>
      </c>
      <c r="R2440" s="2" t="s">
        <v>100</v>
      </c>
      <c r="S2440" s="2" t="s">
        <v>8641</v>
      </c>
      <c r="T2440" s="2" t="s">
        <v>100</v>
      </c>
      <c r="U2440" s="2" t="s">
        <v>1776</v>
      </c>
      <c r="V2440" s="2" t="s">
        <v>461</v>
      </c>
      <c r="W2440" s="2" t="s">
        <v>594</v>
      </c>
      <c r="X2440" s="2" t="s">
        <v>3979</v>
      </c>
      <c r="Y2440" s="2" t="s">
        <v>905</v>
      </c>
      <c r="Z2440" s="4">
        <v>183</v>
      </c>
      <c r="AA2440" s="4">
        <f>=ROUNDDOWN(15.25,0)</f>
      </c>
      <c r="AB2440" s="5">
        <v>12</v>
      </c>
      <c r="AC2440" s="2" t="s">
        <v>2772</v>
      </c>
      <c r="AD2440" s="4">
        <v>100</v>
      </c>
      <c r="AE2440" s="4">
        <v>216</v>
      </c>
      <c r="AF2440" s="6">
        <v>65</v>
      </c>
      <c r="AG2440" s="6">
        <v>48</v>
      </c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/>
      <c r="BD2440" s="8"/>
      <c r="BE2440" s="4"/>
      <c r="BF2440" s="8"/>
      <c r="BG2440" s="7"/>
      <c r="BH2440" s="7"/>
      <c r="BI2440" s="7"/>
      <c r="BJ2440" s="4">
        <v>36</v>
      </c>
      <c r="BK2440" s="8">
        <v>4226.04</v>
      </c>
      <c r="BL2440" s="2" t="s">
        <v>8421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2551</v>
      </c>
      <c r="BV2440" s="2" t="s">
        <v>97</v>
      </c>
      <c r="BW2440" s="2" t="s">
        <v>100</v>
      </c>
      <c r="BX2440" s="2" t="s">
        <v>100</v>
      </c>
      <c r="BY2440" s="2" t="s">
        <v>112</v>
      </c>
      <c r="BZ2440" s="2" t="s">
        <v>100</v>
      </c>
    </row>
    <row r="2441">
      <c r="A2441" s="2" t="s">
        <v>8642</v>
      </c>
      <c r="B2441" s="2" t="s">
        <v>6747</v>
      </c>
      <c r="C2441" s="2" t="s">
        <v>3950</v>
      </c>
      <c r="D2441" s="2" t="s">
        <v>7179</v>
      </c>
      <c r="E2441" s="2" t="s">
        <v>8634</v>
      </c>
      <c r="F2441" s="2" t="s">
        <v>8643</v>
      </c>
      <c r="G2441" s="2" t="s">
        <v>8643</v>
      </c>
      <c r="H2441" s="2" t="s">
        <v>8643</v>
      </c>
      <c r="I2441" s="2" t="s">
        <v>8636</v>
      </c>
      <c r="J2441" s="2" t="s">
        <v>3385</v>
      </c>
      <c r="K2441" s="2" t="s">
        <v>8644</v>
      </c>
      <c r="L2441" s="3">
        <v>85.5</v>
      </c>
      <c r="M2441" s="3">
        <v>89.78</v>
      </c>
      <c r="N2441" s="3">
        <v>179</v>
      </c>
      <c r="O2441" s="2" t="s">
        <v>97</v>
      </c>
      <c r="P2441" s="2" t="s">
        <v>707</v>
      </c>
      <c r="Q2441" s="2" t="s">
        <v>99</v>
      </c>
      <c r="R2441" s="2" t="s">
        <v>100</v>
      </c>
      <c r="S2441" s="2" t="s">
        <v>8645</v>
      </c>
      <c r="T2441" s="2" t="s">
        <v>100</v>
      </c>
      <c r="U2441" s="2" t="s">
        <v>1776</v>
      </c>
      <c r="V2441" s="2" t="s">
        <v>461</v>
      </c>
      <c r="W2441" s="2" t="s">
        <v>594</v>
      </c>
      <c r="X2441" s="2" t="s">
        <v>3979</v>
      </c>
      <c r="Y2441" s="2" t="s">
        <v>2148</v>
      </c>
      <c r="Z2441" s="4">
        <v>75</v>
      </c>
      <c r="AA2441" s="4">
        <f>=ROUNDDOWN(18.75,0)</f>
      </c>
      <c r="AB2441" s="5">
        <v>4</v>
      </c>
      <c r="AC2441" s="2" t="s">
        <v>2709</v>
      </c>
      <c r="AD2441" s="4">
        <v>100</v>
      </c>
      <c r="AE2441" s="4">
        <v>100</v>
      </c>
      <c r="AF2441" s="6">
        <v>74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/>
      <c r="BD2441" s="8"/>
      <c r="BE2441" s="4"/>
      <c r="BF2441" s="8"/>
      <c r="BG2441" s="7"/>
      <c r="BH2441" s="7"/>
      <c r="BI2441" s="7"/>
      <c r="BJ2441" s="4">
        <v>11</v>
      </c>
      <c r="BK2441" s="8">
        <v>1103.79</v>
      </c>
      <c r="BL2441" s="2" t="s">
        <v>6985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2526</v>
      </c>
      <c r="BV2441" s="2" t="s">
        <v>97</v>
      </c>
      <c r="BW2441" s="2" t="s">
        <v>100</v>
      </c>
      <c r="BX2441" s="2" t="s">
        <v>100</v>
      </c>
      <c r="BY2441" s="2" t="s">
        <v>112</v>
      </c>
      <c r="BZ2441" s="2" t="s">
        <v>100</v>
      </c>
    </row>
    <row r="2442">
      <c r="A2442" s="2" t="s">
        <v>8646</v>
      </c>
      <c r="B2442" s="2" t="s">
        <v>6747</v>
      </c>
      <c r="C2442" s="2" t="s">
        <v>3950</v>
      </c>
      <c r="D2442" s="2" t="s">
        <v>7179</v>
      </c>
      <c r="E2442" s="2" t="s">
        <v>8634</v>
      </c>
      <c r="F2442" s="2" t="s">
        <v>8647</v>
      </c>
      <c r="G2442" s="2" t="s">
        <v>8647</v>
      </c>
      <c r="H2442" s="2" t="s">
        <v>8647</v>
      </c>
      <c r="I2442" s="2" t="s">
        <v>8648</v>
      </c>
      <c r="J2442" s="2" t="s">
        <v>3385</v>
      </c>
      <c r="K2442" s="2" t="s">
        <v>8344</v>
      </c>
      <c r="L2442" s="3">
        <v>85.63</v>
      </c>
      <c r="M2442" s="3">
        <v>89.91</v>
      </c>
      <c r="N2442" s="3">
        <v>179</v>
      </c>
      <c r="O2442" s="2" t="s">
        <v>97</v>
      </c>
      <c r="P2442" s="2" t="s">
        <v>707</v>
      </c>
      <c r="Q2442" s="2" t="s">
        <v>99</v>
      </c>
      <c r="R2442" s="2" t="s">
        <v>100</v>
      </c>
      <c r="S2442" s="2" t="s">
        <v>8649</v>
      </c>
      <c r="T2442" s="2" t="s">
        <v>100</v>
      </c>
      <c r="U2442" s="2" t="s">
        <v>1776</v>
      </c>
      <c r="V2442" s="2" t="s">
        <v>461</v>
      </c>
      <c r="W2442" s="2" t="s">
        <v>142</v>
      </c>
      <c r="X2442" s="2" t="s">
        <v>3979</v>
      </c>
      <c r="Y2442" s="2" t="s">
        <v>5303</v>
      </c>
      <c r="Z2442" s="4">
        <v>130</v>
      </c>
      <c r="AA2442" s="4">
        <f>=ROUNDDOWN(32.5,0)</f>
      </c>
      <c r="AB2442" s="5">
        <v>4</v>
      </c>
      <c r="AC2442" s="2" t="s">
        <v>100</v>
      </c>
      <c r="AD2442" s="4"/>
      <c r="AE2442" s="4"/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/>
      <c r="BD2442" s="8"/>
      <c r="BE2442" s="4"/>
      <c r="BF2442" s="8"/>
      <c r="BG2442" s="7"/>
      <c r="BH2442" s="7"/>
      <c r="BI2442" s="7"/>
      <c r="BJ2442" s="4">
        <v>22</v>
      </c>
      <c r="BK2442" s="8">
        <v>2145.45</v>
      </c>
      <c r="BL2442" s="2" t="s">
        <v>8650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2526</v>
      </c>
      <c r="BV2442" s="2" t="s">
        <v>97</v>
      </c>
      <c r="BW2442" s="2" t="s">
        <v>100</v>
      </c>
      <c r="BX2442" s="2" t="s">
        <v>100</v>
      </c>
      <c r="BY2442" s="2" t="s">
        <v>112</v>
      </c>
      <c r="BZ2442" s="2" t="s">
        <v>100</v>
      </c>
    </row>
    <row r="2443">
      <c r="A2443" s="2" t="s">
        <v>8651</v>
      </c>
      <c r="B2443" s="2" t="s">
        <v>6747</v>
      </c>
      <c r="C2443" s="2" t="s">
        <v>3950</v>
      </c>
      <c r="D2443" s="2" t="s">
        <v>7179</v>
      </c>
      <c r="E2443" s="2" t="s">
        <v>7180</v>
      </c>
      <c r="F2443" s="2" t="s">
        <v>8652</v>
      </c>
      <c r="G2443" s="2" t="s">
        <v>8652</v>
      </c>
      <c r="H2443" s="2" t="s">
        <v>8652</v>
      </c>
      <c r="I2443" s="2" t="s">
        <v>8653</v>
      </c>
      <c r="J2443" s="2" t="s">
        <v>3385</v>
      </c>
      <c r="K2443" s="2" t="s">
        <v>446</v>
      </c>
      <c r="L2443" s="3">
        <v>175</v>
      </c>
      <c r="M2443" s="3">
        <v>183.75</v>
      </c>
      <c r="N2443" s="3">
        <v>369</v>
      </c>
      <c r="O2443" s="2" t="s">
        <v>97</v>
      </c>
      <c r="P2443" s="2" t="s">
        <v>98</v>
      </c>
      <c r="Q2443" s="2" t="s">
        <v>99</v>
      </c>
      <c r="R2443" s="2" t="s">
        <v>100</v>
      </c>
      <c r="S2443" s="2" t="s">
        <v>100</v>
      </c>
      <c r="T2443" s="2" t="s">
        <v>100</v>
      </c>
      <c r="U2443" s="2" t="s">
        <v>1776</v>
      </c>
      <c r="V2443" s="2" t="s">
        <v>461</v>
      </c>
      <c r="W2443" s="2" t="s">
        <v>594</v>
      </c>
      <c r="X2443" s="2" t="s">
        <v>3979</v>
      </c>
      <c r="Y2443" s="2" t="s">
        <v>8654</v>
      </c>
      <c r="Z2443" s="4">
        <v>140</v>
      </c>
      <c r="AA2443" s="4">
        <f>=ROUNDDOWN(28,0)</f>
      </c>
      <c r="AB2443" s="5">
        <v>5</v>
      </c>
      <c r="AC2443" s="2" t="s">
        <v>100</v>
      </c>
      <c r="AD2443" s="4"/>
      <c r="AE2443" s="4"/>
      <c r="AF2443" s="6">
        <v>74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/>
      <c r="BD2443" s="8"/>
      <c r="BE2443" s="4"/>
      <c r="BF2443" s="8"/>
      <c r="BG2443" s="7"/>
      <c r="BH2443" s="7"/>
      <c r="BI2443" s="7"/>
      <c r="BJ2443" s="4">
        <v>11</v>
      </c>
      <c r="BK2443" s="8">
        <v>2117.65</v>
      </c>
      <c r="BL2443" s="2" t="s">
        <v>7821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2551</v>
      </c>
      <c r="BV2443" s="2" t="s">
        <v>97</v>
      </c>
      <c r="BW2443" s="2" t="s">
        <v>100</v>
      </c>
      <c r="BX2443" s="2" t="s">
        <v>100</v>
      </c>
      <c r="BY2443" s="2" t="s">
        <v>112</v>
      </c>
      <c r="BZ2443" s="2" t="s">
        <v>100</v>
      </c>
    </row>
    <row r="2444">
      <c r="A2444" s="2" t="s">
        <v>8655</v>
      </c>
      <c r="B2444" s="2" t="s">
        <v>6747</v>
      </c>
      <c r="C2444" s="2" t="s">
        <v>3950</v>
      </c>
      <c r="D2444" s="2" t="s">
        <v>7179</v>
      </c>
      <c r="E2444" s="2" t="s">
        <v>7204</v>
      </c>
      <c r="F2444" s="2" t="s">
        <v>8656</v>
      </c>
      <c r="G2444" s="2" t="s">
        <v>8656</v>
      </c>
      <c r="H2444" s="2" t="s">
        <v>8656</v>
      </c>
      <c r="I2444" s="2" t="s">
        <v>8657</v>
      </c>
      <c r="J2444" s="2" t="s">
        <v>8658</v>
      </c>
      <c r="K2444" s="2" t="s">
        <v>8637</v>
      </c>
      <c r="L2444" s="3">
        <v>190</v>
      </c>
      <c r="M2444" s="3">
        <v>199.5</v>
      </c>
      <c r="N2444" s="3">
        <v>399</v>
      </c>
      <c r="O2444" s="2" t="s">
        <v>97</v>
      </c>
      <c r="P2444" s="2" t="s">
        <v>123</v>
      </c>
      <c r="Q2444" s="2" t="s">
        <v>99</v>
      </c>
      <c r="R2444" s="2" t="s">
        <v>100</v>
      </c>
      <c r="S2444" s="2" t="s">
        <v>100</v>
      </c>
      <c r="T2444" s="2" t="s">
        <v>100</v>
      </c>
      <c r="U2444" s="2" t="s">
        <v>1776</v>
      </c>
      <c r="V2444" s="2" t="s">
        <v>3412</v>
      </c>
      <c r="W2444" s="2" t="s">
        <v>104</v>
      </c>
      <c r="X2444" s="2" t="s">
        <v>3979</v>
      </c>
      <c r="Y2444" s="2" t="s">
        <v>6332</v>
      </c>
      <c r="Z2444" s="4">
        <v>37</v>
      </c>
      <c r="AA2444" s="4">
        <f>=ROUNDDOWN(3.7,0)</f>
      </c>
      <c r="AB2444" s="5">
        <v>10</v>
      </c>
      <c r="AC2444" s="2" t="s">
        <v>897</v>
      </c>
      <c r="AD2444" s="4">
        <v>89</v>
      </c>
      <c r="AE2444" s="4">
        <v>450</v>
      </c>
      <c r="AF2444" s="6">
        <v>65</v>
      </c>
      <c r="AG2444" s="6">
        <v>48</v>
      </c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/>
      <c r="BD2444" s="8"/>
      <c r="BE2444" s="4"/>
      <c r="BF2444" s="8"/>
      <c r="BG2444" s="7"/>
      <c r="BH2444" s="7"/>
      <c r="BI2444" s="7"/>
      <c r="BJ2444" s="4">
        <v>38</v>
      </c>
      <c r="BK2444" s="8">
        <v>8388.51</v>
      </c>
      <c r="BL2444" s="2" t="s">
        <v>8361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2551</v>
      </c>
      <c r="BV2444" s="2" t="s">
        <v>97</v>
      </c>
      <c r="BW2444" s="2" t="s">
        <v>100</v>
      </c>
      <c r="BX2444" s="2" t="s">
        <v>100</v>
      </c>
      <c r="BY2444" s="2" t="s">
        <v>112</v>
      </c>
      <c r="BZ2444" s="2" t="s">
        <v>100</v>
      </c>
    </row>
    <row r="2445">
      <c r="A2445" s="2" t="s">
        <v>8659</v>
      </c>
      <c r="B2445" s="2" t="s">
        <v>6747</v>
      </c>
      <c r="C2445" s="2" t="s">
        <v>3950</v>
      </c>
      <c r="D2445" s="2" t="s">
        <v>7179</v>
      </c>
      <c r="E2445" s="2" t="s">
        <v>7204</v>
      </c>
      <c r="F2445" s="2" t="s">
        <v>8660</v>
      </c>
      <c r="G2445" s="2" t="s">
        <v>8660</v>
      </c>
      <c r="H2445" s="2" t="s">
        <v>8660</v>
      </c>
      <c r="I2445" s="2" t="s">
        <v>8661</v>
      </c>
      <c r="J2445" s="2" t="s">
        <v>3385</v>
      </c>
      <c r="K2445" s="2" t="s">
        <v>138</v>
      </c>
      <c r="L2445" s="3">
        <v>168</v>
      </c>
      <c r="M2445" s="3">
        <v>176.4</v>
      </c>
      <c r="N2445" s="3">
        <v>359</v>
      </c>
      <c r="O2445" s="2" t="s">
        <v>97</v>
      </c>
      <c r="P2445" s="2" t="s">
        <v>98</v>
      </c>
      <c r="Q2445" s="2" t="s">
        <v>99</v>
      </c>
      <c r="R2445" s="2" t="s">
        <v>100</v>
      </c>
      <c r="S2445" s="2" t="s">
        <v>100</v>
      </c>
      <c r="T2445" s="2" t="s">
        <v>100</v>
      </c>
      <c r="U2445" s="2" t="s">
        <v>1776</v>
      </c>
      <c r="V2445" s="2" t="s">
        <v>3412</v>
      </c>
      <c r="W2445" s="2" t="s">
        <v>104</v>
      </c>
      <c r="X2445" s="2" t="s">
        <v>4008</v>
      </c>
      <c r="Y2445" s="2" t="s">
        <v>8662</v>
      </c>
      <c r="Z2445" s="4">
        <v>65</v>
      </c>
      <c r="AA2445" s="4">
        <f>=ROUNDDOWN(9.28571428571429,0)</f>
      </c>
      <c r="AB2445" s="5">
        <v>7</v>
      </c>
      <c r="AC2445" s="2" t="s">
        <v>7852</v>
      </c>
      <c r="AD2445" s="4">
        <v>130</v>
      </c>
      <c r="AE2445" s="4">
        <v>130</v>
      </c>
      <c r="AF2445" s="6">
        <v>76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/>
      <c r="BD2445" s="8"/>
      <c r="BE2445" s="4"/>
      <c r="BF2445" s="8"/>
      <c r="BG2445" s="7"/>
      <c r="BH2445" s="7"/>
      <c r="BI2445" s="7"/>
      <c r="BJ2445" s="4">
        <v>27</v>
      </c>
      <c r="BK2445" s="8">
        <v>4711.44</v>
      </c>
      <c r="BL2445" s="2" t="s">
        <v>8663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2551</v>
      </c>
      <c r="BV2445" s="2" t="s">
        <v>97</v>
      </c>
      <c r="BW2445" s="2" t="s">
        <v>100</v>
      </c>
      <c r="BX2445" s="2" t="s">
        <v>100</v>
      </c>
      <c r="BY2445" s="2" t="s">
        <v>112</v>
      </c>
      <c r="BZ2445" s="2" t="s">
        <v>100</v>
      </c>
    </row>
    <row r="2446">
      <c r="A2446" s="2" t="s">
        <v>8664</v>
      </c>
      <c r="B2446" s="2" t="s">
        <v>6747</v>
      </c>
      <c r="C2446" s="2" t="s">
        <v>3950</v>
      </c>
      <c r="D2446" s="2" t="s">
        <v>7179</v>
      </c>
      <c r="E2446" s="2" t="s">
        <v>8374</v>
      </c>
      <c r="F2446" s="2" t="s">
        <v>8660</v>
      </c>
      <c r="G2446" s="2" t="s">
        <v>8660</v>
      </c>
      <c r="H2446" s="2" t="s">
        <v>8660</v>
      </c>
      <c r="I2446" s="2" t="s">
        <v>8665</v>
      </c>
      <c r="J2446" s="2" t="s">
        <v>3385</v>
      </c>
      <c r="K2446" s="2" t="s">
        <v>138</v>
      </c>
      <c r="L2446" s="3">
        <v>168</v>
      </c>
      <c r="M2446" s="3">
        <v>176.4</v>
      </c>
      <c r="N2446" s="3">
        <v>359</v>
      </c>
      <c r="O2446" s="2" t="s">
        <v>97</v>
      </c>
      <c r="P2446" s="2" t="s">
        <v>98</v>
      </c>
      <c r="Q2446" s="2" t="s">
        <v>99</v>
      </c>
      <c r="R2446" s="2" t="s">
        <v>100</v>
      </c>
      <c r="S2446" s="2" t="s">
        <v>100</v>
      </c>
      <c r="T2446" s="2" t="s">
        <v>100</v>
      </c>
      <c r="U2446" s="2" t="s">
        <v>1776</v>
      </c>
      <c r="V2446" s="2" t="s">
        <v>3412</v>
      </c>
      <c r="W2446" s="2" t="s">
        <v>104</v>
      </c>
      <c r="X2446" s="2" t="s">
        <v>4008</v>
      </c>
      <c r="Y2446" s="2" t="s">
        <v>8662</v>
      </c>
      <c r="Z2446" s="4">
        <v>48</v>
      </c>
      <c r="AA2446" s="4">
        <f>=ROUNDDOWN(6,0)</f>
      </c>
      <c r="AB2446" s="5">
        <v>8</v>
      </c>
      <c r="AC2446" s="2" t="s">
        <v>7852</v>
      </c>
      <c r="AD2446" s="4">
        <v>140</v>
      </c>
      <c r="AE2446" s="4">
        <v>140</v>
      </c>
      <c r="AF2446" s="6">
        <v>76</v>
      </c>
      <c r="AG2446" s="6"/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/>
      <c r="BD2446" s="8"/>
      <c r="BE2446" s="4"/>
      <c r="BF2446" s="8"/>
      <c r="BG2446" s="7"/>
      <c r="BH2446" s="7"/>
      <c r="BI2446" s="7"/>
      <c r="BJ2446" s="4">
        <v>30</v>
      </c>
      <c r="BK2446" s="8">
        <v>5404.66</v>
      </c>
      <c r="BL2446" s="2" t="s">
        <v>7144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2551</v>
      </c>
      <c r="BV2446" s="2" t="s">
        <v>97</v>
      </c>
      <c r="BW2446" s="2" t="s">
        <v>100</v>
      </c>
      <c r="BX2446" s="2" t="s">
        <v>100</v>
      </c>
      <c r="BY2446" s="2" t="s">
        <v>112</v>
      </c>
      <c r="BZ2446" s="2" t="s">
        <v>100</v>
      </c>
    </row>
    <row r="2447">
      <c r="A2447" s="2" t="s">
        <v>8666</v>
      </c>
      <c r="B2447" s="2" t="s">
        <v>6747</v>
      </c>
      <c r="C2447" s="2" t="s">
        <v>3950</v>
      </c>
      <c r="D2447" s="2" t="s">
        <v>7179</v>
      </c>
      <c r="E2447" s="2" t="s">
        <v>8374</v>
      </c>
      <c r="F2447" s="2" t="s">
        <v>8667</v>
      </c>
      <c r="G2447" s="2" t="s">
        <v>8667</v>
      </c>
      <c r="H2447" s="2" t="s">
        <v>8667</v>
      </c>
      <c r="I2447" s="2" t="s">
        <v>8668</v>
      </c>
      <c r="J2447" s="2" t="s">
        <v>3385</v>
      </c>
      <c r="K2447" s="2" t="s">
        <v>138</v>
      </c>
      <c r="L2447" s="3">
        <v>165</v>
      </c>
      <c r="M2447" s="3">
        <v>173.25</v>
      </c>
      <c r="N2447" s="3">
        <v>349</v>
      </c>
      <c r="O2447" s="2" t="s">
        <v>97</v>
      </c>
      <c r="P2447" s="2" t="s">
        <v>123</v>
      </c>
      <c r="Q2447" s="2" t="s">
        <v>99</v>
      </c>
      <c r="R2447" s="2" t="s">
        <v>100</v>
      </c>
      <c r="S2447" s="2" t="s">
        <v>100</v>
      </c>
      <c r="T2447" s="2" t="s">
        <v>100</v>
      </c>
      <c r="U2447" s="2" t="s">
        <v>1776</v>
      </c>
      <c r="V2447" s="2" t="s">
        <v>3412</v>
      </c>
      <c r="W2447" s="2" t="s">
        <v>493</v>
      </c>
      <c r="X2447" s="2" t="s">
        <v>3953</v>
      </c>
      <c r="Y2447" s="2" t="s">
        <v>8669</v>
      </c>
      <c r="Z2447" s="4">
        <v>258</v>
      </c>
      <c r="AA2447" s="4">
        <f>=ROUNDDOWN(16.125,0)</f>
      </c>
      <c r="AB2447" s="5">
        <v>16</v>
      </c>
      <c r="AC2447" s="2" t="s">
        <v>173</v>
      </c>
      <c r="AD2447" s="4">
        <v>150</v>
      </c>
      <c r="AE2447" s="4">
        <v>266</v>
      </c>
      <c r="AF2447" s="6">
        <v>65</v>
      </c>
      <c r="AG2447" s="6">
        <v>48</v>
      </c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/>
      <c r="BD2447" s="8"/>
      <c r="BE2447" s="4"/>
      <c r="BF2447" s="8"/>
      <c r="BG2447" s="7"/>
      <c r="BH2447" s="7"/>
      <c r="BI2447" s="7"/>
      <c r="BJ2447" s="4">
        <v>59</v>
      </c>
      <c r="BK2447" s="8">
        <v>10282.95</v>
      </c>
      <c r="BL2447" s="2" t="s">
        <v>8670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2551</v>
      </c>
      <c r="BV2447" s="2" t="s">
        <v>97</v>
      </c>
      <c r="BW2447" s="2" t="s">
        <v>100</v>
      </c>
      <c r="BX2447" s="2" t="s">
        <v>100</v>
      </c>
      <c r="BY2447" s="2" t="s">
        <v>112</v>
      </c>
      <c r="BZ2447" s="2" t="s">
        <v>100</v>
      </c>
    </row>
    <row r="2448">
      <c r="A2448" s="2" t="s">
        <v>8671</v>
      </c>
      <c r="B2448" s="2" t="s">
        <v>6747</v>
      </c>
      <c r="C2448" s="2" t="s">
        <v>3950</v>
      </c>
      <c r="D2448" s="2" t="s">
        <v>7223</v>
      </c>
      <c r="E2448" s="2" t="s">
        <v>7224</v>
      </c>
      <c r="F2448" s="2" t="s">
        <v>8672</v>
      </c>
      <c r="G2448" s="2" t="s">
        <v>8672</v>
      </c>
      <c r="H2448" s="2" t="s">
        <v>8672</v>
      </c>
      <c r="I2448" s="2" t="s">
        <v>8673</v>
      </c>
      <c r="J2448" s="2" t="s">
        <v>3385</v>
      </c>
      <c r="K2448" s="2" t="s">
        <v>1090</v>
      </c>
      <c r="L2448" s="3">
        <v>193.5</v>
      </c>
      <c r="M2448" s="3">
        <v>203.18</v>
      </c>
      <c r="N2448" s="3">
        <v>399</v>
      </c>
      <c r="O2448" s="2" t="s">
        <v>97</v>
      </c>
      <c r="P2448" s="2" t="s">
        <v>98</v>
      </c>
      <c r="Q2448" s="2" t="s">
        <v>99</v>
      </c>
      <c r="R2448" s="2" t="s">
        <v>100</v>
      </c>
      <c r="S2448" s="2" t="s">
        <v>100</v>
      </c>
      <c r="T2448" s="2" t="s">
        <v>100</v>
      </c>
      <c r="U2448" s="2" t="s">
        <v>1776</v>
      </c>
      <c r="V2448" s="2" t="s">
        <v>461</v>
      </c>
      <c r="W2448" s="2" t="s">
        <v>142</v>
      </c>
      <c r="X2448" s="2" t="s">
        <v>3979</v>
      </c>
      <c r="Y2448" s="2" t="s">
        <v>8674</v>
      </c>
      <c r="Z2448" s="4">
        <v>88</v>
      </c>
      <c r="AA2448" s="4">
        <f>=ROUNDDOWN(17.6,0)</f>
      </c>
      <c r="AB2448" s="5">
        <v>5</v>
      </c>
      <c r="AC2448" s="2" t="s">
        <v>8545</v>
      </c>
      <c r="AD2448" s="4">
        <v>100</v>
      </c>
      <c r="AE2448" s="4">
        <v>100</v>
      </c>
      <c r="AF2448" s="6">
        <v>65</v>
      </c>
      <c r="AG2448" s="6">
        <v>48</v>
      </c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/>
      <c r="BD2448" s="8"/>
      <c r="BE2448" s="4"/>
      <c r="BF2448" s="8"/>
      <c r="BG2448" s="7"/>
      <c r="BH2448" s="7"/>
      <c r="BI2448" s="7"/>
      <c r="BJ2448" s="4">
        <v>18</v>
      </c>
      <c r="BK2448" s="8">
        <v>3541.21</v>
      </c>
      <c r="BL2448" s="2" t="s">
        <v>7821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2551</v>
      </c>
      <c r="BV2448" s="2" t="s">
        <v>97</v>
      </c>
      <c r="BW2448" s="2" t="s">
        <v>100</v>
      </c>
      <c r="BX2448" s="2" t="s">
        <v>100</v>
      </c>
      <c r="BY2448" s="2" t="s">
        <v>112</v>
      </c>
      <c r="BZ2448" s="2" t="s">
        <v>100</v>
      </c>
    </row>
    <row r="2449">
      <c r="A2449" s="2" t="s">
        <v>8675</v>
      </c>
      <c r="B2449" s="2" t="s">
        <v>6747</v>
      </c>
      <c r="C2449" s="2" t="s">
        <v>3950</v>
      </c>
      <c r="D2449" s="2" t="s">
        <v>7223</v>
      </c>
      <c r="E2449" s="2" t="s">
        <v>7224</v>
      </c>
      <c r="F2449" s="2" t="s">
        <v>8676</v>
      </c>
      <c r="G2449" s="2" t="s">
        <v>8676</v>
      </c>
      <c r="H2449" s="2" t="s">
        <v>8676</v>
      </c>
      <c r="I2449" s="2" t="s">
        <v>8673</v>
      </c>
      <c r="J2449" s="2" t="s">
        <v>3385</v>
      </c>
      <c r="K2449" s="2" t="s">
        <v>2548</v>
      </c>
      <c r="L2449" s="3">
        <v>135.58</v>
      </c>
      <c r="M2449" s="3">
        <v>142.36</v>
      </c>
      <c r="N2449" s="3">
        <v>289</v>
      </c>
      <c r="O2449" s="2" t="s">
        <v>97</v>
      </c>
      <c r="P2449" s="2" t="s">
        <v>98</v>
      </c>
      <c r="Q2449" s="2" t="s">
        <v>99</v>
      </c>
      <c r="R2449" s="2" t="s">
        <v>100</v>
      </c>
      <c r="S2449" s="2" t="s">
        <v>8677</v>
      </c>
      <c r="T2449" s="2" t="s">
        <v>100</v>
      </c>
      <c r="U2449" s="2" t="s">
        <v>1776</v>
      </c>
      <c r="V2449" s="2" t="s">
        <v>461</v>
      </c>
      <c r="W2449" s="2" t="s">
        <v>594</v>
      </c>
      <c r="X2449" s="2" t="s">
        <v>3979</v>
      </c>
      <c r="Y2449" s="2" t="s">
        <v>3661</v>
      </c>
      <c r="Z2449" s="4">
        <v>150</v>
      </c>
      <c r="AA2449" s="4">
        <f>=ROUNDDOWN(25,0)</f>
      </c>
      <c r="AB2449" s="5">
        <v>6</v>
      </c>
      <c r="AC2449" s="2" t="s">
        <v>1468</v>
      </c>
      <c r="AD2449" s="4">
        <v>8</v>
      </c>
      <c r="AE2449" s="4">
        <v>103</v>
      </c>
      <c r="AF2449" s="6">
        <v>66</v>
      </c>
      <c r="AG2449" s="6">
        <v>49</v>
      </c>
      <c r="AH2449" s="7">
        <v>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/>
      <c r="BD2449" s="8"/>
      <c r="BE2449" s="4"/>
      <c r="BF2449" s="8"/>
      <c r="BG2449" s="7"/>
      <c r="BH2449" s="7"/>
      <c r="BI2449" s="7"/>
      <c r="BJ2449" s="4">
        <v>21</v>
      </c>
      <c r="BK2449" s="8">
        <v>2904.61</v>
      </c>
      <c r="BL2449" s="2" t="s">
        <v>3721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2551</v>
      </c>
      <c r="BV2449" s="2" t="s">
        <v>97</v>
      </c>
      <c r="BW2449" s="2" t="s">
        <v>100</v>
      </c>
      <c r="BX2449" s="2" t="s">
        <v>100</v>
      </c>
      <c r="BY2449" s="2" t="s">
        <v>112</v>
      </c>
      <c r="BZ2449" s="2" t="s">
        <v>100</v>
      </c>
    </row>
    <row r="2450">
      <c r="A2450" s="2" t="s">
        <v>8678</v>
      </c>
      <c r="B2450" s="2" t="s">
        <v>6747</v>
      </c>
      <c r="C2450" s="2" t="s">
        <v>3950</v>
      </c>
      <c r="D2450" s="2" t="s">
        <v>7223</v>
      </c>
      <c r="E2450" s="2" t="s">
        <v>7224</v>
      </c>
      <c r="F2450" s="2" t="s">
        <v>8679</v>
      </c>
      <c r="G2450" s="2" t="s">
        <v>8679</v>
      </c>
      <c r="H2450" s="2" t="s">
        <v>8679</v>
      </c>
      <c r="I2450" s="2" t="s">
        <v>8680</v>
      </c>
      <c r="J2450" s="2" t="s">
        <v>3385</v>
      </c>
      <c r="K2450" s="2" t="s">
        <v>446</v>
      </c>
      <c r="L2450" s="3">
        <v>144</v>
      </c>
      <c r="M2450" s="3">
        <v>151.2</v>
      </c>
      <c r="N2450" s="3">
        <v>299</v>
      </c>
      <c r="O2450" s="2" t="s">
        <v>97</v>
      </c>
      <c r="P2450" s="2" t="s">
        <v>707</v>
      </c>
      <c r="Q2450" s="2" t="s">
        <v>99</v>
      </c>
      <c r="R2450" s="2" t="s">
        <v>100</v>
      </c>
      <c r="S2450" s="2" t="s">
        <v>8681</v>
      </c>
      <c r="T2450" s="2" t="s">
        <v>100</v>
      </c>
      <c r="U2450" s="2" t="s">
        <v>1776</v>
      </c>
      <c r="V2450" s="2" t="s">
        <v>461</v>
      </c>
      <c r="W2450" s="2" t="s">
        <v>594</v>
      </c>
      <c r="X2450" s="2" t="s">
        <v>3979</v>
      </c>
      <c r="Y2450" s="2" t="s">
        <v>3661</v>
      </c>
      <c r="Z2450" s="4">
        <v>70</v>
      </c>
      <c r="AA2450" s="4">
        <f>=ROUNDDOWN(23.3333333333333,0)</f>
      </c>
      <c r="AB2450" s="5">
        <v>3</v>
      </c>
      <c r="AC2450" s="2" t="s">
        <v>1468</v>
      </c>
      <c r="AD2450" s="4">
        <v>81</v>
      </c>
      <c r="AE2450" s="4">
        <v>102</v>
      </c>
      <c r="AF2450" s="6">
        <v>66</v>
      </c>
      <c r="AG2450" s="6">
        <v>49</v>
      </c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 t="s">
        <v>100</v>
      </c>
      <c r="AW2450" s="8" t="s">
        <v>100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 t="s">
        <v>100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/>
      <c r="BJ2450" s="4">
        <v>12</v>
      </c>
      <c r="BK2450" s="8">
        <v>1805.92</v>
      </c>
      <c r="BL2450" s="2" t="s">
        <v>8682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2526</v>
      </c>
      <c r="BV2450" s="2" t="s">
        <v>97</v>
      </c>
      <c r="BW2450" s="2" t="s">
        <v>100</v>
      </c>
      <c r="BX2450" s="2" t="s">
        <v>100</v>
      </c>
      <c r="BY2450" s="2" t="s">
        <v>112</v>
      </c>
      <c r="BZ2450" s="2" t="s">
        <v>100</v>
      </c>
    </row>
    <row r="2451">
      <c r="A2451" s="2" t="s">
        <v>8683</v>
      </c>
      <c r="B2451" s="2" t="s">
        <v>6747</v>
      </c>
      <c r="C2451" s="2" t="s">
        <v>3950</v>
      </c>
      <c r="D2451" s="2" t="s">
        <v>7223</v>
      </c>
      <c r="E2451" s="2" t="s">
        <v>7224</v>
      </c>
      <c r="F2451" s="2" t="s">
        <v>8679</v>
      </c>
      <c r="G2451" s="2" t="s">
        <v>8679</v>
      </c>
      <c r="H2451" s="2" t="s">
        <v>8679</v>
      </c>
      <c r="I2451" s="2" t="s">
        <v>8673</v>
      </c>
      <c r="J2451" s="2" t="s">
        <v>3385</v>
      </c>
      <c r="K2451" s="2" t="s">
        <v>446</v>
      </c>
      <c r="L2451" s="3">
        <v>70.3</v>
      </c>
      <c r="M2451" s="3">
        <v>73.82</v>
      </c>
      <c r="N2451" s="3">
        <v>149</v>
      </c>
      <c r="O2451" s="2" t="s">
        <v>97</v>
      </c>
      <c r="P2451" s="2" t="s">
        <v>98</v>
      </c>
      <c r="Q2451" s="2" t="s">
        <v>99</v>
      </c>
      <c r="R2451" s="2" t="s">
        <v>100</v>
      </c>
      <c r="S2451" s="2" t="s">
        <v>8681</v>
      </c>
      <c r="T2451" s="2" t="s">
        <v>100</v>
      </c>
      <c r="U2451" s="2" t="s">
        <v>1776</v>
      </c>
      <c r="V2451" s="2" t="s">
        <v>461</v>
      </c>
      <c r="W2451" s="2" t="s">
        <v>594</v>
      </c>
      <c r="X2451" s="2" t="s">
        <v>3979</v>
      </c>
      <c r="Y2451" s="2" t="s">
        <v>8684</v>
      </c>
      <c r="Z2451" s="4">
        <v>178</v>
      </c>
      <c r="AA2451" s="4">
        <f>=ROUNDDOWN(13.6923076923077,0)</f>
      </c>
      <c r="AB2451" s="5">
        <v>13</v>
      </c>
      <c r="AC2451" s="2" t="s">
        <v>130</v>
      </c>
      <c r="AD2451" s="4">
        <v>48</v>
      </c>
      <c r="AE2451" s="4">
        <v>144</v>
      </c>
      <c r="AF2451" s="6">
        <v>66</v>
      </c>
      <c r="AG2451" s="6">
        <v>49</v>
      </c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100</v>
      </c>
      <c r="AW2451" s="8" t="s">
        <v>100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 t="s">
        <v>100</v>
      </c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/>
      <c r="BJ2451" s="4">
        <v>36</v>
      </c>
      <c r="BK2451" s="8">
        <v>2868.32</v>
      </c>
      <c r="BL2451" s="2" t="s">
        <v>2613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2551</v>
      </c>
      <c r="BV2451" s="2" t="s">
        <v>97</v>
      </c>
      <c r="BW2451" s="2" t="s">
        <v>100</v>
      </c>
      <c r="BX2451" s="2" t="s">
        <v>100</v>
      </c>
      <c r="BY2451" s="2" t="s">
        <v>112</v>
      </c>
      <c r="BZ2451" s="2" t="s">
        <v>100</v>
      </c>
    </row>
    <row r="2452">
      <c r="A2452" s="2" t="s">
        <v>8685</v>
      </c>
      <c r="B2452" s="2" t="s">
        <v>6747</v>
      </c>
      <c r="C2452" s="2" t="s">
        <v>3950</v>
      </c>
      <c r="D2452" s="2" t="s">
        <v>7223</v>
      </c>
      <c r="E2452" s="2" t="s">
        <v>7224</v>
      </c>
      <c r="F2452" s="2" t="s">
        <v>8686</v>
      </c>
      <c r="G2452" s="2" t="s">
        <v>8686</v>
      </c>
      <c r="H2452" s="2" t="s">
        <v>8686</v>
      </c>
      <c r="I2452" s="2" t="s">
        <v>8687</v>
      </c>
      <c r="J2452" s="2" t="s">
        <v>3385</v>
      </c>
      <c r="K2452" s="2" t="s">
        <v>179</v>
      </c>
      <c r="L2452" s="3">
        <v>140.25</v>
      </c>
      <c r="M2452" s="3">
        <v>147.26</v>
      </c>
      <c r="N2452" s="3">
        <v>299</v>
      </c>
      <c r="O2452" s="2" t="s">
        <v>97</v>
      </c>
      <c r="P2452" s="2" t="s">
        <v>98</v>
      </c>
      <c r="Q2452" s="2" t="s">
        <v>99</v>
      </c>
      <c r="R2452" s="2" t="s">
        <v>100</v>
      </c>
      <c r="S2452" s="2" t="s">
        <v>100</v>
      </c>
      <c r="T2452" s="2" t="s">
        <v>100</v>
      </c>
      <c r="U2452" s="2" t="s">
        <v>1776</v>
      </c>
      <c r="V2452" s="2" t="s">
        <v>3412</v>
      </c>
      <c r="W2452" s="2" t="s">
        <v>100</v>
      </c>
      <c r="X2452" s="2" t="s">
        <v>3979</v>
      </c>
      <c r="Y2452" s="2" t="s">
        <v>8688</v>
      </c>
      <c r="Z2452" s="4">
        <v>76</v>
      </c>
      <c r="AA2452" s="4">
        <f>=ROUNDDOWN(11.875,0)</f>
      </c>
      <c r="AB2452" s="5">
        <v>6.4</v>
      </c>
      <c r="AC2452" s="2" t="s">
        <v>1471</v>
      </c>
      <c r="AD2452" s="4">
        <v>96</v>
      </c>
      <c r="AE2452" s="4">
        <v>96</v>
      </c>
      <c r="AF2452" s="6">
        <v>66</v>
      </c>
      <c r="AG2452" s="6"/>
      <c r="AH2452" s="7">
        <v>0.9677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/>
      <c r="AW2452" s="8"/>
      <c r="AX2452" s="4"/>
      <c r="AY2452" s="8"/>
      <c r="AZ2452" s="7"/>
      <c r="BA2452" s="7"/>
      <c r="BB2452" s="7"/>
      <c r="BC2452" s="4"/>
      <c r="BD2452" s="8"/>
      <c r="BE2452" s="4"/>
      <c r="BF2452" s="8"/>
      <c r="BG2452" s="7"/>
      <c r="BH2452" s="7"/>
      <c r="BI2452" s="7"/>
      <c r="BJ2452" s="4">
        <v>22</v>
      </c>
      <c r="BK2452" s="8">
        <v>3628.59</v>
      </c>
      <c r="BL2452" s="2" t="s">
        <v>8689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2551</v>
      </c>
      <c r="BV2452" s="2" t="s">
        <v>97</v>
      </c>
      <c r="BW2452" s="2" t="s">
        <v>100</v>
      </c>
      <c r="BX2452" s="2" t="s">
        <v>100</v>
      </c>
      <c r="BY2452" s="2" t="s">
        <v>112</v>
      </c>
      <c r="BZ2452" s="2" t="s">
        <v>100</v>
      </c>
    </row>
    <row r="2453">
      <c r="A2453" s="2" t="s">
        <v>8690</v>
      </c>
      <c r="B2453" s="2" t="s">
        <v>8691</v>
      </c>
      <c r="C2453" s="2" t="s">
        <v>2238</v>
      </c>
      <c r="D2453" s="2" t="s">
        <v>8692</v>
      </c>
      <c r="E2453" s="2" t="s">
        <v>8693</v>
      </c>
      <c r="F2453" s="2" t="s">
        <v>8694</v>
      </c>
      <c r="G2453" s="2" t="s">
        <v>8694</v>
      </c>
      <c r="H2453" s="2" t="s">
        <v>8694</v>
      </c>
      <c r="I2453" s="2" t="s">
        <v>8695</v>
      </c>
      <c r="J2453" s="2" t="s">
        <v>3385</v>
      </c>
      <c r="K2453" s="2" t="s">
        <v>96</v>
      </c>
      <c r="L2453" s="3">
        <v>27.48</v>
      </c>
      <c r="M2453" s="3">
        <v>28.85</v>
      </c>
      <c r="N2453" s="3">
        <v>59.99</v>
      </c>
      <c r="O2453" s="2" t="s">
        <v>97</v>
      </c>
      <c r="P2453" s="2" t="s">
        <v>98</v>
      </c>
      <c r="Q2453" s="2" t="s">
        <v>99</v>
      </c>
      <c r="R2453" s="2" t="s">
        <v>100</v>
      </c>
      <c r="S2453" s="2" t="s">
        <v>100</v>
      </c>
      <c r="T2453" s="2" t="s">
        <v>100</v>
      </c>
      <c r="U2453" s="2" t="s">
        <v>1776</v>
      </c>
      <c r="V2453" s="2" t="s">
        <v>3412</v>
      </c>
      <c r="W2453" s="2" t="s">
        <v>493</v>
      </c>
      <c r="X2453" s="2" t="s">
        <v>100</v>
      </c>
      <c r="Y2453" s="2" t="s">
        <v>5124</v>
      </c>
      <c r="Z2453" s="4">
        <v>131</v>
      </c>
      <c r="AA2453" s="4">
        <f>=ROUNDDOWN(43.6666666666667,0)</f>
      </c>
      <c r="AB2453" s="5">
        <v>3</v>
      </c>
      <c r="AC2453" s="2" t="s">
        <v>100</v>
      </c>
      <c r="AD2453" s="4"/>
      <c r="AE2453" s="4"/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/>
      <c r="AW2453" s="8"/>
      <c r="AX2453" s="4"/>
      <c r="AY2453" s="8"/>
      <c r="AZ2453" s="7"/>
      <c r="BA2453" s="7"/>
      <c r="BB2453" s="7"/>
      <c r="BC2453" s="4"/>
      <c r="BD2453" s="8"/>
      <c r="BE2453" s="4"/>
      <c r="BF2453" s="8"/>
      <c r="BG2453" s="7"/>
      <c r="BH2453" s="7"/>
      <c r="BI2453" s="7"/>
      <c r="BJ2453" s="4">
        <v>9</v>
      </c>
      <c r="BK2453" s="8">
        <v>306.67</v>
      </c>
      <c r="BL2453" s="2" t="s">
        <v>8696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2526</v>
      </c>
      <c r="BV2453" s="2" t="s">
        <v>97</v>
      </c>
      <c r="BW2453" s="2" t="s">
        <v>100</v>
      </c>
      <c r="BX2453" s="2" t="s">
        <v>100</v>
      </c>
      <c r="BY2453" s="2" t="s">
        <v>112</v>
      </c>
      <c r="BZ2453" s="2" t="s">
        <v>149</v>
      </c>
    </row>
    <row r="2454">
      <c r="A2454" s="2" t="s">
        <v>8697</v>
      </c>
      <c r="B2454" s="2" t="s">
        <v>8691</v>
      </c>
      <c r="C2454" s="2" t="s">
        <v>2238</v>
      </c>
      <c r="D2454" s="2" t="s">
        <v>8692</v>
      </c>
      <c r="E2454" s="2" t="s">
        <v>8693</v>
      </c>
      <c r="F2454" s="2" t="s">
        <v>8698</v>
      </c>
      <c r="G2454" s="2" t="s">
        <v>8698</v>
      </c>
      <c r="H2454" s="2" t="s">
        <v>8698</v>
      </c>
      <c r="I2454" s="2" t="s">
        <v>8699</v>
      </c>
      <c r="J2454" s="2" t="s">
        <v>3385</v>
      </c>
      <c r="K2454" s="2" t="s">
        <v>4816</v>
      </c>
      <c r="L2454" s="3">
        <v>26.6</v>
      </c>
      <c r="M2454" s="3">
        <v>27.93</v>
      </c>
      <c r="N2454" s="3">
        <v>59.99</v>
      </c>
      <c r="O2454" s="2" t="s">
        <v>97</v>
      </c>
      <c r="P2454" s="2" t="s">
        <v>123</v>
      </c>
      <c r="Q2454" s="2" t="s">
        <v>99</v>
      </c>
      <c r="R2454" s="2" t="s">
        <v>100</v>
      </c>
      <c r="S2454" s="2" t="s">
        <v>100</v>
      </c>
      <c r="T2454" s="2" t="s">
        <v>100</v>
      </c>
      <c r="U2454" s="2" t="s">
        <v>100</v>
      </c>
      <c r="V2454" s="2" t="s">
        <v>3412</v>
      </c>
      <c r="W2454" s="2" t="s">
        <v>142</v>
      </c>
      <c r="X2454" s="2" t="s">
        <v>100</v>
      </c>
      <c r="Y2454" s="2" t="s">
        <v>8700</v>
      </c>
      <c r="Z2454" s="4">
        <v>319</v>
      </c>
      <c r="AA2454" s="4">
        <f>=ROUNDDOWN(19.9375,0)</f>
      </c>
      <c r="AB2454" s="5">
        <v>16</v>
      </c>
      <c r="AC2454" s="2" t="s">
        <v>1468</v>
      </c>
      <c r="AD2454" s="4">
        <v>160</v>
      </c>
      <c r="AE2454" s="4">
        <v>160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/>
      <c r="BD2454" s="8"/>
      <c r="BE2454" s="4"/>
      <c r="BF2454" s="8"/>
      <c r="BG2454" s="7"/>
      <c r="BH2454" s="7"/>
      <c r="BI2454" s="7"/>
      <c r="BJ2454" s="4">
        <v>46</v>
      </c>
      <c r="BK2454" s="8">
        <v>1509.85</v>
      </c>
      <c r="BL2454" s="2" t="s">
        <v>8701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2526</v>
      </c>
      <c r="BV2454" s="2" t="s">
        <v>97</v>
      </c>
      <c r="BW2454" s="2" t="s">
        <v>100</v>
      </c>
      <c r="BX2454" s="2" t="s">
        <v>100</v>
      </c>
      <c r="BY2454" s="2" t="s">
        <v>112</v>
      </c>
      <c r="BZ2454" s="2" t="s">
        <v>149</v>
      </c>
    </row>
    <row r="2455">
      <c r="A2455" s="2" t="s">
        <v>8702</v>
      </c>
      <c r="B2455" s="2" t="s">
        <v>8691</v>
      </c>
      <c r="C2455" s="2" t="s">
        <v>2238</v>
      </c>
      <c r="D2455" s="2" t="s">
        <v>8692</v>
      </c>
      <c r="E2455" s="2" t="s">
        <v>8693</v>
      </c>
      <c r="F2455" s="2" t="s">
        <v>8703</v>
      </c>
      <c r="G2455" s="2" t="s">
        <v>8703</v>
      </c>
      <c r="H2455" s="2" t="s">
        <v>8703</v>
      </c>
      <c r="I2455" s="2" t="s">
        <v>8704</v>
      </c>
      <c r="J2455" s="2" t="s">
        <v>3385</v>
      </c>
      <c r="K2455" s="2" t="s">
        <v>3475</v>
      </c>
      <c r="L2455" s="3">
        <v>80.15</v>
      </c>
      <c r="M2455" s="3">
        <v>84.16</v>
      </c>
      <c r="N2455" s="3">
        <v>184.99</v>
      </c>
      <c r="O2455" s="2" t="s">
        <v>97</v>
      </c>
      <c r="P2455" s="2" t="s">
        <v>123</v>
      </c>
      <c r="Q2455" s="2" t="s">
        <v>99</v>
      </c>
      <c r="R2455" s="2" t="s">
        <v>100</v>
      </c>
      <c r="S2455" s="2" t="s">
        <v>100</v>
      </c>
      <c r="T2455" s="2" t="s">
        <v>100</v>
      </c>
      <c r="U2455" s="2" t="s">
        <v>894</v>
      </c>
      <c r="V2455" s="2" t="s">
        <v>3412</v>
      </c>
      <c r="W2455" s="2" t="s">
        <v>142</v>
      </c>
      <c r="X2455" s="2" t="s">
        <v>100</v>
      </c>
      <c r="Y2455" s="2" t="s">
        <v>8705</v>
      </c>
      <c r="Z2455" s="4">
        <v>133</v>
      </c>
      <c r="AA2455" s="4">
        <f>=ROUNDDOWN(19,0)</f>
      </c>
      <c r="AB2455" s="5">
        <v>7</v>
      </c>
      <c r="AC2455" s="2" t="s">
        <v>8706</v>
      </c>
      <c r="AD2455" s="4">
        <v>100</v>
      </c>
      <c r="AE2455" s="4">
        <v>100</v>
      </c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/>
      <c r="BJ2455" s="4">
        <v>29</v>
      </c>
      <c r="BK2455" s="8">
        <v>2627.77</v>
      </c>
      <c r="BL2455" s="2" t="s">
        <v>8707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2526</v>
      </c>
      <c r="BV2455" s="2" t="s">
        <v>97</v>
      </c>
      <c r="BW2455" s="2" t="s">
        <v>100</v>
      </c>
      <c r="BX2455" s="2" t="s">
        <v>100</v>
      </c>
      <c r="BY2455" s="2" t="s">
        <v>112</v>
      </c>
      <c r="BZ2455" s="2" t="s">
        <v>149</v>
      </c>
    </row>
    <row r="2456">
      <c r="A2456" s="2" t="s">
        <v>8708</v>
      </c>
      <c r="B2456" s="2" t="s">
        <v>8691</v>
      </c>
      <c r="C2456" s="2" t="s">
        <v>2238</v>
      </c>
      <c r="D2456" s="2" t="s">
        <v>8692</v>
      </c>
      <c r="E2456" s="2" t="s">
        <v>8693</v>
      </c>
      <c r="F2456" s="2" t="s">
        <v>8703</v>
      </c>
      <c r="G2456" s="2" t="s">
        <v>8703</v>
      </c>
      <c r="H2456" s="2" t="s">
        <v>8703</v>
      </c>
      <c r="I2456" s="2" t="s">
        <v>8704</v>
      </c>
      <c r="J2456" s="2" t="s">
        <v>3385</v>
      </c>
      <c r="K2456" s="2" t="s">
        <v>878</v>
      </c>
      <c r="L2456" s="3">
        <v>80.15</v>
      </c>
      <c r="M2456" s="3">
        <v>84.16</v>
      </c>
      <c r="N2456" s="3">
        <v>184.99</v>
      </c>
      <c r="O2456" s="2" t="s">
        <v>97</v>
      </c>
      <c r="P2456" s="2" t="s">
        <v>123</v>
      </c>
      <c r="Q2456" s="2" t="s">
        <v>99</v>
      </c>
      <c r="R2456" s="2" t="s">
        <v>100</v>
      </c>
      <c r="S2456" s="2" t="s">
        <v>100</v>
      </c>
      <c r="T2456" s="2" t="s">
        <v>100</v>
      </c>
      <c r="U2456" s="2" t="s">
        <v>894</v>
      </c>
      <c r="V2456" s="2" t="s">
        <v>3412</v>
      </c>
      <c r="W2456" s="2" t="s">
        <v>609</v>
      </c>
      <c r="X2456" s="2" t="s">
        <v>100</v>
      </c>
      <c r="Y2456" s="2" t="s">
        <v>840</v>
      </c>
      <c r="Z2456" s="4">
        <v>36</v>
      </c>
      <c r="AA2456" s="4">
        <f>=ROUNDDOWN(12.8571428571429,0)</f>
      </c>
      <c r="AB2456" s="5">
        <v>2.8</v>
      </c>
      <c r="AC2456" s="2" t="s">
        <v>3343</v>
      </c>
      <c r="AD2456" s="4">
        <v>100</v>
      </c>
      <c r="AE2456" s="4">
        <v>100</v>
      </c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/>
      <c r="BJ2456" s="4">
        <v>18</v>
      </c>
      <c r="BK2456" s="8">
        <v>1557.93</v>
      </c>
      <c r="BL2456" s="2" t="s">
        <v>8709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2526</v>
      </c>
      <c r="BV2456" s="2" t="s">
        <v>97</v>
      </c>
      <c r="BW2456" s="2" t="s">
        <v>100</v>
      </c>
      <c r="BX2456" s="2" t="s">
        <v>100</v>
      </c>
      <c r="BY2456" s="2" t="s">
        <v>112</v>
      </c>
      <c r="BZ2456" s="2" t="s">
        <v>149</v>
      </c>
    </row>
    <row r="2457">
      <c r="A2457" s="2" t="s">
        <v>8710</v>
      </c>
      <c r="B2457" s="2" t="s">
        <v>8691</v>
      </c>
      <c r="C2457" s="2" t="s">
        <v>2238</v>
      </c>
      <c r="D2457" s="2" t="s">
        <v>8692</v>
      </c>
      <c r="E2457" s="2" t="s">
        <v>8693</v>
      </c>
      <c r="F2457" s="2" t="s">
        <v>8711</v>
      </c>
      <c r="G2457" s="2" t="s">
        <v>8711</v>
      </c>
      <c r="H2457" s="2" t="s">
        <v>8711</v>
      </c>
      <c r="I2457" s="2" t="s">
        <v>8712</v>
      </c>
      <c r="J2457" s="2" t="s">
        <v>3385</v>
      </c>
      <c r="K2457" s="2" t="s">
        <v>179</v>
      </c>
      <c r="L2457" s="3">
        <v>94.62</v>
      </c>
      <c r="M2457" s="3">
        <v>99.35</v>
      </c>
      <c r="N2457" s="3">
        <v>214.99</v>
      </c>
      <c r="O2457" s="2" t="s">
        <v>97</v>
      </c>
      <c r="P2457" s="2" t="s">
        <v>139</v>
      </c>
      <c r="Q2457" s="2" t="s">
        <v>99</v>
      </c>
      <c r="R2457" s="2" t="s">
        <v>100</v>
      </c>
      <c r="S2457" s="2" t="s">
        <v>100</v>
      </c>
      <c r="T2457" s="2" t="s">
        <v>100</v>
      </c>
      <c r="U2457" s="2" t="s">
        <v>100</v>
      </c>
      <c r="V2457" s="2" t="s">
        <v>461</v>
      </c>
      <c r="W2457" s="2" t="s">
        <v>609</v>
      </c>
      <c r="X2457" s="2" t="s">
        <v>100</v>
      </c>
      <c r="Y2457" s="2" t="s">
        <v>8713</v>
      </c>
      <c r="Z2457" s="4">
        <v>155</v>
      </c>
      <c r="AA2457" s="4">
        <f>=ROUNDDOWN(15.5,0)</f>
      </c>
      <c r="AB2457" s="5">
        <v>10</v>
      </c>
      <c r="AC2457" s="2" t="s">
        <v>1468</v>
      </c>
      <c r="AD2457" s="4">
        <v>200</v>
      </c>
      <c r="AE2457" s="4">
        <v>200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/>
      <c r="BD2457" s="8"/>
      <c r="BE2457" s="4"/>
      <c r="BF2457" s="8"/>
      <c r="BG2457" s="7"/>
      <c r="BH2457" s="7"/>
      <c r="BI2457" s="7"/>
      <c r="BJ2457" s="4">
        <v>29</v>
      </c>
      <c r="BK2457" s="8">
        <v>3270.18</v>
      </c>
      <c r="BL2457" s="2" t="s">
        <v>8714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2526</v>
      </c>
      <c r="BV2457" s="2" t="s">
        <v>97</v>
      </c>
      <c r="BW2457" s="2" t="s">
        <v>100</v>
      </c>
      <c r="BX2457" s="2" t="s">
        <v>100</v>
      </c>
      <c r="BY2457" s="2" t="s">
        <v>112</v>
      </c>
      <c r="BZ2457" s="2" t="s">
        <v>149</v>
      </c>
    </row>
    <row r="2458">
      <c r="A2458" s="2" t="s">
        <v>8715</v>
      </c>
      <c r="B2458" s="2" t="s">
        <v>8691</v>
      </c>
      <c r="C2458" s="2" t="s">
        <v>2238</v>
      </c>
      <c r="D2458" s="2" t="s">
        <v>8692</v>
      </c>
      <c r="E2458" s="2" t="s">
        <v>8693</v>
      </c>
      <c r="F2458" s="2" t="s">
        <v>8716</v>
      </c>
      <c r="G2458" s="2" t="s">
        <v>8716</v>
      </c>
      <c r="H2458" s="2" t="s">
        <v>8716</v>
      </c>
      <c r="I2458" s="2" t="s">
        <v>8717</v>
      </c>
      <c r="J2458" s="2" t="s">
        <v>3385</v>
      </c>
      <c r="K2458" s="2" t="s">
        <v>458</v>
      </c>
      <c r="L2458" s="3">
        <v>62.74</v>
      </c>
      <c r="M2458" s="3">
        <v>65.88</v>
      </c>
      <c r="N2458" s="3">
        <v>134.99</v>
      </c>
      <c r="O2458" s="2" t="s">
        <v>97</v>
      </c>
      <c r="P2458" s="2" t="s">
        <v>98</v>
      </c>
      <c r="Q2458" s="2" t="s">
        <v>99</v>
      </c>
      <c r="R2458" s="2" t="s">
        <v>100</v>
      </c>
      <c r="S2458" s="2" t="s">
        <v>100</v>
      </c>
      <c r="T2458" s="2" t="s">
        <v>100</v>
      </c>
      <c r="U2458" s="2" t="s">
        <v>894</v>
      </c>
      <c r="V2458" s="2" t="s">
        <v>3412</v>
      </c>
      <c r="W2458" s="2" t="s">
        <v>609</v>
      </c>
      <c r="X2458" s="2" t="s">
        <v>100</v>
      </c>
      <c r="Y2458" s="2" t="s">
        <v>840</v>
      </c>
      <c r="Z2458" s="4">
        <v>103</v>
      </c>
      <c r="AA2458" s="4">
        <f>=ROUNDDOWN(34.3333333333333,0)</f>
      </c>
      <c r="AB2458" s="5">
        <v>3</v>
      </c>
      <c r="AC2458" s="2" t="s">
        <v>100</v>
      </c>
      <c r="AD2458" s="4"/>
      <c r="AE2458" s="4"/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/>
      <c r="BD2458" s="8"/>
      <c r="BE2458" s="4"/>
      <c r="BF2458" s="8"/>
      <c r="BG2458" s="7"/>
      <c r="BH2458" s="7"/>
      <c r="BI2458" s="7"/>
      <c r="BJ2458" s="4">
        <v>8</v>
      </c>
      <c r="BK2458" s="8">
        <v>705.53</v>
      </c>
      <c r="BL2458" s="2" t="s">
        <v>4277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2526</v>
      </c>
      <c r="BV2458" s="2" t="s">
        <v>97</v>
      </c>
      <c r="BW2458" s="2" t="s">
        <v>100</v>
      </c>
      <c r="BX2458" s="2" t="s">
        <v>100</v>
      </c>
      <c r="BY2458" s="2" t="s">
        <v>112</v>
      </c>
      <c r="BZ2458" s="2" t="s">
        <v>100</v>
      </c>
    </row>
    <row r="2459">
      <c r="A2459" s="2" t="s">
        <v>8718</v>
      </c>
      <c r="B2459" s="2" t="s">
        <v>8691</v>
      </c>
      <c r="C2459" s="2" t="s">
        <v>2238</v>
      </c>
      <c r="D2459" s="2" t="s">
        <v>8692</v>
      </c>
      <c r="E2459" s="2" t="s">
        <v>8693</v>
      </c>
      <c r="F2459" s="2" t="s">
        <v>8719</v>
      </c>
      <c r="G2459" s="2" t="s">
        <v>8719</v>
      </c>
      <c r="H2459" s="2" t="s">
        <v>8719</v>
      </c>
      <c r="I2459" s="2" t="s">
        <v>8720</v>
      </c>
      <c r="J2459" s="2" t="s">
        <v>3385</v>
      </c>
      <c r="K2459" s="2" t="s">
        <v>8721</v>
      </c>
      <c r="L2459" s="3">
        <v>28.87</v>
      </c>
      <c r="M2459" s="3">
        <v>30.31</v>
      </c>
      <c r="N2459" s="3">
        <v>64.99</v>
      </c>
      <c r="O2459" s="2" t="s">
        <v>97</v>
      </c>
      <c r="P2459" s="2" t="s">
        <v>123</v>
      </c>
      <c r="Q2459" s="2" t="s">
        <v>99</v>
      </c>
      <c r="R2459" s="2" t="s">
        <v>100</v>
      </c>
      <c r="S2459" s="2" t="s">
        <v>100</v>
      </c>
      <c r="T2459" s="2" t="s">
        <v>100</v>
      </c>
      <c r="U2459" s="2" t="s">
        <v>1776</v>
      </c>
      <c r="V2459" s="2" t="s">
        <v>461</v>
      </c>
      <c r="W2459" s="2" t="s">
        <v>609</v>
      </c>
      <c r="X2459" s="2" t="s">
        <v>100</v>
      </c>
      <c r="Y2459" s="2" t="s">
        <v>8713</v>
      </c>
      <c r="Z2459" s="4">
        <v>208</v>
      </c>
      <c r="AA2459" s="4">
        <f>=ROUNDDOWN(34.6666666666667,0)</f>
      </c>
      <c r="AB2459" s="5">
        <v>6</v>
      </c>
      <c r="AC2459" s="2" t="s">
        <v>100</v>
      </c>
      <c r="AD2459" s="4"/>
      <c r="AE2459" s="4"/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/>
      <c r="BD2459" s="8"/>
      <c r="BE2459" s="4"/>
      <c r="BF2459" s="8"/>
      <c r="BG2459" s="7"/>
      <c r="BH2459" s="7"/>
      <c r="BI2459" s="7"/>
      <c r="BJ2459" s="4">
        <v>20</v>
      </c>
      <c r="BK2459" s="8">
        <v>627.8</v>
      </c>
      <c r="BL2459" s="2" t="s">
        <v>8722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2526</v>
      </c>
      <c r="BV2459" s="2" t="s">
        <v>97</v>
      </c>
      <c r="BW2459" s="2" t="s">
        <v>100</v>
      </c>
      <c r="BX2459" s="2" t="s">
        <v>100</v>
      </c>
      <c r="BY2459" s="2" t="s">
        <v>112</v>
      </c>
      <c r="BZ2459" s="2" t="s">
        <v>149</v>
      </c>
    </row>
    <row r="2460">
      <c r="A2460" s="2" t="s">
        <v>8723</v>
      </c>
      <c r="B2460" s="2" t="s">
        <v>8691</v>
      </c>
      <c r="C2460" s="2" t="s">
        <v>2238</v>
      </c>
      <c r="D2460" s="2" t="s">
        <v>8692</v>
      </c>
      <c r="E2460" s="2" t="s">
        <v>8693</v>
      </c>
      <c r="F2460" s="2" t="s">
        <v>2896</v>
      </c>
      <c r="G2460" s="2" t="s">
        <v>2896</v>
      </c>
      <c r="H2460" s="2" t="s">
        <v>2896</v>
      </c>
      <c r="I2460" s="2" t="s">
        <v>8717</v>
      </c>
      <c r="J2460" s="2" t="s">
        <v>8479</v>
      </c>
      <c r="K2460" s="2" t="s">
        <v>179</v>
      </c>
      <c r="L2460" s="3">
        <v>68.82</v>
      </c>
      <c r="M2460" s="3">
        <v>72.26</v>
      </c>
      <c r="N2460" s="3">
        <v>149.99</v>
      </c>
      <c r="O2460" s="2" t="s">
        <v>97</v>
      </c>
      <c r="P2460" s="2" t="s">
        <v>123</v>
      </c>
      <c r="Q2460" s="2" t="s">
        <v>99</v>
      </c>
      <c r="R2460" s="2" t="s">
        <v>100</v>
      </c>
      <c r="S2460" s="2" t="s">
        <v>100</v>
      </c>
      <c r="T2460" s="2" t="s">
        <v>100</v>
      </c>
      <c r="U2460" s="2" t="s">
        <v>894</v>
      </c>
      <c r="V2460" s="2" t="s">
        <v>3412</v>
      </c>
      <c r="W2460" s="2" t="s">
        <v>609</v>
      </c>
      <c r="X2460" s="2" t="s">
        <v>2835</v>
      </c>
      <c r="Y2460" s="2" t="s">
        <v>5723</v>
      </c>
      <c r="Z2460" s="4">
        <v>122</v>
      </c>
      <c r="AA2460" s="4">
        <f>=ROUNDDOWN(20.3333333333333,0)</f>
      </c>
      <c r="AB2460" s="5">
        <v>6</v>
      </c>
      <c r="AC2460" s="2" t="s">
        <v>1142</v>
      </c>
      <c r="AD2460" s="4">
        <v>100</v>
      </c>
      <c r="AE2460" s="4">
        <v>100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/>
      <c r="BJ2460" s="4">
        <v>12</v>
      </c>
      <c r="BK2460" s="8">
        <v>918.37</v>
      </c>
      <c r="BL2460" s="2" t="s">
        <v>8724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2526</v>
      </c>
      <c r="BV2460" s="2" t="s">
        <v>97</v>
      </c>
      <c r="BW2460" s="2" t="s">
        <v>100</v>
      </c>
      <c r="BX2460" s="2" t="s">
        <v>100</v>
      </c>
      <c r="BY2460" s="2" t="s">
        <v>112</v>
      </c>
      <c r="BZ2460" s="2" t="s">
        <v>149</v>
      </c>
    </row>
    <row r="2461">
      <c r="A2461" s="2" t="s">
        <v>8725</v>
      </c>
      <c r="B2461" s="2" t="s">
        <v>8691</v>
      </c>
      <c r="C2461" s="2" t="s">
        <v>2238</v>
      </c>
      <c r="D2461" s="2" t="s">
        <v>8692</v>
      </c>
      <c r="E2461" s="2" t="s">
        <v>8693</v>
      </c>
      <c r="F2461" s="2" t="s">
        <v>2896</v>
      </c>
      <c r="G2461" s="2" t="s">
        <v>2896</v>
      </c>
      <c r="H2461" s="2" t="s">
        <v>2896</v>
      </c>
      <c r="I2461" s="2" t="s">
        <v>8717</v>
      </c>
      <c r="J2461" s="2" t="s">
        <v>8479</v>
      </c>
      <c r="K2461" s="2" t="s">
        <v>3475</v>
      </c>
      <c r="L2461" s="3">
        <v>68.82</v>
      </c>
      <c r="M2461" s="3">
        <v>72.26</v>
      </c>
      <c r="N2461" s="3">
        <v>149.99</v>
      </c>
      <c r="O2461" s="2" t="s">
        <v>97</v>
      </c>
      <c r="P2461" s="2" t="s">
        <v>139</v>
      </c>
      <c r="Q2461" s="2" t="s">
        <v>99</v>
      </c>
      <c r="R2461" s="2" t="s">
        <v>100</v>
      </c>
      <c r="S2461" s="2" t="s">
        <v>100</v>
      </c>
      <c r="T2461" s="2" t="s">
        <v>100</v>
      </c>
      <c r="U2461" s="2" t="s">
        <v>894</v>
      </c>
      <c r="V2461" s="2" t="s">
        <v>3412</v>
      </c>
      <c r="W2461" s="2" t="s">
        <v>609</v>
      </c>
      <c r="X2461" s="2" t="s">
        <v>100</v>
      </c>
      <c r="Y2461" s="2" t="s">
        <v>840</v>
      </c>
      <c r="Z2461" s="4">
        <v>427</v>
      </c>
      <c r="AA2461" s="4">
        <f>=ROUNDDOWN(17.08,0)</f>
      </c>
      <c r="AB2461" s="5">
        <v>25</v>
      </c>
      <c r="AC2461" s="2" t="s">
        <v>1142</v>
      </c>
      <c r="AD2461" s="4">
        <v>300</v>
      </c>
      <c r="AE2461" s="4">
        <v>300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/>
      <c r="BJ2461" s="4">
        <v>79</v>
      </c>
      <c r="BK2461" s="8">
        <v>6139.89</v>
      </c>
      <c r="BL2461" s="2" t="s">
        <v>8726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2526</v>
      </c>
      <c r="BV2461" s="2" t="s">
        <v>97</v>
      </c>
      <c r="BW2461" s="2" t="s">
        <v>100</v>
      </c>
      <c r="BX2461" s="2" t="s">
        <v>100</v>
      </c>
      <c r="BY2461" s="2" t="s">
        <v>112</v>
      </c>
      <c r="BZ2461" s="2" t="s">
        <v>149</v>
      </c>
    </row>
    <row r="2462">
      <c r="A2462" s="2" t="s">
        <v>8727</v>
      </c>
      <c r="B2462" s="2" t="s">
        <v>8691</v>
      </c>
      <c r="C2462" s="2" t="s">
        <v>2238</v>
      </c>
      <c r="D2462" s="2" t="s">
        <v>8692</v>
      </c>
      <c r="E2462" s="2" t="s">
        <v>8693</v>
      </c>
      <c r="F2462" s="2" t="s">
        <v>2896</v>
      </c>
      <c r="G2462" s="2" t="s">
        <v>2896</v>
      </c>
      <c r="H2462" s="2" t="s">
        <v>2896</v>
      </c>
      <c r="I2462" s="2" t="s">
        <v>8717</v>
      </c>
      <c r="J2462" s="2" t="s">
        <v>8479</v>
      </c>
      <c r="K2462" s="2" t="s">
        <v>545</v>
      </c>
      <c r="L2462" s="3">
        <v>68.82</v>
      </c>
      <c r="M2462" s="3">
        <v>72.26</v>
      </c>
      <c r="N2462" s="3">
        <v>149.99</v>
      </c>
      <c r="O2462" s="2" t="s">
        <v>97</v>
      </c>
      <c r="P2462" s="2" t="s">
        <v>123</v>
      </c>
      <c r="Q2462" s="2" t="s">
        <v>99</v>
      </c>
      <c r="R2462" s="2" t="s">
        <v>100</v>
      </c>
      <c r="S2462" s="2" t="s">
        <v>100</v>
      </c>
      <c r="T2462" s="2" t="s">
        <v>100</v>
      </c>
      <c r="U2462" s="2" t="s">
        <v>894</v>
      </c>
      <c r="V2462" s="2" t="s">
        <v>3412</v>
      </c>
      <c r="W2462" s="2" t="s">
        <v>609</v>
      </c>
      <c r="X2462" s="2" t="s">
        <v>2835</v>
      </c>
      <c r="Y2462" s="2" t="s">
        <v>5723</v>
      </c>
      <c r="Z2462" s="4">
        <v>76</v>
      </c>
      <c r="AA2462" s="4">
        <f>=ROUNDDOWN(14.6153846153846,0)</f>
      </c>
      <c r="AB2462" s="5">
        <v>5.2</v>
      </c>
      <c r="AC2462" s="2" t="s">
        <v>1142</v>
      </c>
      <c r="AD2462" s="4">
        <v>100</v>
      </c>
      <c r="AE2462" s="4">
        <v>100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/>
      <c r="BJ2462" s="4">
        <v>19</v>
      </c>
      <c r="BK2462" s="8">
        <v>1446.55</v>
      </c>
      <c r="BL2462" s="2" t="s">
        <v>8728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2526</v>
      </c>
      <c r="BV2462" s="2" t="s">
        <v>97</v>
      </c>
      <c r="BW2462" s="2" t="s">
        <v>100</v>
      </c>
      <c r="BX2462" s="2" t="s">
        <v>100</v>
      </c>
      <c r="BY2462" s="2" t="s">
        <v>112</v>
      </c>
      <c r="BZ2462" s="2" t="s">
        <v>149</v>
      </c>
    </row>
    <row r="2463">
      <c r="A2463" s="2" t="s">
        <v>8729</v>
      </c>
      <c r="B2463" s="2" t="s">
        <v>8691</v>
      </c>
      <c r="C2463" s="2" t="s">
        <v>2238</v>
      </c>
      <c r="D2463" s="2" t="s">
        <v>8692</v>
      </c>
      <c r="E2463" s="2" t="s">
        <v>8693</v>
      </c>
      <c r="F2463" s="2" t="s">
        <v>2896</v>
      </c>
      <c r="G2463" s="2" t="s">
        <v>2896</v>
      </c>
      <c r="H2463" s="2" t="s">
        <v>2896</v>
      </c>
      <c r="I2463" s="2" t="s">
        <v>8717</v>
      </c>
      <c r="J2463" s="2" t="s">
        <v>8479</v>
      </c>
      <c r="K2463" s="2" t="s">
        <v>4816</v>
      </c>
      <c r="L2463" s="3">
        <v>68.82</v>
      </c>
      <c r="M2463" s="3">
        <v>72.26</v>
      </c>
      <c r="N2463" s="3">
        <v>149.99</v>
      </c>
      <c r="O2463" s="2" t="s">
        <v>97</v>
      </c>
      <c r="P2463" s="2" t="s">
        <v>98</v>
      </c>
      <c r="Q2463" s="2" t="s">
        <v>99</v>
      </c>
      <c r="R2463" s="2" t="s">
        <v>100</v>
      </c>
      <c r="S2463" s="2" t="s">
        <v>100</v>
      </c>
      <c r="T2463" s="2" t="s">
        <v>100</v>
      </c>
      <c r="U2463" s="2" t="s">
        <v>894</v>
      </c>
      <c r="V2463" s="2" t="s">
        <v>3412</v>
      </c>
      <c r="W2463" s="2" t="s">
        <v>609</v>
      </c>
      <c r="X2463" s="2" t="s">
        <v>2835</v>
      </c>
      <c r="Y2463" s="2" t="s">
        <v>5723</v>
      </c>
      <c r="Z2463" s="4">
        <v>60</v>
      </c>
      <c r="AA2463" s="4">
        <f>=ROUNDDOWN(15.7894736842105,0)</f>
      </c>
      <c r="AB2463" s="5">
        <v>3.8</v>
      </c>
      <c r="AC2463" s="2" t="s">
        <v>2709</v>
      </c>
      <c r="AD2463" s="4">
        <v>100</v>
      </c>
      <c r="AE2463" s="4">
        <v>100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/>
      <c r="AW2463" s="8"/>
      <c r="AX2463" s="4"/>
      <c r="AY2463" s="8"/>
      <c r="AZ2463" s="7"/>
      <c r="BA2463" s="7"/>
      <c r="BB2463" s="7"/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/>
      <c r="BJ2463" s="4">
        <v>8</v>
      </c>
      <c r="BK2463" s="8">
        <v>568.05</v>
      </c>
      <c r="BL2463" s="2" t="s">
        <v>8730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2526</v>
      </c>
      <c r="BV2463" s="2" t="s">
        <v>97</v>
      </c>
      <c r="BW2463" s="2" t="s">
        <v>100</v>
      </c>
      <c r="BX2463" s="2" t="s">
        <v>100</v>
      </c>
      <c r="BY2463" s="2" t="s">
        <v>112</v>
      </c>
      <c r="BZ2463" s="2" t="s">
        <v>149</v>
      </c>
    </row>
    <row r="2464">
      <c r="A2464" s="2" t="s">
        <v>8731</v>
      </c>
      <c r="B2464" s="2" t="s">
        <v>8691</v>
      </c>
      <c r="C2464" s="2" t="s">
        <v>2238</v>
      </c>
      <c r="D2464" s="2" t="s">
        <v>8692</v>
      </c>
      <c r="E2464" s="2" t="s">
        <v>8693</v>
      </c>
      <c r="F2464" s="2" t="s">
        <v>8732</v>
      </c>
      <c r="G2464" s="2" t="s">
        <v>8732</v>
      </c>
      <c r="H2464" s="2" t="s">
        <v>8732</v>
      </c>
      <c r="I2464" s="2" t="s">
        <v>8733</v>
      </c>
      <c r="J2464" s="2" t="s">
        <v>3385</v>
      </c>
      <c r="K2464" s="2" t="s">
        <v>458</v>
      </c>
      <c r="L2464" s="3">
        <v>26.46</v>
      </c>
      <c r="M2464" s="3">
        <v>27.78</v>
      </c>
      <c r="N2464" s="3">
        <v>59.99</v>
      </c>
      <c r="O2464" s="2" t="s">
        <v>97</v>
      </c>
      <c r="P2464" s="2" t="s">
        <v>123</v>
      </c>
      <c r="Q2464" s="2" t="s">
        <v>99</v>
      </c>
      <c r="R2464" s="2" t="s">
        <v>100</v>
      </c>
      <c r="S2464" s="2" t="s">
        <v>100</v>
      </c>
      <c r="T2464" s="2" t="s">
        <v>100</v>
      </c>
      <c r="U2464" s="2" t="s">
        <v>100</v>
      </c>
      <c r="V2464" s="2" t="s">
        <v>461</v>
      </c>
      <c r="W2464" s="2" t="s">
        <v>609</v>
      </c>
      <c r="X2464" s="2" t="s">
        <v>100</v>
      </c>
      <c r="Y2464" s="2" t="s">
        <v>8734</v>
      </c>
      <c r="Z2464" s="4">
        <v>155</v>
      </c>
      <c r="AA2464" s="4">
        <f>=ROUNDDOWN(15.5,0)</f>
      </c>
      <c r="AB2464" s="5">
        <v>10</v>
      </c>
      <c r="AC2464" s="2" t="s">
        <v>8706</v>
      </c>
      <c r="AD2464" s="4">
        <v>150</v>
      </c>
      <c r="AE2464" s="4">
        <v>150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/>
      <c r="AW2464" s="8"/>
      <c r="AX2464" s="4"/>
      <c r="AY2464" s="8"/>
      <c r="AZ2464" s="7"/>
      <c r="BA2464" s="7"/>
      <c r="BB2464" s="7"/>
      <c r="BC2464" s="4"/>
      <c r="BD2464" s="8"/>
      <c r="BE2464" s="4"/>
      <c r="BF2464" s="8"/>
      <c r="BG2464" s="7"/>
      <c r="BH2464" s="7"/>
      <c r="BI2464" s="7"/>
      <c r="BJ2464" s="4">
        <v>27</v>
      </c>
      <c r="BK2464" s="8">
        <v>830.48</v>
      </c>
      <c r="BL2464" s="2" t="s">
        <v>8735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2526</v>
      </c>
      <c r="BV2464" s="2" t="s">
        <v>97</v>
      </c>
      <c r="BW2464" s="2" t="s">
        <v>100</v>
      </c>
      <c r="BX2464" s="2" t="s">
        <v>100</v>
      </c>
      <c r="BY2464" s="2" t="s">
        <v>112</v>
      </c>
      <c r="BZ2464" s="2" t="s">
        <v>149</v>
      </c>
    </row>
    <row r="2465">
      <c r="A2465" s="2" t="s">
        <v>8736</v>
      </c>
      <c r="B2465" s="2" t="s">
        <v>8691</v>
      </c>
      <c r="C2465" s="2" t="s">
        <v>2238</v>
      </c>
      <c r="D2465" s="2" t="s">
        <v>8692</v>
      </c>
      <c r="E2465" s="2" t="s">
        <v>8693</v>
      </c>
      <c r="F2465" s="2" t="s">
        <v>364</v>
      </c>
      <c r="G2465" s="2" t="s">
        <v>364</v>
      </c>
      <c r="H2465" s="2" t="s">
        <v>364</v>
      </c>
      <c r="I2465" s="2" t="s">
        <v>8737</v>
      </c>
      <c r="J2465" s="2" t="s">
        <v>3385</v>
      </c>
      <c r="K2465" s="2" t="s">
        <v>96</v>
      </c>
      <c r="L2465" s="3">
        <v>67.1</v>
      </c>
      <c r="M2465" s="3">
        <v>70.46</v>
      </c>
      <c r="N2465" s="3">
        <v>139.99</v>
      </c>
      <c r="O2465" s="2" t="s">
        <v>97</v>
      </c>
      <c r="P2465" s="2" t="s">
        <v>123</v>
      </c>
      <c r="Q2465" s="2" t="s">
        <v>99</v>
      </c>
      <c r="R2465" s="2" t="s">
        <v>100</v>
      </c>
      <c r="S2465" s="2" t="s">
        <v>100</v>
      </c>
      <c r="T2465" s="2" t="s">
        <v>100</v>
      </c>
      <c r="U2465" s="2" t="s">
        <v>894</v>
      </c>
      <c r="V2465" s="2" t="s">
        <v>461</v>
      </c>
      <c r="W2465" s="2" t="s">
        <v>609</v>
      </c>
      <c r="X2465" s="2" t="s">
        <v>100</v>
      </c>
      <c r="Y2465" s="2" t="s">
        <v>8738</v>
      </c>
      <c r="Z2465" s="4">
        <v>88</v>
      </c>
      <c r="AA2465" s="4">
        <f>=ROUNDDOWN(11,0)</f>
      </c>
      <c r="AB2465" s="5">
        <v>8</v>
      </c>
      <c r="AC2465" s="2" t="s">
        <v>2709</v>
      </c>
      <c r="AD2465" s="4">
        <v>200</v>
      </c>
      <c r="AE2465" s="4">
        <v>200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/>
      <c r="AW2465" s="8"/>
      <c r="AX2465" s="4"/>
      <c r="AY2465" s="8"/>
      <c r="AZ2465" s="7"/>
      <c r="BA2465" s="7"/>
      <c r="BB2465" s="7"/>
      <c r="BC2465" s="4"/>
      <c r="BD2465" s="8"/>
      <c r="BE2465" s="4"/>
      <c r="BF2465" s="8"/>
      <c r="BG2465" s="7"/>
      <c r="BH2465" s="7"/>
      <c r="BI2465" s="7"/>
      <c r="BJ2465" s="4">
        <v>23</v>
      </c>
      <c r="BK2465" s="8">
        <v>1692.91</v>
      </c>
      <c r="BL2465" s="2" t="s">
        <v>8728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2526</v>
      </c>
      <c r="BV2465" s="2" t="s">
        <v>97</v>
      </c>
      <c r="BW2465" s="2" t="s">
        <v>100</v>
      </c>
      <c r="BX2465" s="2" t="s">
        <v>100</v>
      </c>
      <c r="BY2465" s="2" t="s">
        <v>112</v>
      </c>
      <c r="BZ2465" s="2" t="s">
        <v>149</v>
      </c>
    </row>
    <row r="2466">
      <c r="A2466" s="2" t="s">
        <v>8739</v>
      </c>
      <c r="B2466" s="2" t="s">
        <v>8691</v>
      </c>
      <c r="C2466" s="2" t="s">
        <v>2238</v>
      </c>
      <c r="D2466" s="2" t="s">
        <v>8692</v>
      </c>
      <c r="E2466" s="2" t="s">
        <v>8693</v>
      </c>
      <c r="F2466" s="2" t="s">
        <v>8740</v>
      </c>
      <c r="G2466" s="2" t="s">
        <v>8740</v>
      </c>
      <c r="H2466" s="2" t="s">
        <v>8740</v>
      </c>
      <c r="I2466" s="2" t="s">
        <v>8741</v>
      </c>
      <c r="J2466" s="2" t="s">
        <v>3385</v>
      </c>
      <c r="K2466" s="2" t="s">
        <v>626</v>
      </c>
      <c r="L2466" s="3">
        <v>44.54</v>
      </c>
      <c r="M2466" s="3">
        <v>46.77</v>
      </c>
      <c r="N2466" s="3">
        <v>94.99</v>
      </c>
      <c r="O2466" s="2" t="s">
        <v>97</v>
      </c>
      <c r="P2466" s="2" t="s">
        <v>98</v>
      </c>
      <c r="Q2466" s="2" t="s">
        <v>99</v>
      </c>
      <c r="R2466" s="2" t="s">
        <v>100</v>
      </c>
      <c r="S2466" s="2" t="s">
        <v>100</v>
      </c>
      <c r="T2466" s="2" t="s">
        <v>100</v>
      </c>
      <c r="U2466" s="2" t="s">
        <v>1776</v>
      </c>
      <c r="V2466" s="2" t="s">
        <v>3412</v>
      </c>
      <c r="W2466" s="2" t="s">
        <v>493</v>
      </c>
      <c r="X2466" s="2" t="s">
        <v>100</v>
      </c>
      <c r="Y2466" s="2" t="s">
        <v>5124</v>
      </c>
      <c r="Z2466" s="4">
        <v>168</v>
      </c>
      <c r="AA2466" s="4">
        <f>=ROUNDDOWN(33.6,0)</f>
      </c>
      <c r="AB2466" s="5">
        <v>5</v>
      </c>
      <c r="AC2466" s="2" t="s">
        <v>100</v>
      </c>
      <c r="AD2466" s="4"/>
      <c r="AE2466" s="4"/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/>
      <c r="BD2466" s="8"/>
      <c r="BE2466" s="4"/>
      <c r="BF2466" s="8"/>
      <c r="BG2466" s="7"/>
      <c r="BH2466" s="7"/>
      <c r="BI2466" s="7"/>
      <c r="BJ2466" s="4">
        <v>6</v>
      </c>
      <c r="BK2466" s="8">
        <v>261.48</v>
      </c>
      <c r="BL2466" s="2" t="s">
        <v>2230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2526</v>
      </c>
      <c r="BV2466" s="2" t="s">
        <v>97</v>
      </c>
      <c r="BW2466" s="2" t="s">
        <v>100</v>
      </c>
      <c r="BX2466" s="2" t="s">
        <v>100</v>
      </c>
      <c r="BY2466" s="2" t="s">
        <v>112</v>
      </c>
      <c r="BZ2466" s="2" t="s">
        <v>149</v>
      </c>
    </row>
    <row r="2467">
      <c r="A2467" s="2" t="s">
        <v>8742</v>
      </c>
      <c r="B2467" s="2" t="s">
        <v>8691</v>
      </c>
      <c r="C2467" s="2" t="s">
        <v>2238</v>
      </c>
      <c r="D2467" s="2" t="s">
        <v>8692</v>
      </c>
      <c r="E2467" s="2" t="s">
        <v>8693</v>
      </c>
      <c r="F2467" s="2" t="s">
        <v>8743</v>
      </c>
      <c r="G2467" s="2" t="s">
        <v>8743</v>
      </c>
      <c r="H2467" s="2" t="s">
        <v>8743</v>
      </c>
      <c r="I2467" s="2" t="s">
        <v>8744</v>
      </c>
      <c r="J2467" s="2" t="s">
        <v>3385</v>
      </c>
      <c r="K2467" s="2" t="s">
        <v>165</v>
      </c>
      <c r="L2467" s="3">
        <v>26.78</v>
      </c>
      <c r="M2467" s="3">
        <v>28.12</v>
      </c>
      <c r="N2467" s="3">
        <v>59.99</v>
      </c>
      <c r="O2467" s="2" t="s">
        <v>97</v>
      </c>
      <c r="P2467" s="2" t="s">
        <v>98</v>
      </c>
      <c r="Q2467" s="2" t="s">
        <v>99</v>
      </c>
      <c r="R2467" s="2" t="s">
        <v>100</v>
      </c>
      <c r="S2467" s="2" t="s">
        <v>100</v>
      </c>
      <c r="T2467" s="2" t="s">
        <v>100</v>
      </c>
      <c r="U2467" s="2" t="s">
        <v>1776</v>
      </c>
      <c r="V2467" s="2" t="s">
        <v>3412</v>
      </c>
      <c r="W2467" s="2" t="s">
        <v>493</v>
      </c>
      <c r="X2467" s="2" t="s">
        <v>100</v>
      </c>
      <c r="Y2467" s="2" t="s">
        <v>5124</v>
      </c>
      <c r="Z2467" s="4">
        <v>91</v>
      </c>
      <c r="AA2467" s="4">
        <f>=ROUNDDOWN(13,0)</f>
      </c>
      <c r="AB2467" s="5">
        <v>7</v>
      </c>
      <c r="AC2467" s="2" t="s">
        <v>2772</v>
      </c>
      <c r="AD2467" s="4">
        <v>100</v>
      </c>
      <c r="AE2467" s="4">
        <v>100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/>
      <c r="AQ2467" s="8"/>
      <c r="AR2467" s="4"/>
      <c r="AS2467" s="8"/>
      <c r="AT2467" s="7"/>
      <c r="AU2467" s="7"/>
      <c r="AV2467" s="4"/>
      <c r="AW2467" s="8"/>
      <c r="AX2467" s="4"/>
      <c r="AY2467" s="8"/>
      <c r="AZ2467" s="7"/>
      <c r="BA2467" s="7"/>
      <c r="BB2467" s="7"/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/>
      <c r="BJ2467" s="4">
        <v>5</v>
      </c>
      <c r="BK2467" s="8">
        <v>149.1</v>
      </c>
      <c r="BL2467" s="2" t="s">
        <v>7871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2526</v>
      </c>
      <c r="BV2467" s="2" t="s">
        <v>97</v>
      </c>
      <c r="BW2467" s="2" t="s">
        <v>100</v>
      </c>
      <c r="BX2467" s="2" t="s">
        <v>100</v>
      </c>
      <c r="BY2467" s="2" t="s">
        <v>112</v>
      </c>
      <c r="BZ2467" s="2" t="s">
        <v>149</v>
      </c>
    </row>
    <row r="2468">
      <c r="A2468" s="2" t="s">
        <v>8745</v>
      </c>
      <c r="B2468" s="2" t="s">
        <v>8691</v>
      </c>
      <c r="C2468" s="2" t="s">
        <v>2238</v>
      </c>
      <c r="D2468" s="2" t="s">
        <v>8692</v>
      </c>
      <c r="E2468" s="2" t="s">
        <v>8693</v>
      </c>
      <c r="F2468" s="2" t="s">
        <v>8743</v>
      </c>
      <c r="G2468" s="2" t="s">
        <v>8743</v>
      </c>
      <c r="H2468" s="2" t="s">
        <v>8743</v>
      </c>
      <c r="I2468" s="2" t="s">
        <v>8744</v>
      </c>
      <c r="J2468" s="2" t="s">
        <v>3385</v>
      </c>
      <c r="K2468" s="2" t="s">
        <v>458</v>
      </c>
      <c r="L2468" s="3">
        <v>28.19</v>
      </c>
      <c r="M2468" s="3">
        <v>29.6</v>
      </c>
      <c r="N2468" s="3">
        <v>59.99</v>
      </c>
      <c r="O2468" s="2" t="s">
        <v>97</v>
      </c>
      <c r="P2468" s="2" t="s">
        <v>98</v>
      </c>
      <c r="Q2468" s="2" t="s">
        <v>99</v>
      </c>
      <c r="R2468" s="2" t="s">
        <v>100</v>
      </c>
      <c r="S2468" s="2" t="s">
        <v>100</v>
      </c>
      <c r="T2468" s="2" t="s">
        <v>100</v>
      </c>
      <c r="U2468" s="2" t="s">
        <v>1776</v>
      </c>
      <c r="V2468" s="2" t="s">
        <v>3412</v>
      </c>
      <c r="W2468" s="2" t="s">
        <v>493</v>
      </c>
      <c r="X2468" s="2" t="s">
        <v>100</v>
      </c>
      <c r="Y2468" s="2" t="s">
        <v>5124</v>
      </c>
      <c r="Z2468" s="4">
        <v>92</v>
      </c>
      <c r="AA2468" s="4">
        <f>=ROUNDDOWN(23,0)</f>
      </c>
      <c r="AB2468" s="5">
        <v>4</v>
      </c>
      <c r="AC2468" s="2" t="s">
        <v>8746</v>
      </c>
      <c r="AD2468" s="4">
        <v>100</v>
      </c>
      <c r="AE2468" s="4">
        <v>100</v>
      </c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/>
      <c r="AW2468" s="8"/>
      <c r="AX2468" s="4"/>
      <c r="AY2468" s="8"/>
      <c r="AZ2468" s="7"/>
      <c r="BA2468" s="7"/>
      <c r="BB2468" s="7"/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/>
      <c r="BJ2468" s="4">
        <v>11</v>
      </c>
      <c r="BK2468" s="8">
        <v>359.58</v>
      </c>
      <c r="BL2468" s="2" t="s">
        <v>8747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2526</v>
      </c>
      <c r="BV2468" s="2" t="s">
        <v>97</v>
      </c>
      <c r="BW2468" s="2" t="s">
        <v>100</v>
      </c>
      <c r="BX2468" s="2" t="s">
        <v>100</v>
      </c>
      <c r="BY2468" s="2" t="s">
        <v>112</v>
      </c>
      <c r="BZ2468" s="2" t="s">
        <v>149</v>
      </c>
    </row>
    <row r="2469">
      <c r="A2469" s="2" t="s">
        <v>8748</v>
      </c>
      <c r="B2469" s="2" t="s">
        <v>8691</v>
      </c>
      <c r="C2469" s="2" t="s">
        <v>2238</v>
      </c>
      <c r="D2469" s="2" t="s">
        <v>8692</v>
      </c>
      <c r="E2469" s="2" t="s">
        <v>8693</v>
      </c>
      <c r="F2469" s="2" t="s">
        <v>8749</v>
      </c>
      <c r="G2469" s="2" t="s">
        <v>8749</v>
      </c>
      <c r="H2469" s="2" t="s">
        <v>8749</v>
      </c>
      <c r="I2469" s="2" t="s">
        <v>8750</v>
      </c>
      <c r="J2469" s="2" t="s">
        <v>3385</v>
      </c>
      <c r="K2469" s="2" t="s">
        <v>878</v>
      </c>
      <c r="L2469" s="3">
        <v>28.42</v>
      </c>
      <c r="M2469" s="3">
        <v>29.84</v>
      </c>
      <c r="N2469" s="3">
        <v>64.99</v>
      </c>
      <c r="O2469" s="2" t="s">
        <v>97</v>
      </c>
      <c r="P2469" s="2" t="s">
        <v>98</v>
      </c>
      <c r="Q2469" s="2" t="s">
        <v>99</v>
      </c>
      <c r="R2469" s="2" t="s">
        <v>100</v>
      </c>
      <c r="S2469" s="2" t="s">
        <v>100</v>
      </c>
      <c r="T2469" s="2" t="s">
        <v>100</v>
      </c>
      <c r="U2469" s="2" t="s">
        <v>1776</v>
      </c>
      <c r="V2469" s="2" t="s">
        <v>461</v>
      </c>
      <c r="W2469" s="2" t="s">
        <v>609</v>
      </c>
      <c r="X2469" s="2" t="s">
        <v>100</v>
      </c>
      <c r="Y2469" s="2" t="s">
        <v>8751</v>
      </c>
      <c r="Z2469" s="4">
        <v>116</v>
      </c>
      <c r="AA2469" s="4">
        <f>=ROUNDDOWN(26.9767441860465,0)</f>
      </c>
      <c r="AB2469" s="5">
        <v>4.3</v>
      </c>
      <c r="AC2469" s="2" t="s">
        <v>3343</v>
      </c>
      <c r="AD2469" s="4">
        <v>60</v>
      </c>
      <c r="AE2469" s="4">
        <v>100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/>
      <c r="BD2469" s="8"/>
      <c r="BE2469" s="4"/>
      <c r="BF2469" s="8"/>
      <c r="BG2469" s="7"/>
      <c r="BH2469" s="7"/>
      <c r="BI2469" s="7"/>
      <c r="BJ2469" s="4">
        <v>15</v>
      </c>
      <c r="BK2469" s="8">
        <v>461.34</v>
      </c>
      <c r="BL2469" s="2" t="s">
        <v>8752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2526</v>
      </c>
      <c r="BV2469" s="2" t="s">
        <v>97</v>
      </c>
      <c r="BW2469" s="2" t="s">
        <v>100</v>
      </c>
      <c r="BX2469" s="2" t="s">
        <v>100</v>
      </c>
      <c r="BY2469" s="2" t="s">
        <v>112</v>
      </c>
      <c r="BZ2469" s="2" t="s">
        <v>149</v>
      </c>
    </row>
    <row r="2470">
      <c r="A2470" s="2" t="s">
        <v>8753</v>
      </c>
      <c r="B2470" s="2" t="s">
        <v>8691</v>
      </c>
      <c r="C2470" s="2" t="s">
        <v>2238</v>
      </c>
      <c r="D2470" s="2" t="s">
        <v>8692</v>
      </c>
      <c r="E2470" s="2" t="s">
        <v>8693</v>
      </c>
      <c r="F2470" s="2" t="s">
        <v>8754</v>
      </c>
      <c r="G2470" s="2" t="s">
        <v>8754</v>
      </c>
      <c r="H2470" s="2" t="s">
        <v>8754</v>
      </c>
      <c r="I2470" s="2" t="s">
        <v>8755</v>
      </c>
      <c r="J2470" s="2" t="s">
        <v>3385</v>
      </c>
      <c r="K2470" s="2" t="s">
        <v>8756</v>
      </c>
      <c r="L2470" s="3">
        <v>36</v>
      </c>
      <c r="M2470" s="3">
        <v>37.8</v>
      </c>
      <c r="N2470" s="3">
        <v>74.99</v>
      </c>
      <c r="O2470" s="2" t="s">
        <v>97</v>
      </c>
      <c r="P2470" s="2" t="s">
        <v>139</v>
      </c>
      <c r="Q2470" s="2" t="s">
        <v>99</v>
      </c>
      <c r="R2470" s="2" t="s">
        <v>100</v>
      </c>
      <c r="S2470" s="2" t="s">
        <v>100</v>
      </c>
      <c r="T2470" s="2" t="s">
        <v>100</v>
      </c>
      <c r="U2470" s="2" t="s">
        <v>100</v>
      </c>
      <c r="V2470" s="2" t="s">
        <v>3412</v>
      </c>
      <c r="W2470" s="2" t="s">
        <v>493</v>
      </c>
      <c r="X2470" s="2" t="s">
        <v>142</v>
      </c>
      <c r="Y2470" s="2" t="s">
        <v>2395</v>
      </c>
      <c r="Z2470" s="4">
        <v>171</v>
      </c>
      <c r="AA2470" s="4">
        <f>=ROUNDDOWN(7.43478260869565,0)</f>
      </c>
      <c r="AB2470" s="5">
        <v>23</v>
      </c>
      <c r="AC2470" s="2" t="s">
        <v>2772</v>
      </c>
      <c r="AD2470" s="4">
        <v>300</v>
      </c>
      <c r="AE2470" s="4">
        <v>300</v>
      </c>
      <c r="AF2470" s="6">
        <v>63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/>
      <c r="BD2470" s="8"/>
      <c r="BE2470" s="4"/>
      <c r="BF2470" s="8"/>
      <c r="BG2470" s="7"/>
      <c r="BH2470" s="7"/>
      <c r="BI2470" s="7"/>
      <c r="BJ2470" s="4">
        <v>106</v>
      </c>
      <c r="BK2470" s="8">
        <v>4093.93</v>
      </c>
      <c r="BL2470" s="2" t="s">
        <v>8757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2526</v>
      </c>
      <c r="BV2470" s="2" t="s">
        <v>97</v>
      </c>
      <c r="BW2470" s="2" t="s">
        <v>100</v>
      </c>
      <c r="BX2470" s="2" t="s">
        <v>100</v>
      </c>
      <c r="BY2470" s="2" t="s">
        <v>112</v>
      </c>
      <c r="BZ2470" s="2" t="s">
        <v>100</v>
      </c>
    </row>
    <row r="2471">
      <c r="A2471" s="2" t="s">
        <v>8758</v>
      </c>
      <c r="B2471" s="2" t="s">
        <v>8691</v>
      </c>
      <c r="C2471" s="2" t="s">
        <v>2536</v>
      </c>
      <c r="D2471" s="2" t="s">
        <v>8759</v>
      </c>
      <c r="E2471" s="2" t="s">
        <v>8760</v>
      </c>
      <c r="F2471" s="2" t="s">
        <v>8761</v>
      </c>
      <c r="G2471" s="2" t="s">
        <v>8761</v>
      </c>
      <c r="H2471" s="2" t="s">
        <v>8761</v>
      </c>
      <c r="I2471" s="2" t="s">
        <v>8762</v>
      </c>
      <c r="J2471" s="2" t="s">
        <v>3385</v>
      </c>
      <c r="K2471" s="2" t="s">
        <v>8763</v>
      </c>
      <c r="L2471" s="3">
        <v>130.68</v>
      </c>
      <c r="M2471" s="3">
        <v>137.21</v>
      </c>
      <c r="N2471" s="3">
        <v>299.99</v>
      </c>
      <c r="O2471" s="2" t="s">
        <v>97</v>
      </c>
      <c r="P2471" s="2" t="s">
        <v>139</v>
      </c>
      <c r="Q2471" s="2" t="s">
        <v>99</v>
      </c>
      <c r="R2471" s="2" t="s">
        <v>100</v>
      </c>
      <c r="S2471" s="2" t="s">
        <v>100</v>
      </c>
      <c r="T2471" s="2" t="s">
        <v>100</v>
      </c>
      <c r="U2471" s="2" t="s">
        <v>1776</v>
      </c>
      <c r="V2471" s="2" t="s">
        <v>461</v>
      </c>
      <c r="W2471" s="2" t="s">
        <v>142</v>
      </c>
      <c r="X2471" s="2" t="s">
        <v>100</v>
      </c>
      <c r="Y2471" s="2" t="s">
        <v>8764</v>
      </c>
      <c r="Z2471" s="4">
        <v>272</v>
      </c>
      <c r="AA2471" s="4">
        <f>=ROUNDDOWN(45.3333333333333,0)</f>
      </c>
      <c r="AB2471" s="5">
        <v>6</v>
      </c>
      <c r="AC2471" s="2" t="s">
        <v>3343</v>
      </c>
      <c r="AD2471" s="4">
        <v>200</v>
      </c>
      <c r="AE2471" s="4">
        <v>200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/>
      <c r="BD2471" s="8"/>
      <c r="BE2471" s="4"/>
      <c r="BF2471" s="8"/>
      <c r="BG2471" s="7"/>
      <c r="BH2471" s="7"/>
      <c r="BI2471" s="7"/>
      <c r="BJ2471" s="4">
        <v>34</v>
      </c>
      <c r="BK2471" s="8">
        <v>4649.11</v>
      </c>
      <c r="BL2471" s="2" t="s">
        <v>7923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2526</v>
      </c>
      <c r="BV2471" s="2" t="s">
        <v>97</v>
      </c>
      <c r="BW2471" s="2" t="s">
        <v>100</v>
      </c>
      <c r="BX2471" s="2" t="s">
        <v>100</v>
      </c>
      <c r="BY2471" s="2" t="s">
        <v>112</v>
      </c>
      <c r="BZ2471" s="2" t="s">
        <v>100</v>
      </c>
    </row>
    <row r="2472">
      <c r="A2472" s="2" t="s">
        <v>8765</v>
      </c>
      <c r="B2472" s="2" t="s">
        <v>8691</v>
      </c>
      <c r="C2472" s="2" t="s">
        <v>2536</v>
      </c>
      <c r="D2472" s="2" t="s">
        <v>8759</v>
      </c>
      <c r="E2472" s="2" t="s">
        <v>8760</v>
      </c>
      <c r="F2472" s="2" t="s">
        <v>8766</v>
      </c>
      <c r="G2472" s="2" t="s">
        <v>8766</v>
      </c>
      <c r="H2472" s="2" t="s">
        <v>8766</v>
      </c>
      <c r="I2472" s="2" t="s">
        <v>8767</v>
      </c>
      <c r="J2472" s="2" t="s">
        <v>3385</v>
      </c>
      <c r="K2472" s="2" t="s">
        <v>8768</v>
      </c>
      <c r="L2472" s="3">
        <v>123.35</v>
      </c>
      <c r="M2472" s="3">
        <v>129.52</v>
      </c>
      <c r="N2472" s="3">
        <v>259.99</v>
      </c>
      <c r="O2472" s="2" t="s">
        <v>97</v>
      </c>
      <c r="P2472" s="2" t="s">
        <v>123</v>
      </c>
      <c r="Q2472" s="2" t="s">
        <v>99</v>
      </c>
      <c r="R2472" s="2" t="s">
        <v>100</v>
      </c>
      <c r="S2472" s="2" t="s">
        <v>100</v>
      </c>
      <c r="T2472" s="2" t="s">
        <v>100</v>
      </c>
      <c r="U2472" s="2" t="s">
        <v>1776</v>
      </c>
      <c r="V2472" s="2" t="s">
        <v>3412</v>
      </c>
      <c r="W2472" s="2" t="s">
        <v>142</v>
      </c>
      <c r="X2472" s="2" t="s">
        <v>100</v>
      </c>
      <c r="Y2472" s="2" t="s">
        <v>388</v>
      </c>
      <c r="Z2472" s="4">
        <v>296</v>
      </c>
      <c r="AA2472" s="4">
        <f>=ROUNDDOWN(29.6,0)</f>
      </c>
      <c r="AB2472" s="5">
        <v>10</v>
      </c>
      <c r="AC2472" s="2" t="s">
        <v>100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/>
      <c r="BJ2472" s="4">
        <v>27</v>
      </c>
      <c r="BK2472" s="8">
        <v>3954.36</v>
      </c>
      <c r="BL2472" s="2" t="s">
        <v>8769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2526</v>
      </c>
      <c r="BV2472" s="2" t="s">
        <v>97</v>
      </c>
      <c r="BW2472" s="2" t="s">
        <v>100</v>
      </c>
      <c r="BX2472" s="2" t="s">
        <v>100</v>
      </c>
      <c r="BY2472" s="2" t="s">
        <v>112</v>
      </c>
      <c r="BZ2472" s="2" t="s">
        <v>100</v>
      </c>
    </row>
    <row r="2473">
      <c r="A2473" s="2" t="s">
        <v>8770</v>
      </c>
      <c r="B2473" s="2" t="s">
        <v>8691</v>
      </c>
      <c r="C2473" s="2" t="s">
        <v>2536</v>
      </c>
      <c r="D2473" s="2" t="s">
        <v>8759</v>
      </c>
      <c r="E2473" s="2" t="s">
        <v>8760</v>
      </c>
      <c r="F2473" s="2" t="s">
        <v>8766</v>
      </c>
      <c r="G2473" s="2" t="s">
        <v>8766</v>
      </c>
      <c r="H2473" s="2" t="s">
        <v>8766</v>
      </c>
      <c r="I2473" s="2" t="s">
        <v>8771</v>
      </c>
      <c r="J2473" s="2" t="s">
        <v>3385</v>
      </c>
      <c r="K2473" s="2" t="s">
        <v>8756</v>
      </c>
      <c r="L2473" s="3">
        <v>123.35</v>
      </c>
      <c r="M2473" s="3">
        <v>129.52</v>
      </c>
      <c r="N2473" s="3">
        <v>259.99</v>
      </c>
      <c r="O2473" s="2" t="s">
        <v>97</v>
      </c>
      <c r="P2473" s="2" t="s">
        <v>139</v>
      </c>
      <c r="Q2473" s="2" t="s">
        <v>99</v>
      </c>
      <c r="R2473" s="2" t="s">
        <v>100</v>
      </c>
      <c r="S2473" s="2" t="s">
        <v>8772</v>
      </c>
      <c r="T2473" s="2" t="s">
        <v>100</v>
      </c>
      <c r="U2473" s="2" t="s">
        <v>100</v>
      </c>
      <c r="V2473" s="2" t="s">
        <v>461</v>
      </c>
      <c r="W2473" s="2" t="s">
        <v>142</v>
      </c>
      <c r="X2473" s="2" t="s">
        <v>100</v>
      </c>
      <c r="Y2473" s="2" t="s">
        <v>2715</v>
      </c>
      <c r="Z2473" s="4">
        <v>885</v>
      </c>
      <c r="AA2473" s="4">
        <f>=ROUNDDOWN(42.1428571428571,0)</f>
      </c>
      <c r="AB2473" s="5">
        <v>21</v>
      </c>
      <c r="AC2473" s="2" t="s">
        <v>100</v>
      </c>
      <c r="AD2473" s="4"/>
      <c r="AE2473" s="4"/>
      <c r="AF2473" s="6">
        <v>63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/>
      <c r="BJ2473" s="4">
        <v>34</v>
      </c>
      <c r="BK2473" s="8">
        <v>4709.49</v>
      </c>
      <c r="BL2473" s="2" t="s">
        <v>8773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2526</v>
      </c>
      <c r="BV2473" s="2" t="s">
        <v>97</v>
      </c>
      <c r="BW2473" s="2" t="s">
        <v>100</v>
      </c>
      <c r="BX2473" s="2" t="s">
        <v>100</v>
      </c>
      <c r="BY2473" s="2" t="s">
        <v>112</v>
      </c>
      <c r="BZ2473" s="2" t="s">
        <v>100</v>
      </c>
    </row>
    <row r="2474">
      <c r="A2474" s="2" t="s">
        <v>8774</v>
      </c>
      <c r="B2474" s="2" t="s">
        <v>8691</v>
      </c>
      <c r="C2474" s="2" t="s">
        <v>2536</v>
      </c>
      <c r="D2474" s="2" t="s">
        <v>8759</v>
      </c>
      <c r="E2474" s="2" t="s">
        <v>8760</v>
      </c>
      <c r="F2474" s="2" t="s">
        <v>8766</v>
      </c>
      <c r="G2474" s="2" t="s">
        <v>8766</v>
      </c>
      <c r="H2474" s="2" t="s">
        <v>8766</v>
      </c>
      <c r="I2474" s="2" t="s">
        <v>8771</v>
      </c>
      <c r="J2474" s="2" t="s">
        <v>3385</v>
      </c>
      <c r="K2474" s="2" t="s">
        <v>8775</v>
      </c>
      <c r="L2474" s="3">
        <v>123.35</v>
      </c>
      <c r="M2474" s="3">
        <v>129.52</v>
      </c>
      <c r="N2474" s="3">
        <v>259.99</v>
      </c>
      <c r="O2474" s="2" t="s">
        <v>97</v>
      </c>
      <c r="P2474" s="2" t="s">
        <v>123</v>
      </c>
      <c r="Q2474" s="2" t="s">
        <v>99</v>
      </c>
      <c r="R2474" s="2" t="s">
        <v>100</v>
      </c>
      <c r="S2474" s="2" t="s">
        <v>100</v>
      </c>
      <c r="T2474" s="2" t="s">
        <v>100</v>
      </c>
      <c r="U2474" s="2" t="s">
        <v>100</v>
      </c>
      <c r="V2474" s="2" t="s">
        <v>3412</v>
      </c>
      <c r="W2474" s="2" t="s">
        <v>142</v>
      </c>
      <c r="X2474" s="2" t="s">
        <v>100</v>
      </c>
      <c r="Y2474" s="2" t="s">
        <v>4841</v>
      </c>
      <c r="Z2474" s="4">
        <v>139</v>
      </c>
      <c r="AA2474" s="4">
        <f>=ROUNDDOWN(23.1666666666667,0)</f>
      </c>
      <c r="AB2474" s="5">
        <v>6</v>
      </c>
      <c r="AC2474" s="2" t="s">
        <v>100</v>
      </c>
      <c r="AD2474" s="4"/>
      <c r="AE2474" s="4"/>
      <c r="AF2474" s="6">
        <v>63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/>
      <c r="AW2474" s="8"/>
      <c r="AX2474" s="4"/>
      <c r="AY2474" s="8"/>
      <c r="AZ2474" s="7"/>
      <c r="BA2474" s="7"/>
      <c r="BB2474" s="7"/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/>
      <c r="BJ2474" s="4">
        <v>20</v>
      </c>
      <c r="BK2474" s="8">
        <v>2782.35</v>
      </c>
      <c r="BL2474" s="2" t="s">
        <v>8776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2526</v>
      </c>
      <c r="BV2474" s="2" t="s">
        <v>97</v>
      </c>
      <c r="BW2474" s="2" t="s">
        <v>100</v>
      </c>
      <c r="BX2474" s="2" t="s">
        <v>100</v>
      </c>
      <c r="BY2474" s="2" t="s">
        <v>112</v>
      </c>
      <c r="BZ2474" s="2" t="s">
        <v>100</v>
      </c>
    </row>
    <row r="2475">
      <c r="A2475" s="2" t="s">
        <v>8777</v>
      </c>
      <c r="B2475" s="2" t="s">
        <v>8691</v>
      </c>
      <c r="C2475" s="2" t="s">
        <v>2536</v>
      </c>
      <c r="D2475" s="2" t="s">
        <v>8778</v>
      </c>
      <c r="E2475" s="2" t="s">
        <v>8779</v>
      </c>
      <c r="F2475" s="2" t="s">
        <v>8780</v>
      </c>
      <c r="G2475" s="2" t="s">
        <v>8780</v>
      </c>
      <c r="H2475" s="2" t="s">
        <v>8780</v>
      </c>
      <c r="I2475" s="2" t="s">
        <v>8781</v>
      </c>
      <c r="J2475" s="2" t="s">
        <v>3385</v>
      </c>
      <c r="K2475" s="2" t="s">
        <v>3475</v>
      </c>
      <c r="L2475" s="3">
        <v>63</v>
      </c>
      <c r="M2475" s="3">
        <v>66.15</v>
      </c>
      <c r="N2475" s="3">
        <v>134.99</v>
      </c>
      <c r="O2475" s="2" t="s">
        <v>97</v>
      </c>
      <c r="P2475" s="2" t="s">
        <v>123</v>
      </c>
      <c r="Q2475" s="2" t="s">
        <v>99</v>
      </c>
      <c r="R2475" s="2" t="s">
        <v>100</v>
      </c>
      <c r="S2475" s="2" t="s">
        <v>100</v>
      </c>
      <c r="T2475" s="2" t="s">
        <v>100</v>
      </c>
      <c r="U2475" s="2" t="s">
        <v>1776</v>
      </c>
      <c r="V2475" s="2" t="s">
        <v>3412</v>
      </c>
      <c r="W2475" s="2" t="s">
        <v>142</v>
      </c>
      <c r="X2475" s="2" t="s">
        <v>100</v>
      </c>
      <c r="Y2475" s="2" t="s">
        <v>2305</v>
      </c>
      <c r="Z2475" s="4">
        <v>431</v>
      </c>
      <c r="AA2475" s="4">
        <f>=ROUNDDOWN(30.7857142857143,0)</f>
      </c>
      <c r="AB2475" s="5">
        <v>14</v>
      </c>
      <c r="AC2475" s="2" t="s">
        <v>100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/>
      <c r="AW2475" s="8"/>
      <c r="AX2475" s="4"/>
      <c r="AY2475" s="8"/>
      <c r="AZ2475" s="7"/>
      <c r="BA2475" s="7"/>
      <c r="BB2475" s="7"/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/>
      <c r="BJ2475" s="4">
        <v>16</v>
      </c>
      <c r="BK2475" s="8">
        <v>1227.76</v>
      </c>
      <c r="BL2475" s="2" t="s">
        <v>8782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2526</v>
      </c>
      <c r="BV2475" s="2" t="s">
        <v>97</v>
      </c>
      <c r="BW2475" s="2" t="s">
        <v>100</v>
      </c>
      <c r="BX2475" s="2" t="s">
        <v>100</v>
      </c>
      <c r="BY2475" s="2" t="s">
        <v>112</v>
      </c>
      <c r="BZ2475" s="2" t="s">
        <v>100</v>
      </c>
    </row>
    <row r="2476">
      <c r="A2476" s="2" t="s">
        <v>8783</v>
      </c>
      <c r="B2476" s="2" t="s">
        <v>8691</v>
      </c>
      <c r="C2476" s="2" t="s">
        <v>2536</v>
      </c>
      <c r="D2476" s="2" t="s">
        <v>8778</v>
      </c>
      <c r="E2476" s="2" t="s">
        <v>8779</v>
      </c>
      <c r="F2476" s="2" t="s">
        <v>8780</v>
      </c>
      <c r="G2476" s="2" t="s">
        <v>8780</v>
      </c>
      <c r="H2476" s="2" t="s">
        <v>8780</v>
      </c>
      <c r="I2476" s="2" t="s">
        <v>8781</v>
      </c>
      <c r="J2476" s="2" t="s">
        <v>3385</v>
      </c>
      <c r="K2476" s="2" t="s">
        <v>878</v>
      </c>
      <c r="L2476" s="3">
        <v>63</v>
      </c>
      <c r="M2476" s="3">
        <v>66.15</v>
      </c>
      <c r="N2476" s="3">
        <v>134.99</v>
      </c>
      <c r="O2476" s="2" t="s">
        <v>97</v>
      </c>
      <c r="P2476" s="2" t="s">
        <v>707</v>
      </c>
      <c r="Q2476" s="2" t="s">
        <v>99</v>
      </c>
      <c r="R2476" s="2" t="s">
        <v>100</v>
      </c>
      <c r="S2476" s="2" t="s">
        <v>100</v>
      </c>
      <c r="T2476" s="2" t="s">
        <v>100</v>
      </c>
      <c r="U2476" s="2" t="s">
        <v>100</v>
      </c>
      <c r="V2476" s="2" t="s">
        <v>3412</v>
      </c>
      <c r="W2476" s="2" t="s">
        <v>142</v>
      </c>
      <c r="X2476" s="2" t="s">
        <v>100</v>
      </c>
      <c r="Y2476" s="2" t="s">
        <v>4089</v>
      </c>
      <c r="Z2476" s="4">
        <v>56</v>
      </c>
      <c r="AA2476" s="4">
        <f>=ROUNDDOWN(28,0)</f>
      </c>
      <c r="AB2476" s="5">
        <v>2</v>
      </c>
      <c r="AC2476" s="2" t="s">
        <v>100</v>
      </c>
      <c r="AD2476" s="4"/>
      <c r="AE2476" s="4"/>
      <c r="AF2476" s="6">
        <v>63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/>
      <c r="AW2476" s="8"/>
      <c r="AX2476" s="4"/>
      <c r="AY2476" s="8"/>
      <c r="AZ2476" s="7"/>
      <c r="BA2476" s="7"/>
      <c r="BB2476" s="7"/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/>
      <c r="BJ2476" s="4">
        <v>2</v>
      </c>
      <c r="BK2476" s="8">
        <v>144.21</v>
      </c>
      <c r="BL2476" s="2" t="s">
        <v>8784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2526</v>
      </c>
      <c r="BV2476" s="2" t="s">
        <v>97</v>
      </c>
      <c r="BW2476" s="2" t="s">
        <v>100</v>
      </c>
      <c r="BX2476" s="2" t="s">
        <v>100</v>
      </c>
      <c r="BY2476" s="2" t="s">
        <v>112</v>
      </c>
      <c r="BZ2476" s="2" t="s">
        <v>100</v>
      </c>
    </row>
    <row r="2477">
      <c r="A2477" s="2" t="s">
        <v>8785</v>
      </c>
      <c r="B2477" s="2" t="s">
        <v>8691</v>
      </c>
      <c r="C2477" s="2" t="s">
        <v>2536</v>
      </c>
      <c r="D2477" s="2" t="s">
        <v>8778</v>
      </c>
      <c r="E2477" s="2" t="s">
        <v>8779</v>
      </c>
      <c r="F2477" s="2" t="s">
        <v>2968</v>
      </c>
      <c r="G2477" s="2" t="s">
        <v>2968</v>
      </c>
      <c r="H2477" s="2" t="s">
        <v>2968</v>
      </c>
      <c r="I2477" s="2" t="s">
        <v>8786</v>
      </c>
      <c r="J2477" s="2" t="s">
        <v>3385</v>
      </c>
      <c r="K2477" s="2" t="s">
        <v>3475</v>
      </c>
      <c r="L2477" s="3">
        <v>86.4</v>
      </c>
      <c r="M2477" s="3">
        <v>90.72</v>
      </c>
      <c r="N2477" s="3">
        <v>179.99</v>
      </c>
      <c r="O2477" s="2" t="s">
        <v>97</v>
      </c>
      <c r="P2477" s="2" t="s">
        <v>123</v>
      </c>
      <c r="Q2477" s="2" t="s">
        <v>99</v>
      </c>
      <c r="R2477" s="2" t="s">
        <v>100</v>
      </c>
      <c r="S2477" s="2" t="s">
        <v>100</v>
      </c>
      <c r="T2477" s="2" t="s">
        <v>100</v>
      </c>
      <c r="U2477" s="2" t="s">
        <v>1776</v>
      </c>
      <c r="V2477" s="2" t="s">
        <v>3412</v>
      </c>
      <c r="W2477" s="2" t="s">
        <v>142</v>
      </c>
      <c r="X2477" s="2" t="s">
        <v>100</v>
      </c>
      <c r="Y2477" s="2" t="s">
        <v>8787</v>
      </c>
      <c r="Z2477" s="4">
        <v>157</v>
      </c>
      <c r="AA2477" s="4">
        <f>=ROUNDDOWN(26.1666666666667,0)</f>
      </c>
      <c r="AB2477" s="5">
        <v>6</v>
      </c>
      <c r="AC2477" s="2" t="s">
        <v>100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/>
      <c r="AW2477" s="8"/>
      <c r="AX2477" s="4"/>
      <c r="AY2477" s="8"/>
      <c r="AZ2477" s="7"/>
      <c r="BA2477" s="7"/>
      <c r="BB2477" s="7"/>
      <c r="BC2477" s="4"/>
      <c r="BD2477" s="8"/>
      <c r="BE2477" s="4"/>
      <c r="BF2477" s="8"/>
      <c r="BG2477" s="7"/>
      <c r="BH2477" s="7"/>
      <c r="BI2477" s="7"/>
      <c r="BJ2477" s="4">
        <v>8</v>
      </c>
      <c r="BK2477" s="8">
        <v>784.02</v>
      </c>
      <c r="BL2477" s="2" t="s">
        <v>8788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2526</v>
      </c>
      <c r="BV2477" s="2" t="s">
        <v>97</v>
      </c>
      <c r="BW2477" s="2" t="s">
        <v>100</v>
      </c>
      <c r="BX2477" s="2" t="s">
        <v>100</v>
      </c>
      <c r="BY2477" s="2" t="s">
        <v>112</v>
      </c>
      <c r="BZ2477" s="2" t="s">
        <v>100</v>
      </c>
    </row>
    <row r="2478">
      <c r="A2478" s="2" t="s">
        <v>8789</v>
      </c>
      <c r="B2478" s="2" t="s">
        <v>8691</v>
      </c>
      <c r="C2478" s="2" t="s">
        <v>2536</v>
      </c>
      <c r="D2478" s="2" t="s">
        <v>8778</v>
      </c>
      <c r="E2478" s="2" t="s">
        <v>8779</v>
      </c>
      <c r="F2478" s="2" t="s">
        <v>8790</v>
      </c>
      <c r="G2478" s="2" t="s">
        <v>8790</v>
      </c>
      <c r="H2478" s="2" t="s">
        <v>8790</v>
      </c>
      <c r="I2478" s="2" t="s">
        <v>8791</v>
      </c>
      <c r="J2478" s="2" t="s">
        <v>3385</v>
      </c>
      <c r="K2478" s="2" t="s">
        <v>8792</v>
      </c>
      <c r="L2478" s="3">
        <v>54.27</v>
      </c>
      <c r="M2478" s="3">
        <v>56.98</v>
      </c>
      <c r="N2478" s="3">
        <v>129.99</v>
      </c>
      <c r="O2478" s="2" t="s">
        <v>97</v>
      </c>
      <c r="P2478" s="2" t="s">
        <v>98</v>
      </c>
      <c r="Q2478" s="2" t="s">
        <v>99</v>
      </c>
      <c r="R2478" s="2" t="s">
        <v>100</v>
      </c>
      <c r="S2478" s="2" t="s">
        <v>100</v>
      </c>
      <c r="T2478" s="2" t="s">
        <v>100</v>
      </c>
      <c r="U2478" s="2" t="s">
        <v>1776</v>
      </c>
      <c r="V2478" s="2" t="s">
        <v>3412</v>
      </c>
      <c r="W2478" s="2" t="s">
        <v>142</v>
      </c>
      <c r="X2478" s="2" t="s">
        <v>100</v>
      </c>
      <c r="Y2478" s="2" t="s">
        <v>2305</v>
      </c>
      <c r="Z2478" s="4">
        <v>82</v>
      </c>
      <c r="AA2478" s="4">
        <f>=ROUNDDOWN(8.2,0)</f>
      </c>
      <c r="AB2478" s="5">
        <v>10</v>
      </c>
      <c r="AC2478" s="2" t="s">
        <v>2709</v>
      </c>
      <c r="AD2478" s="4">
        <v>60</v>
      </c>
      <c r="AE2478" s="4">
        <v>200</v>
      </c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/>
      <c r="BD2478" s="8"/>
      <c r="BE2478" s="4"/>
      <c r="BF2478" s="8"/>
      <c r="BG2478" s="7"/>
      <c r="BH2478" s="7"/>
      <c r="BI2478" s="7"/>
      <c r="BJ2478" s="4">
        <v>29</v>
      </c>
      <c r="BK2478" s="8">
        <v>1731.39</v>
      </c>
      <c r="BL2478" s="2" t="s">
        <v>8793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2526</v>
      </c>
      <c r="BV2478" s="2" t="s">
        <v>97</v>
      </c>
      <c r="BW2478" s="2" t="s">
        <v>100</v>
      </c>
      <c r="BX2478" s="2" t="s">
        <v>100</v>
      </c>
      <c r="BY2478" s="2" t="s">
        <v>112</v>
      </c>
      <c r="BZ2478" s="2" t="s">
        <v>100</v>
      </c>
    </row>
    <row r="2479">
      <c r="A2479" s="2" t="s">
        <v>8794</v>
      </c>
      <c r="B2479" s="2" t="s">
        <v>8691</v>
      </c>
      <c r="C2479" s="2" t="s">
        <v>2536</v>
      </c>
      <c r="D2479" s="2" t="s">
        <v>8795</v>
      </c>
      <c r="E2479" s="2" t="s">
        <v>8796</v>
      </c>
      <c r="F2479" s="2" t="s">
        <v>2968</v>
      </c>
      <c r="G2479" s="2" t="s">
        <v>2968</v>
      </c>
      <c r="H2479" s="2" t="s">
        <v>2968</v>
      </c>
      <c r="I2479" s="2" t="s">
        <v>8797</v>
      </c>
      <c r="J2479" s="2" t="s">
        <v>8798</v>
      </c>
      <c r="K2479" s="2" t="s">
        <v>8799</v>
      </c>
      <c r="L2479" s="3">
        <v>47.52</v>
      </c>
      <c r="M2479" s="3">
        <v>49.9</v>
      </c>
      <c r="N2479" s="3">
        <v>109.99</v>
      </c>
      <c r="O2479" s="2" t="s">
        <v>97</v>
      </c>
      <c r="P2479" s="2" t="s">
        <v>123</v>
      </c>
      <c r="Q2479" s="2" t="s">
        <v>99</v>
      </c>
      <c r="R2479" s="2" t="s">
        <v>100</v>
      </c>
      <c r="S2479" s="2" t="s">
        <v>100</v>
      </c>
      <c r="T2479" s="2" t="s">
        <v>100</v>
      </c>
      <c r="U2479" s="2" t="s">
        <v>1776</v>
      </c>
      <c r="V2479" s="2" t="s">
        <v>3412</v>
      </c>
      <c r="W2479" s="2" t="s">
        <v>142</v>
      </c>
      <c r="X2479" s="2" t="s">
        <v>594</v>
      </c>
      <c r="Y2479" s="2" t="s">
        <v>8787</v>
      </c>
      <c r="Z2479" s="4">
        <v>65</v>
      </c>
      <c r="AA2479" s="4">
        <f>=ROUNDDOWN(5.90909090909091,0)</f>
      </c>
      <c r="AB2479" s="5">
        <v>11</v>
      </c>
      <c r="AC2479" s="2" t="s">
        <v>2709</v>
      </c>
      <c r="AD2479" s="4">
        <v>300</v>
      </c>
      <c r="AE2479" s="4">
        <v>300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/>
      <c r="BJ2479" s="4">
        <v>43</v>
      </c>
      <c r="BK2479" s="8">
        <v>2316.29</v>
      </c>
      <c r="BL2479" s="2" t="s">
        <v>8800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2526</v>
      </c>
      <c r="BV2479" s="2" t="s">
        <v>97</v>
      </c>
      <c r="BW2479" s="2" t="s">
        <v>100</v>
      </c>
      <c r="BX2479" s="2" t="s">
        <v>100</v>
      </c>
      <c r="BY2479" s="2" t="s">
        <v>112</v>
      </c>
      <c r="BZ2479" s="2" t="s">
        <v>100</v>
      </c>
    </row>
    <row r="2480">
      <c r="A2480" s="2" t="s">
        <v>8801</v>
      </c>
      <c r="B2480" s="2" t="s">
        <v>8691</v>
      </c>
      <c r="C2480" s="2" t="s">
        <v>2536</v>
      </c>
      <c r="D2480" s="2" t="s">
        <v>8795</v>
      </c>
      <c r="E2480" s="2" t="s">
        <v>8796</v>
      </c>
      <c r="F2480" s="2" t="s">
        <v>2968</v>
      </c>
      <c r="G2480" s="2" t="s">
        <v>2968</v>
      </c>
      <c r="H2480" s="2" t="s">
        <v>2968</v>
      </c>
      <c r="I2480" s="2" t="s">
        <v>8797</v>
      </c>
      <c r="J2480" s="2" t="s">
        <v>8798</v>
      </c>
      <c r="K2480" s="2" t="s">
        <v>8802</v>
      </c>
      <c r="L2480" s="3">
        <v>47.52</v>
      </c>
      <c r="M2480" s="3">
        <v>49.9</v>
      </c>
      <c r="N2480" s="3">
        <v>109.99</v>
      </c>
      <c r="O2480" s="2" t="s">
        <v>97</v>
      </c>
      <c r="P2480" s="2" t="s">
        <v>98</v>
      </c>
      <c r="Q2480" s="2" t="s">
        <v>99</v>
      </c>
      <c r="R2480" s="2" t="s">
        <v>100</v>
      </c>
      <c r="S2480" s="2" t="s">
        <v>100</v>
      </c>
      <c r="T2480" s="2" t="s">
        <v>100</v>
      </c>
      <c r="U2480" s="2" t="s">
        <v>1776</v>
      </c>
      <c r="V2480" s="2" t="s">
        <v>3412</v>
      </c>
      <c r="W2480" s="2" t="s">
        <v>142</v>
      </c>
      <c r="X2480" s="2" t="s">
        <v>594</v>
      </c>
      <c r="Y2480" s="2" t="s">
        <v>8803</v>
      </c>
      <c r="Z2480" s="4">
        <v>76</v>
      </c>
      <c r="AA2480" s="4">
        <f>=ROUNDDOWN(19,0)</f>
      </c>
      <c r="AB2480" s="5">
        <v>4</v>
      </c>
      <c r="AC2480" s="2" t="s">
        <v>100</v>
      </c>
      <c r="AD2480" s="4"/>
      <c r="AE2480" s="4"/>
      <c r="AF2480" s="6">
        <v>63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/>
      <c r="AW2480" s="8"/>
      <c r="AX2480" s="4"/>
      <c r="AY2480" s="8"/>
      <c r="AZ2480" s="7"/>
      <c r="BA2480" s="7"/>
      <c r="BB2480" s="7"/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/>
      <c r="BJ2480" s="4">
        <v>23</v>
      </c>
      <c r="BK2480" s="8">
        <v>1259.42</v>
      </c>
      <c r="BL2480" s="2" t="s">
        <v>8804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2526</v>
      </c>
      <c r="BV2480" s="2" t="s">
        <v>97</v>
      </c>
      <c r="BW2480" s="2" t="s">
        <v>100</v>
      </c>
      <c r="BX2480" s="2" t="s">
        <v>100</v>
      </c>
      <c r="BY2480" s="2" t="s">
        <v>112</v>
      </c>
      <c r="BZ2480" s="2" t="s">
        <v>100</v>
      </c>
    </row>
    <row r="2481">
      <c r="A2481" s="2" t="s">
        <v>8805</v>
      </c>
      <c r="B2481" s="2" t="s">
        <v>8691</v>
      </c>
      <c r="C2481" s="2" t="s">
        <v>2536</v>
      </c>
      <c r="D2481" s="2" t="s">
        <v>8795</v>
      </c>
      <c r="E2481" s="2" t="s">
        <v>8796</v>
      </c>
      <c r="F2481" s="2" t="s">
        <v>2968</v>
      </c>
      <c r="G2481" s="2" t="s">
        <v>2968</v>
      </c>
      <c r="H2481" s="2" t="s">
        <v>2968</v>
      </c>
      <c r="I2481" s="2" t="s">
        <v>8797</v>
      </c>
      <c r="J2481" s="2" t="s">
        <v>8798</v>
      </c>
      <c r="K2481" s="2" t="s">
        <v>8806</v>
      </c>
      <c r="L2481" s="3">
        <v>47.52</v>
      </c>
      <c r="M2481" s="3">
        <v>49.9</v>
      </c>
      <c r="N2481" s="3">
        <v>109.99</v>
      </c>
      <c r="O2481" s="2" t="s">
        <v>97</v>
      </c>
      <c r="P2481" s="2" t="s">
        <v>139</v>
      </c>
      <c r="Q2481" s="2" t="s">
        <v>99</v>
      </c>
      <c r="R2481" s="2" t="s">
        <v>100</v>
      </c>
      <c r="S2481" s="2" t="s">
        <v>8807</v>
      </c>
      <c r="T2481" s="2" t="s">
        <v>100</v>
      </c>
      <c r="U2481" s="2" t="s">
        <v>1776</v>
      </c>
      <c r="V2481" s="2" t="s">
        <v>461</v>
      </c>
      <c r="W2481" s="2" t="s">
        <v>142</v>
      </c>
      <c r="X2481" s="2" t="s">
        <v>594</v>
      </c>
      <c r="Y2481" s="2" t="s">
        <v>147</v>
      </c>
      <c r="Z2481" s="4">
        <v>1639</v>
      </c>
      <c r="AA2481" s="4">
        <f>=ROUNDDOWN(25.2153846153846,0)</f>
      </c>
      <c r="AB2481" s="5">
        <v>65</v>
      </c>
      <c r="AC2481" s="2" t="s">
        <v>1468</v>
      </c>
      <c r="AD2481" s="4">
        <v>500</v>
      </c>
      <c r="AE2481" s="4">
        <v>500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/>
      <c r="AQ2481" s="8"/>
      <c r="AR2481" s="4"/>
      <c r="AS2481" s="8"/>
      <c r="AT2481" s="7"/>
      <c r="AU2481" s="7"/>
      <c r="AV2481" s="4"/>
      <c r="AW2481" s="8"/>
      <c r="AX2481" s="4"/>
      <c r="AY2481" s="8"/>
      <c r="AZ2481" s="7"/>
      <c r="BA2481" s="7"/>
      <c r="BB2481" s="7"/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/>
      <c r="BJ2481" s="4">
        <v>149</v>
      </c>
      <c r="BK2481" s="8">
        <v>7786.22</v>
      </c>
      <c r="BL2481" s="2" t="s">
        <v>8808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2526</v>
      </c>
      <c r="BV2481" s="2" t="s">
        <v>97</v>
      </c>
      <c r="BW2481" s="2" t="s">
        <v>100</v>
      </c>
      <c r="BX2481" s="2" t="s">
        <v>100</v>
      </c>
      <c r="BY2481" s="2" t="s">
        <v>112</v>
      </c>
      <c r="BZ2481" s="2" t="s">
        <v>100</v>
      </c>
    </row>
    <row r="2482">
      <c r="A2482" s="2" t="s">
        <v>8809</v>
      </c>
      <c r="B2482" s="2" t="s">
        <v>8691</v>
      </c>
      <c r="C2482" s="2" t="s">
        <v>2536</v>
      </c>
      <c r="D2482" s="2" t="s">
        <v>8795</v>
      </c>
      <c r="E2482" s="2" t="s">
        <v>8796</v>
      </c>
      <c r="F2482" s="2" t="s">
        <v>2968</v>
      </c>
      <c r="G2482" s="2" t="s">
        <v>2968</v>
      </c>
      <c r="H2482" s="2" t="s">
        <v>2968</v>
      </c>
      <c r="I2482" s="2" t="s">
        <v>8797</v>
      </c>
      <c r="J2482" s="2" t="s">
        <v>8798</v>
      </c>
      <c r="K2482" s="2" t="s">
        <v>8810</v>
      </c>
      <c r="L2482" s="3">
        <v>47.52</v>
      </c>
      <c r="M2482" s="3">
        <v>49.9</v>
      </c>
      <c r="N2482" s="3">
        <v>109.99</v>
      </c>
      <c r="O2482" s="2" t="s">
        <v>97</v>
      </c>
      <c r="P2482" s="2" t="s">
        <v>123</v>
      </c>
      <c r="Q2482" s="2" t="s">
        <v>99</v>
      </c>
      <c r="R2482" s="2" t="s">
        <v>100</v>
      </c>
      <c r="S2482" s="2" t="s">
        <v>100</v>
      </c>
      <c r="T2482" s="2" t="s">
        <v>100</v>
      </c>
      <c r="U2482" s="2" t="s">
        <v>1776</v>
      </c>
      <c r="V2482" s="2" t="s">
        <v>3412</v>
      </c>
      <c r="W2482" s="2" t="s">
        <v>142</v>
      </c>
      <c r="X2482" s="2" t="s">
        <v>594</v>
      </c>
      <c r="Y2482" s="2" t="s">
        <v>8787</v>
      </c>
      <c r="Z2482" s="4">
        <v>232</v>
      </c>
      <c r="AA2482" s="4">
        <f>=ROUNDDOWN(16.5714285714286,0)</f>
      </c>
      <c r="AB2482" s="5">
        <v>14</v>
      </c>
      <c r="AC2482" s="2" t="s">
        <v>1142</v>
      </c>
      <c r="AD2482" s="4">
        <v>170</v>
      </c>
      <c r="AE2482" s="4">
        <v>170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/>
      <c r="BJ2482" s="4">
        <v>68</v>
      </c>
      <c r="BK2482" s="8">
        <v>3565.02</v>
      </c>
      <c r="BL2482" s="2" t="s">
        <v>8811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2526</v>
      </c>
      <c r="BV2482" s="2" t="s">
        <v>97</v>
      </c>
      <c r="BW2482" s="2" t="s">
        <v>100</v>
      </c>
      <c r="BX2482" s="2" t="s">
        <v>100</v>
      </c>
      <c r="BY2482" s="2" t="s">
        <v>112</v>
      </c>
      <c r="BZ2482" s="2" t="s">
        <v>100</v>
      </c>
    </row>
    <row r="2483">
      <c r="A2483" s="2" t="s">
        <v>8812</v>
      </c>
      <c r="B2483" s="2" t="s">
        <v>8691</v>
      </c>
      <c r="C2483" s="2" t="s">
        <v>2536</v>
      </c>
      <c r="D2483" s="2" t="s">
        <v>8813</v>
      </c>
      <c r="E2483" s="2" t="s">
        <v>8814</v>
      </c>
      <c r="F2483" s="2" t="s">
        <v>7365</v>
      </c>
      <c r="G2483" s="2" t="s">
        <v>7365</v>
      </c>
      <c r="H2483" s="2" t="s">
        <v>7365</v>
      </c>
      <c r="I2483" s="2" t="s">
        <v>8815</v>
      </c>
      <c r="J2483" s="2" t="s">
        <v>3385</v>
      </c>
      <c r="K2483" s="2" t="s">
        <v>3475</v>
      </c>
      <c r="L2483" s="3">
        <v>74.1</v>
      </c>
      <c r="M2483" s="3">
        <v>77.8</v>
      </c>
      <c r="N2483" s="3">
        <v>164.99</v>
      </c>
      <c r="O2483" s="2" t="s">
        <v>97</v>
      </c>
      <c r="P2483" s="2" t="s">
        <v>98</v>
      </c>
      <c r="Q2483" s="2" t="s">
        <v>99</v>
      </c>
      <c r="R2483" s="2" t="s">
        <v>100</v>
      </c>
      <c r="S2483" s="2" t="s">
        <v>100</v>
      </c>
      <c r="T2483" s="2" t="s">
        <v>100</v>
      </c>
      <c r="U2483" s="2" t="s">
        <v>894</v>
      </c>
      <c r="V2483" s="2" t="s">
        <v>3412</v>
      </c>
      <c r="W2483" s="2" t="s">
        <v>104</v>
      </c>
      <c r="X2483" s="2" t="s">
        <v>142</v>
      </c>
      <c r="Y2483" s="2" t="s">
        <v>8816</v>
      </c>
      <c r="Z2483" s="4">
        <v>79</v>
      </c>
      <c r="AA2483" s="4">
        <f>=ROUNDDOWN(26.3333333333333,0)</f>
      </c>
      <c r="AB2483" s="5">
        <v>3</v>
      </c>
      <c r="AC2483" s="2" t="s">
        <v>100</v>
      </c>
      <c r="AD2483" s="4"/>
      <c r="AE2483" s="4"/>
      <c r="AF2483" s="6">
        <v>63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/>
      <c r="BD2483" s="8"/>
      <c r="BE2483" s="4"/>
      <c r="BF2483" s="8"/>
      <c r="BG2483" s="7"/>
      <c r="BH2483" s="7"/>
      <c r="BI2483" s="7"/>
      <c r="BJ2483" s="4">
        <v>7</v>
      </c>
      <c r="BK2483" s="8">
        <v>482.43</v>
      </c>
      <c r="BL2483" s="2" t="s">
        <v>6840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2526</v>
      </c>
      <c r="BV2483" s="2" t="s">
        <v>97</v>
      </c>
      <c r="BW2483" s="2" t="s">
        <v>100</v>
      </c>
      <c r="BX2483" s="2" t="s">
        <v>100</v>
      </c>
      <c r="BY2483" s="2" t="s">
        <v>112</v>
      </c>
      <c r="BZ2483" s="2" t="s">
        <v>100</v>
      </c>
    </row>
    <row r="2484">
      <c r="A2484" s="2" t="s">
        <v>8817</v>
      </c>
      <c r="B2484" s="2" t="s">
        <v>8691</v>
      </c>
      <c r="C2484" s="2" t="s">
        <v>2536</v>
      </c>
      <c r="D2484" s="2" t="s">
        <v>8813</v>
      </c>
      <c r="E2484" s="2" t="s">
        <v>8814</v>
      </c>
      <c r="F2484" s="2" t="s">
        <v>8818</v>
      </c>
      <c r="G2484" s="2" t="s">
        <v>8818</v>
      </c>
      <c r="H2484" s="2" t="s">
        <v>8818</v>
      </c>
      <c r="I2484" s="2" t="s">
        <v>8819</v>
      </c>
      <c r="J2484" s="2" t="s">
        <v>3385</v>
      </c>
      <c r="K2484" s="2" t="s">
        <v>8820</v>
      </c>
      <c r="L2484" s="3">
        <v>48</v>
      </c>
      <c r="M2484" s="3">
        <v>50.4</v>
      </c>
      <c r="N2484" s="3">
        <v>99.99</v>
      </c>
      <c r="O2484" s="2" t="s">
        <v>97</v>
      </c>
      <c r="P2484" s="2" t="s">
        <v>98</v>
      </c>
      <c r="Q2484" s="2" t="s">
        <v>99</v>
      </c>
      <c r="R2484" s="2" t="s">
        <v>100</v>
      </c>
      <c r="S2484" s="2" t="s">
        <v>100</v>
      </c>
      <c r="T2484" s="2" t="s">
        <v>100</v>
      </c>
      <c r="U2484" s="2" t="s">
        <v>1776</v>
      </c>
      <c r="V2484" s="2" t="s">
        <v>3412</v>
      </c>
      <c r="W2484" s="2" t="s">
        <v>1136</v>
      </c>
      <c r="X2484" s="2" t="s">
        <v>100</v>
      </c>
      <c r="Y2484" s="2" t="s">
        <v>8821</v>
      </c>
      <c r="Z2484" s="4">
        <v>91</v>
      </c>
      <c r="AA2484" s="4">
        <f>=ROUNDDOWN(22.75,0)</f>
      </c>
      <c r="AB2484" s="5">
        <v>4</v>
      </c>
      <c r="AC2484" s="2" t="s">
        <v>100</v>
      </c>
      <c r="AD2484" s="4"/>
      <c r="AE2484" s="4"/>
      <c r="AF2484" s="6">
        <v>63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/>
      <c r="BD2484" s="8"/>
      <c r="BE2484" s="4"/>
      <c r="BF2484" s="8"/>
      <c r="BG2484" s="7"/>
      <c r="BH2484" s="7"/>
      <c r="BI2484" s="7"/>
      <c r="BJ2484" s="4">
        <v>2</v>
      </c>
      <c r="BK2484" s="8">
        <v>105.84</v>
      </c>
      <c r="BL2484" s="2" t="s">
        <v>1655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2526</v>
      </c>
      <c r="BV2484" s="2" t="s">
        <v>97</v>
      </c>
      <c r="BW2484" s="2" t="s">
        <v>100</v>
      </c>
      <c r="BX2484" s="2" t="s">
        <v>100</v>
      </c>
      <c r="BY2484" s="2" t="s">
        <v>112</v>
      </c>
      <c r="BZ2484" s="2" t="s">
        <v>100</v>
      </c>
    </row>
    <row r="2485">
      <c r="A2485" s="2" t="s">
        <v>8822</v>
      </c>
      <c r="B2485" s="2" t="s">
        <v>8691</v>
      </c>
      <c r="C2485" s="2" t="s">
        <v>2536</v>
      </c>
      <c r="D2485" s="2" t="s">
        <v>8692</v>
      </c>
      <c r="E2485" s="2" t="s">
        <v>8693</v>
      </c>
      <c r="F2485" s="2" t="s">
        <v>8823</v>
      </c>
      <c r="G2485" s="2" t="s">
        <v>8823</v>
      </c>
      <c r="H2485" s="2" t="s">
        <v>8823</v>
      </c>
      <c r="I2485" s="2" t="s">
        <v>8824</v>
      </c>
      <c r="J2485" s="2" t="s">
        <v>3385</v>
      </c>
      <c r="K2485" s="2" t="s">
        <v>1373</v>
      </c>
      <c r="L2485" s="3">
        <v>50.14</v>
      </c>
      <c r="M2485" s="3">
        <v>52.65</v>
      </c>
      <c r="N2485" s="3">
        <v>119.99</v>
      </c>
      <c r="O2485" s="2" t="s">
        <v>97</v>
      </c>
      <c r="P2485" s="2" t="s">
        <v>98</v>
      </c>
      <c r="Q2485" s="2" t="s">
        <v>99</v>
      </c>
      <c r="R2485" s="2" t="s">
        <v>100</v>
      </c>
      <c r="S2485" s="2" t="s">
        <v>100</v>
      </c>
      <c r="T2485" s="2" t="s">
        <v>100</v>
      </c>
      <c r="U2485" s="2" t="s">
        <v>1776</v>
      </c>
      <c r="V2485" s="2" t="s">
        <v>3412</v>
      </c>
      <c r="W2485" s="2" t="s">
        <v>142</v>
      </c>
      <c r="X2485" s="2" t="s">
        <v>493</v>
      </c>
      <c r="Y2485" s="2" t="s">
        <v>8584</v>
      </c>
      <c r="Z2485" s="4">
        <v>2</v>
      </c>
      <c r="AA2485" s="4">
        <f>=ROUNDDOWN(0.5,0)</f>
      </c>
      <c r="AB2485" s="5">
        <v>4</v>
      </c>
      <c r="AC2485" s="2" t="s">
        <v>2709</v>
      </c>
      <c r="AD2485" s="4">
        <v>100</v>
      </c>
      <c r="AE2485" s="4">
        <v>100</v>
      </c>
      <c r="AF2485" s="6">
        <v>63</v>
      </c>
      <c r="AG2485" s="6"/>
      <c r="AH2485" s="7">
        <v>0.9355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/>
      <c r="BD2485" s="8"/>
      <c r="BE2485" s="4"/>
      <c r="BF2485" s="8"/>
      <c r="BG2485" s="7"/>
      <c r="BH2485" s="7"/>
      <c r="BI2485" s="7"/>
      <c r="BJ2485" s="4">
        <v>21</v>
      </c>
      <c r="BK2485" s="8">
        <v>1159.88</v>
      </c>
      <c r="BL2485" s="2" t="s">
        <v>3201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2526</v>
      </c>
      <c r="BV2485" s="2" t="s">
        <v>97</v>
      </c>
      <c r="BW2485" s="2" t="s">
        <v>100</v>
      </c>
      <c r="BX2485" s="2" t="s">
        <v>100</v>
      </c>
      <c r="BY2485" s="2" t="s">
        <v>112</v>
      </c>
      <c r="BZ2485" s="2" t="s">
        <v>100</v>
      </c>
    </row>
    <row r="2486">
      <c r="A2486" s="2" t="s">
        <v>8825</v>
      </c>
      <c r="B2486" s="2" t="s">
        <v>8691</v>
      </c>
      <c r="C2486" s="2" t="s">
        <v>2536</v>
      </c>
      <c r="D2486" s="2" t="s">
        <v>8692</v>
      </c>
      <c r="E2486" s="2" t="s">
        <v>8693</v>
      </c>
      <c r="F2486" s="2" t="s">
        <v>8826</v>
      </c>
      <c r="G2486" s="2" t="s">
        <v>8826</v>
      </c>
      <c r="H2486" s="2" t="s">
        <v>8826</v>
      </c>
      <c r="I2486" s="2" t="s">
        <v>8744</v>
      </c>
      <c r="J2486" s="2" t="s">
        <v>3385</v>
      </c>
      <c r="K2486" s="2" t="s">
        <v>458</v>
      </c>
      <c r="L2486" s="3">
        <v>37.75</v>
      </c>
      <c r="M2486" s="3">
        <v>39.64</v>
      </c>
      <c r="N2486" s="3">
        <v>84.99</v>
      </c>
      <c r="O2486" s="2" t="s">
        <v>97</v>
      </c>
      <c r="P2486" s="2" t="s">
        <v>98</v>
      </c>
      <c r="Q2486" s="2" t="s">
        <v>99</v>
      </c>
      <c r="R2486" s="2" t="s">
        <v>100</v>
      </c>
      <c r="S2486" s="2" t="s">
        <v>100</v>
      </c>
      <c r="T2486" s="2" t="s">
        <v>100</v>
      </c>
      <c r="U2486" s="2" t="s">
        <v>1776</v>
      </c>
      <c r="V2486" s="2" t="s">
        <v>3412</v>
      </c>
      <c r="W2486" s="2" t="s">
        <v>493</v>
      </c>
      <c r="X2486" s="2" t="s">
        <v>100</v>
      </c>
      <c r="Y2486" s="2" t="s">
        <v>8827</v>
      </c>
      <c r="Z2486" s="4">
        <v>141</v>
      </c>
      <c r="AA2486" s="4">
        <f>=ROUNDDOWN(28.2,0)</f>
      </c>
      <c r="AB2486" s="5">
        <v>5</v>
      </c>
      <c r="AC2486" s="2" t="s">
        <v>100</v>
      </c>
      <c r="AD2486" s="4"/>
      <c r="AE2486" s="4"/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/>
      <c r="BD2486" s="8"/>
      <c r="BE2486" s="4"/>
      <c r="BF2486" s="8"/>
      <c r="BG2486" s="7"/>
      <c r="BH2486" s="7"/>
      <c r="BI2486" s="7"/>
      <c r="BJ2486" s="4">
        <v>17</v>
      </c>
      <c r="BK2486" s="8">
        <v>737.87</v>
      </c>
      <c r="BL2486" s="2" t="s">
        <v>8828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2526</v>
      </c>
      <c r="BV2486" s="2" t="s">
        <v>97</v>
      </c>
      <c r="BW2486" s="2" t="s">
        <v>100</v>
      </c>
      <c r="BX2486" s="2" t="s">
        <v>100</v>
      </c>
      <c r="BY2486" s="2" t="s">
        <v>112</v>
      </c>
      <c r="BZ2486" s="2" t="s">
        <v>100</v>
      </c>
    </row>
    <row r="2487">
      <c r="A2487" s="2" t="s">
        <v>8829</v>
      </c>
      <c r="B2487" s="2" t="s">
        <v>8691</v>
      </c>
      <c r="C2487" s="2" t="s">
        <v>2536</v>
      </c>
      <c r="D2487" s="2" t="s">
        <v>8692</v>
      </c>
      <c r="E2487" s="2" t="s">
        <v>8693</v>
      </c>
      <c r="F2487" s="2" t="s">
        <v>7396</v>
      </c>
      <c r="G2487" s="2" t="s">
        <v>7396</v>
      </c>
      <c r="H2487" s="2" t="s">
        <v>7396</v>
      </c>
      <c r="I2487" s="2" t="s">
        <v>8830</v>
      </c>
      <c r="J2487" s="2" t="s">
        <v>3385</v>
      </c>
      <c r="K2487" s="2" t="s">
        <v>1373</v>
      </c>
      <c r="L2487" s="3">
        <v>81.97</v>
      </c>
      <c r="M2487" s="3">
        <v>86.07</v>
      </c>
      <c r="N2487" s="3">
        <v>189.99</v>
      </c>
      <c r="O2487" s="2" t="s">
        <v>97</v>
      </c>
      <c r="P2487" s="2" t="s">
        <v>98</v>
      </c>
      <c r="Q2487" s="2" t="s">
        <v>99</v>
      </c>
      <c r="R2487" s="2" t="s">
        <v>100</v>
      </c>
      <c r="S2487" s="2" t="s">
        <v>8831</v>
      </c>
      <c r="T2487" s="2" t="s">
        <v>100</v>
      </c>
      <c r="U2487" s="2" t="s">
        <v>100</v>
      </c>
      <c r="V2487" s="2" t="s">
        <v>461</v>
      </c>
      <c r="W2487" s="2" t="s">
        <v>142</v>
      </c>
      <c r="X2487" s="2" t="s">
        <v>100</v>
      </c>
      <c r="Y2487" s="2" t="s">
        <v>144</v>
      </c>
      <c r="Z2487" s="4">
        <v>39</v>
      </c>
      <c r="AA2487" s="4">
        <f>=ROUNDDOWN(4.875,0)</f>
      </c>
      <c r="AB2487" s="5">
        <v>8</v>
      </c>
      <c r="AC2487" s="2" t="s">
        <v>8706</v>
      </c>
      <c r="AD2487" s="4">
        <v>100</v>
      </c>
      <c r="AE2487" s="4">
        <v>100</v>
      </c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/>
      <c r="BD2487" s="8"/>
      <c r="BE2487" s="4"/>
      <c r="BF2487" s="8"/>
      <c r="BG2487" s="7"/>
      <c r="BH2487" s="7"/>
      <c r="BI2487" s="7"/>
      <c r="BJ2487" s="4">
        <v>53</v>
      </c>
      <c r="BK2487" s="8">
        <v>4527.99</v>
      </c>
      <c r="BL2487" s="2" t="s">
        <v>8832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2526</v>
      </c>
      <c r="BV2487" s="2" t="s">
        <v>97</v>
      </c>
      <c r="BW2487" s="2" t="s">
        <v>100</v>
      </c>
      <c r="BX2487" s="2" t="s">
        <v>100</v>
      </c>
      <c r="BY2487" s="2" t="s">
        <v>112</v>
      </c>
      <c r="BZ2487" s="2" t="s">
        <v>100</v>
      </c>
    </row>
    <row r="2488">
      <c r="A2488" s="2" t="s">
        <v>8833</v>
      </c>
      <c r="B2488" s="2" t="s">
        <v>8691</v>
      </c>
      <c r="C2488" s="2" t="s">
        <v>2536</v>
      </c>
      <c r="D2488" s="2" t="s">
        <v>8692</v>
      </c>
      <c r="E2488" s="2" t="s">
        <v>8693</v>
      </c>
      <c r="F2488" s="2" t="s">
        <v>8834</v>
      </c>
      <c r="G2488" s="2" t="s">
        <v>8834</v>
      </c>
      <c r="H2488" s="2" t="s">
        <v>8834</v>
      </c>
      <c r="I2488" s="2" t="s">
        <v>8835</v>
      </c>
      <c r="J2488" s="2" t="s">
        <v>3385</v>
      </c>
      <c r="K2488" s="2" t="s">
        <v>5085</v>
      </c>
      <c r="L2488" s="3">
        <v>108.45</v>
      </c>
      <c r="M2488" s="3">
        <v>113.87</v>
      </c>
      <c r="N2488" s="3">
        <v>249.99</v>
      </c>
      <c r="O2488" s="2" t="s">
        <v>97</v>
      </c>
      <c r="P2488" s="2" t="s">
        <v>98</v>
      </c>
      <c r="Q2488" s="2" t="s">
        <v>99</v>
      </c>
      <c r="R2488" s="2" t="s">
        <v>100</v>
      </c>
      <c r="S2488" s="2" t="s">
        <v>100</v>
      </c>
      <c r="T2488" s="2" t="s">
        <v>100</v>
      </c>
      <c r="U2488" s="2" t="s">
        <v>1776</v>
      </c>
      <c r="V2488" s="2" t="s">
        <v>3412</v>
      </c>
      <c r="W2488" s="2" t="s">
        <v>142</v>
      </c>
      <c r="X2488" s="2" t="s">
        <v>100</v>
      </c>
      <c r="Y2488" s="2" t="s">
        <v>8836</v>
      </c>
      <c r="Z2488" s="4">
        <v>66</v>
      </c>
      <c r="AA2488" s="4">
        <f>=ROUNDDOWN(33,0)</f>
      </c>
      <c r="AB2488" s="5">
        <v>2</v>
      </c>
      <c r="AC2488" s="2" t="s">
        <v>100</v>
      </c>
      <c r="AD2488" s="4"/>
      <c r="AE2488" s="4"/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/>
      <c r="BJ2488" s="4">
        <v>10</v>
      </c>
      <c r="BK2488" s="8">
        <v>1172.77</v>
      </c>
      <c r="BL2488" s="2" t="s">
        <v>8837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2526</v>
      </c>
      <c r="BV2488" s="2" t="s">
        <v>97</v>
      </c>
      <c r="BW2488" s="2" t="s">
        <v>100</v>
      </c>
      <c r="BX2488" s="2" t="s">
        <v>100</v>
      </c>
      <c r="BY2488" s="2" t="s">
        <v>112</v>
      </c>
      <c r="BZ2488" s="2" t="s">
        <v>100</v>
      </c>
    </row>
    <row r="2489">
      <c r="A2489" s="2" t="s">
        <v>8838</v>
      </c>
      <c r="B2489" s="2" t="s">
        <v>8691</v>
      </c>
      <c r="C2489" s="2" t="s">
        <v>2536</v>
      </c>
      <c r="D2489" s="2" t="s">
        <v>8692</v>
      </c>
      <c r="E2489" s="2" t="s">
        <v>8693</v>
      </c>
      <c r="F2489" s="2" t="s">
        <v>8834</v>
      </c>
      <c r="G2489" s="2" t="s">
        <v>8834</v>
      </c>
      <c r="H2489" s="2" t="s">
        <v>8834</v>
      </c>
      <c r="I2489" s="2" t="s">
        <v>8835</v>
      </c>
      <c r="J2489" s="2" t="s">
        <v>3385</v>
      </c>
      <c r="K2489" s="2" t="s">
        <v>8839</v>
      </c>
      <c r="L2489" s="3">
        <v>108.45</v>
      </c>
      <c r="M2489" s="3">
        <v>113.87</v>
      </c>
      <c r="N2489" s="3">
        <v>249.99</v>
      </c>
      <c r="O2489" s="2" t="s">
        <v>97</v>
      </c>
      <c r="P2489" s="2" t="s">
        <v>139</v>
      </c>
      <c r="Q2489" s="2" t="s">
        <v>99</v>
      </c>
      <c r="R2489" s="2" t="s">
        <v>100</v>
      </c>
      <c r="S2489" s="2" t="s">
        <v>8840</v>
      </c>
      <c r="T2489" s="2" t="s">
        <v>100</v>
      </c>
      <c r="U2489" s="2" t="s">
        <v>100</v>
      </c>
      <c r="V2489" s="2" t="s">
        <v>461</v>
      </c>
      <c r="W2489" s="2" t="s">
        <v>142</v>
      </c>
      <c r="X2489" s="2" t="s">
        <v>100</v>
      </c>
      <c r="Y2489" s="2" t="s">
        <v>8841</v>
      </c>
      <c r="Z2489" s="4">
        <v>240</v>
      </c>
      <c r="AA2489" s="4">
        <f>=ROUNDDOWN(24,0)</f>
      </c>
      <c r="AB2489" s="5">
        <v>10</v>
      </c>
      <c r="AC2489" s="2" t="s">
        <v>1468</v>
      </c>
      <c r="AD2489" s="4">
        <v>150</v>
      </c>
      <c r="AE2489" s="4">
        <v>150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/>
      <c r="BJ2489" s="4">
        <v>24</v>
      </c>
      <c r="BK2489" s="8">
        <v>2869.7</v>
      </c>
      <c r="BL2489" s="2" t="s">
        <v>8842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2526</v>
      </c>
      <c r="BV2489" s="2" t="s">
        <v>97</v>
      </c>
      <c r="BW2489" s="2" t="s">
        <v>100</v>
      </c>
      <c r="BX2489" s="2" t="s">
        <v>100</v>
      </c>
      <c r="BY2489" s="2" t="s">
        <v>112</v>
      </c>
      <c r="BZ2489" s="2" t="s">
        <v>100</v>
      </c>
    </row>
    <row r="2490">
      <c r="A2490" s="2" t="s">
        <v>8843</v>
      </c>
      <c r="B2490" s="2" t="s">
        <v>8691</v>
      </c>
      <c r="C2490" s="2" t="s">
        <v>2536</v>
      </c>
      <c r="D2490" s="2" t="s">
        <v>8692</v>
      </c>
      <c r="E2490" s="2" t="s">
        <v>8693</v>
      </c>
      <c r="F2490" s="2" t="s">
        <v>8844</v>
      </c>
      <c r="G2490" s="2" t="s">
        <v>8844</v>
      </c>
      <c r="H2490" s="2" t="s">
        <v>8844</v>
      </c>
      <c r="I2490" s="2" t="s">
        <v>8845</v>
      </c>
      <c r="J2490" s="2" t="s">
        <v>3385</v>
      </c>
      <c r="K2490" s="2" t="s">
        <v>8846</v>
      </c>
      <c r="L2490" s="3">
        <v>78.14</v>
      </c>
      <c r="M2490" s="3">
        <v>82.05</v>
      </c>
      <c r="N2490" s="3">
        <v>179.99</v>
      </c>
      <c r="O2490" s="2" t="s">
        <v>97</v>
      </c>
      <c r="P2490" s="2" t="s">
        <v>98</v>
      </c>
      <c r="Q2490" s="2" t="s">
        <v>99</v>
      </c>
      <c r="R2490" s="2" t="s">
        <v>100</v>
      </c>
      <c r="S2490" s="2" t="s">
        <v>100</v>
      </c>
      <c r="T2490" s="2" t="s">
        <v>100</v>
      </c>
      <c r="U2490" s="2" t="s">
        <v>1776</v>
      </c>
      <c r="V2490" s="2" t="s">
        <v>3412</v>
      </c>
      <c r="W2490" s="2" t="s">
        <v>100</v>
      </c>
      <c r="X2490" s="2" t="s">
        <v>100</v>
      </c>
      <c r="Y2490" s="2" t="s">
        <v>405</v>
      </c>
      <c r="Z2490" s="4">
        <v>97</v>
      </c>
      <c r="AA2490" s="4">
        <f>=ROUNDDOWN(32.3333333333333,0)</f>
      </c>
      <c r="AB2490" s="5">
        <v>3</v>
      </c>
      <c r="AC2490" s="2" t="s">
        <v>100</v>
      </c>
      <c r="AD2490" s="4"/>
      <c r="AE2490" s="4"/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/>
      <c r="BD2490" s="8"/>
      <c r="BE2490" s="4"/>
      <c r="BF2490" s="8"/>
      <c r="BG2490" s="7"/>
      <c r="BH2490" s="7"/>
      <c r="BI2490" s="7"/>
      <c r="BJ2490" s="4">
        <v>8</v>
      </c>
      <c r="BK2490" s="8">
        <v>687.14</v>
      </c>
      <c r="BL2490" s="2" t="s">
        <v>8847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2526</v>
      </c>
      <c r="BV2490" s="2" t="s">
        <v>97</v>
      </c>
      <c r="BW2490" s="2" t="s">
        <v>100</v>
      </c>
      <c r="BX2490" s="2" t="s">
        <v>100</v>
      </c>
      <c r="BY2490" s="2" t="s">
        <v>112</v>
      </c>
      <c r="BZ2490" s="2" t="s">
        <v>100</v>
      </c>
    </row>
    <row r="2491">
      <c r="A2491" s="2" t="s">
        <v>8848</v>
      </c>
      <c r="B2491" s="2" t="s">
        <v>8691</v>
      </c>
      <c r="C2491" s="2" t="s">
        <v>2536</v>
      </c>
      <c r="D2491" s="2" t="s">
        <v>8692</v>
      </c>
      <c r="E2491" s="2" t="s">
        <v>8693</v>
      </c>
      <c r="F2491" s="2" t="s">
        <v>8849</v>
      </c>
      <c r="G2491" s="2" t="s">
        <v>8849</v>
      </c>
      <c r="H2491" s="2" t="s">
        <v>8849</v>
      </c>
      <c r="I2491" s="2" t="s">
        <v>8850</v>
      </c>
      <c r="J2491" s="2" t="s">
        <v>3385</v>
      </c>
      <c r="K2491" s="2" t="s">
        <v>8513</v>
      </c>
      <c r="L2491" s="3">
        <v>113.85</v>
      </c>
      <c r="M2491" s="3">
        <v>119.54</v>
      </c>
      <c r="N2491" s="3">
        <v>249.99</v>
      </c>
      <c r="O2491" s="2" t="s">
        <v>97</v>
      </c>
      <c r="P2491" s="2" t="s">
        <v>139</v>
      </c>
      <c r="Q2491" s="2" t="s">
        <v>99</v>
      </c>
      <c r="R2491" s="2" t="s">
        <v>100</v>
      </c>
      <c r="S2491" s="2" t="s">
        <v>8851</v>
      </c>
      <c r="T2491" s="2" t="s">
        <v>100</v>
      </c>
      <c r="U2491" s="2" t="s">
        <v>100</v>
      </c>
      <c r="V2491" s="2" t="s">
        <v>461</v>
      </c>
      <c r="W2491" s="2" t="s">
        <v>142</v>
      </c>
      <c r="X2491" s="2" t="s">
        <v>100</v>
      </c>
      <c r="Y2491" s="2" t="s">
        <v>6061</v>
      </c>
      <c r="Z2491" s="4">
        <v>221</v>
      </c>
      <c r="AA2491" s="4">
        <f>=ROUNDDOWN(27.625,0)</f>
      </c>
      <c r="AB2491" s="5">
        <v>8</v>
      </c>
      <c r="AC2491" s="2" t="s">
        <v>100</v>
      </c>
      <c r="AD2491" s="4"/>
      <c r="AE2491" s="4"/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/>
      <c r="AW2491" s="8"/>
      <c r="AX2491" s="4"/>
      <c r="AY2491" s="8"/>
      <c r="AZ2491" s="7"/>
      <c r="BA2491" s="7"/>
      <c r="BB2491" s="7"/>
      <c r="BC2491" s="4"/>
      <c r="BD2491" s="8"/>
      <c r="BE2491" s="4"/>
      <c r="BF2491" s="8"/>
      <c r="BG2491" s="7"/>
      <c r="BH2491" s="7"/>
      <c r="BI2491" s="7"/>
      <c r="BJ2491" s="4">
        <v>50</v>
      </c>
      <c r="BK2491" s="8">
        <v>6402.11</v>
      </c>
      <c r="BL2491" s="2" t="s">
        <v>3201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2526</v>
      </c>
      <c r="BV2491" s="2" t="s">
        <v>97</v>
      </c>
      <c r="BW2491" s="2" t="s">
        <v>100</v>
      </c>
      <c r="BX2491" s="2" t="s">
        <v>100</v>
      </c>
      <c r="BY2491" s="2" t="s">
        <v>112</v>
      </c>
      <c r="BZ2491" s="2" t="s">
        <v>100</v>
      </c>
    </row>
    <row r="2492">
      <c r="A2492" s="2" t="s">
        <v>8852</v>
      </c>
      <c r="B2492" s="2" t="s">
        <v>8691</v>
      </c>
      <c r="C2492" s="2" t="s">
        <v>2536</v>
      </c>
      <c r="D2492" s="2" t="s">
        <v>8692</v>
      </c>
      <c r="E2492" s="2" t="s">
        <v>8693</v>
      </c>
      <c r="F2492" s="2" t="s">
        <v>8853</v>
      </c>
      <c r="G2492" s="2" t="s">
        <v>8853</v>
      </c>
      <c r="H2492" s="2" t="s">
        <v>8853</v>
      </c>
      <c r="I2492" s="2" t="s">
        <v>8854</v>
      </c>
      <c r="J2492" s="2" t="s">
        <v>3385</v>
      </c>
      <c r="K2492" s="2" t="s">
        <v>1373</v>
      </c>
      <c r="L2492" s="3">
        <v>72</v>
      </c>
      <c r="M2492" s="3">
        <v>75.6</v>
      </c>
      <c r="N2492" s="3">
        <v>149.99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8855</v>
      </c>
      <c r="T2492" s="2" t="s">
        <v>100</v>
      </c>
      <c r="U2492" s="2" t="s">
        <v>100</v>
      </c>
      <c r="V2492" s="2" t="s">
        <v>461</v>
      </c>
      <c r="W2492" s="2" t="s">
        <v>493</v>
      </c>
      <c r="X2492" s="2" t="s">
        <v>100</v>
      </c>
      <c r="Y2492" s="2" t="s">
        <v>144</v>
      </c>
      <c r="Z2492" s="4">
        <v>120</v>
      </c>
      <c r="AA2492" s="4">
        <f>=ROUNDDOWN(26.6666666666667,0)</f>
      </c>
      <c r="AB2492" s="5">
        <v>4.5</v>
      </c>
      <c r="AC2492" s="2" t="s">
        <v>100</v>
      </c>
      <c r="AD2492" s="4"/>
      <c r="AE2492" s="4"/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/>
      <c r="AW2492" s="8"/>
      <c r="AX2492" s="4"/>
      <c r="AY2492" s="8"/>
      <c r="AZ2492" s="7"/>
      <c r="BA2492" s="7"/>
      <c r="BB2492" s="7"/>
      <c r="BC2492" s="4"/>
      <c r="BD2492" s="8"/>
      <c r="BE2492" s="4"/>
      <c r="BF2492" s="8"/>
      <c r="BG2492" s="7"/>
      <c r="BH2492" s="7"/>
      <c r="BI2492" s="7"/>
      <c r="BJ2492" s="4">
        <v>13</v>
      </c>
      <c r="BK2492" s="8">
        <v>1024.05</v>
      </c>
      <c r="BL2492" s="2" t="s">
        <v>7731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2526</v>
      </c>
      <c r="BV2492" s="2" t="s">
        <v>97</v>
      </c>
      <c r="BW2492" s="2" t="s">
        <v>100</v>
      </c>
      <c r="BX2492" s="2" t="s">
        <v>100</v>
      </c>
      <c r="BY2492" s="2" t="s">
        <v>112</v>
      </c>
      <c r="BZ2492" s="2" t="s">
        <v>100</v>
      </c>
    </row>
    <row r="2493">
      <c r="A2493" s="2" t="s">
        <v>8856</v>
      </c>
      <c r="B2493" s="2" t="s">
        <v>8691</v>
      </c>
      <c r="C2493" s="2" t="s">
        <v>2831</v>
      </c>
      <c r="D2493" s="2" t="s">
        <v>8759</v>
      </c>
      <c r="E2493" s="2" t="s">
        <v>8760</v>
      </c>
      <c r="F2493" s="2" t="s">
        <v>8857</v>
      </c>
      <c r="G2493" s="2" t="s">
        <v>8857</v>
      </c>
      <c r="H2493" s="2" t="s">
        <v>8857</v>
      </c>
      <c r="I2493" s="2" t="s">
        <v>8858</v>
      </c>
      <c r="J2493" s="2" t="s">
        <v>3385</v>
      </c>
      <c r="K2493" s="2" t="s">
        <v>3475</v>
      </c>
      <c r="L2493" s="3">
        <v>128.6</v>
      </c>
      <c r="M2493" s="3">
        <v>135.03</v>
      </c>
      <c r="N2493" s="3">
        <v>319.99</v>
      </c>
      <c r="O2493" s="2" t="s">
        <v>97</v>
      </c>
      <c r="P2493" s="2" t="s">
        <v>707</v>
      </c>
      <c r="Q2493" s="2" t="s">
        <v>99</v>
      </c>
      <c r="R2493" s="2" t="s">
        <v>100</v>
      </c>
      <c r="S2493" s="2" t="s">
        <v>8859</v>
      </c>
      <c r="T2493" s="2" t="s">
        <v>100</v>
      </c>
      <c r="U2493" s="2" t="s">
        <v>100</v>
      </c>
      <c r="V2493" s="2" t="s">
        <v>547</v>
      </c>
      <c r="W2493" s="2" t="s">
        <v>493</v>
      </c>
      <c r="X2493" s="2" t="s">
        <v>100</v>
      </c>
      <c r="Y2493" s="2" t="s">
        <v>144</v>
      </c>
      <c r="Z2493" s="4">
        <v>165</v>
      </c>
      <c r="AA2493" s="4">
        <f>=ROUNDDOWN(82.5,0)</f>
      </c>
      <c r="AB2493" s="5">
        <v>2</v>
      </c>
      <c r="AC2493" s="2" t="s">
        <v>100</v>
      </c>
      <c r="AD2493" s="4"/>
      <c r="AE2493" s="4"/>
      <c r="AF2493" s="6">
        <v>63</v>
      </c>
      <c r="AG2493" s="6"/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/>
      <c r="AQ2493" s="8"/>
      <c r="AR2493" s="4"/>
      <c r="AS2493" s="8"/>
      <c r="AT2493" s="7"/>
      <c r="AU2493" s="7"/>
      <c r="AV2493" s="4"/>
      <c r="AW2493" s="8"/>
      <c r="AX2493" s="4"/>
      <c r="AY2493" s="8"/>
      <c r="AZ2493" s="7"/>
      <c r="BA2493" s="7"/>
      <c r="BB2493" s="7"/>
      <c r="BC2493" s="4"/>
      <c r="BD2493" s="8"/>
      <c r="BE2493" s="4"/>
      <c r="BF2493" s="8"/>
      <c r="BG2493" s="7"/>
      <c r="BH2493" s="7"/>
      <c r="BI2493" s="7"/>
      <c r="BJ2493" s="4">
        <v>4</v>
      </c>
      <c r="BK2493" s="8">
        <v>615.6</v>
      </c>
      <c r="BL2493" s="2" t="s">
        <v>7058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2526</v>
      </c>
      <c r="BV2493" s="2" t="s">
        <v>97</v>
      </c>
      <c r="BW2493" s="2" t="s">
        <v>100</v>
      </c>
      <c r="BX2493" s="2" t="s">
        <v>100</v>
      </c>
      <c r="BY2493" s="2" t="s">
        <v>112</v>
      </c>
      <c r="BZ2493" s="2" t="s">
        <v>100</v>
      </c>
    </row>
    <row r="2494">
      <c r="A2494" s="2" t="s">
        <v>8860</v>
      </c>
      <c r="B2494" s="2" t="s">
        <v>8691</v>
      </c>
      <c r="C2494" s="2" t="s">
        <v>2831</v>
      </c>
      <c r="D2494" s="2" t="s">
        <v>8759</v>
      </c>
      <c r="E2494" s="2" t="s">
        <v>8760</v>
      </c>
      <c r="F2494" s="2" t="s">
        <v>8466</v>
      </c>
      <c r="G2494" s="2" t="s">
        <v>8466</v>
      </c>
      <c r="H2494" s="2" t="s">
        <v>8466</v>
      </c>
      <c r="I2494" s="2" t="s">
        <v>8861</v>
      </c>
      <c r="J2494" s="2" t="s">
        <v>3385</v>
      </c>
      <c r="K2494" s="2" t="s">
        <v>8862</v>
      </c>
      <c r="L2494" s="3">
        <v>116.24</v>
      </c>
      <c r="M2494" s="3">
        <v>122.05</v>
      </c>
      <c r="N2494" s="3">
        <v>264.99</v>
      </c>
      <c r="O2494" s="2" t="s">
        <v>97</v>
      </c>
      <c r="P2494" s="2" t="s">
        <v>98</v>
      </c>
      <c r="Q2494" s="2" t="s">
        <v>99</v>
      </c>
      <c r="R2494" s="2" t="s">
        <v>100</v>
      </c>
      <c r="S2494" s="2" t="s">
        <v>100</v>
      </c>
      <c r="T2494" s="2" t="s">
        <v>100</v>
      </c>
      <c r="U2494" s="2" t="s">
        <v>1776</v>
      </c>
      <c r="V2494" s="2" t="s">
        <v>3412</v>
      </c>
      <c r="W2494" s="2" t="s">
        <v>3394</v>
      </c>
      <c r="X2494" s="2" t="s">
        <v>100</v>
      </c>
      <c r="Y2494" s="2" t="s">
        <v>8863</v>
      </c>
      <c r="Z2494" s="4">
        <v>65</v>
      </c>
      <c r="AA2494" s="4">
        <f>=ROUNDDOWN(13,0)</f>
      </c>
      <c r="AB2494" s="5">
        <v>5</v>
      </c>
      <c r="AC2494" s="2" t="s">
        <v>1142</v>
      </c>
      <c r="AD2494" s="4">
        <v>100</v>
      </c>
      <c r="AE2494" s="4">
        <v>100</v>
      </c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/>
      <c r="BD2494" s="8"/>
      <c r="BE2494" s="4"/>
      <c r="BF2494" s="8"/>
      <c r="BG2494" s="7"/>
      <c r="BH2494" s="7"/>
      <c r="BI2494" s="7"/>
      <c r="BJ2494" s="4">
        <v>13</v>
      </c>
      <c r="BK2494" s="8">
        <v>1869.02</v>
      </c>
      <c r="BL2494" s="2" t="s">
        <v>8864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2551</v>
      </c>
      <c r="BV2494" s="2" t="s">
        <v>97</v>
      </c>
      <c r="BW2494" s="2" t="s">
        <v>100</v>
      </c>
      <c r="BX2494" s="2" t="s">
        <v>100</v>
      </c>
      <c r="BY2494" s="2" t="s">
        <v>112</v>
      </c>
      <c r="BZ2494" s="2" t="s">
        <v>100</v>
      </c>
    </row>
    <row r="2495">
      <c r="A2495" s="2" t="s">
        <v>8865</v>
      </c>
      <c r="B2495" s="2" t="s">
        <v>8691</v>
      </c>
      <c r="C2495" s="2" t="s">
        <v>2831</v>
      </c>
      <c r="D2495" s="2" t="s">
        <v>8759</v>
      </c>
      <c r="E2495" s="2" t="s">
        <v>8760</v>
      </c>
      <c r="F2495" s="2" t="s">
        <v>7688</v>
      </c>
      <c r="G2495" s="2" t="s">
        <v>7688</v>
      </c>
      <c r="H2495" s="2" t="s">
        <v>7688</v>
      </c>
      <c r="I2495" s="2" t="s">
        <v>8866</v>
      </c>
      <c r="J2495" s="2" t="s">
        <v>3385</v>
      </c>
      <c r="K2495" s="2" t="s">
        <v>3475</v>
      </c>
      <c r="L2495" s="3">
        <v>267.67</v>
      </c>
      <c r="M2495" s="3">
        <v>281.05</v>
      </c>
      <c r="N2495" s="3">
        <v>609.99</v>
      </c>
      <c r="O2495" s="2" t="s">
        <v>97</v>
      </c>
      <c r="P2495" s="2" t="s">
        <v>123</v>
      </c>
      <c r="Q2495" s="2" t="s">
        <v>99</v>
      </c>
      <c r="R2495" s="2" t="s">
        <v>100</v>
      </c>
      <c r="S2495" s="2" t="s">
        <v>8867</v>
      </c>
      <c r="T2495" s="2" t="s">
        <v>100</v>
      </c>
      <c r="U2495" s="2" t="s">
        <v>100</v>
      </c>
      <c r="V2495" s="2" t="s">
        <v>547</v>
      </c>
      <c r="W2495" s="2" t="s">
        <v>493</v>
      </c>
      <c r="X2495" s="2" t="s">
        <v>100</v>
      </c>
      <c r="Y2495" s="2" t="s">
        <v>3452</v>
      </c>
      <c r="Z2495" s="4">
        <v>119</v>
      </c>
      <c r="AA2495" s="4">
        <f>=ROUNDDOWN(41.0344827586207,0)</f>
      </c>
      <c r="AB2495" s="5">
        <v>2.9</v>
      </c>
      <c r="AC2495" s="2" t="s">
        <v>100</v>
      </c>
      <c r="AD2495" s="4"/>
      <c r="AE2495" s="4"/>
      <c r="AF2495" s="6">
        <v>63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/>
      <c r="BJ2495" s="4">
        <v>12</v>
      </c>
      <c r="BK2495" s="8">
        <v>3321.28</v>
      </c>
      <c r="BL2495" s="2" t="s">
        <v>8868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2551</v>
      </c>
      <c r="BV2495" s="2" t="s">
        <v>97</v>
      </c>
      <c r="BW2495" s="2" t="s">
        <v>100</v>
      </c>
      <c r="BX2495" s="2" t="s">
        <v>100</v>
      </c>
      <c r="BY2495" s="2" t="s">
        <v>112</v>
      </c>
      <c r="BZ2495" s="2" t="s">
        <v>100</v>
      </c>
    </row>
    <row r="2496">
      <c r="A2496" s="2" t="s">
        <v>8869</v>
      </c>
      <c r="B2496" s="2" t="s">
        <v>8691</v>
      </c>
      <c r="C2496" s="2" t="s">
        <v>2831</v>
      </c>
      <c r="D2496" s="2" t="s">
        <v>8759</v>
      </c>
      <c r="E2496" s="2" t="s">
        <v>8760</v>
      </c>
      <c r="F2496" s="2" t="s">
        <v>7688</v>
      </c>
      <c r="G2496" s="2" t="s">
        <v>7688</v>
      </c>
      <c r="H2496" s="2" t="s">
        <v>7688</v>
      </c>
      <c r="I2496" s="2" t="s">
        <v>8866</v>
      </c>
      <c r="J2496" s="2" t="s">
        <v>3385</v>
      </c>
      <c r="K2496" s="2" t="s">
        <v>878</v>
      </c>
      <c r="L2496" s="3">
        <v>267.67</v>
      </c>
      <c r="M2496" s="3">
        <v>281.05</v>
      </c>
      <c r="N2496" s="3">
        <v>609.99</v>
      </c>
      <c r="O2496" s="2" t="s">
        <v>97</v>
      </c>
      <c r="P2496" s="2" t="s">
        <v>98</v>
      </c>
      <c r="Q2496" s="2" t="s">
        <v>99</v>
      </c>
      <c r="R2496" s="2" t="s">
        <v>100</v>
      </c>
      <c r="S2496" s="2" t="s">
        <v>8870</v>
      </c>
      <c r="T2496" s="2" t="s">
        <v>100</v>
      </c>
      <c r="U2496" s="2" t="s">
        <v>100</v>
      </c>
      <c r="V2496" s="2" t="s">
        <v>547</v>
      </c>
      <c r="W2496" s="2" t="s">
        <v>3394</v>
      </c>
      <c r="X2496" s="2" t="s">
        <v>100</v>
      </c>
      <c r="Y2496" s="2" t="s">
        <v>6962</v>
      </c>
      <c r="Z2496" s="4">
        <v>60</v>
      </c>
      <c r="AA2496" s="4">
        <f>=ROUNDDOWN(18.1818181818182,0)</f>
      </c>
      <c r="AB2496" s="5">
        <v>3.3</v>
      </c>
      <c r="AC2496" s="2" t="s">
        <v>100</v>
      </c>
      <c r="AD2496" s="4"/>
      <c r="AE2496" s="4"/>
      <c r="AF2496" s="6">
        <v>63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/>
      <c r="BJ2496" s="4">
        <v>9</v>
      </c>
      <c r="BK2496" s="8">
        <v>1943.66</v>
      </c>
      <c r="BL2496" s="2" t="s">
        <v>6840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2551</v>
      </c>
      <c r="BV2496" s="2" t="s">
        <v>97</v>
      </c>
      <c r="BW2496" s="2" t="s">
        <v>100</v>
      </c>
      <c r="BX2496" s="2" t="s">
        <v>100</v>
      </c>
      <c r="BY2496" s="2" t="s">
        <v>112</v>
      </c>
      <c r="BZ2496" s="2" t="s">
        <v>100</v>
      </c>
    </row>
    <row r="2497">
      <c r="A2497" s="2" t="s">
        <v>8871</v>
      </c>
      <c r="B2497" s="2" t="s">
        <v>8691</v>
      </c>
      <c r="C2497" s="2" t="s">
        <v>2831</v>
      </c>
      <c r="D2497" s="2" t="s">
        <v>8778</v>
      </c>
      <c r="E2497" s="2" t="s">
        <v>8779</v>
      </c>
      <c r="F2497" s="2" t="s">
        <v>8872</v>
      </c>
      <c r="G2497" s="2" t="s">
        <v>8872</v>
      </c>
      <c r="H2497" s="2" t="s">
        <v>8872</v>
      </c>
      <c r="I2497" s="2" t="s">
        <v>8873</v>
      </c>
      <c r="J2497" s="2" t="s">
        <v>3385</v>
      </c>
      <c r="K2497" s="2" t="s">
        <v>8513</v>
      </c>
      <c r="L2497" s="3">
        <v>129.06</v>
      </c>
      <c r="M2497" s="3">
        <v>135.51</v>
      </c>
      <c r="N2497" s="3">
        <v>284.99</v>
      </c>
      <c r="O2497" s="2" t="s">
        <v>97</v>
      </c>
      <c r="P2497" s="2" t="s">
        <v>98</v>
      </c>
      <c r="Q2497" s="2" t="s">
        <v>99</v>
      </c>
      <c r="R2497" s="2" t="s">
        <v>100</v>
      </c>
      <c r="S2497" s="2" t="s">
        <v>100</v>
      </c>
      <c r="T2497" s="2" t="s">
        <v>100</v>
      </c>
      <c r="U2497" s="2" t="s">
        <v>100</v>
      </c>
      <c r="V2497" s="2" t="s">
        <v>3412</v>
      </c>
      <c r="W2497" s="2" t="s">
        <v>142</v>
      </c>
      <c r="X2497" s="2" t="s">
        <v>100</v>
      </c>
      <c r="Y2497" s="2" t="s">
        <v>7045</v>
      </c>
      <c r="Z2497" s="4">
        <v>17</v>
      </c>
      <c r="AA2497" s="4">
        <f>=ROUNDDOWN(5.66666666666667,0)</f>
      </c>
      <c r="AB2497" s="5">
        <v>3</v>
      </c>
      <c r="AC2497" s="2" t="s">
        <v>3343</v>
      </c>
      <c r="AD2497" s="4">
        <v>100</v>
      </c>
      <c r="AE2497" s="4">
        <v>100</v>
      </c>
      <c r="AF2497" s="6">
        <v>63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/>
      <c r="BD2497" s="8"/>
      <c r="BE2497" s="4"/>
      <c r="BF2497" s="8"/>
      <c r="BG2497" s="7"/>
      <c r="BH2497" s="7"/>
      <c r="BI2497" s="7"/>
      <c r="BJ2497" s="4">
        <v>3</v>
      </c>
      <c r="BK2497" s="8">
        <v>450.53</v>
      </c>
      <c r="BL2497" s="2" t="s">
        <v>8874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2551</v>
      </c>
      <c r="BV2497" s="2" t="s">
        <v>97</v>
      </c>
      <c r="BW2497" s="2" t="s">
        <v>100</v>
      </c>
      <c r="BX2497" s="2" t="s">
        <v>100</v>
      </c>
      <c r="BY2497" s="2" t="s">
        <v>112</v>
      </c>
      <c r="BZ2497" s="2" t="s">
        <v>100</v>
      </c>
    </row>
    <row r="2498">
      <c r="A2498" s="2" t="s">
        <v>8875</v>
      </c>
      <c r="B2498" s="2" t="s">
        <v>8691</v>
      </c>
      <c r="C2498" s="2" t="s">
        <v>2831</v>
      </c>
      <c r="D2498" s="2" t="s">
        <v>8778</v>
      </c>
      <c r="E2498" s="2" t="s">
        <v>8779</v>
      </c>
      <c r="F2498" s="2" t="s">
        <v>8876</v>
      </c>
      <c r="G2498" s="2" t="s">
        <v>8876</v>
      </c>
      <c r="H2498" s="2" t="s">
        <v>8876</v>
      </c>
      <c r="I2498" s="2" t="s">
        <v>8877</v>
      </c>
      <c r="J2498" s="2" t="s">
        <v>3385</v>
      </c>
      <c r="K2498" s="2" t="s">
        <v>8878</v>
      </c>
      <c r="L2498" s="3">
        <v>78.49</v>
      </c>
      <c r="M2498" s="3">
        <v>82.41</v>
      </c>
      <c r="N2498" s="3">
        <v>174.99</v>
      </c>
      <c r="O2498" s="2" t="s">
        <v>97</v>
      </c>
      <c r="P2498" s="2" t="s">
        <v>707</v>
      </c>
      <c r="Q2498" s="2" t="s">
        <v>99</v>
      </c>
      <c r="R2498" s="2" t="s">
        <v>100</v>
      </c>
      <c r="S2498" s="2" t="s">
        <v>100</v>
      </c>
      <c r="T2498" s="2" t="s">
        <v>100</v>
      </c>
      <c r="U2498" s="2" t="s">
        <v>1776</v>
      </c>
      <c r="V2498" s="2" t="s">
        <v>3412</v>
      </c>
      <c r="W2498" s="2" t="s">
        <v>609</v>
      </c>
      <c r="X2498" s="2" t="s">
        <v>100</v>
      </c>
      <c r="Y2498" s="2" t="s">
        <v>2305</v>
      </c>
      <c r="Z2498" s="4">
        <v>59</v>
      </c>
      <c r="AA2498" s="4">
        <f>=ROUNDDOWN(42.1428571428571,0)</f>
      </c>
      <c r="AB2498" s="5">
        <v>1.4</v>
      </c>
      <c r="AC2498" s="2" t="s">
        <v>100</v>
      </c>
      <c r="AD2498" s="4"/>
      <c r="AE2498" s="4"/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/>
      <c r="BD2498" s="8"/>
      <c r="BE2498" s="4"/>
      <c r="BF2498" s="8"/>
      <c r="BG2498" s="7"/>
      <c r="BH2498" s="7"/>
      <c r="BI2498" s="7"/>
      <c r="BJ2498" s="4">
        <v>3</v>
      </c>
      <c r="BK2498" s="8">
        <v>274.83</v>
      </c>
      <c r="BL2498" s="2" t="s">
        <v>3477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2526</v>
      </c>
      <c r="BV2498" s="2" t="s">
        <v>97</v>
      </c>
      <c r="BW2498" s="2" t="s">
        <v>100</v>
      </c>
      <c r="BX2498" s="2" t="s">
        <v>100</v>
      </c>
      <c r="BY2498" s="2" t="s">
        <v>112</v>
      </c>
      <c r="BZ2498" s="2" t="s">
        <v>100</v>
      </c>
    </row>
    <row r="2499">
      <c r="A2499" s="2" t="s">
        <v>8879</v>
      </c>
      <c r="B2499" s="2" t="s">
        <v>8691</v>
      </c>
      <c r="C2499" s="2" t="s">
        <v>2831</v>
      </c>
      <c r="D2499" s="2" t="s">
        <v>8778</v>
      </c>
      <c r="E2499" s="2" t="s">
        <v>8779</v>
      </c>
      <c r="F2499" s="2" t="s">
        <v>8880</v>
      </c>
      <c r="G2499" s="2" t="s">
        <v>8880</v>
      </c>
      <c r="H2499" s="2" t="s">
        <v>8880</v>
      </c>
      <c r="I2499" s="2" t="s">
        <v>8881</v>
      </c>
      <c r="J2499" s="2" t="s">
        <v>3385</v>
      </c>
      <c r="K2499" s="2" t="s">
        <v>3475</v>
      </c>
      <c r="L2499" s="3">
        <v>89.35</v>
      </c>
      <c r="M2499" s="3">
        <v>93.82</v>
      </c>
      <c r="N2499" s="3">
        <v>199.99</v>
      </c>
      <c r="O2499" s="2" t="s">
        <v>97</v>
      </c>
      <c r="P2499" s="2" t="s">
        <v>98</v>
      </c>
      <c r="Q2499" s="2" t="s">
        <v>99</v>
      </c>
      <c r="R2499" s="2" t="s">
        <v>100</v>
      </c>
      <c r="S2499" s="2" t="s">
        <v>8882</v>
      </c>
      <c r="T2499" s="2" t="s">
        <v>100</v>
      </c>
      <c r="U2499" s="2" t="s">
        <v>100</v>
      </c>
      <c r="V2499" s="2" t="s">
        <v>461</v>
      </c>
      <c r="W2499" s="2" t="s">
        <v>493</v>
      </c>
      <c r="X2499" s="2" t="s">
        <v>100</v>
      </c>
      <c r="Y2499" s="2" t="s">
        <v>144</v>
      </c>
      <c r="Z2499" s="4">
        <v>192</v>
      </c>
      <c r="AA2499" s="4">
        <f>=ROUNDDOWN(27.4285714285714,0)</f>
      </c>
      <c r="AB2499" s="5">
        <v>7</v>
      </c>
      <c r="AC2499" s="2" t="s">
        <v>100</v>
      </c>
      <c r="AD2499" s="4"/>
      <c r="AE2499" s="4"/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/>
      <c r="BJ2499" s="4">
        <v>12</v>
      </c>
      <c r="BK2499" s="8">
        <v>1256.04</v>
      </c>
      <c r="BL2499" s="2" t="s">
        <v>8883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2551</v>
      </c>
      <c r="BV2499" s="2" t="s">
        <v>97</v>
      </c>
      <c r="BW2499" s="2" t="s">
        <v>100</v>
      </c>
      <c r="BX2499" s="2" t="s">
        <v>100</v>
      </c>
      <c r="BY2499" s="2" t="s">
        <v>112</v>
      </c>
      <c r="BZ2499" s="2" t="s">
        <v>100</v>
      </c>
    </row>
    <row r="2500">
      <c r="A2500" s="2" t="s">
        <v>8884</v>
      </c>
      <c r="B2500" s="2" t="s">
        <v>8691</v>
      </c>
      <c r="C2500" s="2" t="s">
        <v>2831</v>
      </c>
      <c r="D2500" s="2" t="s">
        <v>8778</v>
      </c>
      <c r="E2500" s="2" t="s">
        <v>8779</v>
      </c>
      <c r="F2500" s="2" t="s">
        <v>8880</v>
      </c>
      <c r="G2500" s="2" t="s">
        <v>8880</v>
      </c>
      <c r="H2500" s="2" t="s">
        <v>8880</v>
      </c>
      <c r="I2500" s="2" t="s">
        <v>8881</v>
      </c>
      <c r="J2500" s="2" t="s">
        <v>3385</v>
      </c>
      <c r="K2500" s="2" t="s">
        <v>878</v>
      </c>
      <c r="L2500" s="3">
        <v>89.35</v>
      </c>
      <c r="M2500" s="3">
        <v>93.82</v>
      </c>
      <c r="N2500" s="3">
        <v>199.99</v>
      </c>
      <c r="O2500" s="2" t="s">
        <v>97</v>
      </c>
      <c r="P2500" s="2" t="s">
        <v>98</v>
      </c>
      <c r="Q2500" s="2" t="s">
        <v>99</v>
      </c>
      <c r="R2500" s="2" t="s">
        <v>100</v>
      </c>
      <c r="S2500" s="2" t="s">
        <v>100</v>
      </c>
      <c r="T2500" s="2" t="s">
        <v>100</v>
      </c>
      <c r="U2500" s="2" t="s">
        <v>100</v>
      </c>
      <c r="V2500" s="2" t="s">
        <v>461</v>
      </c>
      <c r="W2500" s="2" t="s">
        <v>3394</v>
      </c>
      <c r="X2500" s="2" t="s">
        <v>100</v>
      </c>
      <c r="Y2500" s="2" t="s">
        <v>8885</v>
      </c>
      <c r="Z2500" s="4">
        <v>52</v>
      </c>
      <c r="AA2500" s="4">
        <f>=ROUNDDOWN(13,0)</f>
      </c>
      <c r="AB2500" s="5">
        <v>4</v>
      </c>
      <c r="AC2500" s="2" t="s">
        <v>1468</v>
      </c>
      <c r="AD2500" s="4">
        <v>100</v>
      </c>
      <c r="AE2500" s="4">
        <v>100</v>
      </c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/>
      <c r="AW2500" s="8"/>
      <c r="AX2500" s="4"/>
      <c r="AY2500" s="8"/>
      <c r="AZ2500" s="7"/>
      <c r="BA2500" s="7"/>
      <c r="BB2500" s="7"/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/>
      <c r="BJ2500" s="4">
        <v>6</v>
      </c>
      <c r="BK2500" s="8">
        <v>583.48</v>
      </c>
      <c r="BL2500" s="2" t="s">
        <v>8886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2551</v>
      </c>
      <c r="BV2500" s="2" t="s">
        <v>97</v>
      </c>
      <c r="BW2500" s="2" t="s">
        <v>100</v>
      </c>
      <c r="BX2500" s="2" t="s">
        <v>100</v>
      </c>
      <c r="BY2500" s="2" t="s">
        <v>112</v>
      </c>
      <c r="BZ2500" s="2" t="s">
        <v>100</v>
      </c>
    </row>
    <row r="2501">
      <c r="A2501" s="2" t="s">
        <v>8887</v>
      </c>
      <c r="B2501" s="2" t="s">
        <v>8691</v>
      </c>
      <c r="C2501" s="2" t="s">
        <v>2831</v>
      </c>
      <c r="D2501" s="2" t="s">
        <v>8888</v>
      </c>
      <c r="E2501" s="2" t="s">
        <v>8889</v>
      </c>
      <c r="F2501" s="2" t="s">
        <v>8890</v>
      </c>
      <c r="G2501" s="2" t="s">
        <v>8890</v>
      </c>
      <c r="H2501" s="2" t="s">
        <v>8890</v>
      </c>
      <c r="I2501" s="2" t="s">
        <v>8891</v>
      </c>
      <c r="J2501" s="2" t="s">
        <v>3385</v>
      </c>
      <c r="K2501" s="2" t="s">
        <v>446</v>
      </c>
      <c r="L2501" s="3">
        <v>68.4</v>
      </c>
      <c r="M2501" s="3">
        <v>71.82</v>
      </c>
      <c r="N2501" s="3">
        <v>149.99</v>
      </c>
      <c r="O2501" s="2" t="s">
        <v>97</v>
      </c>
      <c r="P2501" s="2" t="s">
        <v>98</v>
      </c>
      <c r="Q2501" s="2" t="s">
        <v>99</v>
      </c>
      <c r="R2501" s="2" t="s">
        <v>100</v>
      </c>
      <c r="S2501" s="2" t="s">
        <v>100</v>
      </c>
      <c r="T2501" s="2" t="s">
        <v>100</v>
      </c>
      <c r="U2501" s="2" t="s">
        <v>1776</v>
      </c>
      <c r="V2501" s="2" t="s">
        <v>3412</v>
      </c>
      <c r="W2501" s="2" t="s">
        <v>717</v>
      </c>
      <c r="X2501" s="2" t="s">
        <v>609</v>
      </c>
      <c r="Y2501" s="2" t="s">
        <v>8816</v>
      </c>
      <c r="Z2501" s="4">
        <v>58</v>
      </c>
      <c r="AA2501" s="4">
        <f>=ROUNDDOWN(6.44444444444444,0)</f>
      </c>
      <c r="AB2501" s="5">
        <v>9</v>
      </c>
      <c r="AC2501" s="2" t="s">
        <v>100</v>
      </c>
      <c r="AD2501" s="4"/>
      <c r="AE2501" s="4"/>
      <c r="AF2501" s="6">
        <v>63</v>
      </c>
      <c r="AG2501" s="6"/>
      <c r="AH2501" s="7">
        <v>0.0645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/>
      <c r="BD2501" s="8"/>
      <c r="BE2501" s="4"/>
      <c r="BF2501" s="8"/>
      <c r="BG2501" s="7"/>
      <c r="BH2501" s="7"/>
      <c r="BI2501" s="7"/>
      <c r="BJ2501" s="4">
        <v>2</v>
      </c>
      <c r="BK2501" s="8">
        <v>157.43</v>
      </c>
      <c r="BL2501" s="2" t="s">
        <v>6821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2551</v>
      </c>
      <c r="BV2501" s="2" t="s">
        <v>97</v>
      </c>
      <c r="BW2501" s="2" t="s">
        <v>100</v>
      </c>
      <c r="BX2501" s="2" t="s">
        <v>100</v>
      </c>
      <c r="BY2501" s="2" t="s">
        <v>112</v>
      </c>
      <c r="BZ2501" s="2" t="s">
        <v>100</v>
      </c>
    </row>
    <row r="2502">
      <c r="A2502" s="2" t="s">
        <v>8892</v>
      </c>
      <c r="B2502" s="2" t="s">
        <v>8691</v>
      </c>
      <c r="C2502" s="2" t="s">
        <v>2831</v>
      </c>
      <c r="D2502" s="2" t="s">
        <v>8813</v>
      </c>
      <c r="E2502" s="2" t="s">
        <v>8814</v>
      </c>
      <c r="F2502" s="2" t="s">
        <v>8893</v>
      </c>
      <c r="G2502" s="2" t="s">
        <v>8893</v>
      </c>
      <c r="H2502" s="2" t="s">
        <v>8893</v>
      </c>
      <c r="I2502" s="2" t="s">
        <v>8894</v>
      </c>
      <c r="J2502" s="2" t="s">
        <v>3385</v>
      </c>
      <c r="K2502" s="2" t="s">
        <v>3475</v>
      </c>
      <c r="L2502" s="3">
        <v>51.3</v>
      </c>
      <c r="M2502" s="3">
        <v>53.86</v>
      </c>
      <c r="N2502" s="3">
        <v>119.99</v>
      </c>
      <c r="O2502" s="2" t="s">
        <v>97</v>
      </c>
      <c r="P2502" s="2" t="s">
        <v>123</v>
      </c>
      <c r="Q2502" s="2" t="s">
        <v>99</v>
      </c>
      <c r="R2502" s="2" t="s">
        <v>100</v>
      </c>
      <c r="S2502" s="2" t="s">
        <v>100</v>
      </c>
      <c r="T2502" s="2" t="s">
        <v>100</v>
      </c>
      <c r="U2502" s="2" t="s">
        <v>1776</v>
      </c>
      <c r="V2502" s="2" t="s">
        <v>3412</v>
      </c>
      <c r="W2502" s="2" t="s">
        <v>609</v>
      </c>
      <c r="X2502" s="2" t="s">
        <v>493</v>
      </c>
      <c r="Y2502" s="2" t="s">
        <v>8541</v>
      </c>
      <c r="Z2502" s="4">
        <v>95</v>
      </c>
      <c r="AA2502" s="4">
        <f>=ROUNDDOWN(5,0)</f>
      </c>
      <c r="AB2502" s="5">
        <v>19</v>
      </c>
      <c r="AC2502" s="2" t="s">
        <v>2709</v>
      </c>
      <c r="AD2502" s="4">
        <v>100</v>
      </c>
      <c r="AE2502" s="4">
        <v>350</v>
      </c>
      <c r="AF2502" s="6">
        <v>63</v>
      </c>
      <c r="AG2502" s="6"/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/>
      <c r="BD2502" s="8"/>
      <c r="BE2502" s="4"/>
      <c r="BF2502" s="8"/>
      <c r="BG2502" s="7"/>
      <c r="BH2502" s="7"/>
      <c r="BI2502" s="7"/>
      <c r="BJ2502" s="4">
        <v>77</v>
      </c>
      <c r="BK2502" s="8">
        <v>4883.7</v>
      </c>
      <c r="BL2502" s="2" t="s">
        <v>8895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2551</v>
      </c>
      <c r="BV2502" s="2" t="s">
        <v>97</v>
      </c>
      <c r="BW2502" s="2" t="s">
        <v>100</v>
      </c>
      <c r="BX2502" s="2" t="s">
        <v>100</v>
      </c>
      <c r="BY2502" s="2" t="s">
        <v>112</v>
      </c>
      <c r="BZ2502" s="2" t="s">
        <v>100</v>
      </c>
    </row>
    <row r="2503">
      <c r="A2503" s="2" t="s">
        <v>8896</v>
      </c>
      <c r="B2503" s="2" t="s">
        <v>8691</v>
      </c>
      <c r="C2503" s="2" t="s">
        <v>2831</v>
      </c>
      <c r="D2503" s="2" t="s">
        <v>8692</v>
      </c>
      <c r="E2503" s="2" t="s">
        <v>8693</v>
      </c>
      <c r="F2503" s="2" t="s">
        <v>8897</v>
      </c>
      <c r="G2503" s="2" t="s">
        <v>8897</v>
      </c>
      <c r="H2503" s="2" t="s">
        <v>8897</v>
      </c>
      <c r="I2503" s="2" t="s">
        <v>8898</v>
      </c>
      <c r="J2503" s="2" t="s">
        <v>3385</v>
      </c>
      <c r="K2503" s="2" t="s">
        <v>458</v>
      </c>
      <c r="L2503" s="3">
        <v>46.17</v>
      </c>
      <c r="M2503" s="3">
        <v>48.48</v>
      </c>
      <c r="N2503" s="3">
        <v>104.99</v>
      </c>
      <c r="O2503" s="2" t="s">
        <v>97</v>
      </c>
      <c r="P2503" s="2" t="s">
        <v>98</v>
      </c>
      <c r="Q2503" s="2" t="s">
        <v>99</v>
      </c>
      <c r="R2503" s="2" t="s">
        <v>100</v>
      </c>
      <c r="S2503" s="2" t="s">
        <v>100</v>
      </c>
      <c r="T2503" s="2" t="s">
        <v>100</v>
      </c>
      <c r="U2503" s="2" t="s">
        <v>1776</v>
      </c>
      <c r="V2503" s="2" t="s">
        <v>3412</v>
      </c>
      <c r="W2503" s="2" t="s">
        <v>493</v>
      </c>
      <c r="X2503" s="2" t="s">
        <v>100</v>
      </c>
      <c r="Y2503" s="2" t="s">
        <v>5228</v>
      </c>
      <c r="Z2503" s="4">
        <v>99</v>
      </c>
      <c r="AA2503" s="4">
        <f>=ROUNDDOWN(33,0)</f>
      </c>
      <c r="AB2503" s="5">
        <v>3</v>
      </c>
      <c r="AC2503" s="2" t="s">
        <v>100</v>
      </c>
      <c r="AD2503" s="4"/>
      <c r="AE2503" s="4"/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/>
      <c r="AW2503" s="8"/>
      <c r="AX2503" s="4"/>
      <c r="AY2503" s="8"/>
      <c r="AZ2503" s="7"/>
      <c r="BA2503" s="7"/>
      <c r="BB2503" s="7"/>
      <c r="BC2503" s="4"/>
      <c r="BD2503" s="8"/>
      <c r="BE2503" s="4"/>
      <c r="BF2503" s="8"/>
      <c r="BG2503" s="7"/>
      <c r="BH2503" s="7"/>
      <c r="BI2503" s="7"/>
      <c r="BJ2503" s="4">
        <v>9</v>
      </c>
      <c r="BK2503" s="8">
        <v>469.32</v>
      </c>
      <c r="BL2503" s="2" t="s">
        <v>3201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2551</v>
      </c>
      <c r="BV2503" s="2" t="s">
        <v>97</v>
      </c>
      <c r="BW2503" s="2" t="s">
        <v>100</v>
      </c>
      <c r="BX2503" s="2" t="s">
        <v>100</v>
      </c>
      <c r="BY2503" s="2" t="s">
        <v>112</v>
      </c>
      <c r="BZ2503" s="2" t="s">
        <v>100</v>
      </c>
    </row>
    <row r="2504">
      <c r="A2504" s="2" t="s">
        <v>8899</v>
      </c>
      <c r="B2504" s="2" t="s">
        <v>8691</v>
      </c>
      <c r="C2504" s="2" t="s">
        <v>2831</v>
      </c>
      <c r="D2504" s="2" t="s">
        <v>8692</v>
      </c>
      <c r="E2504" s="2" t="s">
        <v>8693</v>
      </c>
      <c r="F2504" s="2" t="s">
        <v>8900</v>
      </c>
      <c r="G2504" s="2" t="s">
        <v>8900</v>
      </c>
      <c r="H2504" s="2" t="s">
        <v>8900</v>
      </c>
      <c r="I2504" s="2" t="s">
        <v>8901</v>
      </c>
      <c r="J2504" s="2" t="s">
        <v>3385</v>
      </c>
      <c r="K2504" s="2" t="s">
        <v>1090</v>
      </c>
      <c r="L2504" s="3">
        <v>45.25</v>
      </c>
      <c r="M2504" s="3">
        <v>47.51</v>
      </c>
      <c r="N2504" s="3">
        <v>99.99</v>
      </c>
      <c r="O2504" s="2" t="s">
        <v>97</v>
      </c>
      <c r="P2504" s="2" t="s">
        <v>98</v>
      </c>
      <c r="Q2504" s="2" t="s">
        <v>99</v>
      </c>
      <c r="R2504" s="2" t="s">
        <v>100</v>
      </c>
      <c r="S2504" s="2" t="s">
        <v>100</v>
      </c>
      <c r="T2504" s="2" t="s">
        <v>100</v>
      </c>
      <c r="U2504" s="2" t="s">
        <v>1776</v>
      </c>
      <c r="V2504" s="2" t="s">
        <v>3412</v>
      </c>
      <c r="W2504" s="2" t="s">
        <v>493</v>
      </c>
      <c r="X2504" s="2" t="s">
        <v>100</v>
      </c>
      <c r="Y2504" s="2" t="s">
        <v>5124</v>
      </c>
      <c r="Z2504" s="4">
        <v>17</v>
      </c>
      <c r="AA2504" s="4">
        <f>=ROUNDDOWN(2.42857142857143,0)</f>
      </c>
      <c r="AB2504" s="5">
        <v>7</v>
      </c>
      <c r="AC2504" s="2" t="s">
        <v>8746</v>
      </c>
      <c r="AD2504" s="4">
        <v>100</v>
      </c>
      <c r="AE2504" s="4">
        <v>200</v>
      </c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/>
      <c r="BD2504" s="8"/>
      <c r="BE2504" s="4"/>
      <c r="BF2504" s="8"/>
      <c r="BG2504" s="7"/>
      <c r="BH2504" s="7"/>
      <c r="BI2504" s="7"/>
      <c r="BJ2504" s="4">
        <v>20</v>
      </c>
      <c r="BK2504" s="8">
        <v>1023.64</v>
      </c>
      <c r="BL2504" s="2" t="s">
        <v>8902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2551</v>
      </c>
      <c r="BV2504" s="2" t="s">
        <v>97</v>
      </c>
      <c r="BW2504" s="2" t="s">
        <v>100</v>
      </c>
      <c r="BX2504" s="2" t="s">
        <v>100</v>
      </c>
      <c r="BY2504" s="2" t="s">
        <v>112</v>
      </c>
      <c r="BZ2504" s="2" t="s">
        <v>100</v>
      </c>
    </row>
    <row r="2505">
      <c r="A2505" s="2" t="s">
        <v>8903</v>
      </c>
      <c r="B2505" s="2" t="s">
        <v>8691</v>
      </c>
      <c r="C2505" s="2" t="s">
        <v>2831</v>
      </c>
      <c r="D2505" s="2" t="s">
        <v>8692</v>
      </c>
      <c r="E2505" s="2" t="s">
        <v>8693</v>
      </c>
      <c r="F2505" s="2" t="s">
        <v>8904</v>
      </c>
      <c r="G2505" s="2" t="s">
        <v>8904</v>
      </c>
      <c r="H2505" s="2" t="s">
        <v>8904</v>
      </c>
      <c r="I2505" s="2" t="s">
        <v>8905</v>
      </c>
      <c r="J2505" s="2" t="s">
        <v>3385</v>
      </c>
      <c r="K2505" s="2" t="s">
        <v>8906</v>
      </c>
      <c r="L2505" s="3">
        <v>38.7</v>
      </c>
      <c r="M2505" s="3">
        <v>40.64</v>
      </c>
      <c r="N2505" s="3">
        <v>89.99</v>
      </c>
      <c r="O2505" s="2" t="s">
        <v>97</v>
      </c>
      <c r="P2505" s="2" t="s">
        <v>98</v>
      </c>
      <c r="Q2505" s="2" t="s">
        <v>99</v>
      </c>
      <c r="R2505" s="2" t="s">
        <v>100</v>
      </c>
      <c r="S2505" s="2" t="s">
        <v>100</v>
      </c>
      <c r="T2505" s="2" t="s">
        <v>100</v>
      </c>
      <c r="U2505" s="2" t="s">
        <v>1776</v>
      </c>
      <c r="V2505" s="2" t="s">
        <v>3412</v>
      </c>
      <c r="W2505" s="2" t="s">
        <v>2835</v>
      </c>
      <c r="X2505" s="2" t="s">
        <v>100</v>
      </c>
      <c r="Y2505" s="2" t="s">
        <v>8541</v>
      </c>
      <c r="Z2505" s="4">
        <v>11</v>
      </c>
      <c r="AA2505" s="4">
        <f>=ROUNDDOWN(1.57142857142857,0)</f>
      </c>
      <c r="AB2505" s="5">
        <v>7</v>
      </c>
      <c r="AC2505" s="2" t="s">
        <v>2709</v>
      </c>
      <c r="AD2505" s="4">
        <v>100</v>
      </c>
      <c r="AE2505" s="4">
        <v>200</v>
      </c>
      <c r="AF2505" s="6">
        <v>63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/>
      <c r="AW2505" s="8"/>
      <c r="AX2505" s="4"/>
      <c r="AY2505" s="8"/>
      <c r="AZ2505" s="7"/>
      <c r="BA2505" s="7"/>
      <c r="BB2505" s="7"/>
      <c r="BC2505" s="4"/>
      <c r="BD2505" s="8"/>
      <c r="BE2505" s="4"/>
      <c r="BF2505" s="8"/>
      <c r="BG2505" s="7"/>
      <c r="BH2505" s="7"/>
      <c r="BI2505" s="7"/>
      <c r="BJ2505" s="4">
        <v>26</v>
      </c>
      <c r="BK2505" s="8">
        <v>1227.38</v>
      </c>
      <c r="BL2505" s="2" t="s">
        <v>6754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2551</v>
      </c>
      <c r="BV2505" s="2" t="s">
        <v>97</v>
      </c>
      <c r="BW2505" s="2" t="s">
        <v>100</v>
      </c>
      <c r="BX2505" s="2" t="s">
        <v>100</v>
      </c>
      <c r="BY2505" s="2" t="s">
        <v>112</v>
      </c>
      <c r="BZ2505" s="2" t="s">
        <v>100</v>
      </c>
    </row>
    <row r="2506">
      <c r="A2506" s="2" t="s">
        <v>8907</v>
      </c>
      <c r="B2506" s="2" t="s">
        <v>8691</v>
      </c>
      <c r="C2506" s="2" t="s">
        <v>2831</v>
      </c>
      <c r="D2506" s="2" t="s">
        <v>8692</v>
      </c>
      <c r="E2506" s="2" t="s">
        <v>8693</v>
      </c>
      <c r="F2506" s="2" t="s">
        <v>8908</v>
      </c>
      <c r="G2506" s="2" t="s">
        <v>8908</v>
      </c>
      <c r="H2506" s="2" t="s">
        <v>8908</v>
      </c>
      <c r="I2506" s="2" t="s">
        <v>8909</v>
      </c>
      <c r="J2506" s="2" t="s">
        <v>3385</v>
      </c>
      <c r="K2506" s="2" t="s">
        <v>3475</v>
      </c>
      <c r="L2506" s="3">
        <v>45</v>
      </c>
      <c r="M2506" s="3">
        <v>47.25</v>
      </c>
      <c r="N2506" s="3">
        <v>104.99</v>
      </c>
      <c r="O2506" s="2" t="s">
        <v>97</v>
      </c>
      <c r="P2506" s="2" t="s">
        <v>98</v>
      </c>
      <c r="Q2506" s="2" t="s">
        <v>99</v>
      </c>
      <c r="R2506" s="2" t="s">
        <v>100</v>
      </c>
      <c r="S2506" s="2" t="s">
        <v>100</v>
      </c>
      <c r="T2506" s="2" t="s">
        <v>100</v>
      </c>
      <c r="U2506" s="2" t="s">
        <v>1776</v>
      </c>
      <c r="V2506" s="2" t="s">
        <v>3412</v>
      </c>
      <c r="W2506" s="2" t="s">
        <v>493</v>
      </c>
      <c r="X2506" s="2" t="s">
        <v>1136</v>
      </c>
      <c r="Y2506" s="2" t="s">
        <v>8541</v>
      </c>
      <c r="Z2506" s="4">
        <v>51</v>
      </c>
      <c r="AA2506" s="4">
        <f>=ROUNDDOWN(12.75,0)</f>
      </c>
      <c r="AB2506" s="5">
        <v>4</v>
      </c>
      <c r="AC2506" s="2" t="s">
        <v>2772</v>
      </c>
      <c r="AD2506" s="4">
        <v>100</v>
      </c>
      <c r="AE2506" s="4">
        <v>100</v>
      </c>
      <c r="AF2506" s="6">
        <v>63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/>
      <c r="AW2506" s="8"/>
      <c r="AX2506" s="4"/>
      <c r="AY2506" s="8"/>
      <c r="AZ2506" s="7"/>
      <c r="BA2506" s="7"/>
      <c r="BB2506" s="7"/>
      <c r="BC2506" s="4"/>
      <c r="BD2506" s="8"/>
      <c r="BE2506" s="4"/>
      <c r="BF2506" s="8"/>
      <c r="BG2506" s="7"/>
      <c r="BH2506" s="7"/>
      <c r="BI2506" s="7"/>
      <c r="BJ2506" s="4">
        <v>13</v>
      </c>
      <c r="BK2506" s="8">
        <v>691.71</v>
      </c>
      <c r="BL2506" s="2" t="s">
        <v>2599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2551</v>
      </c>
      <c r="BV2506" s="2" t="s">
        <v>97</v>
      </c>
      <c r="BW2506" s="2" t="s">
        <v>100</v>
      </c>
      <c r="BX2506" s="2" t="s">
        <v>100</v>
      </c>
      <c r="BY2506" s="2" t="s">
        <v>112</v>
      </c>
      <c r="BZ2506" s="2" t="s">
        <v>100</v>
      </c>
    </row>
    <row r="2507">
      <c r="A2507" s="2" t="s">
        <v>8910</v>
      </c>
      <c r="B2507" s="2" t="s">
        <v>8691</v>
      </c>
      <c r="C2507" s="2" t="s">
        <v>2831</v>
      </c>
      <c r="D2507" s="2" t="s">
        <v>8692</v>
      </c>
      <c r="E2507" s="2" t="s">
        <v>8693</v>
      </c>
      <c r="F2507" s="2" t="s">
        <v>8911</v>
      </c>
      <c r="G2507" s="2" t="s">
        <v>8911</v>
      </c>
      <c r="H2507" s="2" t="s">
        <v>8911</v>
      </c>
      <c r="I2507" s="2" t="s">
        <v>8912</v>
      </c>
      <c r="J2507" s="2" t="s">
        <v>3385</v>
      </c>
      <c r="K2507" s="2" t="s">
        <v>8906</v>
      </c>
      <c r="L2507" s="3">
        <v>67.24</v>
      </c>
      <c r="M2507" s="3">
        <v>70.6</v>
      </c>
      <c r="N2507" s="3">
        <v>159.99</v>
      </c>
      <c r="O2507" s="2" t="s">
        <v>97</v>
      </c>
      <c r="P2507" s="2" t="s">
        <v>139</v>
      </c>
      <c r="Q2507" s="2" t="s">
        <v>99</v>
      </c>
      <c r="R2507" s="2" t="s">
        <v>100</v>
      </c>
      <c r="S2507" s="2" t="s">
        <v>8913</v>
      </c>
      <c r="T2507" s="2" t="s">
        <v>100</v>
      </c>
      <c r="U2507" s="2" t="s">
        <v>100</v>
      </c>
      <c r="V2507" s="2" t="s">
        <v>547</v>
      </c>
      <c r="W2507" s="2" t="s">
        <v>2835</v>
      </c>
      <c r="X2507" s="2" t="s">
        <v>493</v>
      </c>
      <c r="Y2507" s="2" t="s">
        <v>1695</v>
      </c>
      <c r="Z2507" s="4">
        <v>169</v>
      </c>
      <c r="AA2507" s="4">
        <f>=ROUNDDOWN(7.34782608695652,0)</f>
      </c>
      <c r="AB2507" s="5">
        <v>23</v>
      </c>
      <c r="AC2507" s="2" t="s">
        <v>3343</v>
      </c>
      <c r="AD2507" s="4">
        <v>200</v>
      </c>
      <c r="AE2507" s="4">
        <v>450</v>
      </c>
      <c r="AF2507" s="6">
        <v>65</v>
      </c>
      <c r="AG2507" s="6"/>
      <c r="AH2507" s="7">
        <v>0.0968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/>
      <c r="AW2507" s="8"/>
      <c r="AX2507" s="4"/>
      <c r="AY2507" s="8"/>
      <c r="AZ2507" s="7"/>
      <c r="BA2507" s="7"/>
      <c r="BB2507" s="7"/>
      <c r="BC2507" s="4"/>
      <c r="BD2507" s="8"/>
      <c r="BE2507" s="4"/>
      <c r="BF2507" s="8"/>
      <c r="BG2507" s="7"/>
      <c r="BH2507" s="7"/>
      <c r="BI2507" s="7"/>
      <c r="BJ2507" s="4">
        <v>8</v>
      </c>
      <c r="BK2507" s="8">
        <v>634.54</v>
      </c>
      <c r="BL2507" s="2" t="s">
        <v>8914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2551</v>
      </c>
      <c r="BV2507" s="2" t="s">
        <v>97</v>
      </c>
      <c r="BW2507" s="2" t="s">
        <v>100</v>
      </c>
      <c r="BX2507" s="2" t="s">
        <v>100</v>
      </c>
      <c r="BY2507" s="2" t="s">
        <v>112</v>
      </c>
      <c r="BZ2507" s="2" t="s">
        <v>100</v>
      </c>
    </row>
    <row r="2508">
      <c r="A2508" s="2" t="s">
        <v>8915</v>
      </c>
      <c r="B2508" s="2" t="s">
        <v>8691</v>
      </c>
      <c r="C2508" s="2" t="s">
        <v>2831</v>
      </c>
      <c r="D2508" s="2" t="s">
        <v>8692</v>
      </c>
      <c r="E2508" s="2" t="s">
        <v>8693</v>
      </c>
      <c r="F2508" s="2" t="s">
        <v>4984</v>
      </c>
      <c r="G2508" s="2" t="s">
        <v>4984</v>
      </c>
      <c r="H2508" s="2" t="s">
        <v>4984</v>
      </c>
      <c r="I2508" s="2" t="s">
        <v>8901</v>
      </c>
      <c r="J2508" s="2" t="s">
        <v>3385</v>
      </c>
      <c r="K2508" s="2" t="s">
        <v>1373</v>
      </c>
      <c r="L2508" s="3">
        <v>46.72</v>
      </c>
      <c r="M2508" s="3">
        <v>49.06</v>
      </c>
      <c r="N2508" s="3">
        <v>109.99</v>
      </c>
      <c r="O2508" s="2" t="s">
        <v>97</v>
      </c>
      <c r="P2508" s="2" t="s">
        <v>98</v>
      </c>
      <c r="Q2508" s="2" t="s">
        <v>99</v>
      </c>
      <c r="R2508" s="2" t="s">
        <v>100</v>
      </c>
      <c r="S2508" s="2" t="s">
        <v>8916</v>
      </c>
      <c r="T2508" s="2" t="s">
        <v>100</v>
      </c>
      <c r="U2508" s="2" t="s">
        <v>100</v>
      </c>
      <c r="V2508" s="2" t="s">
        <v>461</v>
      </c>
      <c r="W2508" s="2" t="s">
        <v>493</v>
      </c>
      <c r="X2508" s="2" t="s">
        <v>100</v>
      </c>
      <c r="Y2508" s="2" t="s">
        <v>144</v>
      </c>
      <c r="Z2508" s="4">
        <v>92</v>
      </c>
      <c r="AA2508" s="4">
        <f>=ROUNDDOWN(18.4,0)</f>
      </c>
      <c r="AB2508" s="5">
        <v>5</v>
      </c>
      <c r="AC2508" s="2" t="s">
        <v>8706</v>
      </c>
      <c r="AD2508" s="4">
        <v>100</v>
      </c>
      <c r="AE2508" s="4">
        <v>100</v>
      </c>
      <c r="AF2508" s="6">
        <v>65</v>
      </c>
      <c r="AG2508" s="6"/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/>
      <c r="AW2508" s="8"/>
      <c r="AX2508" s="4"/>
      <c r="AY2508" s="8"/>
      <c r="AZ2508" s="7"/>
      <c r="BA2508" s="7"/>
      <c r="BB2508" s="7"/>
      <c r="BC2508" s="4"/>
      <c r="BD2508" s="8"/>
      <c r="BE2508" s="4"/>
      <c r="BF2508" s="8"/>
      <c r="BG2508" s="7"/>
      <c r="BH2508" s="7"/>
      <c r="BI2508" s="7"/>
      <c r="BJ2508" s="4">
        <v>11</v>
      </c>
      <c r="BK2508" s="8">
        <v>584.74</v>
      </c>
      <c r="BL2508" s="2" t="s">
        <v>734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2551</v>
      </c>
      <c r="BV2508" s="2" t="s">
        <v>97</v>
      </c>
      <c r="BW2508" s="2" t="s">
        <v>100</v>
      </c>
      <c r="BX2508" s="2" t="s">
        <v>100</v>
      </c>
      <c r="BY2508" s="2" t="s">
        <v>112</v>
      </c>
      <c r="BZ2508" s="2" t="s">
        <v>100</v>
      </c>
    </row>
    <row r="2509">
      <c r="A2509" s="2" t="s">
        <v>8917</v>
      </c>
      <c r="B2509" s="2" t="s">
        <v>8691</v>
      </c>
      <c r="C2509" s="2" t="s">
        <v>2831</v>
      </c>
      <c r="D2509" s="2" t="s">
        <v>8692</v>
      </c>
      <c r="E2509" s="2" t="s">
        <v>8693</v>
      </c>
      <c r="F2509" s="2" t="s">
        <v>8918</v>
      </c>
      <c r="G2509" s="2" t="s">
        <v>8918</v>
      </c>
      <c r="H2509" s="2" t="s">
        <v>8918</v>
      </c>
      <c r="I2509" s="2" t="s">
        <v>8919</v>
      </c>
      <c r="J2509" s="2" t="s">
        <v>3385</v>
      </c>
      <c r="K2509" s="2" t="s">
        <v>458</v>
      </c>
      <c r="L2509" s="3">
        <v>39.5</v>
      </c>
      <c r="M2509" s="3">
        <v>41.48</v>
      </c>
      <c r="N2509" s="3">
        <v>89.99</v>
      </c>
      <c r="O2509" s="2" t="s">
        <v>97</v>
      </c>
      <c r="P2509" s="2" t="s">
        <v>98</v>
      </c>
      <c r="Q2509" s="2" t="s">
        <v>99</v>
      </c>
      <c r="R2509" s="2" t="s">
        <v>100</v>
      </c>
      <c r="S2509" s="2" t="s">
        <v>100</v>
      </c>
      <c r="T2509" s="2" t="s">
        <v>100</v>
      </c>
      <c r="U2509" s="2" t="s">
        <v>1776</v>
      </c>
      <c r="V2509" s="2" t="s">
        <v>3412</v>
      </c>
      <c r="W2509" s="2" t="s">
        <v>493</v>
      </c>
      <c r="X2509" s="2" t="s">
        <v>100</v>
      </c>
      <c r="Y2509" s="2" t="s">
        <v>5124</v>
      </c>
      <c r="Z2509" s="4">
        <v>87</v>
      </c>
      <c r="AA2509" s="4">
        <f>=ROUNDDOWN(21.75,0)</f>
      </c>
      <c r="AB2509" s="5">
        <v>4</v>
      </c>
      <c r="AC2509" s="2" t="s">
        <v>1060</v>
      </c>
      <c r="AD2509" s="4">
        <v>100</v>
      </c>
      <c r="AE2509" s="4">
        <v>100</v>
      </c>
      <c r="AF2509" s="6">
        <v>65</v>
      </c>
      <c r="AG2509" s="6"/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/>
      <c r="AW2509" s="8"/>
      <c r="AX2509" s="4"/>
      <c r="AY2509" s="8"/>
      <c r="AZ2509" s="7"/>
      <c r="BA2509" s="7"/>
      <c r="BB2509" s="7"/>
      <c r="BC2509" s="4"/>
      <c r="BD2509" s="8"/>
      <c r="BE2509" s="4"/>
      <c r="BF2509" s="8"/>
      <c r="BG2509" s="7"/>
      <c r="BH2509" s="7"/>
      <c r="BI2509" s="7"/>
      <c r="BJ2509" s="4">
        <v>5</v>
      </c>
      <c r="BK2509" s="8">
        <v>249.61</v>
      </c>
      <c r="BL2509" s="2" t="s">
        <v>6821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2551</v>
      </c>
      <c r="BV2509" s="2" t="s">
        <v>97</v>
      </c>
      <c r="BW2509" s="2" t="s">
        <v>100</v>
      </c>
      <c r="BX2509" s="2" t="s">
        <v>100</v>
      </c>
      <c r="BY2509" s="2" t="s">
        <v>112</v>
      </c>
      <c r="BZ2509" s="2" t="s">
        <v>100</v>
      </c>
    </row>
    <row r="2510">
      <c r="A2510" s="2" t="s">
        <v>8920</v>
      </c>
      <c r="B2510" s="2" t="s">
        <v>8691</v>
      </c>
      <c r="C2510" s="2" t="s">
        <v>2831</v>
      </c>
      <c r="D2510" s="2" t="s">
        <v>8692</v>
      </c>
      <c r="E2510" s="2" t="s">
        <v>8693</v>
      </c>
      <c r="F2510" s="2" t="s">
        <v>8921</v>
      </c>
      <c r="G2510" s="2" t="s">
        <v>8921</v>
      </c>
      <c r="H2510" s="2" t="s">
        <v>8921</v>
      </c>
      <c r="I2510" s="2" t="s">
        <v>8922</v>
      </c>
      <c r="J2510" s="2" t="s">
        <v>3385</v>
      </c>
      <c r="K2510" s="2" t="s">
        <v>8513</v>
      </c>
      <c r="L2510" s="3">
        <v>43.2</v>
      </c>
      <c r="M2510" s="3">
        <v>45.36</v>
      </c>
      <c r="N2510" s="3">
        <v>99.99</v>
      </c>
      <c r="O2510" s="2" t="s">
        <v>97</v>
      </c>
      <c r="P2510" s="2" t="s">
        <v>98</v>
      </c>
      <c r="Q2510" s="2" t="s">
        <v>99</v>
      </c>
      <c r="R2510" s="2" t="s">
        <v>100</v>
      </c>
      <c r="S2510" s="2" t="s">
        <v>100</v>
      </c>
      <c r="T2510" s="2" t="s">
        <v>100</v>
      </c>
      <c r="U2510" s="2" t="s">
        <v>1776</v>
      </c>
      <c r="V2510" s="2" t="s">
        <v>3412</v>
      </c>
      <c r="W2510" s="2" t="s">
        <v>142</v>
      </c>
      <c r="X2510" s="2" t="s">
        <v>100</v>
      </c>
      <c r="Y2510" s="2" t="s">
        <v>8541</v>
      </c>
      <c r="Z2510" s="4">
        <v>71</v>
      </c>
      <c r="AA2510" s="4">
        <f>=ROUNDDOWN(8.35294117647059,0)</f>
      </c>
      <c r="AB2510" s="5">
        <v>8.5</v>
      </c>
      <c r="AC2510" s="2" t="s">
        <v>1142</v>
      </c>
      <c r="AD2510" s="4">
        <v>150</v>
      </c>
      <c r="AE2510" s="4">
        <v>150</v>
      </c>
      <c r="AF2510" s="6">
        <v>63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/>
      <c r="BD2510" s="8"/>
      <c r="BE2510" s="4"/>
      <c r="BF2510" s="8"/>
      <c r="BG2510" s="7"/>
      <c r="BH2510" s="7"/>
      <c r="BI2510" s="7"/>
      <c r="BJ2510" s="4">
        <v>26</v>
      </c>
      <c r="BK2510" s="8">
        <v>1391.69</v>
      </c>
      <c r="BL2510" s="2" t="s">
        <v>3201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2551</v>
      </c>
      <c r="BV2510" s="2" t="s">
        <v>97</v>
      </c>
      <c r="BW2510" s="2" t="s">
        <v>100</v>
      </c>
      <c r="BX2510" s="2" t="s">
        <v>100</v>
      </c>
      <c r="BY2510" s="2" t="s">
        <v>112</v>
      </c>
      <c r="BZ2510" s="2" t="s">
        <v>100</v>
      </c>
    </row>
    <row r="2511">
      <c r="A2511" s="2" t="s">
        <v>8923</v>
      </c>
      <c r="B2511" s="2" t="s">
        <v>8691</v>
      </c>
      <c r="C2511" s="2" t="s">
        <v>2831</v>
      </c>
      <c r="D2511" s="2" t="s">
        <v>8692</v>
      </c>
      <c r="E2511" s="2" t="s">
        <v>8693</v>
      </c>
      <c r="F2511" s="2" t="s">
        <v>8872</v>
      </c>
      <c r="G2511" s="2" t="s">
        <v>8872</v>
      </c>
      <c r="H2511" s="2" t="s">
        <v>8872</v>
      </c>
      <c r="I2511" s="2" t="s">
        <v>8924</v>
      </c>
      <c r="J2511" s="2" t="s">
        <v>3385</v>
      </c>
      <c r="K2511" s="2" t="s">
        <v>8513</v>
      </c>
      <c r="L2511" s="3">
        <v>71.54</v>
      </c>
      <c r="M2511" s="3">
        <v>75.12</v>
      </c>
      <c r="N2511" s="3">
        <v>157.99</v>
      </c>
      <c r="O2511" s="2" t="s">
        <v>97</v>
      </c>
      <c r="P2511" s="2" t="s">
        <v>98</v>
      </c>
      <c r="Q2511" s="2" t="s">
        <v>99</v>
      </c>
      <c r="R2511" s="2" t="s">
        <v>100</v>
      </c>
      <c r="S2511" s="2" t="s">
        <v>100</v>
      </c>
      <c r="T2511" s="2" t="s">
        <v>100</v>
      </c>
      <c r="U2511" s="2" t="s">
        <v>100</v>
      </c>
      <c r="V2511" s="2" t="s">
        <v>3412</v>
      </c>
      <c r="W2511" s="2" t="s">
        <v>493</v>
      </c>
      <c r="X2511" s="2" t="s">
        <v>100</v>
      </c>
      <c r="Y2511" s="2" t="s">
        <v>7045</v>
      </c>
      <c r="Z2511" s="4">
        <v>92</v>
      </c>
      <c r="AA2511" s="4">
        <f>=ROUNDDOWN(30.6666666666667,0)</f>
      </c>
      <c r="AB2511" s="5">
        <v>3</v>
      </c>
      <c r="AC2511" s="2" t="s">
        <v>100</v>
      </c>
      <c r="AD2511" s="4"/>
      <c r="AE2511" s="4"/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/>
      <c r="AW2511" s="8"/>
      <c r="AX2511" s="4"/>
      <c r="AY2511" s="8"/>
      <c r="AZ2511" s="7"/>
      <c r="BA2511" s="7"/>
      <c r="BB2511" s="7"/>
      <c r="BC2511" s="4"/>
      <c r="BD2511" s="8"/>
      <c r="BE2511" s="4"/>
      <c r="BF2511" s="8"/>
      <c r="BG2511" s="7"/>
      <c r="BH2511" s="7"/>
      <c r="BI2511" s="7"/>
      <c r="BJ2511" s="4">
        <v>11</v>
      </c>
      <c r="BK2511" s="8">
        <v>836.5</v>
      </c>
      <c r="BL2511" s="2" t="s">
        <v>2807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2551</v>
      </c>
      <c r="BV2511" s="2" t="s">
        <v>97</v>
      </c>
      <c r="BW2511" s="2" t="s">
        <v>100</v>
      </c>
      <c r="BX2511" s="2" t="s">
        <v>100</v>
      </c>
      <c r="BY2511" s="2" t="s">
        <v>112</v>
      </c>
      <c r="BZ2511" s="2" t="s">
        <v>100</v>
      </c>
    </row>
    <row r="2512">
      <c r="A2512" s="2" t="s">
        <v>8925</v>
      </c>
      <c r="B2512" s="2" t="s">
        <v>8691</v>
      </c>
      <c r="C2512" s="2" t="s">
        <v>2831</v>
      </c>
      <c r="D2512" s="2" t="s">
        <v>8692</v>
      </c>
      <c r="E2512" s="2" t="s">
        <v>8693</v>
      </c>
      <c r="F2512" s="2" t="s">
        <v>8926</v>
      </c>
      <c r="G2512" s="2" t="s">
        <v>8926</v>
      </c>
      <c r="H2512" s="2" t="s">
        <v>8926</v>
      </c>
      <c r="I2512" s="2" t="s">
        <v>8741</v>
      </c>
      <c r="J2512" s="2" t="s">
        <v>3385</v>
      </c>
      <c r="K2512" s="2" t="s">
        <v>179</v>
      </c>
      <c r="L2512" s="3">
        <v>40.38</v>
      </c>
      <c r="M2512" s="3">
        <v>42.4</v>
      </c>
      <c r="N2512" s="3">
        <v>89.99</v>
      </c>
      <c r="O2512" s="2" t="s">
        <v>97</v>
      </c>
      <c r="P2512" s="2" t="s">
        <v>98</v>
      </c>
      <c r="Q2512" s="2" t="s">
        <v>99</v>
      </c>
      <c r="R2512" s="2" t="s">
        <v>100</v>
      </c>
      <c r="S2512" s="2" t="s">
        <v>100</v>
      </c>
      <c r="T2512" s="2" t="s">
        <v>100</v>
      </c>
      <c r="U2512" s="2" t="s">
        <v>1776</v>
      </c>
      <c r="V2512" s="2" t="s">
        <v>3412</v>
      </c>
      <c r="W2512" s="2" t="s">
        <v>493</v>
      </c>
      <c r="X2512" s="2" t="s">
        <v>100</v>
      </c>
      <c r="Y2512" s="2" t="s">
        <v>5124</v>
      </c>
      <c r="Z2512" s="4">
        <v>142</v>
      </c>
      <c r="AA2512" s="4">
        <f>=ROUNDDOWN(43.030303030303,0)</f>
      </c>
      <c r="AB2512" s="5">
        <v>3.3</v>
      </c>
      <c r="AC2512" s="2" t="s">
        <v>100</v>
      </c>
      <c r="AD2512" s="4"/>
      <c r="AE2512" s="4"/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/>
      <c r="AW2512" s="8"/>
      <c r="AX2512" s="4"/>
      <c r="AY2512" s="8"/>
      <c r="AZ2512" s="7"/>
      <c r="BA2512" s="7"/>
      <c r="BB2512" s="7"/>
      <c r="BC2512" s="4"/>
      <c r="BD2512" s="8"/>
      <c r="BE2512" s="4"/>
      <c r="BF2512" s="8"/>
      <c r="BG2512" s="7"/>
      <c r="BH2512" s="7"/>
      <c r="BI2512" s="7"/>
      <c r="BJ2512" s="4">
        <v>5</v>
      </c>
      <c r="BK2512" s="8">
        <v>241.4</v>
      </c>
      <c r="BL2512" s="2" t="s">
        <v>8927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2551</v>
      </c>
      <c r="BV2512" s="2" t="s">
        <v>97</v>
      </c>
      <c r="BW2512" s="2" t="s">
        <v>100</v>
      </c>
      <c r="BX2512" s="2" t="s">
        <v>100</v>
      </c>
      <c r="BY2512" s="2" t="s">
        <v>112</v>
      </c>
      <c r="BZ2512" s="2" t="s">
        <v>100</v>
      </c>
    </row>
    <row r="2513">
      <c r="A2513" s="2" t="s">
        <v>8928</v>
      </c>
      <c r="B2513" s="2" t="s">
        <v>8691</v>
      </c>
      <c r="C2513" s="2" t="s">
        <v>2831</v>
      </c>
      <c r="D2513" s="2" t="s">
        <v>8692</v>
      </c>
      <c r="E2513" s="2" t="s">
        <v>8693</v>
      </c>
      <c r="F2513" s="2" t="s">
        <v>8929</v>
      </c>
      <c r="G2513" s="2" t="s">
        <v>8929</v>
      </c>
      <c r="H2513" s="2" t="s">
        <v>8929</v>
      </c>
      <c r="I2513" s="2" t="s">
        <v>8930</v>
      </c>
      <c r="J2513" s="2" t="s">
        <v>3385</v>
      </c>
      <c r="K2513" s="2" t="s">
        <v>8931</v>
      </c>
      <c r="L2513" s="3">
        <v>45.36</v>
      </c>
      <c r="M2513" s="3">
        <v>47.63</v>
      </c>
      <c r="N2513" s="3">
        <v>104.99</v>
      </c>
      <c r="O2513" s="2" t="s">
        <v>97</v>
      </c>
      <c r="P2513" s="2" t="s">
        <v>98</v>
      </c>
      <c r="Q2513" s="2" t="s">
        <v>99</v>
      </c>
      <c r="R2513" s="2" t="s">
        <v>100</v>
      </c>
      <c r="S2513" s="2" t="s">
        <v>100</v>
      </c>
      <c r="T2513" s="2" t="s">
        <v>100</v>
      </c>
      <c r="U2513" s="2" t="s">
        <v>1776</v>
      </c>
      <c r="V2513" s="2" t="s">
        <v>3412</v>
      </c>
      <c r="W2513" s="2" t="s">
        <v>3394</v>
      </c>
      <c r="X2513" s="2" t="s">
        <v>100</v>
      </c>
      <c r="Y2513" s="2" t="s">
        <v>8863</v>
      </c>
      <c r="Z2513" s="4">
        <v>156</v>
      </c>
      <c r="AA2513" s="4">
        <f>=ROUNDDOWN(57.7777777777778,0)</f>
      </c>
      <c r="AB2513" s="5">
        <v>2.7</v>
      </c>
      <c r="AC2513" s="2" t="s">
        <v>100</v>
      </c>
      <c r="AD2513" s="4"/>
      <c r="AE2513" s="4"/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/>
      <c r="AW2513" s="8"/>
      <c r="AX2513" s="4"/>
      <c r="AY2513" s="8"/>
      <c r="AZ2513" s="7"/>
      <c r="BA2513" s="7"/>
      <c r="BB2513" s="7"/>
      <c r="BC2513" s="4"/>
      <c r="BD2513" s="8"/>
      <c r="BE2513" s="4"/>
      <c r="BF2513" s="8"/>
      <c r="BG2513" s="7"/>
      <c r="BH2513" s="7"/>
      <c r="BI2513" s="7"/>
      <c r="BJ2513" s="4">
        <v>1</v>
      </c>
      <c r="BK2513" s="8">
        <v>47.63</v>
      </c>
      <c r="BL2513" s="2" t="s">
        <v>6840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2551</v>
      </c>
      <c r="BV2513" s="2" t="s">
        <v>97</v>
      </c>
      <c r="BW2513" s="2" t="s">
        <v>100</v>
      </c>
      <c r="BX2513" s="2" t="s">
        <v>100</v>
      </c>
      <c r="BY2513" s="2" t="s">
        <v>112</v>
      </c>
      <c r="BZ2513" s="2" t="s">
        <v>100</v>
      </c>
    </row>
    <row r="2514">
      <c r="A2514" s="2" t="s">
        <v>8932</v>
      </c>
      <c r="B2514" s="2" t="s">
        <v>8691</v>
      </c>
      <c r="C2514" s="2" t="s">
        <v>2831</v>
      </c>
      <c r="D2514" s="2" t="s">
        <v>8692</v>
      </c>
      <c r="E2514" s="2" t="s">
        <v>8693</v>
      </c>
      <c r="F2514" s="2" t="s">
        <v>8933</v>
      </c>
      <c r="G2514" s="2" t="s">
        <v>8933</v>
      </c>
      <c r="H2514" s="2" t="s">
        <v>8933</v>
      </c>
      <c r="I2514" s="2" t="s">
        <v>8934</v>
      </c>
      <c r="J2514" s="2" t="s">
        <v>3385</v>
      </c>
      <c r="K2514" s="2" t="s">
        <v>458</v>
      </c>
      <c r="L2514" s="3">
        <v>29.7</v>
      </c>
      <c r="M2514" s="3">
        <v>31.18</v>
      </c>
      <c r="N2514" s="3">
        <v>69.99</v>
      </c>
      <c r="O2514" s="2" t="s">
        <v>97</v>
      </c>
      <c r="P2514" s="2" t="s">
        <v>98</v>
      </c>
      <c r="Q2514" s="2" t="s">
        <v>99</v>
      </c>
      <c r="R2514" s="2" t="s">
        <v>100</v>
      </c>
      <c r="S2514" s="2" t="s">
        <v>100</v>
      </c>
      <c r="T2514" s="2" t="s">
        <v>100</v>
      </c>
      <c r="U2514" s="2" t="s">
        <v>1776</v>
      </c>
      <c r="V2514" s="2" t="s">
        <v>461</v>
      </c>
      <c r="W2514" s="2" t="s">
        <v>493</v>
      </c>
      <c r="X2514" s="2" t="s">
        <v>142</v>
      </c>
      <c r="Y2514" s="2" t="s">
        <v>2395</v>
      </c>
      <c r="Z2514" s="4">
        <v>102</v>
      </c>
      <c r="AA2514" s="4">
        <f>=ROUNDDOWN(34,0)</f>
      </c>
      <c r="AB2514" s="5">
        <v>3</v>
      </c>
      <c r="AC2514" s="2" t="s">
        <v>100</v>
      </c>
      <c r="AD2514" s="4"/>
      <c r="AE2514" s="4"/>
      <c r="AF2514" s="6">
        <v>63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/>
      <c r="AW2514" s="8"/>
      <c r="AX2514" s="4"/>
      <c r="AY2514" s="8"/>
      <c r="AZ2514" s="7"/>
      <c r="BA2514" s="7"/>
      <c r="BB2514" s="7"/>
      <c r="BC2514" s="4"/>
      <c r="BD2514" s="8"/>
      <c r="BE2514" s="4"/>
      <c r="BF2514" s="8"/>
      <c r="BG2514" s="7"/>
      <c r="BH2514" s="7"/>
      <c r="BI2514" s="7"/>
      <c r="BJ2514" s="4">
        <v>4</v>
      </c>
      <c r="BK2514" s="8">
        <v>114.76</v>
      </c>
      <c r="BL2514" s="2" t="s">
        <v>8935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2551</v>
      </c>
      <c r="BV2514" s="2" t="s">
        <v>97</v>
      </c>
      <c r="BW2514" s="2" t="s">
        <v>100</v>
      </c>
      <c r="BX2514" s="2" t="s">
        <v>100</v>
      </c>
      <c r="BY2514" s="2" t="s">
        <v>112</v>
      </c>
      <c r="BZ2514" s="2" t="s">
        <v>100</v>
      </c>
    </row>
    <row r="2515">
      <c r="A2515" s="2" t="s">
        <v>8936</v>
      </c>
      <c r="B2515" s="2" t="s">
        <v>8691</v>
      </c>
      <c r="C2515" s="2" t="s">
        <v>2831</v>
      </c>
      <c r="D2515" s="2" t="s">
        <v>8692</v>
      </c>
      <c r="E2515" s="2" t="s">
        <v>8693</v>
      </c>
      <c r="F2515" s="2" t="s">
        <v>8937</v>
      </c>
      <c r="G2515" s="2" t="s">
        <v>8937</v>
      </c>
      <c r="H2515" s="2" t="s">
        <v>8937</v>
      </c>
      <c r="I2515" s="2" t="s">
        <v>8938</v>
      </c>
      <c r="J2515" s="2" t="s">
        <v>3385</v>
      </c>
      <c r="K2515" s="2" t="s">
        <v>8939</v>
      </c>
      <c r="L2515" s="3">
        <v>44.37</v>
      </c>
      <c r="M2515" s="3">
        <v>46.59</v>
      </c>
      <c r="N2515" s="3">
        <v>104.99</v>
      </c>
      <c r="O2515" s="2" t="s">
        <v>97</v>
      </c>
      <c r="P2515" s="2" t="s">
        <v>98</v>
      </c>
      <c r="Q2515" s="2" t="s">
        <v>99</v>
      </c>
      <c r="R2515" s="2" t="s">
        <v>100</v>
      </c>
      <c r="S2515" s="2" t="s">
        <v>100</v>
      </c>
      <c r="T2515" s="2" t="s">
        <v>100</v>
      </c>
      <c r="U2515" s="2" t="s">
        <v>1776</v>
      </c>
      <c r="V2515" s="2" t="s">
        <v>3412</v>
      </c>
      <c r="W2515" s="2" t="s">
        <v>493</v>
      </c>
      <c r="X2515" s="2" t="s">
        <v>2835</v>
      </c>
      <c r="Y2515" s="2" t="s">
        <v>8534</v>
      </c>
      <c r="Z2515" s="4">
        <v>18</v>
      </c>
      <c r="AA2515" s="4">
        <f>=ROUNDDOWN(3.6,0)</f>
      </c>
      <c r="AB2515" s="5">
        <v>5</v>
      </c>
      <c r="AC2515" s="2" t="s">
        <v>8746</v>
      </c>
      <c r="AD2515" s="4">
        <v>50</v>
      </c>
      <c r="AE2515" s="4">
        <v>150</v>
      </c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/>
      <c r="AW2515" s="8"/>
      <c r="AX2515" s="4"/>
      <c r="AY2515" s="8"/>
      <c r="AZ2515" s="7"/>
      <c r="BA2515" s="7"/>
      <c r="BB2515" s="7"/>
      <c r="BC2515" s="4"/>
      <c r="BD2515" s="8"/>
      <c r="BE2515" s="4"/>
      <c r="BF2515" s="8"/>
      <c r="BG2515" s="7"/>
      <c r="BH2515" s="7"/>
      <c r="BI2515" s="7"/>
      <c r="BJ2515" s="4">
        <v>16</v>
      </c>
      <c r="BK2515" s="8">
        <v>866.55</v>
      </c>
      <c r="BL2515" s="2" t="s">
        <v>8940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2551</v>
      </c>
      <c r="BV2515" s="2" t="s">
        <v>97</v>
      </c>
      <c r="BW2515" s="2" t="s">
        <v>100</v>
      </c>
      <c r="BX2515" s="2" t="s">
        <v>100</v>
      </c>
      <c r="BY2515" s="2" t="s">
        <v>112</v>
      </c>
      <c r="BZ2515" s="2" t="s">
        <v>100</v>
      </c>
    </row>
    <row r="2516">
      <c r="A2516" s="2" t="s">
        <v>8941</v>
      </c>
      <c r="B2516" s="2" t="s">
        <v>8691</v>
      </c>
      <c r="C2516" s="2" t="s">
        <v>3950</v>
      </c>
      <c r="D2516" s="2" t="s">
        <v>8778</v>
      </c>
      <c r="E2516" s="2" t="s">
        <v>8779</v>
      </c>
      <c r="F2516" s="2" t="s">
        <v>8942</v>
      </c>
      <c r="G2516" s="2" t="s">
        <v>8942</v>
      </c>
      <c r="H2516" s="2" t="s">
        <v>8942</v>
      </c>
      <c r="I2516" s="2" t="s">
        <v>8943</v>
      </c>
      <c r="J2516" s="2" t="s">
        <v>3385</v>
      </c>
      <c r="K2516" s="2" t="s">
        <v>8792</v>
      </c>
      <c r="L2516" s="3">
        <v>57.5</v>
      </c>
      <c r="M2516" s="3">
        <v>60.38</v>
      </c>
      <c r="N2516" s="3">
        <v>119.99</v>
      </c>
      <c r="O2516" s="2" t="s">
        <v>97</v>
      </c>
      <c r="P2516" s="2" t="s">
        <v>139</v>
      </c>
      <c r="Q2516" s="2" t="s">
        <v>99</v>
      </c>
      <c r="R2516" s="2" t="s">
        <v>100</v>
      </c>
      <c r="S2516" s="2" t="s">
        <v>100</v>
      </c>
      <c r="T2516" s="2" t="s">
        <v>100</v>
      </c>
      <c r="U2516" s="2" t="s">
        <v>1776</v>
      </c>
      <c r="V2516" s="2" t="s">
        <v>3412</v>
      </c>
      <c r="W2516" s="2" t="s">
        <v>104</v>
      </c>
      <c r="X2516" s="2" t="s">
        <v>3979</v>
      </c>
      <c r="Y2516" s="2" t="s">
        <v>8944</v>
      </c>
      <c r="Z2516" s="4">
        <v>75</v>
      </c>
      <c r="AA2516" s="4">
        <f>=ROUNDDOWN(5.76923076923077,0)</f>
      </c>
      <c r="AB2516" s="5">
        <v>13</v>
      </c>
      <c r="AC2516" s="2" t="s">
        <v>8746</v>
      </c>
      <c r="AD2516" s="4">
        <v>450</v>
      </c>
      <c r="AE2516" s="4">
        <v>450</v>
      </c>
      <c r="AF2516" s="6">
        <v>63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/>
      <c r="AW2516" s="8"/>
      <c r="AX2516" s="4"/>
      <c r="AY2516" s="8"/>
      <c r="AZ2516" s="7"/>
      <c r="BA2516" s="7"/>
      <c r="BB2516" s="7"/>
      <c r="BC2516" s="4"/>
      <c r="BD2516" s="8"/>
      <c r="BE2516" s="4"/>
      <c r="BF2516" s="8"/>
      <c r="BG2516" s="7"/>
      <c r="BH2516" s="7"/>
      <c r="BI2516" s="7"/>
      <c r="BJ2516" s="4">
        <v>46</v>
      </c>
      <c r="BK2516" s="8">
        <v>2938.54</v>
      </c>
      <c r="BL2516" s="2" t="s">
        <v>921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2551</v>
      </c>
      <c r="BV2516" s="2" t="s">
        <v>97</v>
      </c>
      <c r="BW2516" s="2" t="s">
        <v>100</v>
      </c>
      <c r="BX2516" s="2" t="s">
        <v>100</v>
      </c>
      <c r="BY2516" s="2" t="s">
        <v>112</v>
      </c>
      <c r="BZ2516" s="2" t="s">
        <v>100</v>
      </c>
    </row>
    <row r="2517">
      <c r="A2517" s="2" t="s">
        <v>8945</v>
      </c>
      <c r="B2517" s="2" t="s">
        <v>8691</v>
      </c>
      <c r="C2517" s="2" t="s">
        <v>3950</v>
      </c>
      <c r="D2517" s="2" t="s">
        <v>8778</v>
      </c>
      <c r="E2517" s="2" t="s">
        <v>8779</v>
      </c>
      <c r="F2517" s="2" t="s">
        <v>8946</v>
      </c>
      <c r="G2517" s="2" t="s">
        <v>8946</v>
      </c>
      <c r="H2517" s="2" t="s">
        <v>8946</v>
      </c>
      <c r="I2517" s="2" t="s">
        <v>8947</v>
      </c>
      <c r="J2517" s="2" t="s">
        <v>3385</v>
      </c>
      <c r="K2517" s="2" t="s">
        <v>165</v>
      </c>
      <c r="L2517" s="3">
        <v>83.79</v>
      </c>
      <c r="M2517" s="3">
        <v>87.98</v>
      </c>
      <c r="N2517" s="3">
        <v>189.99</v>
      </c>
      <c r="O2517" s="2" t="s">
        <v>97</v>
      </c>
      <c r="P2517" s="2" t="s">
        <v>98</v>
      </c>
      <c r="Q2517" s="2" t="s">
        <v>99</v>
      </c>
      <c r="R2517" s="2" t="s">
        <v>100</v>
      </c>
      <c r="S2517" s="2" t="s">
        <v>100</v>
      </c>
      <c r="T2517" s="2" t="s">
        <v>100</v>
      </c>
      <c r="U2517" s="2" t="s">
        <v>1776</v>
      </c>
      <c r="V2517" s="2" t="s">
        <v>3412</v>
      </c>
      <c r="W2517" s="2" t="s">
        <v>493</v>
      </c>
      <c r="X2517" s="2" t="s">
        <v>3953</v>
      </c>
      <c r="Y2517" s="2" t="s">
        <v>5748</v>
      </c>
      <c r="Z2517" s="4">
        <v>72</v>
      </c>
      <c r="AA2517" s="4">
        <f>=ROUNDDOWN(60,0)</f>
      </c>
      <c r="AB2517" s="5">
        <v>1.2</v>
      </c>
      <c r="AC2517" s="2" t="s">
        <v>100</v>
      </c>
      <c r="AD2517" s="4"/>
      <c r="AE2517" s="4"/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/>
      <c r="AW2517" s="8"/>
      <c r="AX2517" s="4"/>
      <c r="AY2517" s="8"/>
      <c r="AZ2517" s="7"/>
      <c r="BA2517" s="7"/>
      <c r="BB2517" s="7"/>
      <c r="BC2517" s="4"/>
      <c r="BD2517" s="8"/>
      <c r="BE2517" s="4"/>
      <c r="BF2517" s="8"/>
      <c r="BG2517" s="7"/>
      <c r="BH2517" s="7"/>
      <c r="BI2517" s="7"/>
      <c r="BJ2517" s="4">
        <v>12</v>
      </c>
      <c r="BK2517" s="8">
        <v>1106.66</v>
      </c>
      <c r="BL2517" s="2" t="s">
        <v>8948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2551</v>
      </c>
      <c r="BV2517" s="2" t="s">
        <v>97</v>
      </c>
      <c r="BW2517" s="2" t="s">
        <v>100</v>
      </c>
      <c r="BX2517" s="2" t="s">
        <v>100</v>
      </c>
      <c r="BY2517" s="2" t="s">
        <v>112</v>
      </c>
      <c r="BZ2517" s="2" t="s">
        <v>100</v>
      </c>
    </row>
    <row r="2518">
      <c r="A2518" s="2" t="s">
        <v>8949</v>
      </c>
      <c r="B2518" s="2" t="s">
        <v>8691</v>
      </c>
      <c r="C2518" s="2" t="s">
        <v>3950</v>
      </c>
      <c r="D2518" s="2" t="s">
        <v>8778</v>
      </c>
      <c r="E2518" s="2" t="s">
        <v>8779</v>
      </c>
      <c r="F2518" s="2" t="s">
        <v>8950</v>
      </c>
      <c r="G2518" s="2" t="s">
        <v>8950</v>
      </c>
      <c r="H2518" s="2" t="s">
        <v>8950</v>
      </c>
      <c r="I2518" s="2" t="s">
        <v>8951</v>
      </c>
      <c r="J2518" s="2" t="s">
        <v>3385</v>
      </c>
      <c r="K2518" s="2" t="s">
        <v>8768</v>
      </c>
      <c r="L2518" s="3">
        <v>79.49</v>
      </c>
      <c r="M2518" s="3">
        <v>83.46</v>
      </c>
      <c r="N2518" s="3">
        <v>184.99</v>
      </c>
      <c r="O2518" s="2" t="s">
        <v>97</v>
      </c>
      <c r="P2518" s="2" t="s">
        <v>139</v>
      </c>
      <c r="Q2518" s="2" t="s">
        <v>99</v>
      </c>
      <c r="R2518" s="2" t="s">
        <v>100</v>
      </c>
      <c r="S2518" s="2" t="s">
        <v>100</v>
      </c>
      <c r="T2518" s="2" t="s">
        <v>100</v>
      </c>
      <c r="U2518" s="2" t="s">
        <v>100</v>
      </c>
      <c r="V2518" s="2" t="s">
        <v>3412</v>
      </c>
      <c r="W2518" s="2" t="s">
        <v>493</v>
      </c>
      <c r="X2518" s="2" t="s">
        <v>3953</v>
      </c>
      <c r="Y2518" s="2" t="s">
        <v>4986</v>
      </c>
      <c r="Z2518" s="4">
        <v>146</v>
      </c>
      <c r="AA2518" s="4">
        <f>=ROUNDDOWN(10.4285714285714,0)</f>
      </c>
      <c r="AB2518" s="5">
        <v>14</v>
      </c>
      <c r="AC2518" s="2" t="s">
        <v>2772</v>
      </c>
      <c r="AD2518" s="4">
        <v>200</v>
      </c>
      <c r="AE2518" s="4">
        <v>200</v>
      </c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/>
      <c r="AW2518" s="8"/>
      <c r="AX2518" s="4"/>
      <c r="AY2518" s="8"/>
      <c r="AZ2518" s="7"/>
      <c r="BA2518" s="7"/>
      <c r="BB2518" s="7"/>
      <c r="BC2518" s="4"/>
      <c r="BD2518" s="8"/>
      <c r="BE2518" s="4"/>
      <c r="BF2518" s="8"/>
      <c r="BG2518" s="7"/>
      <c r="BH2518" s="7"/>
      <c r="BI2518" s="7"/>
      <c r="BJ2518" s="4">
        <v>38</v>
      </c>
      <c r="BK2518" s="8">
        <v>3524.09</v>
      </c>
      <c r="BL2518" s="2" t="s">
        <v>8952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2551</v>
      </c>
      <c r="BV2518" s="2" t="s">
        <v>97</v>
      </c>
      <c r="BW2518" s="2" t="s">
        <v>100</v>
      </c>
      <c r="BX2518" s="2" t="s">
        <v>100</v>
      </c>
      <c r="BY2518" s="2" t="s">
        <v>112</v>
      </c>
      <c r="BZ2518" s="2" t="s">
        <v>100</v>
      </c>
    </row>
    <row r="2519">
      <c r="A2519" s="2" t="s">
        <v>8953</v>
      </c>
      <c r="B2519" s="2" t="s">
        <v>8691</v>
      </c>
      <c r="C2519" s="2" t="s">
        <v>3950</v>
      </c>
      <c r="D2519" s="2" t="s">
        <v>8778</v>
      </c>
      <c r="E2519" s="2" t="s">
        <v>8779</v>
      </c>
      <c r="F2519" s="2" t="s">
        <v>8954</v>
      </c>
      <c r="G2519" s="2" t="s">
        <v>8954</v>
      </c>
      <c r="H2519" s="2" t="s">
        <v>8954</v>
      </c>
      <c r="I2519" s="2" t="s">
        <v>8955</v>
      </c>
      <c r="J2519" s="2" t="s">
        <v>3385</v>
      </c>
      <c r="K2519" s="2" t="s">
        <v>8956</v>
      </c>
      <c r="L2519" s="3">
        <v>85</v>
      </c>
      <c r="M2519" s="3">
        <v>89.25</v>
      </c>
      <c r="N2519" s="3">
        <v>179.99</v>
      </c>
      <c r="O2519" s="2" t="s">
        <v>97</v>
      </c>
      <c r="P2519" s="2" t="s">
        <v>98</v>
      </c>
      <c r="Q2519" s="2" t="s">
        <v>99</v>
      </c>
      <c r="R2519" s="2" t="s">
        <v>100</v>
      </c>
      <c r="S2519" s="2" t="s">
        <v>100</v>
      </c>
      <c r="T2519" s="2" t="s">
        <v>100</v>
      </c>
      <c r="U2519" s="2" t="s">
        <v>1776</v>
      </c>
      <c r="V2519" s="2" t="s">
        <v>3412</v>
      </c>
      <c r="W2519" s="2" t="s">
        <v>4008</v>
      </c>
      <c r="X2519" s="2" t="s">
        <v>717</v>
      </c>
      <c r="Y2519" s="2" t="s">
        <v>8821</v>
      </c>
      <c r="Z2519" s="4">
        <v>58</v>
      </c>
      <c r="AA2519" s="4">
        <f>=ROUNDDOWN(29,0)</f>
      </c>
      <c r="AB2519" s="5">
        <v>2</v>
      </c>
      <c r="AC2519" s="2" t="s">
        <v>100</v>
      </c>
      <c r="AD2519" s="4"/>
      <c r="AE2519" s="4"/>
      <c r="AF2519" s="6">
        <v>63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/>
      <c r="AW2519" s="8"/>
      <c r="AX2519" s="4"/>
      <c r="AY2519" s="8"/>
      <c r="AZ2519" s="7"/>
      <c r="BA2519" s="7"/>
      <c r="BB2519" s="7"/>
      <c r="BC2519" s="4"/>
      <c r="BD2519" s="8"/>
      <c r="BE2519" s="4"/>
      <c r="BF2519" s="8"/>
      <c r="BG2519" s="7"/>
      <c r="BH2519" s="7"/>
      <c r="BI2519" s="7"/>
      <c r="BJ2519" s="4">
        <v>3</v>
      </c>
      <c r="BK2519" s="8">
        <v>315.5</v>
      </c>
      <c r="BL2519" s="2" t="s">
        <v>2619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2551</v>
      </c>
      <c r="BV2519" s="2" t="s">
        <v>97</v>
      </c>
      <c r="BW2519" s="2" t="s">
        <v>100</v>
      </c>
      <c r="BX2519" s="2" t="s">
        <v>100</v>
      </c>
      <c r="BY2519" s="2" t="s">
        <v>112</v>
      </c>
      <c r="BZ2519" s="2" t="s">
        <v>100</v>
      </c>
    </row>
    <row r="2520">
      <c r="A2520" s="2" t="s">
        <v>8957</v>
      </c>
      <c r="B2520" s="2" t="s">
        <v>8691</v>
      </c>
      <c r="C2520" s="2" t="s">
        <v>3950</v>
      </c>
      <c r="D2520" s="2" t="s">
        <v>8692</v>
      </c>
      <c r="E2520" s="2" t="s">
        <v>8693</v>
      </c>
      <c r="F2520" s="2" t="s">
        <v>8958</v>
      </c>
      <c r="G2520" s="2" t="s">
        <v>8958</v>
      </c>
      <c r="H2520" s="2" t="s">
        <v>8958</v>
      </c>
      <c r="I2520" s="2" t="s">
        <v>8959</v>
      </c>
      <c r="J2520" s="2" t="s">
        <v>3385</v>
      </c>
      <c r="K2520" s="2" t="s">
        <v>458</v>
      </c>
      <c r="L2520" s="3">
        <v>51.92</v>
      </c>
      <c r="M2520" s="3">
        <v>54.52</v>
      </c>
      <c r="N2520" s="3">
        <v>114.99</v>
      </c>
      <c r="O2520" s="2" t="s">
        <v>97</v>
      </c>
      <c r="P2520" s="2" t="s">
        <v>98</v>
      </c>
      <c r="Q2520" s="2" t="s">
        <v>99</v>
      </c>
      <c r="R2520" s="2" t="s">
        <v>100</v>
      </c>
      <c r="S2520" s="2" t="s">
        <v>100</v>
      </c>
      <c r="T2520" s="2" t="s">
        <v>100</v>
      </c>
      <c r="U2520" s="2" t="s">
        <v>1776</v>
      </c>
      <c r="V2520" s="2" t="s">
        <v>3412</v>
      </c>
      <c r="W2520" s="2" t="s">
        <v>104</v>
      </c>
      <c r="X2520" s="2" t="s">
        <v>3979</v>
      </c>
      <c r="Y2520" s="2" t="s">
        <v>6431</v>
      </c>
      <c r="Z2520" s="4">
        <v>41</v>
      </c>
      <c r="AA2520" s="4">
        <f>=ROUNDDOWN(10.25,0)</f>
      </c>
      <c r="AB2520" s="5">
        <v>4</v>
      </c>
      <c r="AC2520" s="2" t="s">
        <v>8746</v>
      </c>
      <c r="AD2520" s="4">
        <v>100</v>
      </c>
      <c r="AE2520" s="4">
        <v>100</v>
      </c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/>
      <c r="AW2520" s="8"/>
      <c r="AX2520" s="4"/>
      <c r="AY2520" s="8"/>
      <c r="AZ2520" s="7"/>
      <c r="BA2520" s="7"/>
      <c r="BB2520" s="7"/>
      <c r="BC2520" s="4"/>
      <c r="BD2520" s="8"/>
      <c r="BE2520" s="4"/>
      <c r="BF2520" s="8"/>
      <c r="BG2520" s="7"/>
      <c r="BH2520" s="7"/>
      <c r="BI2520" s="7"/>
      <c r="BJ2520" s="4">
        <v>12</v>
      </c>
      <c r="BK2520" s="8">
        <v>686.51</v>
      </c>
      <c r="BL2520" s="2" t="s">
        <v>8960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2551</v>
      </c>
      <c r="BV2520" s="2" t="s">
        <v>97</v>
      </c>
      <c r="BW2520" s="2" t="s">
        <v>100</v>
      </c>
      <c r="BX2520" s="2" t="s">
        <v>100</v>
      </c>
      <c r="BY2520" s="2" t="s">
        <v>112</v>
      </c>
      <c r="BZ2520" s="2" t="s">
        <v>100</v>
      </c>
    </row>
    <row r="2521">
      <c r="A2521" s="2" t="s">
        <v>8961</v>
      </c>
      <c r="B2521" s="2" t="s">
        <v>8691</v>
      </c>
      <c r="C2521" s="2" t="s">
        <v>3950</v>
      </c>
      <c r="D2521" s="2" t="s">
        <v>8692</v>
      </c>
      <c r="E2521" s="2" t="s">
        <v>8693</v>
      </c>
      <c r="F2521" s="2" t="s">
        <v>8166</v>
      </c>
      <c r="G2521" s="2" t="s">
        <v>8166</v>
      </c>
      <c r="H2521" s="2" t="s">
        <v>8166</v>
      </c>
      <c r="I2521" s="2" t="s">
        <v>8741</v>
      </c>
      <c r="J2521" s="2" t="s">
        <v>3385</v>
      </c>
      <c r="K2521" s="2" t="s">
        <v>165</v>
      </c>
      <c r="L2521" s="3">
        <v>43.99</v>
      </c>
      <c r="M2521" s="3">
        <v>46.19</v>
      </c>
      <c r="N2521" s="3">
        <v>99.99</v>
      </c>
      <c r="O2521" s="2" t="s">
        <v>97</v>
      </c>
      <c r="P2521" s="2" t="s">
        <v>123</v>
      </c>
      <c r="Q2521" s="2" t="s">
        <v>99</v>
      </c>
      <c r="R2521" s="2" t="s">
        <v>100</v>
      </c>
      <c r="S2521" s="2" t="s">
        <v>100</v>
      </c>
      <c r="T2521" s="2" t="s">
        <v>100</v>
      </c>
      <c r="U2521" s="2" t="s">
        <v>1776</v>
      </c>
      <c r="V2521" s="2" t="s">
        <v>3412</v>
      </c>
      <c r="W2521" s="2" t="s">
        <v>493</v>
      </c>
      <c r="X2521" s="2" t="s">
        <v>3953</v>
      </c>
      <c r="Y2521" s="2" t="s">
        <v>5748</v>
      </c>
      <c r="Z2521" s="4">
        <v>23</v>
      </c>
      <c r="AA2521" s="4">
        <f>=ROUNDDOWN(2.12962962962963,0)</f>
      </c>
      <c r="AB2521" s="5">
        <v>10.8</v>
      </c>
      <c r="AC2521" s="2" t="s">
        <v>3343</v>
      </c>
      <c r="AD2521" s="4">
        <v>100</v>
      </c>
      <c r="AE2521" s="4">
        <v>200</v>
      </c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/>
      <c r="AW2521" s="8"/>
      <c r="AX2521" s="4"/>
      <c r="AY2521" s="8"/>
      <c r="AZ2521" s="7"/>
      <c r="BA2521" s="7"/>
      <c r="BB2521" s="7"/>
      <c r="BC2521" s="4"/>
      <c r="BD2521" s="8"/>
      <c r="BE2521" s="4"/>
      <c r="BF2521" s="8"/>
      <c r="BG2521" s="7"/>
      <c r="BH2521" s="7"/>
      <c r="BI2521" s="7"/>
      <c r="BJ2521" s="4">
        <v>29</v>
      </c>
      <c r="BK2521" s="8">
        <v>1404.16</v>
      </c>
      <c r="BL2521" s="2" t="s">
        <v>8962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2551</v>
      </c>
      <c r="BV2521" s="2" t="s">
        <v>97</v>
      </c>
      <c r="BW2521" s="2" t="s">
        <v>100</v>
      </c>
      <c r="BX2521" s="2" t="s">
        <v>100</v>
      </c>
      <c r="BY2521" s="2" t="s">
        <v>112</v>
      </c>
      <c r="BZ2521" s="2" t="s">
        <v>100</v>
      </c>
    </row>
    <row r="2522">
      <c r="A2522" s="2" t="s">
        <v>8963</v>
      </c>
      <c r="B2522" s="2" t="s">
        <v>8691</v>
      </c>
      <c r="C2522" s="2" t="s">
        <v>3950</v>
      </c>
      <c r="D2522" s="2" t="s">
        <v>8692</v>
      </c>
      <c r="E2522" s="2" t="s">
        <v>8693</v>
      </c>
      <c r="F2522" s="2" t="s">
        <v>1889</v>
      </c>
      <c r="G2522" s="2" t="s">
        <v>1889</v>
      </c>
      <c r="H2522" s="2" t="s">
        <v>1889</v>
      </c>
      <c r="I2522" s="2" t="s">
        <v>8964</v>
      </c>
      <c r="J2522" s="2" t="s">
        <v>3385</v>
      </c>
      <c r="K2522" s="2" t="s">
        <v>96</v>
      </c>
      <c r="L2522" s="3">
        <v>41.94</v>
      </c>
      <c r="M2522" s="3">
        <v>44.04</v>
      </c>
      <c r="N2522" s="3">
        <v>89.99</v>
      </c>
      <c r="O2522" s="2" t="s">
        <v>97</v>
      </c>
      <c r="P2522" s="2" t="s">
        <v>123</v>
      </c>
      <c r="Q2522" s="2" t="s">
        <v>99</v>
      </c>
      <c r="R2522" s="2" t="s">
        <v>100</v>
      </c>
      <c r="S2522" s="2" t="s">
        <v>100</v>
      </c>
      <c r="T2522" s="2" t="s">
        <v>100</v>
      </c>
      <c r="U2522" s="2" t="s">
        <v>1776</v>
      </c>
      <c r="V2522" s="2" t="s">
        <v>3412</v>
      </c>
      <c r="W2522" s="2" t="s">
        <v>493</v>
      </c>
      <c r="X2522" s="2" t="s">
        <v>3953</v>
      </c>
      <c r="Y2522" s="2" t="s">
        <v>8965</v>
      </c>
      <c r="Z2522" s="4">
        <v>75</v>
      </c>
      <c r="AA2522" s="4">
        <f>=ROUNDDOWN(12.5,0)</f>
      </c>
      <c r="AB2522" s="5">
        <v>6</v>
      </c>
      <c r="AC2522" s="2" t="s">
        <v>1468</v>
      </c>
      <c r="AD2522" s="4">
        <v>130</v>
      </c>
      <c r="AE2522" s="4">
        <v>130</v>
      </c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/>
      <c r="BD2522" s="8"/>
      <c r="BE2522" s="4"/>
      <c r="BF2522" s="8"/>
      <c r="BG2522" s="7"/>
      <c r="BH2522" s="7"/>
      <c r="BI2522" s="7"/>
      <c r="BJ2522" s="4">
        <v>19</v>
      </c>
      <c r="BK2522" s="8">
        <v>827.16</v>
      </c>
      <c r="BL2522" s="2" t="s">
        <v>8886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2551</v>
      </c>
      <c r="BV2522" s="2" t="s">
        <v>97</v>
      </c>
      <c r="BW2522" s="2" t="s">
        <v>100</v>
      </c>
      <c r="BX2522" s="2" t="s">
        <v>100</v>
      </c>
      <c r="BY2522" s="2" t="s">
        <v>112</v>
      </c>
      <c r="BZ2522" s="2" t="s">
        <v>100</v>
      </c>
    </row>
    <row r="2523">
      <c r="A2523" s="2" t="s">
        <v>8966</v>
      </c>
      <c r="B2523" s="2" t="s">
        <v>8691</v>
      </c>
      <c r="C2523" s="2" t="s">
        <v>3950</v>
      </c>
      <c r="D2523" s="2" t="s">
        <v>8692</v>
      </c>
      <c r="E2523" s="2" t="s">
        <v>8693</v>
      </c>
      <c r="F2523" s="2" t="s">
        <v>8967</v>
      </c>
      <c r="G2523" s="2" t="s">
        <v>8967</v>
      </c>
      <c r="H2523" s="2" t="s">
        <v>8967</v>
      </c>
      <c r="I2523" s="2" t="s">
        <v>8901</v>
      </c>
      <c r="J2523" s="2" t="s">
        <v>3385</v>
      </c>
      <c r="K2523" s="2" t="s">
        <v>458</v>
      </c>
      <c r="L2523" s="3">
        <v>64.06</v>
      </c>
      <c r="M2523" s="3">
        <v>67.26</v>
      </c>
      <c r="N2523" s="3">
        <v>139.99</v>
      </c>
      <c r="O2523" s="2" t="s">
        <v>97</v>
      </c>
      <c r="P2523" s="2" t="s">
        <v>98</v>
      </c>
      <c r="Q2523" s="2" t="s">
        <v>99</v>
      </c>
      <c r="R2523" s="2" t="s">
        <v>100</v>
      </c>
      <c r="S2523" s="2" t="s">
        <v>100</v>
      </c>
      <c r="T2523" s="2" t="s">
        <v>100</v>
      </c>
      <c r="U2523" s="2" t="s">
        <v>100</v>
      </c>
      <c r="V2523" s="2" t="s">
        <v>461</v>
      </c>
      <c r="W2523" s="2" t="s">
        <v>142</v>
      </c>
      <c r="X2523" s="2" t="s">
        <v>3979</v>
      </c>
      <c r="Y2523" s="2" t="s">
        <v>8968</v>
      </c>
      <c r="Z2523" s="4">
        <v>50</v>
      </c>
      <c r="AA2523" s="4">
        <f>=ROUNDDOWN(250,0)</f>
      </c>
      <c r="AB2523" s="5">
        <v>0.2</v>
      </c>
      <c r="AC2523" s="2" t="s">
        <v>100</v>
      </c>
      <c r="AD2523" s="4"/>
      <c r="AE2523" s="4"/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/>
      <c r="BD2523" s="8"/>
      <c r="BE2523" s="4"/>
      <c r="BF2523" s="8"/>
      <c r="BG2523" s="7"/>
      <c r="BH2523" s="7"/>
      <c r="BI2523" s="7"/>
      <c r="BJ2523" s="4">
        <v>4</v>
      </c>
      <c r="BK2523" s="8">
        <v>295.9</v>
      </c>
      <c r="BL2523" s="2" t="s">
        <v>2744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2551</v>
      </c>
      <c r="BV2523" s="2" t="s">
        <v>97</v>
      </c>
      <c r="BW2523" s="2" t="s">
        <v>100</v>
      </c>
      <c r="BX2523" s="2" t="s">
        <v>100</v>
      </c>
      <c r="BY2523" s="2" t="s">
        <v>112</v>
      </c>
      <c r="BZ2523" s="2" t="s">
        <v>100</v>
      </c>
    </row>
    <row r="2524">
      <c r="A2524" s="2" t="s">
        <v>8969</v>
      </c>
      <c r="B2524" s="2" t="s">
        <v>8691</v>
      </c>
      <c r="C2524" s="2" t="s">
        <v>3950</v>
      </c>
      <c r="D2524" s="2" t="s">
        <v>8692</v>
      </c>
      <c r="E2524" s="2" t="s">
        <v>8693</v>
      </c>
      <c r="F2524" s="2" t="s">
        <v>8970</v>
      </c>
      <c r="G2524" s="2" t="s">
        <v>8970</v>
      </c>
      <c r="H2524" s="2" t="s">
        <v>8970</v>
      </c>
      <c r="I2524" s="2" t="s">
        <v>8971</v>
      </c>
      <c r="J2524" s="2" t="s">
        <v>3385</v>
      </c>
      <c r="K2524" s="2" t="s">
        <v>165</v>
      </c>
      <c r="L2524" s="3">
        <v>45</v>
      </c>
      <c r="M2524" s="3">
        <v>47.25</v>
      </c>
      <c r="N2524" s="3">
        <v>104.99</v>
      </c>
      <c r="O2524" s="2" t="s">
        <v>97</v>
      </c>
      <c r="P2524" s="2" t="s">
        <v>98</v>
      </c>
      <c r="Q2524" s="2" t="s">
        <v>99</v>
      </c>
      <c r="R2524" s="2" t="s">
        <v>100</v>
      </c>
      <c r="S2524" s="2" t="s">
        <v>100</v>
      </c>
      <c r="T2524" s="2" t="s">
        <v>100</v>
      </c>
      <c r="U2524" s="2" t="s">
        <v>1776</v>
      </c>
      <c r="V2524" s="2" t="s">
        <v>3412</v>
      </c>
      <c r="W2524" s="2" t="s">
        <v>104</v>
      </c>
      <c r="X2524" s="2" t="s">
        <v>4008</v>
      </c>
      <c r="Y2524" s="2" t="s">
        <v>8541</v>
      </c>
      <c r="Z2524" s="4">
        <v>102</v>
      </c>
      <c r="AA2524" s="4">
        <f>=ROUNDDOWN(34,0)</f>
      </c>
      <c r="AB2524" s="5">
        <v>3</v>
      </c>
      <c r="AC2524" s="2" t="s">
        <v>100</v>
      </c>
      <c r="AD2524" s="4"/>
      <c r="AE2524" s="4"/>
      <c r="AF2524" s="6">
        <v>63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/>
      <c r="BD2524" s="8"/>
      <c r="BE2524" s="4"/>
      <c r="BF2524" s="8"/>
      <c r="BG2524" s="7"/>
      <c r="BH2524" s="7"/>
      <c r="BI2524" s="7"/>
      <c r="BJ2524" s="4">
        <v>4</v>
      </c>
      <c r="BK2524" s="8">
        <v>211.91</v>
      </c>
      <c r="BL2524" s="2" t="s">
        <v>8972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2551</v>
      </c>
      <c r="BV2524" s="2" t="s">
        <v>97</v>
      </c>
      <c r="BW2524" s="2" t="s">
        <v>100</v>
      </c>
      <c r="BX2524" s="2" t="s">
        <v>100</v>
      </c>
      <c r="BY2524" s="2" t="s">
        <v>112</v>
      </c>
      <c r="BZ2524" s="2" t="s">
        <v>100</v>
      </c>
    </row>
    <row r="2525">
      <c r="A2525" s="2" t="s">
        <v>8973</v>
      </c>
      <c r="B2525" s="2" t="s">
        <v>8691</v>
      </c>
      <c r="C2525" s="2" t="s">
        <v>4028</v>
      </c>
      <c r="D2525" s="2" t="s">
        <v>8759</v>
      </c>
      <c r="E2525" s="2" t="s">
        <v>8760</v>
      </c>
      <c r="F2525" s="2" t="s">
        <v>681</v>
      </c>
      <c r="G2525" s="2" t="s">
        <v>681</v>
      </c>
      <c r="H2525" s="2" t="s">
        <v>681</v>
      </c>
      <c r="I2525" s="2" t="s">
        <v>8974</v>
      </c>
      <c r="J2525" s="2" t="s">
        <v>3385</v>
      </c>
      <c r="K2525" s="2" t="s">
        <v>458</v>
      </c>
      <c r="L2525" s="3">
        <v>125.15</v>
      </c>
      <c r="M2525" s="3">
        <v>131.41</v>
      </c>
      <c r="N2525" s="3">
        <v>279.99</v>
      </c>
      <c r="O2525" s="2" t="s">
        <v>97</v>
      </c>
      <c r="P2525" s="2" t="s">
        <v>139</v>
      </c>
      <c r="Q2525" s="2" t="s">
        <v>99</v>
      </c>
      <c r="R2525" s="2" t="s">
        <v>100</v>
      </c>
      <c r="S2525" s="2" t="s">
        <v>100</v>
      </c>
      <c r="T2525" s="2" t="s">
        <v>100</v>
      </c>
      <c r="U2525" s="2" t="s">
        <v>100</v>
      </c>
      <c r="V2525" s="2" t="s">
        <v>3412</v>
      </c>
      <c r="W2525" s="2" t="s">
        <v>142</v>
      </c>
      <c r="X2525" s="2" t="s">
        <v>100</v>
      </c>
      <c r="Y2525" s="2" t="s">
        <v>8975</v>
      </c>
      <c r="Z2525" s="4">
        <v>242</v>
      </c>
      <c r="AA2525" s="4">
        <f>=ROUNDDOWN(15.125,0)</f>
      </c>
      <c r="AB2525" s="5">
        <v>16</v>
      </c>
      <c r="AC2525" s="2" t="s">
        <v>2709</v>
      </c>
      <c r="AD2525" s="4">
        <v>100</v>
      </c>
      <c r="AE2525" s="4">
        <v>100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/>
      <c r="BD2525" s="8"/>
      <c r="BE2525" s="4"/>
      <c r="BF2525" s="8"/>
      <c r="BG2525" s="7"/>
      <c r="BH2525" s="7"/>
      <c r="BI2525" s="7"/>
      <c r="BJ2525" s="4">
        <v>61</v>
      </c>
      <c r="BK2525" s="8">
        <v>8409.69</v>
      </c>
      <c r="BL2525" s="2" t="s">
        <v>8976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2526</v>
      </c>
      <c r="BV2525" s="2" t="s">
        <v>97</v>
      </c>
      <c r="BW2525" s="2" t="s">
        <v>100</v>
      </c>
      <c r="BX2525" s="2" t="s">
        <v>100</v>
      </c>
      <c r="BY2525" s="2" t="s">
        <v>112</v>
      </c>
      <c r="BZ2525" s="2" t="s">
        <v>100</v>
      </c>
    </row>
    <row r="2526">
      <c r="A2526" s="2" t="s">
        <v>8977</v>
      </c>
      <c r="B2526" s="2" t="s">
        <v>8691</v>
      </c>
      <c r="C2526" s="2" t="s">
        <v>4028</v>
      </c>
      <c r="D2526" s="2" t="s">
        <v>8778</v>
      </c>
      <c r="E2526" s="2" t="s">
        <v>8779</v>
      </c>
      <c r="F2526" s="2" t="s">
        <v>8978</v>
      </c>
      <c r="G2526" s="2" t="s">
        <v>8978</v>
      </c>
      <c r="H2526" s="2" t="s">
        <v>8978</v>
      </c>
      <c r="I2526" s="2" t="s">
        <v>8979</v>
      </c>
      <c r="J2526" s="2" t="s">
        <v>3385</v>
      </c>
      <c r="K2526" s="2" t="s">
        <v>3475</v>
      </c>
      <c r="L2526" s="3">
        <v>127.24</v>
      </c>
      <c r="M2526" s="3">
        <v>133.6</v>
      </c>
      <c r="N2526" s="3">
        <v>289.99</v>
      </c>
      <c r="O2526" s="2" t="s">
        <v>97</v>
      </c>
      <c r="P2526" s="2" t="s">
        <v>98</v>
      </c>
      <c r="Q2526" s="2" t="s">
        <v>99</v>
      </c>
      <c r="R2526" s="2" t="s">
        <v>100</v>
      </c>
      <c r="S2526" s="2" t="s">
        <v>100</v>
      </c>
      <c r="T2526" s="2" t="s">
        <v>100</v>
      </c>
      <c r="U2526" s="2" t="s">
        <v>100</v>
      </c>
      <c r="V2526" s="2" t="s">
        <v>461</v>
      </c>
      <c r="W2526" s="2" t="s">
        <v>142</v>
      </c>
      <c r="X2526" s="2" t="s">
        <v>100</v>
      </c>
      <c r="Y2526" s="2" t="s">
        <v>2430</v>
      </c>
      <c r="Z2526" s="4">
        <v>85</v>
      </c>
      <c r="AA2526" s="4">
        <f>=ROUNDDOWN(25,0)</f>
      </c>
      <c r="AB2526" s="5">
        <v>3.4</v>
      </c>
      <c r="AC2526" s="2" t="s">
        <v>100</v>
      </c>
      <c r="AD2526" s="4"/>
      <c r="AE2526" s="4"/>
      <c r="AF2526" s="6">
        <v>65</v>
      </c>
      <c r="AG2526" s="6"/>
      <c r="AH2526" s="7">
        <v>0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/>
      <c r="AW2526" s="8"/>
      <c r="AX2526" s="4"/>
      <c r="AY2526" s="8"/>
      <c r="AZ2526" s="7"/>
      <c r="BA2526" s="7"/>
      <c r="BB2526" s="7"/>
      <c r="BC2526" s="4"/>
      <c r="BD2526" s="8"/>
      <c r="BE2526" s="4"/>
      <c r="BF2526" s="8"/>
      <c r="BG2526" s="7"/>
      <c r="BH2526" s="7"/>
      <c r="BI2526" s="7"/>
      <c r="BJ2526" s="4">
        <v>2</v>
      </c>
      <c r="BK2526" s="8">
        <v>356.68</v>
      </c>
      <c r="BL2526" s="2" t="s">
        <v>3477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2526</v>
      </c>
      <c r="BV2526" s="2" t="s">
        <v>97</v>
      </c>
      <c r="BW2526" s="2" t="s">
        <v>100</v>
      </c>
      <c r="BX2526" s="2" t="s">
        <v>100</v>
      </c>
      <c r="BY2526" s="2" t="s">
        <v>112</v>
      </c>
      <c r="BZ2526" s="2" t="s">
        <v>100</v>
      </c>
    </row>
    <row r="2527">
      <c r="A2527" s="2" t="s">
        <v>8980</v>
      </c>
      <c r="B2527" s="2" t="s">
        <v>8691</v>
      </c>
      <c r="C2527" s="2" t="s">
        <v>4028</v>
      </c>
      <c r="D2527" s="2" t="s">
        <v>8692</v>
      </c>
      <c r="E2527" s="2" t="s">
        <v>8693</v>
      </c>
      <c r="F2527" s="2" t="s">
        <v>8981</v>
      </c>
      <c r="G2527" s="2" t="s">
        <v>8981</v>
      </c>
      <c r="H2527" s="2" t="s">
        <v>8981</v>
      </c>
      <c r="I2527" s="2" t="s">
        <v>8982</v>
      </c>
      <c r="J2527" s="2" t="s">
        <v>3385</v>
      </c>
      <c r="K2527" s="2" t="s">
        <v>179</v>
      </c>
      <c r="L2527" s="3">
        <v>54.94</v>
      </c>
      <c r="M2527" s="3">
        <v>57.69</v>
      </c>
      <c r="N2527" s="3">
        <v>119.99</v>
      </c>
      <c r="O2527" s="2" t="s">
        <v>97</v>
      </c>
      <c r="P2527" s="2" t="s">
        <v>123</v>
      </c>
      <c r="Q2527" s="2" t="s">
        <v>99</v>
      </c>
      <c r="R2527" s="2" t="s">
        <v>100</v>
      </c>
      <c r="S2527" s="2" t="s">
        <v>100</v>
      </c>
      <c r="T2527" s="2" t="s">
        <v>100</v>
      </c>
      <c r="U2527" s="2" t="s">
        <v>100</v>
      </c>
      <c r="V2527" s="2" t="s">
        <v>461</v>
      </c>
      <c r="W2527" s="2" t="s">
        <v>100</v>
      </c>
      <c r="X2527" s="2" t="s">
        <v>100</v>
      </c>
      <c r="Y2527" s="2" t="s">
        <v>2511</v>
      </c>
      <c r="Z2527" s="4">
        <v>192</v>
      </c>
      <c r="AA2527" s="4">
        <f>=ROUNDDOWN(38.4,0)</f>
      </c>
      <c r="AB2527" s="5">
        <v>5</v>
      </c>
      <c r="AC2527" s="2" t="s">
        <v>100</v>
      </c>
      <c r="AD2527" s="4"/>
      <c r="AE2527" s="4"/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/>
      <c r="AW2527" s="8"/>
      <c r="AX2527" s="4"/>
      <c r="AY2527" s="8"/>
      <c r="AZ2527" s="7"/>
      <c r="BA2527" s="7"/>
      <c r="BB2527" s="7"/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/>
      <c r="BJ2527" s="4">
        <v>20</v>
      </c>
      <c r="BK2527" s="8">
        <v>1228.43</v>
      </c>
      <c r="BL2527" s="2" t="s">
        <v>8983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2526</v>
      </c>
      <c r="BV2527" s="2" t="s">
        <v>97</v>
      </c>
      <c r="BW2527" s="2" t="s">
        <v>100</v>
      </c>
      <c r="BX2527" s="2" t="s">
        <v>100</v>
      </c>
      <c r="BY2527" s="2" t="s">
        <v>112</v>
      </c>
      <c r="BZ2527" s="2" t="s">
        <v>100</v>
      </c>
    </row>
    <row r="2528">
      <c r="A2528" s="2" t="s">
        <v>8984</v>
      </c>
      <c r="B2528" s="2" t="s">
        <v>8691</v>
      </c>
      <c r="C2528" s="2" t="s">
        <v>4028</v>
      </c>
      <c r="D2528" s="2" t="s">
        <v>8692</v>
      </c>
      <c r="E2528" s="2" t="s">
        <v>8693</v>
      </c>
      <c r="F2528" s="2" t="s">
        <v>8981</v>
      </c>
      <c r="G2528" s="2" t="s">
        <v>8981</v>
      </c>
      <c r="H2528" s="2" t="s">
        <v>8981</v>
      </c>
      <c r="I2528" s="2" t="s">
        <v>8982</v>
      </c>
      <c r="J2528" s="2" t="s">
        <v>3385</v>
      </c>
      <c r="K2528" s="2" t="s">
        <v>7549</v>
      </c>
      <c r="L2528" s="3">
        <v>54.94</v>
      </c>
      <c r="M2528" s="3">
        <v>57.69</v>
      </c>
      <c r="N2528" s="3">
        <v>119.99</v>
      </c>
      <c r="O2528" s="2" t="s">
        <v>97</v>
      </c>
      <c r="P2528" s="2" t="s">
        <v>123</v>
      </c>
      <c r="Q2528" s="2" t="s">
        <v>99</v>
      </c>
      <c r="R2528" s="2" t="s">
        <v>100</v>
      </c>
      <c r="S2528" s="2" t="s">
        <v>100</v>
      </c>
      <c r="T2528" s="2" t="s">
        <v>100</v>
      </c>
      <c r="U2528" s="2" t="s">
        <v>1776</v>
      </c>
      <c r="V2528" s="2" t="s">
        <v>3412</v>
      </c>
      <c r="W2528" s="2" t="s">
        <v>142</v>
      </c>
      <c r="X2528" s="2" t="s">
        <v>100</v>
      </c>
      <c r="Y2528" s="2" t="s">
        <v>2944</v>
      </c>
      <c r="Z2528" s="4">
        <v>212</v>
      </c>
      <c r="AA2528" s="4">
        <f>=ROUNDDOWN(21.2,0)</f>
      </c>
      <c r="AB2528" s="5">
        <v>10</v>
      </c>
      <c r="AC2528" s="2" t="s">
        <v>1142</v>
      </c>
      <c r="AD2528" s="4">
        <v>100</v>
      </c>
      <c r="AE2528" s="4">
        <v>100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/>
      <c r="AW2528" s="8"/>
      <c r="AX2528" s="4"/>
      <c r="AY2528" s="8"/>
      <c r="AZ2528" s="7"/>
      <c r="BA2528" s="7"/>
      <c r="BB2528" s="7"/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/>
      <c r="BJ2528" s="4">
        <v>18</v>
      </c>
      <c r="BK2528" s="8">
        <v>1122.65</v>
      </c>
      <c r="BL2528" s="2" t="s">
        <v>8985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2526</v>
      </c>
      <c r="BV2528" s="2" t="s">
        <v>97</v>
      </c>
      <c r="BW2528" s="2" t="s">
        <v>100</v>
      </c>
      <c r="BX2528" s="2" t="s">
        <v>100</v>
      </c>
      <c r="BY2528" s="2" t="s">
        <v>112</v>
      </c>
      <c r="BZ2528" s="2" t="s">
        <v>100</v>
      </c>
    </row>
    <row r="2529">
      <c r="A2529" s="2" t="s">
        <v>8986</v>
      </c>
      <c r="B2529" s="2" t="s">
        <v>8987</v>
      </c>
      <c r="C2529" s="2" t="s">
        <v>8988</v>
      </c>
      <c r="D2529" s="2" t="s">
        <v>8989</v>
      </c>
      <c r="E2529" s="2" t="s">
        <v>8990</v>
      </c>
      <c r="F2529" s="2" t="s">
        <v>917</v>
      </c>
      <c r="G2529" s="2" t="s">
        <v>917</v>
      </c>
      <c r="H2529" s="2" t="s">
        <v>917</v>
      </c>
      <c r="I2529" s="2" t="s">
        <v>8991</v>
      </c>
      <c r="J2529" s="2" t="s">
        <v>8992</v>
      </c>
      <c r="K2529" s="2" t="s">
        <v>96</v>
      </c>
      <c r="L2529" s="3">
        <v>18</v>
      </c>
      <c r="M2529" s="3">
        <v>18.9</v>
      </c>
      <c r="N2529" s="3">
        <v>37.99</v>
      </c>
      <c r="O2529" s="2" t="s">
        <v>97</v>
      </c>
      <c r="P2529" s="2" t="s">
        <v>98</v>
      </c>
      <c r="Q2529" s="2" t="s">
        <v>99</v>
      </c>
      <c r="R2529" s="2" t="s">
        <v>2071</v>
      </c>
      <c r="S2529" s="2" t="s">
        <v>100</v>
      </c>
      <c r="T2529" s="2" t="s">
        <v>100</v>
      </c>
      <c r="U2529" s="2" t="s">
        <v>1776</v>
      </c>
      <c r="V2529" s="2" t="s">
        <v>3412</v>
      </c>
      <c r="W2529" s="2" t="s">
        <v>100</v>
      </c>
      <c r="X2529" s="2" t="s">
        <v>100</v>
      </c>
      <c r="Y2529" s="2" t="s">
        <v>8993</v>
      </c>
      <c r="Z2529" s="4">
        <v>11</v>
      </c>
      <c r="AA2529" s="4">
        <f>=ROUNDDOWN(0.203703703703704,0)</f>
      </c>
      <c r="AB2529" s="5">
        <v>54</v>
      </c>
      <c r="AC2529" s="2" t="s">
        <v>875</v>
      </c>
      <c r="AD2529" s="4">
        <v>1075</v>
      </c>
      <c r="AE2529" s="4">
        <v>1400</v>
      </c>
      <c r="AF2529" s="6">
        <v>64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/>
      <c r="AQ2529" s="8"/>
      <c r="AR2529" s="4"/>
      <c r="AS2529" s="8"/>
      <c r="AT2529" s="7"/>
      <c r="AU2529" s="7"/>
      <c r="AV2529" s="4"/>
      <c r="AW2529" s="8"/>
      <c r="AX2529" s="4"/>
      <c r="AY2529" s="8"/>
      <c r="AZ2529" s="7"/>
      <c r="BA2529" s="7"/>
      <c r="BB2529" s="7"/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/>
      <c r="BJ2529" s="4">
        <v>78</v>
      </c>
      <c r="BK2529" s="8">
        <v>1325.54</v>
      </c>
      <c r="BL2529" s="2" t="s">
        <v>8994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2526</v>
      </c>
      <c r="BV2529" s="2" t="s">
        <v>97</v>
      </c>
      <c r="BW2529" s="2" t="s">
        <v>100</v>
      </c>
      <c r="BX2529" s="2" t="s">
        <v>100</v>
      </c>
      <c r="BY2529" s="2" t="s">
        <v>112</v>
      </c>
      <c r="BZ2529" s="2" t="s">
        <v>100</v>
      </c>
    </row>
    <row r="2530">
      <c r="A2530" s="2" t="s">
        <v>8995</v>
      </c>
      <c r="B2530" s="2" t="s">
        <v>8987</v>
      </c>
      <c r="C2530" s="2" t="s">
        <v>8988</v>
      </c>
      <c r="D2530" s="2" t="s">
        <v>8989</v>
      </c>
      <c r="E2530" s="2" t="s">
        <v>8990</v>
      </c>
      <c r="F2530" s="2" t="s">
        <v>917</v>
      </c>
      <c r="G2530" s="2" t="s">
        <v>917</v>
      </c>
      <c r="H2530" s="2" t="s">
        <v>917</v>
      </c>
      <c r="I2530" s="2" t="s">
        <v>8991</v>
      </c>
      <c r="J2530" s="2" t="s">
        <v>8992</v>
      </c>
      <c r="K2530" s="2" t="s">
        <v>523</v>
      </c>
      <c r="L2530" s="3">
        <v>18</v>
      </c>
      <c r="M2530" s="3">
        <v>18.9</v>
      </c>
      <c r="N2530" s="3">
        <v>37.99</v>
      </c>
      <c r="O2530" s="2" t="s">
        <v>97</v>
      </c>
      <c r="P2530" s="2" t="s">
        <v>98</v>
      </c>
      <c r="Q2530" s="2" t="s">
        <v>99</v>
      </c>
      <c r="R2530" s="2" t="s">
        <v>2071</v>
      </c>
      <c r="S2530" s="2" t="s">
        <v>100</v>
      </c>
      <c r="T2530" s="2" t="s">
        <v>100</v>
      </c>
      <c r="U2530" s="2" t="s">
        <v>1776</v>
      </c>
      <c r="V2530" s="2" t="s">
        <v>3412</v>
      </c>
      <c r="W2530" s="2" t="s">
        <v>100</v>
      </c>
      <c r="X2530" s="2" t="s">
        <v>100</v>
      </c>
      <c r="Y2530" s="2" t="s">
        <v>3578</v>
      </c>
      <c r="Z2530" s="4">
        <v>457</v>
      </c>
      <c r="AA2530" s="4">
        <f>=ROUNDDOWN(25.3888888888889,0)</f>
      </c>
      <c r="AB2530" s="5">
        <v>18</v>
      </c>
      <c r="AC2530" s="2" t="s">
        <v>100</v>
      </c>
      <c r="AD2530" s="4"/>
      <c r="AE2530" s="4"/>
      <c r="AF2530" s="6">
        <v>64</v>
      </c>
      <c r="AG2530" s="6"/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/>
      <c r="AW2530" s="8"/>
      <c r="AX2530" s="4"/>
      <c r="AY2530" s="8"/>
      <c r="AZ2530" s="7"/>
      <c r="BA2530" s="7"/>
      <c r="BB2530" s="7"/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/>
      <c r="BJ2530" s="4">
        <v>46</v>
      </c>
      <c r="BK2530" s="8">
        <v>833.14</v>
      </c>
      <c r="BL2530" s="2" t="s">
        <v>8996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2526</v>
      </c>
      <c r="BV2530" s="2" t="s">
        <v>97</v>
      </c>
      <c r="BW2530" s="2" t="s">
        <v>100</v>
      </c>
      <c r="BX2530" s="2" t="s">
        <v>100</v>
      </c>
      <c r="BY2530" s="2" t="s">
        <v>112</v>
      </c>
      <c r="BZ2530" s="2" t="s">
        <v>100</v>
      </c>
    </row>
    <row r="2531">
      <c r="A2531" s="2" t="s">
        <v>8997</v>
      </c>
      <c r="B2531" s="2" t="s">
        <v>8987</v>
      </c>
      <c r="C2531" s="2" t="s">
        <v>8988</v>
      </c>
      <c r="D2531" s="2" t="s">
        <v>8989</v>
      </c>
      <c r="E2531" s="2" t="s">
        <v>8990</v>
      </c>
      <c r="F2531" s="2" t="s">
        <v>8998</v>
      </c>
      <c r="G2531" s="2" t="s">
        <v>8998</v>
      </c>
      <c r="H2531" s="2" t="s">
        <v>8998</v>
      </c>
      <c r="I2531" s="2" t="s">
        <v>8999</v>
      </c>
      <c r="J2531" s="2" t="s">
        <v>9000</v>
      </c>
      <c r="K2531" s="2" t="s">
        <v>9001</v>
      </c>
      <c r="L2531" s="3">
        <v>27.5</v>
      </c>
      <c r="M2531" s="3">
        <v>28.88</v>
      </c>
      <c r="N2531" s="3">
        <v>57.99</v>
      </c>
      <c r="O2531" s="2" t="s">
        <v>97</v>
      </c>
      <c r="P2531" s="2" t="s">
        <v>707</v>
      </c>
      <c r="Q2531" s="2" t="s">
        <v>99</v>
      </c>
      <c r="R2531" s="2" t="s">
        <v>2071</v>
      </c>
      <c r="S2531" s="2" t="s">
        <v>100</v>
      </c>
      <c r="T2531" s="2" t="s">
        <v>100</v>
      </c>
      <c r="U2531" s="2" t="s">
        <v>1776</v>
      </c>
      <c r="V2531" s="2" t="s">
        <v>3412</v>
      </c>
      <c r="W2531" s="2" t="s">
        <v>100</v>
      </c>
      <c r="X2531" s="2" t="s">
        <v>100</v>
      </c>
      <c r="Y2531" s="2" t="s">
        <v>8993</v>
      </c>
      <c r="Z2531" s="4">
        <v>562</v>
      </c>
      <c r="AA2531" s="4">
        <f>=ROUNDDOWN(89.2063492063492,0)</f>
      </c>
      <c r="AB2531" s="5">
        <v>6.3</v>
      </c>
      <c r="AC2531" s="2" t="s">
        <v>100</v>
      </c>
      <c r="AD2531" s="4"/>
      <c r="AE2531" s="4"/>
      <c r="AF2531" s="6">
        <v>64</v>
      </c>
      <c r="AG2531" s="6"/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 t="s">
        <v>100</v>
      </c>
      <c r="AW2531" s="8" t="s">
        <v>100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/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/>
      <c r="BJ2531" s="4">
        <v>25</v>
      </c>
      <c r="BK2531" s="8">
        <v>651.48</v>
      </c>
      <c r="BL2531" s="2" t="s">
        <v>9002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2526</v>
      </c>
      <c r="BV2531" s="2" t="s">
        <v>97</v>
      </c>
      <c r="BW2531" s="2" t="s">
        <v>100</v>
      </c>
      <c r="BX2531" s="2" t="s">
        <v>100</v>
      </c>
      <c r="BY2531" s="2" t="s">
        <v>112</v>
      </c>
      <c r="BZ2531" s="2" t="s">
        <v>100</v>
      </c>
    </row>
    <row r="2532">
      <c r="A2532" s="2" t="s">
        <v>9003</v>
      </c>
      <c r="B2532" s="2" t="s">
        <v>8987</v>
      </c>
      <c r="C2532" s="2" t="s">
        <v>8988</v>
      </c>
      <c r="D2532" s="2" t="s">
        <v>8989</v>
      </c>
      <c r="E2532" s="2" t="s">
        <v>8990</v>
      </c>
      <c r="F2532" s="2" t="s">
        <v>8998</v>
      </c>
      <c r="G2532" s="2" t="s">
        <v>8998</v>
      </c>
      <c r="H2532" s="2" t="s">
        <v>8998</v>
      </c>
      <c r="I2532" s="2" t="s">
        <v>9004</v>
      </c>
      <c r="J2532" s="2" t="s">
        <v>9005</v>
      </c>
      <c r="K2532" s="2" t="s">
        <v>9001</v>
      </c>
      <c r="L2532" s="3">
        <v>37</v>
      </c>
      <c r="M2532" s="3">
        <v>38.85</v>
      </c>
      <c r="N2532" s="3">
        <v>77.99</v>
      </c>
      <c r="O2532" s="2" t="s">
        <v>97</v>
      </c>
      <c r="P2532" s="2" t="s">
        <v>707</v>
      </c>
      <c r="Q2532" s="2" t="s">
        <v>99</v>
      </c>
      <c r="R2532" s="2" t="s">
        <v>2071</v>
      </c>
      <c r="S2532" s="2" t="s">
        <v>100</v>
      </c>
      <c r="T2532" s="2" t="s">
        <v>100</v>
      </c>
      <c r="U2532" s="2" t="s">
        <v>1776</v>
      </c>
      <c r="V2532" s="2" t="s">
        <v>3412</v>
      </c>
      <c r="W2532" s="2" t="s">
        <v>100</v>
      </c>
      <c r="X2532" s="2" t="s">
        <v>100</v>
      </c>
      <c r="Y2532" s="2" t="s">
        <v>8993</v>
      </c>
      <c r="Z2532" s="4">
        <v>199</v>
      </c>
      <c r="AA2532" s="4">
        <f>=ROUNDDOWN(36.1818181818182,0)</f>
      </c>
      <c r="AB2532" s="5">
        <v>5.5</v>
      </c>
      <c r="AC2532" s="2" t="s">
        <v>100</v>
      </c>
      <c r="AD2532" s="4"/>
      <c r="AE2532" s="4"/>
      <c r="AF2532" s="6">
        <v>64</v>
      </c>
      <c r="AG2532" s="6"/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 t="s">
        <v>100</v>
      </c>
      <c r="AW2532" s="8" t="s">
        <v>100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/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/>
      <c r="BJ2532" s="4">
        <v>20</v>
      </c>
      <c r="BK2532" s="8">
        <v>760.79</v>
      </c>
      <c r="BL2532" s="2" t="s">
        <v>9006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2526</v>
      </c>
      <c r="BV2532" s="2" t="s">
        <v>97</v>
      </c>
      <c r="BW2532" s="2" t="s">
        <v>100</v>
      </c>
      <c r="BX2532" s="2" t="s">
        <v>100</v>
      </c>
      <c r="BY2532" s="2" t="s">
        <v>112</v>
      </c>
      <c r="BZ2532" s="2" t="s">
        <v>100</v>
      </c>
    </row>
    <row r="2533">
      <c r="A2533" s="2" t="s">
        <v>9007</v>
      </c>
      <c r="B2533" s="2" t="s">
        <v>8987</v>
      </c>
      <c r="C2533" s="2" t="s">
        <v>8988</v>
      </c>
      <c r="D2533" s="2" t="s">
        <v>8989</v>
      </c>
      <c r="E2533" s="2" t="s">
        <v>8990</v>
      </c>
      <c r="F2533" s="2" t="s">
        <v>8998</v>
      </c>
      <c r="G2533" s="2" t="s">
        <v>8998</v>
      </c>
      <c r="H2533" s="2" t="s">
        <v>8998</v>
      </c>
      <c r="I2533" s="2" t="s">
        <v>9008</v>
      </c>
      <c r="J2533" s="2" t="s">
        <v>9009</v>
      </c>
      <c r="K2533" s="2" t="s">
        <v>9001</v>
      </c>
      <c r="L2533" s="3">
        <v>55</v>
      </c>
      <c r="M2533" s="3">
        <v>57.75</v>
      </c>
      <c r="N2533" s="3">
        <v>114.99</v>
      </c>
      <c r="O2533" s="2" t="s">
        <v>97</v>
      </c>
      <c r="P2533" s="2" t="s">
        <v>707</v>
      </c>
      <c r="Q2533" s="2" t="s">
        <v>99</v>
      </c>
      <c r="R2533" s="2" t="s">
        <v>2071</v>
      </c>
      <c r="S2533" s="2" t="s">
        <v>100</v>
      </c>
      <c r="T2533" s="2" t="s">
        <v>100</v>
      </c>
      <c r="U2533" s="2" t="s">
        <v>1776</v>
      </c>
      <c r="V2533" s="2" t="s">
        <v>3412</v>
      </c>
      <c r="W2533" s="2" t="s">
        <v>100</v>
      </c>
      <c r="X2533" s="2" t="s">
        <v>100</v>
      </c>
      <c r="Y2533" s="2" t="s">
        <v>8993</v>
      </c>
      <c r="Z2533" s="4">
        <v>154</v>
      </c>
      <c r="AA2533" s="4">
        <f>=ROUNDDOWN(154,0)</f>
      </c>
      <c r="AB2533" s="5">
        <v>1</v>
      </c>
      <c r="AC2533" s="2" t="s">
        <v>100</v>
      </c>
      <c r="AD2533" s="4"/>
      <c r="AE2533" s="4"/>
      <c r="AF2533" s="6">
        <v>64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 t="s">
        <v>100</v>
      </c>
      <c r="AW2533" s="8" t="s">
        <v>100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/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/>
      <c r="BJ2533" s="4">
        <v>3</v>
      </c>
      <c r="BK2533" s="8">
        <v>143.55</v>
      </c>
      <c r="BL2533" s="2" t="s">
        <v>9010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2526</v>
      </c>
      <c r="BV2533" s="2" t="s">
        <v>97</v>
      </c>
      <c r="BW2533" s="2" t="s">
        <v>100</v>
      </c>
      <c r="BX2533" s="2" t="s">
        <v>100</v>
      </c>
      <c r="BY2533" s="2" t="s">
        <v>112</v>
      </c>
      <c r="BZ2533" s="2" t="s">
        <v>100</v>
      </c>
    </row>
    <row r="2534">
      <c r="A2534" s="2" t="s">
        <v>9011</v>
      </c>
      <c r="B2534" s="2" t="s">
        <v>8987</v>
      </c>
      <c r="C2534" s="2" t="s">
        <v>8988</v>
      </c>
      <c r="D2534" s="2" t="s">
        <v>8989</v>
      </c>
      <c r="E2534" s="2" t="s">
        <v>8990</v>
      </c>
      <c r="F2534" s="2" t="s">
        <v>8998</v>
      </c>
      <c r="G2534" s="2" t="s">
        <v>8998</v>
      </c>
      <c r="H2534" s="2" t="s">
        <v>8998</v>
      </c>
      <c r="I2534" s="2" t="s">
        <v>9012</v>
      </c>
      <c r="J2534" s="2" t="s">
        <v>9000</v>
      </c>
      <c r="K2534" s="2" t="s">
        <v>96</v>
      </c>
      <c r="L2534" s="3">
        <v>27.5</v>
      </c>
      <c r="M2534" s="3">
        <v>28.88</v>
      </c>
      <c r="N2534" s="3">
        <v>57.99</v>
      </c>
      <c r="O2534" s="2" t="s">
        <v>97</v>
      </c>
      <c r="P2534" s="2" t="s">
        <v>98</v>
      </c>
      <c r="Q2534" s="2" t="s">
        <v>99</v>
      </c>
      <c r="R2534" s="2" t="s">
        <v>2071</v>
      </c>
      <c r="S2534" s="2" t="s">
        <v>100</v>
      </c>
      <c r="T2534" s="2" t="s">
        <v>100</v>
      </c>
      <c r="U2534" s="2" t="s">
        <v>1776</v>
      </c>
      <c r="V2534" s="2" t="s">
        <v>3412</v>
      </c>
      <c r="W2534" s="2" t="s">
        <v>100</v>
      </c>
      <c r="X2534" s="2" t="s">
        <v>100</v>
      </c>
      <c r="Y2534" s="2" t="s">
        <v>9013</v>
      </c>
      <c r="Z2534" s="4">
        <v>364</v>
      </c>
      <c r="AA2534" s="4">
        <f>=ROUNDDOWN(134.814814814815,0)</f>
      </c>
      <c r="AB2534" s="5">
        <v>2.7</v>
      </c>
      <c r="AC2534" s="2" t="s">
        <v>100</v>
      </c>
      <c r="AD2534" s="4"/>
      <c r="AE2534" s="4"/>
      <c r="AF2534" s="6">
        <v>64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/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/>
      <c r="BJ2534" s="4">
        <v>12</v>
      </c>
      <c r="BK2534" s="8">
        <v>300.96</v>
      </c>
      <c r="BL2534" s="2" t="s">
        <v>9010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2526</v>
      </c>
      <c r="BV2534" s="2" t="s">
        <v>97</v>
      </c>
      <c r="BW2534" s="2" t="s">
        <v>100</v>
      </c>
      <c r="BX2534" s="2" t="s">
        <v>100</v>
      </c>
      <c r="BY2534" s="2" t="s">
        <v>112</v>
      </c>
      <c r="BZ2534" s="2" t="s">
        <v>100</v>
      </c>
    </row>
    <row r="2535">
      <c r="A2535" s="2" t="s">
        <v>9014</v>
      </c>
      <c r="B2535" s="2" t="s">
        <v>8987</v>
      </c>
      <c r="C2535" s="2" t="s">
        <v>8988</v>
      </c>
      <c r="D2535" s="2" t="s">
        <v>8989</v>
      </c>
      <c r="E2535" s="2" t="s">
        <v>8990</v>
      </c>
      <c r="F2535" s="2" t="s">
        <v>8998</v>
      </c>
      <c r="G2535" s="2" t="s">
        <v>8998</v>
      </c>
      <c r="H2535" s="2" t="s">
        <v>8998</v>
      </c>
      <c r="I2535" s="2" t="s">
        <v>9004</v>
      </c>
      <c r="J2535" s="2" t="s">
        <v>9005</v>
      </c>
      <c r="K2535" s="2" t="s">
        <v>96</v>
      </c>
      <c r="L2535" s="3">
        <v>37</v>
      </c>
      <c r="M2535" s="3">
        <v>38.85</v>
      </c>
      <c r="N2535" s="3">
        <v>77.99</v>
      </c>
      <c r="O2535" s="2" t="s">
        <v>97</v>
      </c>
      <c r="P2535" s="2" t="s">
        <v>707</v>
      </c>
      <c r="Q2535" s="2" t="s">
        <v>99</v>
      </c>
      <c r="R2535" s="2" t="s">
        <v>2071</v>
      </c>
      <c r="S2535" s="2" t="s">
        <v>100</v>
      </c>
      <c r="T2535" s="2" t="s">
        <v>100</v>
      </c>
      <c r="U2535" s="2" t="s">
        <v>1776</v>
      </c>
      <c r="V2535" s="2" t="s">
        <v>3412</v>
      </c>
      <c r="W2535" s="2" t="s">
        <v>100</v>
      </c>
      <c r="X2535" s="2" t="s">
        <v>100</v>
      </c>
      <c r="Y2535" s="2" t="s">
        <v>8993</v>
      </c>
      <c r="Z2535" s="4">
        <v>150</v>
      </c>
      <c r="AA2535" s="4">
        <f>=ROUNDDOWN(30,0)</f>
      </c>
      <c r="AB2535" s="5">
        <v>5</v>
      </c>
      <c r="AC2535" s="2" t="s">
        <v>100</v>
      </c>
      <c r="AD2535" s="4"/>
      <c r="AE2535" s="4"/>
      <c r="AF2535" s="6">
        <v>64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 t="s">
        <v>100</v>
      </c>
      <c r="AW2535" s="8" t="s">
        <v>100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/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/>
      <c r="BJ2535" s="4">
        <v>7</v>
      </c>
      <c r="BK2535" s="8">
        <v>284.9</v>
      </c>
      <c r="BL2535" s="2" t="s">
        <v>9015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2526</v>
      </c>
      <c r="BV2535" s="2" t="s">
        <v>97</v>
      </c>
      <c r="BW2535" s="2" t="s">
        <v>100</v>
      </c>
      <c r="BX2535" s="2" t="s">
        <v>100</v>
      </c>
      <c r="BY2535" s="2" t="s">
        <v>112</v>
      </c>
      <c r="BZ2535" s="2" t="s">
        <v>100</v>
      </c>
    </row>
    <row r="2536">
      <c r="A2536" s="2" t="s">
        <v>9016</v>
      </c>
      <c r="B2536" s="2" t="s">
        <v>8987</v>
      </c>
      <c r="C2536" s="2" t="s">
        <v>8988</v>
      </c>
      <c r="D2536" s="2" t="s">
        <v>8989</v>
      </c>
      <c r="E2536" s="2" t="s">
        <v>8990</v>
      </c>
      <c r="F2536" s="2" t="s">
        <v>8998</v>
      </c>
      <c r="G2536" s="2" t="s">
        <v>8998</v>
      </c>
      <c r="H2536" s="2" t="s">
        <v>8998</v>
      </c>
      <c r="I2536" s="2" t="s">
        <v>9008</v>
      </c>
      <c r="J2536" s="2" t="s">
        <v>9009</v>
      </c>
      <c r="K2536" s="2" t="s">
        <v>96</v>
      </c>
      <c r="L2536" s="3">
        <v>55</v>
      </c>
      <c r="M2536" s="3">
        <v>57.75</v>
      </c>
      <c r="N2536" s="3">
        <v>114.99</v>
      </c>
      <c r="O2536" s="2" t="s">
        <v>97</v>
      </c>
      <c r="P2536" s="2" t="s">
        <v>707</v>
      </c>
      <c r="Q2536" s="2" t="s">
        <v>99</v>
      </c>
      <c r="R2536" s="2" t="s">
        <v>2071</v>
      </c>
      <c r="S2536" s="2" t="s">
        <v>100</v>
      </c>
      <c r="T2536" s="2" t="s">
        <v>100</v>
      </c>
      <c r="U2536" s="2" t="s">
        <v>1776</v>
      </c>
      <c r="V2536" s="2" t="s">
        <v>3412</v>
      </c>
      <c r="W2536" s="2" t="s">
        <v>100</v>
      </c>
      <c r="X2536" s="2" t="s">
        <v>100</v>
      </c>
      <c r="Y2536" s="2" t="s">
        <v>8993</v>
      </c>
      <c r="Z2536" s="4">
        <v>73</v>
      </c>
      <c r="AA2536" s="4">
        <f>=ROUNDDOWN(24.3333333333333,0)</f>
      </c>
      <c r="AB2536" s="5">
        <v>3</v>
      </c>
      <c r="AC2536" s="2" t="s">
        <v>100</v>
      </c>
      <c r="AD2536" s="4"/>
      <c r="AE2536" s="4"/>
      <c r="AF2536" s="6">
        <v>64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 t="s">
        <v>100</v>
      </c>
      <c r="AW2536" s="8" t="s">
        <v>100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/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/>
      <c r="BJ2536" s="4">
        <v>11</v>
      </c>
      <c r="BK2536" s="8">
        <v>546.15</v>
      </c>
      <c r="BL2536" s="2" t="s">
        <v>9017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2526</v>
      </c>
      <c r="BV2536" s="2" t="s">
        <v>97</v>
      </c>
      <c r="BW2536" s="2" t="s">
        <v>100</v>
      </c>
      <c r="BX2536" s="2" t="s">
        <v>100</v>
      </c>
      <c r="BY2536" s="2" t="s">
        <v>112</v>
      </c>
      <c r="BZ2536" s="2" t="s">
        <v>100</v>
      </c>
    </row>
    <row r="2537">
      <c r="A2537" s="2" t="s">
        <v>9018</v>
      </c>
      <c r="B2537" s="2" t="s">
        <v>8987</v>
      </c>
      <c r="C2537" s="2" t="s">
        <v>8988</v>
      </c>
      <c r="D2537" s="2" t="s">
        <v>8989</v>
      </c>
      <c r="E2537" s="2" t="s">
        <v>8990</v>
      </c>
      <c r="F2537" s="2" t="s">
        <v>8998</v>
      </c>
      <c r="G2537" s="2" t="s">
        <v>8998</v>
      </c>
      <c r="H2537" s="2" t="s">
        <v>8998</v>
      </c>
      <c r="I2537" s="2" t="s">
        <v>9012</v>
      </c>
      <c r="J2537" s="2" t="s">
        <v>9000</v>
      </c>
      <c r="K2537" s="2" t="s">
        <v>856</v>
      </c>
      <c r="L2537" s="3">
        <v>27.5</v>
      </c>
      <c r="M2537" s="3">
        <v>28.88</v>
      </c>
      <c r="N2537" s="3">
        <v>57.99</v>
      </c>
      <c r="O2537" s="2" t="s">
        <v>97</v>
      </c>
      <c r="P2537" s="2" t="s">
        <v>707</v>
      </c>
      <c r="Q2537" s="2" t="s">
        <v>99</v>
      </c>
      <c r="R2537" s="2" t="s">
        <v>2071</v>
      </c>
      <c r="S2537" s="2" t="s">
        <v>100</v>
      </c>
      <c r="T2537" s="2" t="s">
        <v>100</v>
      </c>
      <c r="U2537" s="2" t="s">
        <v>1776</v>
      </c>
      <c r="V2537" s="2" t="s">
        <v>3412</v>
      </c>
      <c r="W2537" s="2" t="s">
        <v>100</v>
      </c>
      <c r="X2537" s="2" t="s">
        <v>100</v>
      </c>
      <c r="Y2537" s="2" t="s">
        <v>9013</v>
      </c>
      <c r="Z2537" s="4">
        <v>694</v>
      </c>
      <c r="AA2537" s="4">
        <f>=ROUNDDOWN(198.285714285714,0)</f>
      </c>
      <c r="AB2537" s="5">
        <v>3.5</v>
      </c>
      <c r="AC2537" s="2" t="s">
        <v>100</v>
      </c>
      <c r="AD2537" s="4"/>
      <c r="AE2537" s="4"/>
      <c r="AF2537" s="6">
        <v>64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/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/>
      <c r="BJ2537" s="4">
        <v>9</v>
      </c>
      <c r="BK2537" s="8">
        <v>241.23</v>
      </c>
      <c r="BL2537" s="2" t="s">
        <v>8994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2526</v>
      </c>
      <c r="BV2537" s="2" t="s">
        <v>97</v>
      </c>
      <c r="BW2537" s="2" t="s">
        <v>100</v>
      </c>
      <c r="BX2537" s="2" t="s">
        <v>100</v>
      </c>
      <c r="BY2537" s="2" t="s">
        <v>112</v>
      </c>
      <c r="BZ2537" s="2" t="s">
        <v>100</v>
      </c>
    </row>
    <row r="2538">
      <c r="A2538" s="2" t="s">
        <v>9019</v>
      </c>
      <c r="B2538" s="2" t="s">
        <v>8987</v>
      </c>
      <c r="C2538" s="2" t="s">
        <v>8988</v>
      </c>
      <c r="D2538" s="2" t="s">
        <v>8989</v>
      </c>
      <c r="E2538" s="2" t="s">
        <v>8990</v>
      </c>
      <c r="F2538" s="2" t="s">
        <v>8998</v>
      </c>
      <c r="G2538" s="2" t="s">
        <v>8998</v>
      </c>
      <c r="H2538" s="2" t="s">
        <v>8998</v>
      </c>
      <c r="I2538" s="2" t="s">
        <v>9004</v>
      </c>
      <c r="J2538" s="2" t="s">
        <v>9005</v>
      </c>
      <c r="K2538" s="2" t="s">
        <v>856</v>
      </c>
      <c r="L2538" s="3">
        <v>37</v>
      </c>
      <c r="M2538" s="3">
        <v>38.85</v>
      </c>
      <c r="N2538" s="3">
        <v>77.99</v>
      </c>
      <c r="O2538" s="2" t="s">
        <v>97</v>
      </c>
      <c r="P2538" s="2" t="s">
        <v>707</v>
      </c>
      <c r="Q2538" s="2" t="s">
        <v>99</v>
      </c>
      <c r="R2538" s="2" t="s">
        <v>2071</v>
      </c>
      <c r="S2538" s="2" t="s">
        <v>100</v>
      </c>
      <c r="T2538" s="2" t="s">
        <v>100</v>
      </c>
      <c r="U2538" s="2" t="s">
        <v>1776</v>
      </c>
      <c r="V2538" s="2" t="s">
        <v>3412</v>
      </c>
      <c r="W2538" s="2" t="s">
        <v>100</v>
      </c>
      <c r="X2538" s="2" t="s">
        <v>100</v>
      </c>
      <c r="Y2538" s="2" t="s">
        <v>8993</v>
      </c>
      <c r="Z2538" s="4">
        <v>288</v>
      </c>
      <c r="AA2538" s="4">
        <f>=ROUNDDOWN(115.2,0)</f>
      </c>
      <c r="AB2538" s="5">
        <v>2.5</v>
      </c>
      <c r="AC2538" s="2" t="s">
        <v>100</v>
      </c>
      <c r="AD2538" s="4"/>
      <c r="AE2538" s="4"/>
      <c r="AF2538" s="6">
        <v>64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 t="s">
        <v>100</v>
      </c>
      <c r="AW2538" s="8" t="s">
        <v>100</v>
      </c>
      <c r="AX2538" s="4" t="s">
        <v>100</v>
      </c>
      <c r="AY2538" s="8" t="s">
        <v>100</v>
      </c>
      <c r="AZ2538" s="7" t="s">
        <v>100</v>
      </c>
      <c r="BA2538" s="7" t="s">
        <v>100</v>
      </c>
      <c r="BB2538" s="7"/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/>
      <c r="BJ2538" s="4">
        <v>5</v>
      </c>
      <c r="BK2538" s="8">
        <v>189.13</v>
      </c>
      <c r="BL2538" s="2" t="s">
        <v>9017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2526</v>
      </c>
      <c r="BV2538" s="2" t="s">
        <v>97</v>
      </c>
      <c r="BW2538" s="2" t="s">
        <v>100</v>
      </c>
      <c r="BX2538" s="2" t="s">
        <v>100</v>
      </c>
      <c r="BY2538" s="2" t="s">
        <v>112</v>
      </c>
      <c r="BZ2538" s="2" t="s">
        <v>100</v>
      </c>
    </row>
    <row r="2539">
      <c r="A2539" s="2" t="s">
        <v>9020</v>
      </c>
      <c r="B2539" s="2" t="s">
        <v>8987</v>
      </c>
      <c r="C2539" s="2" t="s">
        <v>8988</v>
      </c>
      <c r="D2539" s="2" t="s">
        <v>8989</v>
      </c>
      <c r="E2539" s="2" t="s">
        <v>8990</v>
      </c>
      <c r="F2539" s="2" t="s">
        <v>8998</v>
      </c>
      <c r="G2539" s="2" t="s">
        <v>8998</v>
      </c>
      <c r="H2539" s="2" t="s">
        <v>8998</v>
      </c>
      <c r="I2539" s="2" t="s">
        <v>9008</v>
      </c>
      <c r="J2539" s="2" t="s">
        <v>9009</v>
      </c>
      <c r="K2539" s="2" t="s">
        <v>856</v>
      </c>
      <c r="L2539" s="3">
        <v>55</v>
      </c>
      <c r="M2539" s="3">
        <v>57.75</v>
      </c>
      <c r="N2539" s="3">
        <v>114.99</v>
      </c>
      <c r="O2539" s="2" t="s">
        <v>97</v>
      </c>
      <c r="P2539" s="2" t="s">
        <v>707</v>
      </c>
      <c r="Q2539" s="2" t="s">
        <v>99</v>
      </c>
      <c r="R2539" s="2" t="s">
        <v>2071</v>
      </c>
      <c r="S2539" s="2" t="s">
        <v>100</v>
      </c>
      <c r="T2539" s="2" t="s">
        <v>100</v>
      </c>
      <c r="U2539" s="2" t="s">
        <v>1776</v>
      </c>
      <c r="V2539" s="2" t="s">
        <v>3412</v>
      </c>
      <c r="W2539" s="2" t="s">
        <v>100</v>
      </c>
      <c r="X2539" s="2" t="s">
        <v>100</v>
      </c>
      <c r="Y2539" s="2" t="s">
        <v>9013</v>
      </c>
      <c r="Z2539" s="4">
        <v>175</v>
      </c>
      <c r="AA2539" s="4">
        <f>=ROUNDDOWN(87.5,0)</f>
      </c>
      <c r="AB2539" s="5">
        <v>2</v>
      </c>
      <c r="AC2539" s="2" t="s">
        <v>100</v>
      </c>
      <c r="AD2539" s="4"/>
      <c r="AE2539" s="4"/>
      <c r="AF2539" s="6">
        <v>64</v>
      </c>
      <c r="AG2539" s="6"/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 t="s">
        <v>100</v>
      </c>
      <c r="AW2539" s="8" t="s">
        <v>100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/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/>
      <c r="BJ2539" s="4">
        <v>5</v>
      </c>
      <c r="BK2539" s="8">
        <v>277.2</v>
      </c>
      <c r="BL2539" s="2" t="s">
        <v>8996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2526</v>
      </c>
      <c r="BV2539" s="2" t="s">
        <v>97</v>
      </c>
      <c r="BW2539" s="2" t="s">
        <v>100</v>
      </c>
      <c r="BX2539" s="2" t="s">
        <v>100</v>
      </c>
      <c r="BY2539" s="2" t="s">
        <v>112</v>
      </c>
      <c r="BZ2539" s="2" t="s">
        <v>100</v>
      </c>
    </row>
    <row r="2540">
      <c r="A2540" s="2" t="s">
        <v>9021</v>
      </c>
      <c r="B2540" s="2" t="s">
        <v>8987</v>
      </c>
      <c r="C2540" s="2" t="s">
        <v>8988</v>
      </c>
      <c r="D2540" s="2" t="s">
        <v>8989</v>
      </c>
      <c r="E2540" s="2" t="s">
        <v>8990</v>
      </c>
      <c r="F2540" s="2" t="s">
        <v>9022</v>
      </c>
      <c r="G2540" s="2" t="s">
        <v>9022</v>
      </c>
      <c r="H2540" s="2" t="s">
        <v>9022</v>
      </c>
      <c r="I2540" s="2" t="s">
        <v>9023</v>
      </c>
      <c r="J2540" s="2" t="s">
        <v>4775</v>
      </c>
      <c r="K2540" s="2" t="s">
        <v>96</v>
      </c>
      <c r="L2540" s="3">
        <v>9.51</v>
      </c>
      <c r="M2540" s="3">
        <v>9.99</v>
      </c>
      <c r="N2540" s="3">
        <v>24.99</v>
      </c>
      <c r="O2540" s="2" t="s">
        <v>97</v>
      </c>
      <c r="P2540" s="2" t="s">
        <v>98</v>
      </c>
      <c r="Q2540" s="2" t="s">
        <v>99</v>
      </c>
      <c r="R2540" s="2" t="s">
        <v>100</v>
      </c>
      <c r="S2540" s="2" t="s">
        <v>100</v>
      </c>
      <c r="T2540" s="2" t="s">
        <v>100</v>
      </c>
      <c r="U2540" s="2" t="s">
        <v>1776</v>
      </c>
      <c r="V2540" s="2" t="s">
        <v>3412</v>
      </c>
      <c r="W2540" s="2" t="s">
        <v>609</v>
      </c>
      <c r="X2540" s="2" t="s">
        <v>100</v>
      </c>
      <c r="Y2540" s="2" t="s">
        <v>9024</v>
      </c>
      <c r="Z2540" s="4">
        <v>174</v>
      </c>
      <c r="AA2540" s="4">
        <f>=ROUNDDOWN(34.8,0)</f>
      </c>
      <c r="AB2540" s="5">
        <v>5</v>
      </c>
      <c r="AC2540" s="2" t="s">
        <v>100</v>
      </c>
      <c r="AD2540" s="4"/>
      <c r="AE2540" s="4"/>
      <c r="AF2540" s="6">
        <v>65</v>
      </c>
      <c r="AG2540" s="6"/>
      <c r="AH2540" s="7">
        <v>0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 t="s">
        <v>100</v>
      </c>
      <c r="AW2540" s="8" t="s">
        <v>100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/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/>
      <c r="BJ2540" s="4">
        <v>1</v>
      </c>
      <c r="BK2540" s="8">
        <v>13.32</v>
      </c>
      <c r="BL2540" s="2" t="s">
        <v>3477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2526</v>
      </c>
      <c r="BV2540" s="2" t="s">
        <v>97</v>
      </c>
      <c r="BW2540" s="2" t="s">
        <v>100</v>
      </c>
      <c r="BX2540" s="2" t="s">
        <v>100</v>
      </c>
      <c r="BY2540" s="2" t="s">
        <v>112</v>
      </c>
      <c r="BZ2540" s="2" t="s">
        <v>100</v>
      </c>
    </row>
    <row r="2541">
      <c r="A2541" s="2" t="s">
        <v>9025</v>
      </c>
      <c r="B2541" s="2" t="s">
        <v>8987</v>
      </c>
      <c r="C2541" s="2" t="s">
        <v>8988</v>
      </c>
      <c r="D2541" s="2" t="s">
        <v>8989</v>
      </c>
      <c r="E2541" s="2" t="s">
        <v>8990</v>
      </c>
      <c r="F2541" s="2" t="s">
        <v>9022</v>
      </c>
      <c r="G2541" s="2" t="s">
        <v>9022</v>
      </c>
      <c r="H2541" s="2" t="s">
        <v>9022</v>
      </c>
      <c r="I2541" s="2" t="s">
        <v>9026</v>
      </c>
      <c r="J2541" s="2" t="s">
        <v>9027</v>
      </c>
      <c r="K2541" s="2" t="s">
        <v>96</v>
      </c>
      <c r="L2541" s="3">
        <v>16.01</v>
      </c>
      <c r="M2541" s="3">
        <v>16.81</v>
      </c>
      <c r="N2541" s="3">
        <v>34.99</v>
      </c>
      <c r="O2541" s="2" t="s">
        <v>97</v>
      </c>
      <c r="P2541" s="2" t="s">
        <v>98</v>
      </c>
      <c r="Q2541" s="2" t="s">
        <v>99</v>
      </c>
      <c r="R2541" s="2" t="s">
        <v>100</v>
      </c>
      <c r="S2541" s="2" t="s">
        <v>100</v>
      </c>
      <c r="T2541" s="2" t="s">
        <v>100</v>
      </c>
      <c r="U2541" s="2" t="s">
        <v>1776</v>
      </c>
      <c r="V2541" s="2" t="s">
        <v>3412</v>
      </c>
      <c r="W2541" s="2" t="s">
        <v>609</v>
      </c>
      <c r="X2541" s="2" t="s">
        <v>100</v>
      </c>
      <c r="Y2541" s="2" t="s">
        <v>9024</v>
      </c>
      <c r="Z2541" s="4">
        <v>431</v>
      </c>
      <c r="AA2541" s="4">
        <f>=ROUNDDOWN(35.9166666666667,0)</f>
      </c>
      <c r="AB2541" s="5">
        <v>12</v>
      </c>
      <c r="AC2541" s="2" t="s">
        <v>100</v>
      </c>
      <c r="AD2541" s="4"/>
      <c r="AE2541" s="4"/>
      <c r="AF2541" s="6">
        <v>65</v>
      </c>
      <c r="AG2541" s="6"/>
      <c r="AH2541" s="7">
        <v>0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 t="s">
        <v>100</v>
      </c>
      <c r="AW2541" s="8" t="s">
        <v>100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/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/>
      <c r="BJ2541" s="4"/>
      <c r="BK2541" s="8"/>
      <c r="BL2541" s="2" t="s">
        <v>100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2526</v>
      </c>
      <c r="BV2541" s="2" t="s">
        <v>97</v>
      </c>
      <c r="BW2541" s="2" t="s">
        <v>100</v>
      </c>
      <c r="BX2541" s="2" t="s">
        <v>100</v>
      </c>
      <c r="BY2541" s="2" t="s">
        <v>112</v>
      </c>
      <c r="BZ2541" s="2" t="s">
        <v>100</v>
      </c>
    </row>
    <row r="2542">
      <c r="A2542" s="2" t="s">
        <v>9028</v>
      </c>
      <c r="B2542" s="2" t="s">
        <v>8987</v>
      </c>
      <c r="C2542" s="2" t="s">
        <v>8988</v>
      </c>
      <c r="D2542" s="2" t="s">
        <v>8989</v>
      </c>
      <c r="E2542" s="2" t="s">
        <v>8990</v>
      </c>
      <c r="F2542" s="2" t="s">
        <v>1761</v>
      </c>
      <c r="G2542" s="2" t="s">
        <v>1761</v>
      </c>
      <c r="H2542" s="2" t="s">
        <v>1761</v>
      </c>
      <c r="I2542" s="2" t="s">
        <v>9029</v>
      </c>
      <c r="J2542" s="2" t="s">
        <v>9030</v>
      </c>
      <c r="K2542" s="2" t="s">
        <v>96</v>
      </c>
      <c r="L2542" s="3">
        <v>18.75</v>
      </c>
      <c r="M2542" s="3">
        <v>19.69</v>
      </c>
      <c r="N2542" s="3">
        <v>39.99</v>
      </c>
      <c r="O2542" s="2" t="s">
        <v>97</v>
      </c>
      <c r="P2542" s="2" t="s">
        <v>707</v>
      </c>
      <c r="Q2542" s="2" t="s">
        <v>99</v>
      </c>
      <c r="R2542" s="2" t="s">
        <v>2071</v>
      </c>
      <c r="S2542" s="2" t="s">
        <v>100</v>
      </c>
      <c r="T2542" s="2" t="s">
        <v>100</v>
      </c>
      <c r="U2542" s="2" t="s">
        <v>1776</v>
      </c>
      <c r="V2542" s="2" t="s">
        <v>3412</v>
      </c>
      <c r="W2542" s="2" t="s">
        <v>100</v>
      </c>
      <c r="X2542" s="2" t="s">
        <v>100</v>
      </c>
      <c r="Y2542" s="2" t="s">
        <v>8993</v>
      </c>
      <c r="Z2542" s="4">
        <v>1266</v>
      </c>
      <c r="AA2542" s="4">
        <f>=ROUNDDOWN(468.888888888889,0)</f>
      </c>
      <c r="AB2542" s="5">
        <v>2.7</v>
      </c>
      <c r="AC2542" s="2" t="s">
        <v>100</v>
      </c>
      <c r="AD2542" s="4"/>
      <c r="AE2542" s="4"/>
      <c r="AF2542" s="6">
        <v>64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 t="s">
        <v>100</v>
      </c>
      <c r="AW2542" s="8" t="s">
        <v>100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/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/>
      <c r="BJ2542" s="4">
        <v>13</v>
      </c>
      <c r="BK2542" s="8">
        <v>264.63</v>
      </c>
      <c r="BL2542" s="2" t="s">
        <v>9031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2526</v>
      </c>
      <c r="BV2542" s="2" t="s">
        <v>97</v>
      </c>
      <c r="BW2542" s="2" t="s">
        <v>100</v>
      </c>
      <c r="BX2542" s="2" t="s">
        <v>100</v>
      </c>
      <c r="BY2542" s="2" t="s">
        <v>112</v>
      </c>
      <c r="BZ2542" s="2" t="s">
        <v>100</v>
      </c>
    </row>
    <row r="2543">
      <c r="A2543" s="2" t="s">
        <v>9032</v>
      </c>
      <c r="B2543" s="2" t="s">
        <v>8987</v>
      </c>
      <c r="C2543" s="2" t="s">
        <v>8988</v>
      </c>
      <c r="D2543" s="2" t="s">
        <v>8989</v>
      </c>
      <c r="E2543" s="2" t="s">
        <v>8990</v>
      </c>
      <c r="F2543" s="2" t="s">
        <v>1761</v>
      </c>
      <c r="G2543" s="2" t="s">
        <v>1761</v>
      </c>
      <c r="H2543" s="2" t="s">
        <v>1761</v>
      </c>
      <c r="I2543" s="2" t="s">
        <v>9029</v>
      </c>
      <c r="J2543" s="2" t="s">
        <v>9033</v>
      </c>
      <c r="K2543" s="2" t="s">
        <v>96</v>
      </c>
      <c r="L2543" s="3">
        <v>24.25</v>
      </c>
      <c r="M2543" s="3">
        <v>25.46</v>
      </c>
      <c r="N2543" s="3">
        <v>49.99</v>
      </c>
      <c r="O2543" s="2" t="s">
        <v>97</v>
      </c>
      <c r="P2543" s="2" t="s">
        <v>707</v>
      </c>
      <c r="Q2543" s="2" t="s">
        <v>99</v>
      </c>
      <c r="R2543" s="2" t="s">
        <v>2071</v>
      </c>
      <c r="S2543" s="2" t="s">
        <v>100</v>
      </c>
      <c r="T2543" s="2" t="s">
        <v>100</v>
      </c>
      <c r="U2543" s="2" t="s">
        <v>1776</v>
      </c>
      <c r="V2543" s="2" t="s">
        <v>3412</v>
      </c>
      <c r="W2543" s="2" t="s">
        <v>100</v>
      </c>
      <c r="X2543" s="2" t="s">
        <v>100</v>
      </c>
      <c r="Y2543" s="2" t="s">
        <v>3578</v>
      </c>
      <c r="Z2543" s="4">
        <v>1866</v>
      </c>
      <c r="AA2543" s="4">
        <f>=ROUNDDOWN(933,0)</f>
      </c>
      <c r="AB2543" s="5">
        <v>2</v>
      </c>
      <c r="AC2543" s="2" t="s">
        <v>100</v>
      </c>
      <c r="AD2543" s="4"/>
      <c r="AE2543" s="4"/>
      <c r="AF2543" s="6">
        <v>64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100</v>
      </c>
      <c r="AW2543" s="8" t="s">
        <v>100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/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/>
      <c r="BJ2543" s="4">
        <v>6</v>
      </c>
      <c r="BK2543" s="8">
        <v>141.96</v>
      </c>
      <c r="BL2543" s="2" t="s">
        <v>9010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2526</v>
      </c>
      <c r="BV2543" s="2" t="s">
        <v>97</v>
      </c>
      <c r="BW2543" s="2" t="s">
        <v>100</v>
      </c>
      <c r="BX2543" s="2" t="s">
        <v>100</v>
      </c>
      <c r="BY2543" s="2" t="s">
        <v>112</v>
      </c>
      <c r="BZ2543" s="2" t="s">
        <v>100</v>
      </c>
    </row>
    <row r="2544">
      <c r="A2544" s="2" t="s">
        <v>9034</v>
      </c>
      <c r="B2544" s="2" t="s">
        <v>8987</v>
      </c>
      <c r="C2544" s="2" t="s">
        <v>8988</v>
      </c>
      <c r="D2544" s="2" t="s">
        <v>8989</v>
      </c>
      <c r="E2544" s="2" t="s">
        <v>8990</v>
      </c>
      <c r="F2544" s="2" t="s">
        <v>1761</v>
      </c>
      <c r="G2544" s="2" t="s">
        <v>1761</v>
      </c>
      <c r="H2544" s="2" t="s">
        <v>1761</v>
      </c>
      <c r="I2544" s="2" t="s">
        <v>9029</v>
      </c>
      <c r="J2544" s="2" t="s">
        <v>9035</v>
      </c>
      <c r="K2544" s="2" t="s">
        <v>96</v>
      </c>
      <c r="L2544" s="3">
        <v>33.5</v>
      </c>
      <c r="M2544" s="3">
        <v>35.18</v>
      </c>
      <c r="N2544" s="3">
        <v>69.99</v>
      </c>
      <c r="O2544" s="2" t="s">
        <v>97</v>
      </c>
      <c r="P2544" s="2" t="s">
        <v>707</v>
      </c>
      <c r="Q2544" s="2" t="s">
        <v>99</v>
      </c>
      <c r="R2544" s="2" t="s">
        <v>2071</v>
      </c>
      <c r="S2544" s="2" t="s">
        <v>100</v>
      </c>
      <c r="T2544" s="2" t="s">
        <v>100</v>
      </c>
      <c r="U2544" s="2" t="s">
        <v>1776</v>
      </c>
      <c r="V2544" s="2" t="s">
        <v>3412</v>
      </c>
      <c r="W2544" s="2" t="s">
        <v>100</v>
      </c>
      <c r="X2544" s="2" t="s">
        <v>100</v>
      </c>
      <c r="Y2544" s="2" t="s">
        <v>8993</v>
      </c>
      <c r="Z2544" s="4">
        <v>1912</v>
      </c>
      <c r="AA2544" s="4">
        <f>=ROUNDDOWN(4780,0)</f>
      </c>
      <c r="AB2544" s="5">
        <v>0.4</v>
      </c>
      <c r="AC2544" s="2" t="s">
        <v>100</v>
      </c>
      <c r="AD2544" s="4"/>
      <c r="AE2544" s="4"/>
      <c r="AF2544" s="6">
        <v>64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/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/>
      <c r="BJ2544" s="4">
        <v>3</v>
      </c>
      <c r="BK2544" s="8">
        <v>102.4</v>
      </c>
      <c r="BL2544" s="2" t="s">
        <v>8994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2526</v>
      </c>
      <c r="BV2544" s="2" t="s">
        <v>97</v>
      </c>
      <c r="BW2544" s="2" t="s">
        <v>100</v>
      </c>
      <c r="BX2544" s="2" t="s">
        <v>100</v>
      </c>
      <c r="BY2544" s="2" t="s">
        <v>112</v>
      </c>
      <c r="BZ2544" s="2" t="s">
        <v>100</v>
      </c>
    </row>
    <row r="2545">
      <c r="A2545" s="2" t="s">
        <v>9036</v>
      </c>
      <c r="B2545" s="2" t="s">
        <v>8987</v>
      </c>
      <c r="C2545" s="2" t="s">
        <v>8988</v>
      </c>
      <c r="D2545" s="2" t="s">
        <v>8989</v>
      </c>
      <c r="E2545" s="2" t="s">
        <v>8990</v>
      </c>
      <c r="F2545" s="2" t="s">
        <v>1761</v>
      </c>
      <c r="G2545" s="2" t="s">
        <v>1761</v>
      </c>
      <c r="H2545" s="2" t="s">
        <v>1761</v>
      </c>
      <c r="I2545" s="2" t="s">
        <v>9029</v>
      </c>
      <c r="J2545" s="2" t="s">
        <v>9030</v>
      </c>
      <c r="K2545" s="2" t="s">
        <v>523</v>
      </c>
      <c r="L2545" s="3">
        <v>18.75</v>
      </c>
      <c r="M2545" s="3">
        <v>19.69</v>
      </c>
      <c r="N2545" s="3">
        <v>39.99</v>
      </c>
      <c r="O2545" s="2" t="s">
        <v>97</v>
      </c>
      <c r="P2545" s="2" t="s">
        <v>707</v>
      </c>
      <c r="Q2545" s="2" t="s">
        <v>99</v>
      </c>
      <c r="R2545" s="2" t="s">
        <v>2071</v>
      </c>
      <c r="S2545" s="2" t="s">
        <v>100</v>
      </c>
      <c r="T2545" s="2" t="s">
        <v>100</v>
      </c>
      <c r="U2545" s="2" t="s">
        <v>1776</v>
      </c>
      <c r="V2545" s="2" t="s">
        <v>3412</v>
      </c>
      <c r="W2545" s="2" t="s">
        <v>100</v>
      </c>
      <c r="X2545" s="2" t="s">
        <v>100</v>
      </c>
      <c r="Y2545" s="2" t="s">
        <v>8993</v>
      </c>
      <c r="Z2545" s="4">
        <v>750</v>
      </c>
      <c r="AA2545" s="4">
        <f>=ROUNDDOWN({0},0)</f>
      </c>
      <c r="AB2545" s="5"/>
      <c r="AC2545" s="2" t="s">
        <v>100</v>
      </c>
      <c r="AD2545" s="4"/>
      <c r="AE2545" s="4"/>
      <c r="AF2545" s="6">
        <v>64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/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/>
      <c r="BJ2545" s="4"/>
      <c r="BK2545" s="8"/>
      <c r="BL2545" s="2" t="s">
        <v>100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2526</v>
      </c>
      <c r="BV2545" s="2" t="s">
        <v>97</v>
      </c>
      <c r="BW2545" s="2" t="s">
        <v>100</v>
      </c>
      <c r="BX2545" s="2" t="s">
        <v>100</v>
      </c>
      <c r="BY2545" s="2" t="s">
        <v>112</v>
      </c>
      <c r="BZ2545" s="2" t="s">
        <v>100</v>
      </c>
    </row>
    <row r="2546">
      <c r="A2546" s="2" t="s">
        <v>9037</v>
      </c>
      <c r="B2546" s="2" t="s">
        <v>8987</v>
      </c>
      <c r="C2546" s="2" t="s">
        <v>8988</v>
      </c>
      <c r="D2546" s="2" t="s">
        <v>8989</v>
      </c>
      <c r="E2546" s="2" t="s">
        <v>8990</v>
      </c>
      <c r="F2546" s="2" t="s">
        <v>1761</v>
      </c>
      <c r="G2546" s="2" t="s">
        <v>1761</v>
      </c>
      <c r="H2546" s="2" t="s">
        <v>1761</v>
      </c>
      <c r="I2546" s="2" t="s">
        <v>9029</v>
      </c>
      <c r="J2546" s="2" t="s">
        <v>9033</v>
      </c>
      <c r="K2546" s="2" t="s">
        <v>523</v>
      </c>
      <c r="L2546" s="3">
        <v>24.25</v>
      </c>
      <c r="M2546" s="3">
        <v>25.46</v>
      </c>
      <c r="N2546" s="3">
        <v>49.99</v>
      </c>
      <c r="O2546" s="2" t="s">
        <v>97</v>
      </c>
      <c r="P2546" s="2" t="s">
        <v>707</v>
      </c>
      <c r="Q2546" s="2" t="s">
        <v>99</v>
      </c>
      <c r="R2546" s="2" t="s">
        <v>2071</v>
      </c>
      <c r="S2546" s="2" t="s">
        <v>100</v>
      </c>
      <c r="T2546" s="2" t="s">
        <v>100</v>
      </c>
      <c r="U2546" s="2" t="s">
        <v>1776</v>
      </c>
      <c r="V2546" s="2" t="s">
        <v>3412</v>
      </c>
      <c r="W2546" s="2" t="s">
        <v>100</v>
      </c>
      <c r="X2546" s="2" t="s">
        <v>100</v>
      </c>
      <c r="Y2546" s="2" t="s">
        <v>8993</v>
      </c>
      <c r="Z2546" s="4">
        <v>864</v>
      </c>
      <c r="AA2546" s="4">
        <f>=ROUNDDOWN(432,0)</f>
      </c>
      <c r="AB2546" s="5">
        <v>2</v>
      </c>
      <c r="AC2546" s="2" t="s">
        <v>100</v>
      </c>
      <c r="AD2546" s="4"/>
      <c r="AE2546" s="4"/>
      <c r="AF2546" s="6">
        <v>64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/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/>
      <c r="BJ2546" s="4">
        <v>7</v>
      </c>
      <c r="BK2546" s="8">
        <v>168.64</v>
      </c>
      <c r="BL2546" s="2" t="s">
        <v>9006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2526</v>
      </c>
      <c r="BV2546" s="2" t="s">
        <v>97</v>
      </c>
      <c r="BW2546" s="2" t="s">
        <v>100</v>
      </c>
      <c r="BX2546" s="2" t="s">
        <v>100</v>
      </c>
      <c r="BY2546" s="2" t="s">
        <v>112</v>
      </c>
      <c r="BZ2546" s="2" t="s">
        <v>100</v>
      </c>
    </row>
    <row r="2547">
      <c r="A2547" s="2" t="s">
        <v>9038</v>
      </c>
      <c r="B2547" s="2" t="s">
        <v>8987</v>
      </c>
      <c r="C2547" s="2" t="s">
        <v>8988</v>
      </c>
      <c r="D2547" s="2" t="s">
        <v>8989</v>
      </c>
      <c r="E2547" s="2" t="s">
        <v>8990</v>
      </c>
      <c r="F2547" s="2" t="s">
        <v>1761</v>
      </c>
      <c r="G2547" s="2" t="s">
        <v>1761</v>
      </c>
      <c r="H2547" s="2" t="s">
        <v>1761</v>
      </c>
      <c r="I2547" s="2" t="s">
        <v>9029</v>
      </c>
      <c r="J2547" s="2" t="s">
        <v>9035</v>
      </c>
      <c r="K2547" s="2" t="s">
        <v>523</v>
      </c>
      <c r="L2547" s="3">
        <v>33.5</v>
      </c>
      <c r="M2547" s="3">
        <v>35.18</v>
      </c>
      <c r="N2547" s="3">
        <v>69.99</v>
      </c>
      <c r="O2547" s="2" t="s">
        <v>97</v>
      </c>
      <c r="P2547" s="2" t="s">
        <v>707</v>
      </c>
      <c r="Q2547" s="2" t="s">
        <v>99</v>
      </c>
      <c r="R2547" s="2" t="s">
        <v>2071</v>
      </c>
      <c r="S2547" s="2" t="s">
        <v>100</v>
      </c>
      <c r="T2547" s="2" t="s">
        <v>100</v>
      </c>
      <c r="U2547" s="2" t="s">
        <v>1776</v>
      </c>
      <c r="V2547" s="2" t="s">
        <v>3412</v>
      </c>
      <c r="W2547" s="2" t="s">
        <v>100</v>
      </c>
      <c r="X2547" s="2" t="s">
        <v>100</v>
      </c>
      <c r="Y2547" s="2" t="s">
        <v>8993</v>
      </c>
      <c r="Z2547" s="4">
        <v>432</v>
      </c>
      <c r="AA2547" s="4">
        <f>=ROUNDDOWN(360,0)</f>
      </c>
      <c r="AB2547" s="5">
        <v>1.2</v>
      </c>
      <c r="AC2547" s="2" t="s">
        <v>100</v>
      </c>
      <c r="AD2547" s="4"/>
      <c r="AE2547" s="4"/>
      <c r="AF2547" s="6">
        <v>64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100</v>
      </c>
      <c r="AW2547" s="8" t="s">
        <v>100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/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/>
      <c r="BJ2547" s="4">
        <v>4</v>
      </c>
      <c r="BK2547" s="8">
        <v>131.1</v>
      </c>
      <c r="BL2547" s="2" t="s">
        <v>9006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2526</v>
      </c>
      <c r="BV2547" s="2" t="s">
        <v>97</v>
      </c>
      <c r="BW2547" s="2" t="s">
        <v>100</v>
      </c>
      <c r="BX2547" s="2" t="s">
        <v>100</v>
      </c>
      <c r="BY2547" s="2" t="s">
        <v>112</v>
      </c>
      <c r="BZ2547" s="2" t="s">
        <v>100</v>
      </c>
    </row>
    <row r="2548">
      <c r="A2548" s="2" t="s">
        <v>9039</v>
      </c>
      <c r="B2548" s="2" t="s">
        <v>8987</v>
      </c>
      <c r="C2548" s="2" t="s">
        <v>8988</v>
      </c>
      <c r="D2548" s="2" t="s">
        <v>8989</v>
      </c>
      <c r="E2548" s="2" t="s">
        <v>8990</v>
      </c>
      <c r="F2548" s="2" t="s">
        <v>760</v>
      </c>
      <c r="G2548" s="2" t="s">
        <v>760</v>
      </c>
      <c r="H2548" s="2" t="s">
        <v>760</v>
      </c>
      <c r="I2548" s="2" t="s">
        <v>9040</v>
      </c>
      <c r="J2548" s="2" t="s">
        <v>9041</v>
      </c>
      <c r="K2548" s="2" t="s">
        <v>6548</v>
      </c>
      <c r="L2548" s="3">
        <v>23.5</v>
      </c>
      <c r="M2548" s="3">
        <v>24.68</v>
      </c>
      <c r="N2548" s="3">
        <v>49.99</v>
      </c>
      <c r="O2548" s="2" t="s">
        <v>97</v>
      </c>
      <c r="P2548" s="2" t="s">
        <v>707</v>
      </c>
      <c r="Q2548" s="2" t="s">
        <v>99</v>
      </c>
      <c r="R2548" s="2" t="s">
        <v>2071</v>
      </c>
      <c r="S2548" s="2" t="s">
        <v>100</v>
      </c>
      <c r="T2548" s="2" t="s">
        <v>100</v>
      </c>
      <c r="U2548" s="2" t="s">
        <v>1776</v>
      </c>
      <c r="V2548" s="2" t="s">
        <v>3412</v>
      </c>
      <c r="W2548" s="2" t="s">
        <v>100</v>
      </c>
      <c r="X2548" s="2" t="s">
        <v>100</v>
      </c>
      <c r="Y2548" s="2" t="s">
        <v>2389</v>
      </c>
      <c r="Z2548" s="4">
        <v>928</v>
      </c>
      <c r="AA2548" s="4">
        <f>=ROUNDDOWN(185.6,0)</f>
      </c>
      <c r="AB2548" s="5">
        <v>5</v>
      </c>
      <c r="AC2548" s="2" t="s">
        <v>100</v>
      </c>
      <c r="AD2548" s="4"/>
      <c r="AE2548" s="4"/>
      <c r="AF2548" s="6">
        <v>64</v>
      </c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/>
      <c r="AW2548" s="8"/>
      <c r="AX2548" s="4"/>
      <c r="AY2548" s="8"/>
      <c r="AZ2548" s="7"/>
      <c r="BA2548" s="7"/>
      <c r="BB2548" s="7"/>
      <c r="BC2548" s="4"/>
      <c r="BD2548" s="8"/>
      <c r="BE2548" s="4"/>
      <c r="BF2548" s="8"/>
      <c r="BG2548" s="7"/>
      <c r="BH2548" s="7"/>
      <c r="BI2548" s="7"/>
      <c r="BJ2548" s="4">
        <v>6</v>
      </c>
      <c r="BK2548" s="8">
        <v>134.64</v>
      </c>
      <c r="BL2548" s="2" t="s">
        <v>9010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2526</v>
      </c>
      <c r="BV2548" s="2" t="s">
        <v>97</v>
      </c>
      <c r="BW2548" s="2" t="s">
        <v>100</v>
      </c>
      <c r="BX2548" s="2" t="s">
        <v>100</v>
      </c>
      <c r="BY2548" s="2" t="s">
        <v>112</v>
      </c>
      <c r="BZ2548" s="2" t="s">
        <v>100</v>
      </c>
    </row>
    <row r="2549">
      <c r="A2549" s="2" t="s">
        <v>9042</v>
      </c>
      <c r="B2549" s="2" t="s">
        <v>9043</v>
      </c>
      <c r="C2549" s="2" t="s">
        <v>5095</v>
      </c>
      <c r="D2549" s="2" t="s">
        <v>9044</v>
      </c>
      <c r="E2549" s="2" t="s">
        <v>9045</v>
      </c>
      <c r="F2549" s="2" t="s">
        <v>9046</v>
      </c>
      <c r="G2549" s="2" t="s">
        <v>9046</v>
      </c>
      <c r="H2549" s="2" t="s">
        <v>9046</v>
      </c>
      <c r="I2549" s="2" t="s">
        <v>9047</v>
      </c>
      <c r="J2549" s="2" t="s">
        <v>490</v>
      </c>
      <c r="K2549" s="2" t="s">
        <v>458</v>
      </c>
      <c r="L2549" s="3">
        <v>27.72</v>
      </c>
      <c r="M2549" s="3">
        <v>29.11</v>
      </c>
      <c r="N2549" s="3">
        <v>59.99</v>
      </c>
      <c r="O2549" s="2" t="s">
        <v>97</v>
      </c>
      <c r="P2549" s="2" t="s">
        <v>98</v>
      </c>
      <c r="Q2549" s="2" t="s">
        <v>99</v>
      </c>
      <c r="R2549" s="2" t="s">
        <v>100</v>
      </c>
      <c r="S2549" s="2" t="s">
        <v>9048</v>
      </c>
      <c r="T2549" s="2" t="s">
        <v>4529</v>
      </c>
      <c r="U2549" s="2" t="s">
        <v>1228</v>
      </c>
      <c r="V2549" s="2" t="s">
        <v>461</v>
      </c>
      <c r="W2549" s="2" t="s">
        <v>609</v>
      </c>
      <c r="X2549" s="2" t="s">
        <v>493</v>
      </c>
      <c r="Y2549" s="2" t="s">
        <v>3720</v>
      </c>
      <c r="Z2549" s="4">
        <v>596</v>
      </c>
      <c r="AA2549" s="4">
        <f>=ROUNDDOWN(28.3809523809524,0)</f>
      </c>
      <c r="AB2549" s="5">
        <v>21</v>
      </c>
      <c r="AC2549" s="2" t="s">
        <v>130</v>
      </c>
      <c r="AD2549" s="4">
        <v>14</v>
      </c>
      <c r="AE2549" s="4">
        <v>134</v>
      </c>
      <c r="AF2549" s="6">
        <v>70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2</v>
      </c>
      <c r="AQ2549" s="8">
        <v>54.44</v>
      </c>
      <c r="AR2549" s="4"/>
      <c r="AS2549" s="8"/>
      <c r="AT2549" s="7"/>
      <c r="AU2549" s="7"/>
      <c r="AV2549" s="4">
        <v>16</v>
      </c>
      <c r="AW2549" s="8">
        <v>484.48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0.1124</v>
      </c>
      <c r="BC2549" s="4">
        <v>33</v>
      </c>
      <c r="BD2549" s="8">
        <v>994.23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>
        <v>0.4873</v>
      </c>
      <c r="BJ2549" s="4">
        <v>64</v>
      </c>
      <c r="BK2549" s="8">
        <v>1920.26</v>
      </c>
      <c r="BL2549" s="2" t="s">
        <v>9049</v>
      </c>
      <c r="BM2549" s="7">
        <v>0.0312</v>
      </c>
      <c r="BN2549" s="7">
        <v>0.0284</v>
      </c>
      <c r="BO2549" s="4">
        <v>2</v>
      </c>
      <c r="BP2549" s="8">
        <v>54.44</v>
      </c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905</v>
      </c>
      <c r="BX2549" s="2" t="s">
        <v>9050</v>
      </c>
      <c r="BY2549" s="2" t="s">
        <v>112</v>
      </c>
      <c r="BZ2549" s="2" t="s">
        <v>100</v>
      </c>
    </row>
    <row r="2550">
      <c r="A2550" s="2" t="s">
        <v>9051</v>
      </c>
      <c r="B2550" s="2" t="s">
        <v>9043</v>
      </c>
      <c r="C2550" s="2" t="s">
        <v>5095</v>
      </c>
      <c r="D2550" s="2" t="s">
        <v>9044</v>
      </c>
      <c r="E2550" s="2" t="s">
        <v>9045</v>
      </c>
      <c r="F2550" s="2" t="s">
        <v>9046</v>
      </c>
      <c r="G2550" s="2" t="s">
        <v>9046</v>
      </c>
      <c r="H2550" s="2" t="s">
        <v>9046</v>
      </c>
      <c r="I2550" s="2" t="s">
        <v>9047</v>
      </c>
      <c r="J2550" s="2" t="s">
        <v>95</v>
      </c>
      <c r="K2550" s="2" t="s">
        <v>458</v>
      </c>
      <c r="L2550" s="3">
        <v>30.71</v>
      </c>
      <c r="M2550" s="3">
        <v>32.25</v>
      </c>
      <c r="N2550" s="3">
        <v>64.99</v>
      </c>
      <c r="O2550" s="2" t="s">
        <v>97</v>
      </c>
      <c r="P2550" s="2" t="s">
        <v>317</v>
      </c>
      <c r="Q2550" s="2" t="s">
        <v>99</v>
      </c>
      <c r="R2550" s="2" t="s">
        <v>100</v>
      </c>
      <c r="S2550" s="2" t="s">
        <v>9048</v>
      </c>
      <c r="T2550" s="2" t="s">
        <v>4529</v>
      </c>
      <c r="U2550" s="2" t="s">
        <v>1228</v>
      </c>
      <c r="V2550" s="2" t="s">
        <v>461</v>
      </c>
      <c r="W2550" s="2" t="s">
        <v>609</v>
      </c>
      <c r="X2550" s="2" t="s">
        <v>493</v>
      </c>
      <c r="Y2550" s="2" t="s">
        <v>3720</v>
      </c>
      <c r="Z2550" s="4">
        <v>2069</v>
      </c>
      <c r="AA2550" s="4">
        <f>=ROUNDDOWN(24.7192353643967,0)</f>
      </c>
      <c r="AB2550" s="5">
        <v>83.7</v>
      </c>
      <c r="AC2550" s="2" t="s">
        <v>173</v>
      </c>
      <c r="AD2550" s="4">
        <v>240</v>
      </c>
      <c r="AE2550" s="4">
        <v>240</v>
      </c>
      <c r="AF2550" s="6">
        <v>70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10</v>
      </c>
      <c r="AQ2550" s="8">
        <v>299.4</v>
      </c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>
        <v>0.618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>
        <v>282</v>
      </c>
      <c r="BK2550" s="8">
        <v>9283.26</v>
      </c>
      <c r="BL2550" s="2" t="s">
        <v>9052</v>
      </c>
      <c r="BM2550" s="7">
        <v>0.0355</v>
      </c>
      <c r="BN2550" s="7">
        <v>0.0323</v>
      </c>
      <c r="BO2550" s="4">
        <v>10</v>
      </c>
      <c r="BP2550" s="8">
        <v>299.4</v>
      </c>
      <c r="BQ2550" s="4"/>
      <c r="BR2550" s="8"/>
      <c r="BS2550" s="7"/>
      <c r="BT2550" s="7"/>
      <c r="BU2550" s="2" t="s">
        <v>109</v>
      </c>
      <c r="BV2550" s="2" t="s">
        <v>97</v>
      </c>
      <c r="BW2550" s="2" t="s">
        <v>905</v>
      </c>
      <c r="BX2550" s="2" t="s">
        <v>5291</v>
      </c>
      <c r="BY2550" s="2" t="s">
        <v>112</v>
      </c>
      <c r="BZ2550" s="2" t="s">
        <v>100</v>
      </c>
    </row>
    <row r="2551">
      <c r="A2551" s="2" t="s">
        <v>9053</v>
      </c>
      <c r="B2551" s="2" t="s">
        <v>9043</v>
      </c>
      <c r="C2551" s="2" t="s">
        <v>5095</v>
      </c>
      <c r="D2551" s="2" t="s">
        <v>9044</v>
      </c>
      <c r="E2551" s="2" t="s">
        <v>9045</v>
      </c>
      <c r="F2551" s="2" t="s">
        <v>9046</v>
      </c>
      <c r="G2551" s="2" t="s">
        <v>9046</v>
      </c>
      <c r="H2551" s="2" t="s">
        <v>9046</v>
      </c>
      <c r="I2551" s="2" t="s">
        <v>9047</v>
      </c>
      <c r="J2551" s="2" t="s">
        <v>114</v>
      </c>
      <c r="K2551" s="2" t="s">
        <v>458</v>
      </c>
      <c r="L2551" s="3">
        <v>33.08</v>
      </c>
      <c r="M2551" s="3">
        <v>34.73</v>
      </c>
      <c r="N2551" s="3">
        <v>69.99</v>
      </c>
      <c r="O2551" s="2" t="s">
        <v>97</v>
      </c>
      <c r="P2551" s="2" t="s">
        <v>317</v>
      </c>
      <c r="Q2551" s="2" t="s">
        <v>99</v>
      </c>
      <c r="R2551" s="2" t="s">
        <v>100</v>
      </c>
      <c r="S2551" s="2" t="s">
        <v>9048</v>
      </c>
      <c r="T2551" s="2" t="s">
        <v>4529</v>
      </c>
      <c r="U2551" s="2" t="s">
        <v>1228</v>
      </c>
      <c r="V2551" s="2" t="s">
        <v>461</v>
      </c>
      <c r="W2551" s="2" t="s">
        <v>609</v>
      </c>
      <c r="X2551" s="2" t="s">
        <v>493</v>
      </c>
      <c r="Y2551" s="2" t="s">
        <v>3720</v>
      </c>
      <c r="Z2551" s="4">
        <v>1363</v>
      </c>
      <c r="AA2551" s="4">
        <f>=ROUNDDOWN(29.6304347826087,0)</f>
      </c>
      <c r="AB2551" s="5">
        <v>46</v>
      </c>
      <c r="AC2551" s="2" t="s">
        <v>173</v>
      </c>
      <c r="AD2551" s="4">
        <v>120</v>
      </c>
      <c r="AE2551" s="4">
        <v>120</v>
      </c>
      <c r="AF2551" s="6">
        <v>70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3</v>
      </c>
      <c r="AQ2551" s="8">
        <v>97.98</v>
      </c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>
        <v>0.2022</v>
      </c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 t="s">
        <v>100</v>
      </c>
      <c r="BJ2551" s="4">
        <v>210</v>
      </c>
      <c r="BK2551" s="8">
        <v>7420.28</v>
      </c>
      <c r="BL2551" s="2" t="s">
        <v>9054</v>
      </c>
      <c r="BM2551" s="7">
        <v>0.0143</v>
      </c>
      <c r="BN2551" s="7">
        <v>0.0132</v>
      </c>
      <c r="BO2551" s="4">
        <v>3</v>
      </c>
      <c r="BP2551" s="8">
        <v>97.98</v>
      </c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905</v>
      </c>
      <c r="BX2551" s="2" t="s">
        <v>5220</v>
      </c>
      <c r="BY2551" s="2" t="s">
        <v>112</v>
      </c>
      <c r="BZ2551" s="2" t="s">
        <v>100</v>
      </c>
    </row>
    <row r="2552">
      <c r="A2552" s="2" t="s">
        <v>9055</v>
      </c>
      <c r="B2552" s="2" t="s">
        <v>9043</v>
      </c>
      <c r="C2552" s="2" t="s">
        <v>5095</v>
      </c>
      <c r="D2552" s="2" t="s">
        <v>9044</v>
      </c>
      <c r="E2552" s="2" t="s">
        <v>9045</v>
      </c>
      <c r="F2552" s="2" t="s">
        <v>9046</v>
      </c>
      <c r="G2552" s="2" t="s">
        <v>9046</v>
      </c>
      <c r="H2552" s="2" t="s">
        <v>9046</v>
      </c>
      <c r="I2552" s="2" t="s">
        <v>9047</v>
      </c>
      <c r="J2552" s="2" t="s">
        <v>118</v>
      </c>
      <c r="K2552" s="2" t="s">
        <v>458</v>
      </c>
      <c r="L2552" s="3">
        <v>33.08</v>
      </c>
      <c r="M2552" s="3">
        <v>34.73</v>
      </c>
      <c r="N2552" s="3">
        <v>69.99</v>
      </c>
      <c r="O2552" s="2" t="s">
        <v>97</v>
      </c>
      <c r="P2552" s="2" t="s">
        <v>98</v>
      </c>
      <c r="Q2552" s="2" t="s">
        <v>99</v>
      </c>
      <c r="R2552" s="2" t="s">
        <v>100</v>
      </c>
      <c r="S2552" s="2" t="s">
        <v>9048</v>
      </c>
      <c r="T2552" s="2" t="s">
        <v>4529</v>
      </c>
      <c r="U2552" s="2" t="s">
        <v>1228</v>
      </c>
      <c r="V2552" s="2" t="s">
        <v>461</v>
      </c>
      <c r="W2552" s="2" t="s">
        <v>609</v>
      </c>
      <c r="X2552" s="2" t="s">
        <v>493</v>
      </c>
      <c r="Y2552" s="2" t="s">
        <v>3720</v>
      </c>
      <c r="Z2552" s="4">
        <v>284</v>
      </c>
      <c r="AA2552" s="4">
        <f>=ROUNDDOWN(17.75,0)</f>
      </c>
      <c r="AB2552" s="5">
        <v>16</v>
      </c>
      <c r="AC2552" s="2" t="s">
        <v>173</v>
      </c>
      <c r="AD2552" s="4">
        <v>130</v>
      </c>
      <c r="AE2552" s="4">
        <v>130</v>
      </c>
      <c r="AF2552" s="6">
        <v>70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1</v>
      </c>
      <c r="AQ2552" s="8">
        <v>32.66</v>
      </c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>
        <v>0.0674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52</v>
      </c>
      <c r="BK2552" s="8">
        <v>1833.26</v>
      </c>
      <c r="BL2552" s="2" t="s">
        <v>9056</v>
      </c>
      <c r="BM2552" s="7">
        <v>0.0192</v>
      </c>
      <c r="BN2552" s="7">
        <v>0.0178</v>
      </c>
      <c r="BO2552" s="4">
        <v>1</v>
      </c>
      <c r="BP2552" s="8">
        <v>32.66</v>
      </c>
      <c r="BQ2552" s="4"/>
      <c r="BR2552" s="8"/>
      <c r="BS2552" s="7"/>
      <c r="BT2552" s="7"/>
      <c r="BU2552" s="2" t="s">
        <v>109</v>
      </c>
      <c r="BV2552" s="2" t="s">
        <v>97</v>
      </c>
      <c r="BW2552" s="2" t="s">
        <v>905</v>
      </c>
      <c r="BX2552" s="2" t="s">
        <v>4782</v>
      </c>
      <c r="BY2552" s="2" t="s">
        <v>112</v>
      </c>
      <c r="BZ2552" s="2" t="s">
        <v>100</v>
      </c>
    </row>
    <row r="2553">
      <c r="A2553" s="2" t="s">
        <v>9057</v>
      </c>
      <c r="B2553" s="2" t="s">
        <v>9043</v>
      </c>
      <c r="C2553" s="2" t="s">
        <v>5095</v>
      </c>
      <c r="D2553" s="2" t="s">
        <v>9044</v>
      </c>
      <c r="E2553" s="2" t="s">
        <v>9045</v>
      </c>
      <c r="F2553" s="2" t="s">
        <v>9046</v>
      </c>
      <c r="G2553" s="2" t="s">
        <v>9046</v>
      </c>
      <c r="H2553" s="2" t="s">
        <v>9046</v>
      </c>
      <c r="I2553" s="2" t="s">
        <v>9047</v>
      </c>
      <c r="J2553" s="2" t="s">
        <v>490</v>
      </c>
      <c r="K2553" s="2" t="s">
        <v>96</v>
      </c>
      <c r="L2553" s="3">
        <v>27.72</v>
      </c>
      <c r="M2553" s="3">
        <v>29.11</v>
      </c>
      <c r="N2553" s="3">
        <v>59.99</v>
      </c>
      <c r="O2553" s="2" t="s">
        <v>97</v>
      </c>
      <c r="P2553" s="2" t="s">
        <v>98</v>
      </c>
      <c r="Q2553" s="2" t="s">
        <v>99</v>
      </c>
      <c r="R2553" s="2" t="s">
        <v>100</v>
      </c>
      <c r="S2553" s="2" t="s">
        <v>9058</v>
      </c>
      <c r="T2553" s="2" t="s">
        <v>4529</v>
      </c>
      <c r="U2553" s="2" t="s">
        <v>1228</v>
      </c>
      <c r="V2553" s="2" t="s">
        <v>461</v>
      </c>
      <c r="W2553" s="2" t="s">
        <v>609</v>
      </c>
      <c r="X2553" s="2" t="s">
        <v>493</v>
      </c>
      <c r="Y2553" s="2" t="s">
        <v>3720</v>
      </c>
      <c r="Z2553" s="4">
        <v>519</v>
      </c>
      <c r="AA2553" s="4">
        <f>=ROUNDDOWN(34.6,0)</f>
      </c>
      <c r="AB2553" s="5">
        <v>15</v>
      </c>
      <c r="AC2553" s="2" t="s">
        <v>130</v>
      </c>
      <c r="AD2553" s="4">
        <v>19</v>
      </c>
      <c r="AE2553" s="4">
        <v>119</v>
      </c>
      <c r="AF2553" s="6">
        <v>70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3</v>
      </c>
      <c r="AQ2553" s="8">
        <v>81.66</v>
      </c>
      <c r="AR2553" s="4"/>
      <c r="AS2553" s="8"/>
      <c r="AT2553" s="7"/>
      <c r="AU2553" s="7"/>
      <c r="AV2553" s="4">
        <v>7</v>
      </c>
      <c r="AW2553" s="8">
        <v>206.86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>
        <v>0.3948</v>
      </c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>
        <v>0.2081</v>
      </c>
      <c r="BJ2553" s="4">
        <v>34</v>
      </c>
      <c r="BK2553" s="8">
        <v>1027.2</v>
      </c>
      <c r="BL2553" s="2" t="s">
        <v>9059</v>
      </c>
      <c r="BM2553" s="7">
        <v>0.0882</v>
      </c>
      <c r="BN2553" s="7">
        <v>0.0795</v>
      </c>
      <c r="BO2553" s="4">
        <v>3</v>
      </c>
      <c r="BP2553" s="8">
        <v>81.66</v>
      </c>
      <c r="BQ2553" s="4"/>
      <c r="BR2553" s="8"/>
      <c r="BS2553" s="7"/>
      <c r="BT2553" s="7"/>
      <c r="BU2553" s="2" t="s">
        <v>109</v>
      </c>
      <c r="BV2553" s="2" t="s">
        <v>97</v>
      </c>
      <c r="BW2553" s="2" t="s">
        <v>905</v>
      </c>
      <c r="BX2553" s="2" t="s">
        <v>9060</v>
      </c>
      <c r="BY2553" s="2" t="s">
        <v>112</v>
      </c>
      <c r="BZ2553" s="2" t="s">
        <v>100</v>
      </c>
    </row>
    <row r="2554">
      <c r="A2554" s="2" t="s">
        <v>9061</v>
      </c>
      <c r="B2554" s="2" t="s">
        <v>9043</v>
      </c>
      <c r="C2554" s="2" t="s">
        <v>5095</v>
      </c>
      <c r="D2554" s="2" t="s">
        <v>9044</v>
      </c>
      <c r="E2554" s="2" t="s">
        <v>9045</v>
      </c>
      <c r="F2554" s="2" t="s">
        <v>9046</v>
      </c>
      <c r="G2554" s="2" t="s">
        <v>9046</v>
      </c>
      <c r="H2554" s="2" t="s">
        <v>9046</v>
      </c>
      <c r="I2554" s="2" t="s">
        <v>9047</v>
      </c>
      <c r="J2554" s="2" t="s">
        <v>95</v>
      </c>
      <c r="K2554" s="2" t="s">
        <v>96</v>
      </c>
      <c r="L2554" s="3">
        <v>30.71</v>
      </c>
      <c r="M2554" s="3">
        <v>32.25</v>
      </c>
      <c r="N2554" s="3">
        <v>64.99</v>
      </c>
      <c r="O2554" s="2" t="s">
        <v>97</v>
      </c>
      <c r="P2554" s="2" t="s">
        <v>139</v>
      </c>
      <c r="Q2554" s="2" t="s">
        <v>99</v>
      </c>
      <c r="R2554" s="2" t="s">
        <v>100</v>
      </c>
      <c r="S2554" s="2" t="s">
        <v>9058</v>
      </c>
      <c r="T2554" s="2" t="s">
        <v>4529</v>
      </c>
      <c r="U2554" s="2" t="s">
        <v>1228</v>
      </c>
      <c r="V2554" s="2" t="s">
        <v>461</v>
      </c>
      <c r="W2554" s="2" t="s">
        <v>609</v>
      </c>
      <c r="X2554" s="2" t="s">
        <v>493</v>
      </c>
      <c r="Y2554" s="2" t="s">
        <v>3720</v>
      </c>
      <c r="Z2554" s="4">
        <v>1443</v>
      </c>
      <c r="AA2554" s="4">
        <f>=ROUNDDOWN(30.0625,0)</f>
      </c>
      <c r="AB2554" s="5">
        <v>48</v>
      </c>
      <c r="AC2554" s="2" t="s">
        <v>173</v>
      </c>
      <c r="AD2554" s="4">
        <v>200</v>
      </c>
      <c r="AE2554" s="4">
        <v>200</v>
      </c>
      <c r="AF2554" s="6">
        <v>70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2</v>
      </c>
      <c r="AQ2554" s="8">
        <v>59.88</v>
      </c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>
        <v>0.2895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 t="s">
        <v>100</v>
      </c>
      <c r="BJ2554" s="4">
        <v>112</v>
      </c>
      <c r="BK2554" s="8">
        <v>3713.67</v>
      </c>
      <c r="BL2554" s="2" t="s">
        <v>9062</v>
      </c>
      <c r="BM2554" s="7">
        <v>0.0179</v>
      </c>
      <c r="BN2554" s="7">
        <v>0.0161</v>
      </c>
      <c r="BO2554" s="4">
        <v>2</v>
      </c>
      <c r="BP2554" s="8">
        <v>59.88</v>
      </c>
      <c r="BQ2554" s="4"/>
      <c r="BR2554" s="8"/>
      <c r="BS2554" s="7"/>
      <c r="BT2554" s="7"/>
      <c r="BU2554" s="2" t="s">
        <v>109</v>
      </c>
      <c r="BV2554" s="2" t="s">
        <v>97</v>
      </c>
      <c r="BW2554" s="2" t="s">
        <v>905</v>
      </c>
      <c r="BX2554" s="2" t="s">
        <v>9063</v>
      </c>
      <c r="BY2554" s="2" t="s">
        <v>112</v>
      </c>
      <c r="BZ2554" s="2" t="s">
        <v>100</v>
      </c>
    </row>
    <row r="2555">
      <c r="A2555" s="2" t="s">
        <v>9064</v>
      </c>
      <c r="B2555" s="2" t="s">
        <v>9043</v>
      </c>
      <c r="C2555" s="2" t="s">
        <v>5095</v>
      </c>
      <c r="D2555" s="2" t="s">
        <v>9044</v>
      </c>
      <c r="E2555" s="2" t="s">
        <v>9045</v>
      </c>
      <c r="F2555" s="2" t="s">
        <v>9046</v>
      </c>
      <c r="G2555" s="2" t="s">
        <v>9046</v>
      </c>
      <c r="H2555" s="2" t="s">
        <v>9046</v>
      </c>
      <c r="I2555" s="2" t="s">
        <v>9047</v>
      </c>
      <c r="J2555" s="2" t="s">
        <v>114</v>
      </c>
      <c r="K2555" s="2" t="s">
        <v>96</v>
      </c>
      <c r="L2555" s="3">
        <v>33.08</v>
      </c>
      <c r="M2555" s="3">
        <v>34.73</v>
      </c>
      <c r="N2555" s="3">
        <v>69.99</v>
      </c>
      <c r="O2555" s="2" t="s">
        <v>97</v>
      </c>
      <c r="P2555" s="2" t="s">
        <v>139</v>
      </c>
      <c r="Q2555" s="2" t="s">
        <v>99</v>
      </c>
      <c r="R2555" s="2" t="s">
        <v>100</v>
      </c>
      <c r="S2555" s="2" t="s">
        <v>9058</v>
      </c>
      <c r="T2555" s="2" t="s">
        <v>4529</v>
      </c>
      <c r="U2555" s="2" t="s">
        <v>1228</v>
      </c>
      <c r="V2555" s="2" t="s">
        <v>461</v>
      </c>
      <c r="W2555" s="2" t="s">
        <v>609</v>
      </c>
      <c r="X2555" s="2" t="s">
        <v>493</v>
      </c>
      <c r="Y2555" s="2" t="s">
        <v>3720</v>
      </c>
      <c r="Z2555" s="4">
        <v>1143</v>
      </c>
      <c r="AA2555" s="4">
        <f>=ROUNDDOWN(30.0789473684211,0)</f>
      </c>
      <c r="AB2555" s="5">
        <v>38</v>
      </c>
      <c r="AC2555" s="2" t="s">
        <v>173</v>
      </c>
      <c r="AD2555" s="4">
        <v>110</v>
      </c>
      <c r="AE2555" s="4">
        <v>110</v>
      </c>
      <c r="AF2555" s="6">
        <v>70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2</v>
      </c>
      <c r="AQ2555" s="8">
        <v>65.32</v>
      </c>
      <c r="AR2555" s="4"/>
      <c r="AS2555" s="8"/>
      <c r="AT2555" s="7"/>
      <c r="AU2555" s="7"/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>
        <v>0.3158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 t="s">
        <v>100</v>
      </c>
      <c r="BJ2555" s="4">
        <v>108</v>
      </c>
      <c r="BK2555" s="8">
        <v>3849.26</v>
      </c>
      <c r="BL2555" s="2" t="s">
        <v>9065</v>
      </c>
      <c r="BM2555" s="7">
        <v>0.0185</v>
      </c>
      <c r="BN2555" s="7">
        <v>0.017</v>
      </c>
      <c r="BO2555" s="4">
        <v>2</v>
      </c>
      <c r="BP2555" s="8">
        <v>65.32</v>
      </c>
      <c r="BQ2555" s="4"/>
      <c r="BR2555" s="8"/>
      <c r="BS2555" s="7"/>
      <c r="BT2555" s="7"/>
      <c r="BU2555" s="2" t="s">
        <v>109</v>
      </c>
      <c r="BV2555" s="2" t="s">
        <v>97</v>
      </c>
      <c r="BW2555" s="2" t="s">
        <v>905</v>
      </c>
      <c r="BX2555" s="2" t="s">
        <v>9066</v>
      </c>
      <c r="BY2555" s="2" t="s">
        <v>112</v>
      </c>
      <c r="BZ2555" s="2" t="s">
        <v>100</v>
      </c>
    </row>
    <row r="2556">
      <c r="A2556" s="2" t="s">
        <v>9067</v>
      </c>
      <c r="B2556" s="2" t="s">
        <v>9043</v>
      </c>
      <c r="C2556" s="2" t="s">
        <v>5095</v>
      </c>
      <c r="D2556" s="2" t="s">
        <v>9044</v>
      </c>
      <c r="E2556" s="2" t="s">
        <v>9045</v>
      </c>
      <c r="F2556" s="2" t="s">
        <v>9046</v>
      </c>
      <c r="G2556" s="2" t="s">
        <v>9046</v>
      </c>
      <c r="H2556" s="2" t="s">
        <v>9046</v>
      </c>
      <c r="I2556" s="2" t="s">
        <v>9047</v>
      </c>
      <c r="J2556" s="2" t="s">
        <v>118</v>
      </c>
      <c r="K2556" s="2" t="s">
        <v>96</v>
      </c>
      <c r="L2556" s="3">
        <v>33.08</v>
      </c>
      <c r="M2556" s="3">
        <v>34.73</v>
      </c>
      <c r="N2556" s="3">
        <v>69.99</v>
      </c>
      <c r="O2556" s="2" t="s">
        <v>97</v>
      </c>
      <c r="P2556" s="2" t="s">
        <v>98</v>
      </c>
      <c r="Q2556" s="2" t="s">
        <v>99</v>
      </c>
      <c r="R2556" s="2" t="s">
        <v>100</v>
      </c>
      <c r="S2556" s="2" t="s">
        <v>9058</v>
      </c>
      <c r="T2556" s="2" t="s">
        <v>4529</v>
      </c>
      <c r="U2556" s="2" t="s">
        <v>1228</v>
      </c>
      <c r="V2556" s="2" t="s">
        <v>461</v>
      </c>
      <c r="W2556" s="2" t="s">
        <v>609</v>
      </c>
      <c r="X2556" s="2" t="s">
        <v>493</v>
      </c>
      <c r="Y2556" s="2" t="s">
        <v>3720</v>
      </c>
      <c r="Z2556" s="4">
        <v>196</v>
      </c>
      <c r="AA2556" s="4">
        <f>=ROUNDDOWN(10.7103825136612,0)</f>
      </c>
      <c r="AB2556" s="5">
        <v>18.3</v>
      </c>
      <c r="AC2556" s="2" t="s">
        <v>173</v>
      </c>
      <c r="AD2556" s="4">
        <v>200</v>
      </c>
      <c r="AE2556" s="4">
        <v>200</v>
      </c>
      <c r="AF2556" s="6">
        <v>70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 t="s">
        <v>100</v>
      </c>
      <c r="AW2556" s="8" t="s">
        <v>100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/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 t="s">
        <v>100</v>
      </c>
      <c r="BJ2556" s="4">
        <v>48</v>
      </c>
      <c r="BK2556" s="8">
        <v>1726.44</v>
      </c>
      <c r="BL2556" s="2" t="s">
        <v>9068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905</v>
      </c>
      <c r="BX2556" s="2" t="s">
        <v>2102</v>
      </c>
      <c r="BY2556" s="2" t="s">
        <v>112</v>
      </c>
      <c r="BZ2556" s="2" t="s">
        <v>100</v>
      </c>
    </row>
    <row r="2557">
      <c r="A2557" s="2" t="s">
        <v>9069</v>
      </c>
      <c r="B2557" s="2" t="s">
        <v>9043</v>
      </c>
      <c r="C2557" s="2" t="s">
        <v>5095</v>
      </c>
      <c r="D2557" s="2" t="s">
        <v>9044</v>
      </c>
      <c r="E2557" s="2" t="s">
        <v>9045</v>
      </c>
      <c r="F2557" s="2" t="s">
        <v>9046</v>
      </c>
      <c r="G2557" s="2" t="s">
        <v>9046</v>
      </c>
      <c r="H2557" s="2" t="s">
        <v>9046</v>
      </c>
      <c r="I2557" s="2" t="s">
        <v>9047</v>
      </c>
      <c r="J2557" s="2" t="s">
        <v>490</v>
      </c>
      <c r="K2557" s="2" t="s">
        <v>1173</v>
      </c>
      <c r="L2557" s="3">
        <v>27.72</v>
      </c>
      <c r="M2557" s="3">
        <v>29.11</v>
      </c>
      <c r="N2557" s="3">
        <v>59.99</v>
      </c>
      <c r="O2557" s="2" t="s">
        <v>97</v>
      </c>
      <c r="P2557" s="2" t="s">
        <v>98</v>
      </c>
      <c r="Q2557" s="2" t="s">
        <v>99</v>
      </c>
      <c r="R2557" s="2" t="s">
        <v>100</v>
      </c>
      <c r="S2557" s="2" t="s">
        <v>9070</v>
      </c>
      <c r="T2557" s="2" t="s">
        <v>4529</v>
      </c>
      <c r="U2557" s="2" t="s">
        <v>1228</v>
      </c>
      <c r="V2557" s="2" t="s">
        <v>461</v>
      </c>
      <c r="W2557" s="2" t="s">
        <v>609</v>
      </c>
      <c r="X2557" s="2" t="s">
        <v>493</v>
      </c>
      <c r="Y2557" s="2" t="s">
        <v>3720</v>
      </c>
      <c r="Z2557" s="4">
        <v>216</v>
      </c>
      <c r="AA2557" s="4">
        <f>=ROUNDDOWN(15.4285714285714,0)</f>
      </c>
      <c r="AB2557" s="5">
        <v>14</v>
      </c>
      <c r="AC2557" s="2" t="s">
        <v>173</v>
      </c>
      <c r="AD2557" s="4">
        <v>50</v>
      </c>
      <c r="AE2557" s="4">
        <v>70</v>
      </c>
      <c r="AF2557" s="6">
        <v>70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1</v>
      </c>
      <c r="AQ2557" s="8">
        <v>27.22</v>
      </c>
      <c r="AR2557" s="4"/>
      <c r="AS2557" s="8"/>
      <c r="AT2557" s="7"/>
      <c r="AU2557" s="7"/>
      <c r="AV2557" s="4">
        <v>5</v>
      </c>
      <c r="AW2557" s="8">
        <v>146.98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>
        <v>0.1852</v>
      </c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>
        <v>0.1478</v>
      </c>
      <c r="BJ2557" s="4">
        <v>54</v>
      </c>
      <c r="BK2557" s="8">
        <v>1636.84</v>
      </c>
      <c r="BL2557" s="2" t="s">
        <v>9071</v>
      </c>
      <c r="BM2557" s="7">
        <v>0.0185</v>
      </c>
      <c r="BN2557" s="7">
        <v>0.0166</v>
      </c>
      <c r="BO2557" s="4">
        <v>1</v>
      </c>
      <c r="BP2557" s="8">
        <v>27.22</v>
      </c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905</v>
      </c>
      <c r="BX2557" s="2" t="s">
        <v>3559</v>
      </c>
      <c r="BY2557" s="2" t="s">
        <v>112</v>
      </c>
      <c r="BZ2557" s="2" t="s">
        <v>100</v>
      </c>
    </row>
    <row r="2558">
      <c r="A2558" s="2" t="s">
        <v>9072</v>
      </c>
      <c r="B2558" s="2" t="s">
        <v>9043</v>
      </c>
      <c r="C2558" s="2" t="s">
        <v>5095</v>
      </c>
      <c r="D2558" s="2" t="s">
        <v>9044</v>
      </c>
      <c r="E2558" s="2" t="s">
        <v>9045</v>
      </c>
      <c r="F2558" s="2" t="s">
        <v>9046</v>
      </c>
      <c r="G2558" s="2" t="s">
        <v>9046</v>
      </c>
      <c r="H2558" s="2" t="s">
        <v>9046</v>
      </c>
      <c r="I2558" s="2" t="s">
        <v>9047</v>
      </c>
      <c r="J2558" s="2" t="s">
        <v>95</v>
      </c>
      <c r="K2558" s="2" t="s">
        <v>1173</v>
      </c>
      <c r="L2558" s="3">
        <v>30.71</v>
      </c>
      <c r="M2558" s="3">
        <v>32.25</v>
      </c>
      <c r="N2558" s="3">
        <v>64.99</v>
      </c>
      <c r="O2558" s="2" t="s">
        <v>97</v>
      </c>
      <c r="P2558" s="2" t="s">
        <v>139</v>
      </c>
      <c r="Q2558" s="2" t="s">
        <v>99</v>
      </c>
      <c r="R2558" s="2" t="s">
        <v>100</v>
      </c>
      <c r="S2558" s="2" t="s">
        <v>9070</v>
      </c>
      <c r="T2558" s="2" t="s">
        <v>4529</v>
      </c>
      <c r="U2558" s="2" t="s">
        <v>1228</v>
      </c>
      <c r="V2558" s="2" t="s">
        <v>461</v>
      </c>
      <c r="W2558" s="2" t="s">
        <v>609</v>
      </c>
      <c r="X2558" s="2" t="s">
        <v>493</v>
      </c>
      <c r="Y2558" s="2" t="s">
        <v>3720</v>
      </c>
      <c r="Z2558" s="4">
        <v>1403</v>
      </c>
      <c r="AA2558" s="4">
        <f>=ROUNDDOWN(22.6290322580645,0)</f>
      </c>
      <c r="AB2558" s="5">
        <v>62</v>
      </c>
      <c r="AC2558" s="2" t="s">
        <v>173</v>
      </c>
      <c r="AD2558" s="4">
        <v>50</v>
      </c>
      <c r="AE2558" s="4">
        <v>170</v>
      </c>
      <c r="AF2558" s="6">
        <v>70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4</v>
      </c>
      <c r="AQ2558" s="8">
        <v>119.76</v>
      </c>
      <c r="AR2558" s="4"/>
      <c r="AS2558" s="8"/>
      <c r="AT2558" s="7"/>
      <c r="AU2558" s="7"/>
      <c r="AV2558" s="4" t="s">
        <v>100</v>
      </c>
      <c r="AW2558" s="8" t="s">
        <v>100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>
        <v>0.8148</v>
      </c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 t="s">
        <v>100</v>
      </c>
      <c r="BJ2558" s="4">
        <v>167</v>
      </c>
      <c r="BK2558" s="8">
        <v>5472.56</v>
      </c>
      <c r="BL2558" s="2" t="s">
        <v>9073</v>
      </c>
      <c r="BM2558" s="7">
        <v>0.024</v>
      </c>
      <c r="BN2558" s="7">
        <v>0.0219</v>
      </c>
      <c r="BO2558" s="4">
        <v>4</v>
      </c>
      <c r="BP2558" s="8">
        <v>119.76</v>
      </c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905</v>
      </c>
      <c r="BX2558" s="2" t="s">
        <v>9074</v>
      </c>
      <c r="BY2558" s="2" t="s">
        <v>112</v>
      </c>
      <c r="BZ2558" s="2" t="s">
        <v>100</v>
      </c>
    </row>
    <row r="2559">
      <c r="A2559" s="2" t="s">
        <v>9075</v>
      </c>
      <c r="B2559" s="2" t="s">
        <v>9043</v>
      </c>
      <c r="C2559" s="2" t="s">
        <v>5095</v>
      </c>
      <c r="D2559" s="2" t="s">
        <v>9044</v>
      </c>
      <c r="E2559" s="2" t="s">
        <v>9045</v>
      </c>
      <c r="F2559" s="2" t="s">
        <v>9046</v>
      </c>
      <c r="G2559" s="2" t="s">
        <v>9046</v>
      </c>
      <c r="H2559" s="2" t="s">
        <v>9046</v>
      </c>
      <c r="I2559" s="2" t="s">
        <v>9047</v>
      </c>
      <c r="J2559" s="2" t="s">
        <v>114</v>
      </c>
      <c r="K2559" s="2" t="s">
        <v>1173</v>
      </c>
      <c r="L2559" s="3">
        <v>33.08</v>
      </c>
      <c r="M2559" s="3">
        <v>34.73</v>
      </c>
      <c r="N2559" s="3">
        <v>69.99</v>
      </c>
      <c r="O2559" s="2" t="s">
        <v>97</v>
      </c>
      <c r="P2559" s="2" t="s">
        <v>123</v>
      </c>
      <c r="Q2559" s="2" t="s">
        <v>99</v>
      </c>
      <c r="R2559" s="2" t="s">
        <v>100</v>
      </c>
      <c r="S2559" s="2" t="s">
        <v>9070</v>
      </c>
      <c r="T2559" s="2" t="s">
        <v>4529</v>
      </c>
      <c r="U2559" s="2" t="s">
        <v>1228</v>
      </c>
      <c r="V2559" s="2" t="s">
        <v>461</v>
      </c>
      <c r="W2559" s="2" t="s">
        <v>609</v>
      </c>
      <c r="X2559" s="2" t="s">
        <v>493</v>
      </c>
      <c r="Y2559" s="2" t="s">
        <v>3720</v>
      </c>
      <c r="Z2559" s="4">
        <v>932</v>
      </c>
      <c r="AA2559" s="4">
        <f>=ROUNDDOWN(22.1904761904762,0)</f>
      </c>
      <c r="AB2559" s="5">
        <v>42</v>
      </c>
      <c r="AC2559" s="2" t="s">
        <v>958</v>
      </c>
      <c r="AD2559" s="4">
        <v>90</v>
      </c>
      <c r="AE2559" s="4">
        <v>90</v>
      </c>
      <c r="AF2559" s="6">
        <v>70</v>
      </c>
      <c r="AG2559" s="6"/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100</v>
      </c>
      <c r="AW2559" s="8" t="s">
        <v>100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/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 t="s">
        <v>100</v>
      </c>
      <c r="BJ2559" s="4">
        <v>107</v>
      </c>
      <c r="BK2559" s="8">
        <v>3810.33</v>
      </c>
      <c r="BL2559" s="2" t="s">
        <v>9076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905</v>
      </c>
      <c r="BX2559" s="2" t="s">
        <v>8561</v>
      </c>
      <c r="BY2559" s="2" t="s">
        <v>112</v>
      </c>
      <c r="BZ2559" s="2" t="s">
        <v>100</v>
      </c>
    </row>
    <row r="2560">
      <c r="A2560" s="2" t="s">
        <v>9077</v>
      </c>
      <c r="B2560" s="2" t="s">
        <v>9043</v>
      </c>
      <c r="C2560" s="2" t="s">
        <v>5095</v>
      </c>
      <c r="D2560" s="2" t="s">
        <v>9044</v>
      </c>
      <c r="E2560" s="2" t="s">
        <v>9045</v>
      </c>
      <c r="F2560" s="2" t="s">
        <v>9046</v>
      </c>
      <c r="G2560" s="2" t="s">
        <v>9046</v>
      </c>
      <c r="H2560" s="2" t="s">
        <v>9046</v>
      </c>
      <c r="I2560" s="2" t="s">
        <v>9047</v>
      </c>
      <c r="J2560" s="2" t="s">
        <v>118</v>
      </c>
      <c r="K2560" s="2" t="s">
        <v>1173</v>
      </c>
      <c r="L2560" s="3">
        <v>33.08</v>
      </c>
      <c r="M2560" s="3">
        <v>34.73</v>
      </c>
      <c r="N2560" s="3">
        <v>69.99</v>
      </c>
      <c r="O2560" s="2" t="s">
        <v>97</v>
      </c>
      <c r="P2560" s="2" t="s">
        <v>98</v>
      </c>
      <c r="Q2560" s="2" t="s">
        <v>99</v>
      </c>
      <c r="R2560" s="2" t="s">
        <v>100</v>
      </c>
      <c r="S2560" s="2" t="s">
        <v>9070</v>
      </c>
      <c r="T2560" s="2" t="s">
        <v>4529</v>
      </c>
      <c r="U2560" s="2" t="s">
        <v>1228</v>
      </c>
      <c r="V2560" s="2" t="s">
        <v>461</v>
      </c>
      <c r="W2560" s="2" t="s">
        <v>609</v>
      </c>
      <c r="X2560" s="2" t="s">
        <v>493</v>
      </c>
      <c r="Y2560" s="2" t="s">
        <v>3720</v>
      </c>
      <c r="Z2560" s="4">
        <v>149</v>
      </c>
      <c r="AA2560" s="4">
        <f>=ROUNDDOWN(11.8253968253968,0)</f>
      </c>
      <c r="AB2560" s="5">
        <v>12.6</v>
      </c>
      <c r="AC2560" s="2" t="s">
        <v>173</v>
      </c>
      <c r="AD2560" s="4">
        <v>150</v>
      </c>
      <c r="AE2560" s="4">
        <v>170</v>
      </c>
      <c r="AF2560" s="6">
        <v>70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100</v>
      </c>
      <c r="AW2560" s="8" t="s">
        <v>100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/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 t="s">
        <v>100</v>
      </c>
      <c r="BJ2560" s="4">
        <v>45</v>
      </c>
      <c r="BK2560" s="8">
        <v>1618.07</v>
      </c>
      <c r="BL2560" s="2" t="s">
        <v>9068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109</v>
      </c>
      <c r="BV2560" s="2" t="s">
        <v>97</v>
      </c>
      <c r="BW2560" s="2" t="s">
        <v>905</v>
      </c>
      <c r="BX2560" s="2" t="s">
        <v>9078</v>
      </c>
      <c r="BY2560" s="2" t="s">
        <v>112</v>
      </c>
      <c r="BZ2560" s="2" t="s">
        <v>100</v>
      </c>
    </row>
    <row r="2561">
      <c r="A2561" s="2" t="s">
        <v>9079</v>
      </c>
      <c r="B2561" s="2" t="s">
        <v>9043</v>
      </c>
      <c r="C2561" s="2" t="s">
        <v>5095</v>
      </c>
      <c r="D2561" s="2" t="s">
        <v>9044</v>
      </c>
      <c r="E2561" s="2" t="s">
        <v>9045</v>
      </c>
      <c r="F2561" s="2" t="s">
        <v>9046</v>
      </c>
      <c r="G2561" s="2" t="s">
        <v>9046</v>
      </c>
      <c r="H2561" s="2" t="s">
        <v>9046</v>
      </c>
      <c r="I2561" s="2" t="s">
        <v>9047</v>
      </c>
      <c r="J2561" s="2" t="s">
        <v>490</v>
      </c>
      <c r="K2561" s="2" t="s">
        <v>179</v>
      </c>
      <c r="L2561" s="3">
        <v>27.72</v>
      </c>
      <c r="M2561" s="3">
        <v>29.11</v>
      </c>
      <c r="N2561" s="3">
        <v>59.99</v>
      </c>
      <c r="O2561" s="2" t="s">
        <v>97</v>
      </c>
      <c r="P2561" s="2" t="s">
        <v>98</v>
      </c>
      <c r="Q2561" s="2" t="s">
        <v>99</v>
      </c>
      <c r="R2561" s="2" t="s">
        <v>100</v>
      </c>
      <c r="S2561" s="2" t="s">
        <v>9080</v>
      </c>
      <c r="T2561" s="2" t="s">
        <v>4529</v>
      </c>
      <c r="U2561" s="2" t="s">
        <v>1228</v>
      </c>
      <c r="V2561" s="2" t="s">
        <v>461</v>
      </c>
      <c r="W2561" s="2" t="s">
        <v>609</v>
      </c>
      <c r="X2561" s="2" t="s">
        <v>493</v>
      </c>
      <c r="Y2561" s="2" t="s">
        <v>3720</v>
      </c>
      <c r="Z2561" s="4">
        <v>338</v>
      </c>
      <c r="AA2561" s="4">
        <f>=ROUNDDOWN(30.7272727272727,0)</f>
      </c>
      <c r="AB2561" s="5">
        <v>11</v>
      </c>
      <c r="AC2561" s="2" t="s">
        <v>130</v>
      </c>
      <c r="AD2561" s="4">
        <v>93</v>
      </c>
      <c r="AE2561" s="4">
        <v>93</v>
      </c>
      <c r="AF2561" s="6">
        <v>70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>
        <v>2</v>
      </c>
      <c r="AW2561" s="8">
        <v>65.32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/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>
        <v>0.0657</v>
      </c>
      <c r="BJ2561" s="4">
        <v>35</v>
      </c>
      <c r="BK2561" s="8">
        <v>1048.18</v>
      </c>
      <c r="BL2561" s="2" t="s">
        <v>1368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109</v>
      </c>
      <c r="BV2561" s="2" t="s">
        <v>97</v>
      </c>
      <c r="BW2561" s="2" t="s">
        <v>905</v>
      </c>
      <c r="BX2561" s="2" t="s">
        <v>5309</v>
      </c>
      <c r="BY2561" s="2" t="s">
        <v>112</v>
      </c>
      <c r="BZ2561" s="2" t="s">
        <v>100</v>
      </c>
    </row>
    <row r="2562">
      <c r="A2562" s="2" t="s">
        <v>9081</v>
      </c>
      <c r="B2562" s="2" t="s">
        <v>9043</v>
      </c>
      <c r="C2562" s="2" t="s">
        <v>5095</v>
      </c>
      <c r="D2562" s="2" t="s">
        <v>9044</v>
      </c>
      <c r="E2562" s="2" t="s">
        <v>9045</v>
      </c>
      <c r="F2562" s="2" t="s">
        <v>9046</v>
      </c>
      <c r="G2562" s="2" t="s">
        <v>9046</v>
      </c>
      <c r="H2562" s="2" t="s">
        <v>9046</v>
      </c>
      <c r="I2562" s="2" t="s">
        <v>9047</v>
      </c>
      <c r="J2562" s="2" t="s">
        <v>95</v>
      </c>
      <c r="K2562" s="2" t="s">
        <v>179</v>
      </c>
      <c r="L2562" s="3">
        <v>30.71</v>
      </c>
      <c r="M2562" s="3">
        <v>32.25</v>
      </c>
      <c r="N2562" s="3">
        <v>64.99</v>
      </c>
      <c r="O2562" s="2" t="s">
        <v>97</v>
      </c>
      <c r="P2562" s="2" t="s">
        <v>123</v>
      </c>
      <c r="Q2562" s="2" t="s">
        <v>99</v>
      </c>
      <c r="R2562" s="2" t="s">
        <v>100</v>
      </c>
      <c r="S2562" s="2" t="s">
        <v>9080</v>
      </c>
      <c r="T2562" s="2" t="s">
        <v>4529</v>
      </c>
      <c r="U2562" s="2" t="s">
        <v>1228</v>
      </c>
      <c r="V2562" s="2" t="s">
        <v>461</v>
      </c>
      <c r="W2562" s="2" t="s">
        <v>609</v>
      </c>
      <c r="X2562" s="2" t="s">
        <v>493</v>
      </c>
      <c r="Y2562" s="2" t="s">
        <v>3720</v>
      </c>
      <c r="Z2562" s="4">
        <v>1024</v>
      </c>
      <c r="AA2562" s="4">
        <f>=ROUNDDOWN(26.9473684210526,0)</f>
      </c>
      <c r="AB2562" s="5">
        <v>38</v>
      </c>
      <c r="AC2562" s="2" t="s">
        <v>100</v>
      </c>
      <c r="AD2562" s="4"/>
      <c r="AE2562" s="4"/>
      <c r="AF2562" s="6">
        <v>70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100</v>
      </c>
      <c r="AW2562" s="8" t="s">
        <v>100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/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 t="s">
        <v>100</v>
      </c>
      <c r="BJ2562" s="4">
        <v>107</v>
      </c>
      <c r="BK2562" s="8">
        <v>3554.86</v>
      </c>
      <c r="BL2562" s="2" t="s">
        <v>9082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109</v>
      </c>
      <c r="BV2562" s="2" t="s">
        <v>97</v>
      </c>
      <c r="BW2562" s="2" t="s">
        <v>905</v>
      </c>
      <c r="BX2562" s="2" t="s">
        <v>5079</v>
      </c>
      <c r="BY2562" s="2" t="s">
        <v>112</v>
      </c>
      <c r="BZ2562" s="2" t="s">
        <v>100</v>
      </c>
    </row>
    <row r="2563">
      <c r="A2563" s="2" t="s">
        <v>9083</v>
      </c>
      <c r="B2563" s="2" t="s">
        <v>9043</v>
      </c>
      <c r="C2563" s="2" t="s">
        <v>5095</v>
      </c>
      <c r="D2563" s="2" t="s">
        <v>9044</v>
      </c>
      <c r="E2563" s="2" t="s">
        <v>9045</v>
      </c>
      <c r="F2563" s="2" t="s">
        <v>9046</v>
      </c>
      <c r="G2563" s="2" t="s">
        <v>9046</v>
      </c>
      <c r="H2563" s="2" t="s">
        <v>9046</v>
      </c>
      <c r="I2563" s="2" t="s">
        <v>9047</v>
      </c>
      <c r="J2563" s="2" t="s">
        <v>114</v>
      </c>
      <c r="K2563" s="2" t="s">
        <v>179</v>
      </c>
      <c r="L2563" s="3">
        <v>33.08</v>
      </c>
      <c r="M2563" s="3">
        <v>34.73</v>
      </c>
      <c r="N2563" s="3">
        <v>69.99</v>
      </c>
      <c r="O2563" s="2" t="s">
        <v>97</v>
      </c>
      <c r="P2563" s="2" t="s">
        <v>156</v>
      </c>
      <c r="Q2563" s="2" t="s">
        <v>99</v>
      </c>
      <c r="R2563" s="2" t="s">
        <v>100</v>
      </c>
      <c r="S2563" s="2" t="s">
        <v>9080</v>
      </c>
      <c r="T2563" s="2" t="s">
        <v>4529</v>
      </c>
      <c r="U2563" s="2" t="s">
        <v>1228</v>
      </c>
      <c r="V2563" s="2" t="s">
        <v>461</v>
      </c>
      <c r="W2563" s="2" t="s">
        <v>609</v>
      </c>
      <c r="X2563" s="2" t="s">
        <v>493</v>
      </c>
      <c r="Y2563" s="2" t="s">
        <v>3720</v>
      </c>
      <c r="Z2563" s="4">
        <v>673</v>
      </c>
      <c r="AA2563" s="4">
        <f>=ROUNDDOWN(25.8846153846154,0)</f>
      </c>
      <c r="AB2563" s="5">
        <v>26</v>
      </c>
      <c r="AC2563" s="2" t="s">
        <v>130</v>
      </c>
      <c r="AD2563" s="4">
        <v>100</v>
      </c>
      <c r="AE2563" s="4">
        <v>100</v>
      </c>
      <c r="AF2563" s="6">
        <v>70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/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 t="s">
        <v>100</v>
      </c>
      <c r="BJ2563" s="4">
        <v>67</v>
      </c>
      <c r="BK2563" s="8">
        <v>2404.81</v>
      </c>
      <c r="BL2563" s="2" t="s">
        <v>9084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109</v>
      </c>
      <c r="BV2563" s="2" t="s">
        <v>97</v>
      </c>
      <c r="BW2563" s="2" t="s">
        <v>905</v>
      </c>
      <c r="BX2563" s="2" t="s">
        <v>5725</v>
      </c>
      <c r="BY2563" s="2" t="s">
        <v>112</v>
      </c>
      <c r="BZ2563" s="2" t="s">
        <v>100</v>
      </c>
    </row>
    <row r="2564">
      <c r="A2564" s="2" t="s">
        <v>9085</v>
      </c>
      <c r="B2564" s="2" t="s">
        <v>9043</v>
      </c>
      <c r="C2564" s="2" t="s">
        <v>5095</v>
      </c>
      <c r="D2564" s="2" t="s">
        <v>9044</v>
      </c>
      <c r="E2564" s="2" t="s">
        <v>9045</v>
      </c>
      <c r="F2564" s="2" t="s">
        <v>9046</v>
      </c>
      <c r="G2564" s="2" t="s">
        <v>9046</v>
      </c>
      <c r="H2564" s="2" t="s">
        <v>9046</v>
      </c>
      <c r="I2564" s="2" t="s">
        <v>9047</v>
      </c>
      <c r="J2564" s="2" t="s">
        <v>118</v>
      </c>
      <c r="K2564" s="2" t="s">
        <v>179</v>
      </c>
      <c r="L2564" s="3">
        <v>33.08</v>
      </c>
      <c r="M2564" s="3">
        <v>34.73</v>
      </c>
      <c r="N2564" s="3">
        <v>69.99</v>
      </c>
      <c r="O2564" s="2" t="s">
        <v>97</v>
      </c>
      <c r="P2564" s="2" t="s">
        <v>98</v>
      </c>
      <c r="Q2564" s="2" t="s">
        <v>99</v>
      </c>
      <c r="R2564" s="2" t="s">
        <v>100</v>
      </c>
      <c r="S2564" s="2" t="s">
        <v>9080</v>
      </c>
      <c r="T2564" s="2" t="s">
        <v>4529</v>
      </c>
      <c r="U2564" s="2" t="s">
        <v>1228</v>
      </c>
      <c r="V2564" s="2" t="s">
        <v>461</v>
      </c>
      <c r="W2564" s="2" t="s">
        <v>609</v>
      </c>
      <c r="X2564" s="2" t="s">
        <v>493</v>
      </c>
      <c r="Y2564" s="2" t="s">
        <v>3720</v>
      </c>
      <c r="Z2564" s="4">
        <v>182</v>
      </c>
      <c r="AA2564" s="4">
        <f>=ROUNDDOWN(20.2222222222222,0)</f>
      </c>
      <c r="AB2564" s="5">
        <v>9</v>
      </c>
      <c r="AC2564" s="2" t="s">
        <v>100</v>
      </c>
      <c r="AD2564" s="4"/>
      <c r="AE2564" s="4"/>
      <c r="AF2564" s="6">
        <v>70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2</v>
      </c>
      <c r="AQ2564" s="8">
        <v>65.32</v>
      </c>
      <c r="AR2564" s="4"/>
      <c r="AS2564" s="8"/>
      <c r="AT2564" s="7"/>
      <c r="AU2564" s="7"/>
      <c r="AV2564" s="4" t="s">
        <v>100</v>
      </c>
      <c r="AW2564" s="8" t="s">
        <v>100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>
        <v>1</v>
      </c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 t="s">
        <v>100</v>
      </c>
      <c r="BJ2564" s="4">
        <v>28</v>
      </c>
      <c r="BK2564" s="8">
        <v>1002.11</v>
      </c>
      <c r="BL2564" s="2" t="s">
        <v>9086</v>
      </c>
      <c r="BM2564" s="7">
        <v>0.0714</v>
      </c>
      <c r="BN2564" s="7">
        <v>0.0652</v>
      </c>
      <c r="BO2564" s="4">
        <v>2</v>
      </c>
      <c r="BP2564" s="8">
        <v>65.32</v>
      </c>
      <c r="BQ2564" s="4"/>
      <c r="BR2564" s="8"/>
      <c r="BS2564" s="7"/>
      <c r="BT2564" s="7"/>
      <c r="BU2564" s="2" t="s">
        <v>109</v>
      </c>
      <c r="BV2564" s="2" t="s">
        <v>97</v>
      </c>
      <c r="BW2564" s="2" t="s">
        <v>905</v>
      </c>
      <c r="BX2564" s="2" t="s">
        <v>8654</v>
      </c>
      <c r="BY2564" s="2" t="s">
        <v>112</v>
      </c>
      <c r="BZ2564" s="2" t="s">
        <v>100</v>
      </c>
    </row>
    <row r="2565">
      <c r="A2565" s="2" t="s">
        <v>9087</v>
      </c>
      <c r="B2565" s="2" t="s">
        <v>9043</v>
      </c>
      <c r="C2565" s="2" t="s">
        <v>5095</v>
      </c>
      <c r="D2565" s="2" t="s">
        <v>9044</v>
      </c>
      <c r="E2565" s="2" t="s">
        <v>9045</v>
      </c>
      <c r="F2565" s="2" t="s">
        <v>9046</v>
      </c>
      <c r="G2565" s="2" t="s">
        <v>9046</v>
      </c>
      <c r="H2565" s="2" t="s">
        <v>9046</v>
      </c>
      <c r="I2565" s="2" t="s">
        <v>9047</v>
      </c>
      <c r="J2565" s="2" t="s">
        <v>490</v>
      </c>
      <c r="K2565" s="2" t="s">
        <v>1373</v>
      </c>
      <c r="L2565" s="3">
        <v>27.72</v>
      </c>
      <c r="M2565" s="3">
        <v>29.11</v>
      </c>
      <c r="N2565" s="3">
        <v>59.99</v>
      </c>
      <c r="O2565" s="2" t="s">
        <v>97</v>
      </c>
      <c r="P2565" s="2" t="s">
        <v>98</v>
      </c>
      <c r="Q2565" s="2" t="s">
        <v>99</v>
      </c>
      <c r="R2565" s="2" t="s">
        <v>100</v>
      </c>
      <c r="S2565" s="2" t="s">
        <v>9088</v>
      </c>
      <c r="T2565" s="2" t="s">
        <v>4529</v>
      </c>
      <c r="U2565" s="2" t="s">
        <v>1228</v>
      </c>
      <c r="V2565" s="2" t="s">
        <v>461</v>
      </c>
      <c r="W2565" s="2" t="s">
        <v>609</v>
      </c>
      <c r="X2565" s="2" t="s">
        <v>493</v>
      </c>
      <c r="Y2565" s="2" t="s">
        <v>3720</v>
      </c>
      <c r="Z2565" s="4">
        <v>323</v>
      </c>
      <c r="AA2565" s="4">
        <f>=ROUNDDOWN(29.3636363636364,0)</f>
      </c>
      <c r="AB2565" s="5">
        <v>11</v>
      </c>
      <c r="AC2565" s="2" t="s">
        <v>130</v>
      </c>
      <c r="AD2565" s="4">
        <v>20</v>
      </c>
      <c r="AE2565" s="4">
        <v>20</v>
      </c>
      <c r="AF2565" s="6">
        <v>70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1</v>
      </c>
      <c r="AQ2565" s="8">
        <v>27.22</v>
      </c>
      <c r="AR2565" s="4"/>
      <c r="AS2565" s="8"/>
      <c r="AT2565" s="7"/>
      <c r="AU2565" s="7"/>
      <c r="AV2565" s="4">
        <v>2</v>
      </c>
      <c r="AW2565" s="8">
        <v>59.88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>
        <v>0.4546</v>
      </c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>
        <v>0.0602</v>
      </c>
      <c r="BJ2565" s="4">
        <v>35</v>
      </c>
      <c r="BK2565" s="8">
        <v>1008.7</v>
      </c>
      <c r="BL2565" s="2" t="s">
        <v>9089</v>
      </c>
      <c r="BM2565" s="7">
        <v>0.0286</v>
      </c>
      <c r="BN2565" s="7">
        <v>0.027</v>
      </c>
      <c r="BO2565" s="4">
        <v>1</v>
      </c>
      <c r="BP2565" s="8">
        <v>27.22</v>
      </c>
      <c r="BQ2565" s="4"/>
      <c r="BR2565" s="8"/>
      <c r="BS2565" s="7"/>
      <c r="BT2565" s="7"/>
      <c r="BU2565" s="2" t="s">
        <v>109</v>
      </c>
      <c r="BV2565" s="2" t="s">
        <v>97</v>
      </c>
      <c r="BW2565" s="2" t="s">
        <v>905</v>
      </c>
      <c r="BX2565" s="2" t="s">
        <v>9090</v>
      </c>
      <c r="BY2565" s="2" t="s">
        <v>112</v>
      </c>
      <c r="BZ2565" s="2" t="s">
        <v>100</v>
      </c>
    </row>
    <row r="2566">
      <c r="A2566" s="2" t="s">
        <v>9091</v>
      </c>
      <c r="B2566" s="2" t="s">
        <v>9043</v>
      </c>
      <c r="C2566" s="2" t="s">
        <v>5095</v>
      </c>
      <c r="D2566" s="2" t="s">
        <v>9044</v>
      </c>
      <c r="E2566" s="2" t="s">
        <v>9045</v>
      </c>
      <c r="F2566" s="2" t="s">
        <v>9046</v>
      </c>
      <c r="G2566" s="2" t="s">
        <v>9046</v>
      </c>
      <c r="H2566" s="2" t="s">
        <v>9046</v>
      </c>
      <c r="I2566" s="2" t="s">
        <v>9047</v>
      </c>
      <c r="J2566" s="2" t="s">
        <v>95</v>
      </c>
      <c r="K2566" s="2" t="s">
        <v>1373</v>
      </c>
      <c r="L2566" s="3">
        <v>30.71</v>
      </c>
      <c r="M2566" s="3">
        <v>32.25</v>
      </c>
      <c r="N2566" s="3">
        <v>64.99</v>
      </c>
      <c r="O2566" s="2" t="s">
        <v>97</v>
      </c>
      <c r="P2566" s="2" t="s">
        <v>139</v>
      </c>
      <c r="Q2566" s="2" t="s">
        <v>99</v>
      </c>
      <c r="R2566" s="2" t="s">
        <v>100</v>
      </c>
      <c r="S2566" s="2" t="s">
        <v>9088</v>
      </c>
      <c r="T2566" s="2" t="s">
        <v>4529</v>
      </c>
      <c r="U2566" s="2" t="s">
        <v>1228</v>
      </c>
      <c r="V2566" s="2" t="s">
        <v>461</v>
      </c>
      <c r="W2566" s="2" t="s">
        <v>609</v>
      </c>
      <c r="X2566" s="2" t="s">
        <v>493</v>
      </c>
      <c r="Y2566" s="2" t="s">
        <v>3720</v>
      </c>
      <c r="Z2566" s="4">
        <v>1376</v>
      </c>
      <c r="AA2566" s="4">
        <f>=ROUNDDOWN(30.509977827051,0)</f>
      </c>
      <c r="AB2566" s="5">
        <v>45.1</v>
      </c>
      <c r="AC2566" s="2" t="s">
        <v>100</v>
      </c>
      <c r="AD2566" s="4"/>
      <c r="AE2566" s="4"/>
      <c r="AF2566" s="6">
        <v>70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100</v>
      </c>
      <c r="AW2566" s="8" t="s">
        <v>100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/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 t="s">
        <v>100</v>
      </c>
      <c r="BJ2566" s="4">
        <v>183</v>
      </c>
      <c r="BK2566" s="8">
        <v>6007.99</v>
      </c>
      <c r="BL2566" s="2" t="s">
        <v>9092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109</v>
      </c>
      <c r="BV2566" s="2" t="s">
        <v>97</v>
      </c>
      <c r="BW2566" s="2" t="s">
        <v>905</v>
      </c>
      <c r="BX2566" s="2" t="s">
        <v>2102</v>
      </c>
      <c r="BY2566" s="2" t="s">
        <v>112</v>
      </c>
      <c r="BZ2566" s="2" t="s">
        <v>100</v>
      </c>
    </row>
    <row r="2567">
      <c r="A2567" s="2" t="s">
        <v>9093</v>
      </c>
      <c r="B2567" s="2" t="s">
        <v>9043</v>
      </c>
      <c r="C2567" s="2" t="s">
        <v>5095</v>
      </c>
      <c r="D2567" s="2" t="s">
        <v>9044</v>
      </c>
      <c r="E2567" s="2" t="s">
        <v>9045</v>
      </c>
      <c r="F2567" s="2" t="s">
        <v>9046</v>
      </c>
      <c r="G2567" s="2" t="s">
        <v>9046</v>
      </c>
      <c r="H2567" s="2" t="s">
        <v>9046</v>
      </c>
      <c r="I2567" s="2" t="s">
        <v>9047</v>
      </c>
      <c r="J2567" s="2" t="s">
        <v>114</v>
      </c>
      <c r="K2567" s="2" t="s">
        <v>1373</v>
      </c>
      <c r="L2567" s="3">
        <v>33.08</v>
      </c>
      <c r="M2567" s="3">
        <v>34.73</v>
      </c>
      <c r="N2567" s="3">
        <v>69.99</v>
      </c>
      <c r="O2567" s="2" t="s">
        <v>97</v>
      </c>
      <c r="P2567" s="2" t="s">
        <v>123</v>
      </c>
      <c r="Q2567" s="2" t="s">
        <v>99</v>
      </c>
      <c r="R2567" s="2" t="s">
        <v>100</v>
      </c>
      <c r="S2567" s="2" t="s">
        <v>9088</v>
      </c>
      <c r="T2567" s="2" t="s">
        <v>4529</v>
      </c>
      <c r="U2567" s="2" t="s">
        <v>1228</v>
      </c>
      <c r="V2567" s="2" t="s">
        <v>461</v>
      </c>
      <c r="W2567" s="2" t="s">
        <v>609</v>
      </c>
      <c r="X2567" s="2" t="s">
        <v>493</v>
      </c>
      <c r="Y2567" s="2" t="s">
        <v>3720</v>
      </c>
      <c r="Z2567" s="4">
        <v>993</v>
      </c>
      <c r="AA2567" s="4">
        <f>=ROUNDDOWN(28.6167146974063,0)</f>
      </c>
      <c r="AB2567" s="5">
        <v>34.7</v>
      </c>
      <c r="AC2567" s="2" t="s">
        <v>100</v>
      </c>
      <c r="AD2567" s="4"/>
      <c r="AE2567" s="4"/>
      <c r="AF2567" s="6">
        <v>70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/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 t="s">
        <v>100</v>
      </c>
      <c r="BJ2567" s="4">
        <v>102</v>
      </c>
      <c r="BK2567" s="8">
        <v>3673.42</v>
      </c>
      <c r="BL2567" s="2" t="s">
        <v>9094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109</v>
      </c>
      <c r="BV2567" s="2" t="s">
        <v>97</v>
      </c>
      <c r="BW2567" s="2" t="s">
        <v>905</v>
      </c>
      <c r="BX2567" s="2" t="s">
        <v>9066</v>
      </c>
      <c r="BY2567" s="2" t="s">
        <v>112</v>
      </c>
      <c r="BZ2567" s="2" t="s">
        <v>100</v>
      </c>
    </row>
    <row r="2568">
      <c r="A2568" s="2" t="s">
        <v>9095</v>
      </c>
      <c r="B2568" s="2" t="s">
        <v>9043</v>
      </c>
      <c r="C2568" s="2" t="s">
        <v>5095</v>
      </c>
      <c r="D2568" s="2" t="s">
        <v>9044</v>
      </c>
      <c r="E2568" s="2" t="s">
        <v>9045</v>
      </c>
      <c r="F2568" s="2" t="s">
        <v>9046</v>
      </c>
      <c r="G2568" s="2" t="s">
        <v>9046</v>
      </c>
      <c r="H2568" s="2" t="s">
        <v>9046</v>
      </c>
      <c r="I2568" s="2" t="s">
        <v>9047</v>
      </c>
      <c r="J2568" s="2" t="s">
        <v>118</v>
      </c>
      <c r="K2568" s="2" t="s">
        <v>1373</v>
      </c>
      <c r="L2568" s="3">
        <v>33.08</v>
      </c>
      <c r="M2568" s="3">
        <v>34.73</v>
      </c>
      <c r="N2568" s="3">
        <v>69.99</v>
      </c>
      <c r="O2568" s="2" t="s">
        <v>97</v>
      </c>
      <c r="P2568" s="2" t="s">
        <v>98</v>
      </c>
      <c r="Q2568" s="2" t="s">
        <v>99</v>
      </c>
      <c r="R2568" s="2" t="s">
        <v>100</v>
      </c>
      <c r="S2568" s="2" t="s">
        <v>9088</v>
      </c>
      <c r="T2568" s="2" t="s">
        <v>4529</v>
      </c>
      <c r="U2568" s="2" t="s">
        <v>1228</v>
      </c>
      <c r="V2568" s="2" t="s">
        <v>461</v>
      </c>
      <c r="W2568" s="2" t="s">
        <v>609</v>
      </c>
      <c r="X2568" s="2" t="s">
        <v>493</v>
      </c>
      <c r="Y2568" s="2" t="s">
        <v>3720</v>
      </c>
      <c r="Z2568" s="4">
        <v>297</v>
      </c>
      <c r="AA2568" s="4">
        <f>=ROUNDDOWN(24.75,0)</f>
      </c>
      <c r="AB2568" s="5">
        <v>12</v>
      </c>
      <c r="AC2568" s="2" t="s">
        <v>130</v>
      </c>
      <c r="AD2568" s="4">
        <v>26</v>
      </c>
      <c r="AE2568" s="4">
        <v>26</v>
      </c>
      <c r="AF2568" s="6">
        <v>70</v>
      </c>
      <c r="AG2568" s="6"/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1</v>
      </c>
      <c r="AQ2568" s="8">
        <v>32.66</v>
      </c>
      <c r="AR2568" s="4"/>
      <c r="AS2568" s="8"/>
      <c r="AT2568" s="7"/>
      <c r="AU2568" s="7"/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>
        <v>0.5454</v>
      </c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 t="s">
        <v>100</v>
      </c>
      <c r="BJ2568" s="4">
        <v>35</v>
      </c>
      <c r="BK2568" s="8">
        <v>1268.1</v>
      </c>
      <c r="BL2568" s="2" t="s">
        <v>9096</v>
      </c>
      <c r="BM2568" s="7">
        <v>0.0286</v>
      </c>
      <c r="BN2568" s="7">
        <v>0.0258</v>
      </c>
      <c r="BO2568" s="4">
        <v>1</v>
      </c>
      <c r="BP2568" s="8">
        <v>32.66</v>
      </c>
      <c r="BQ2568" s="4"/>
      <c r="BR2568" s="8"/>
      <c r="BS2568" s="7"/>
      <c r="BT2568" s="7"/>
      <c r="BU2568" s="2" t="s">
        <v>109</v>
      </c>
      <c r="BV2568" s="2" t="s">
        <v>97</v>
      </c>
      <c r="BW2568" s="2" t="s">
        <v>905</v>
      </c>
      <c r="BX2568" s="2" t="s">
        <v>5859</v>
      </c>
      <c r="BY2568" s="2" t="s">
        <v>112</v>
      </c>
      <c r="BZ2568" s="2" t="s">
        <v>100</v>
      </c>
    </row>
    <row r="2569">
      <c r="A2569" s="2" t="s">
        <v>9097</v>
      </c>
      <c r="B2569" s="2" t="s">
        <v>9043</v>
      </c>
      <c r="C2569" s="2" t="s">
        <v>5095</v>
      </c>
      <c r="D2569" s="2" t="s">
        <v>9044</v>
      </c>
      <c r="E2569" s="2" t="s">
        <v>9045</v>
      </c>
      <c r="F2569" s="2" t="s">
        <v>9046</v>
      </c>
      <c r="G2569" s="2" t="s">
        <v>9046</v>
      </c>
      <c r="H2569" s="2" t="s">
        <v>9046</v>
      </c>
      <c r="I2569" s="2" t="s">
        <v>9047</v>
      </c>
      <c r="J2569" s="2" t="s">
        <v>490</v>
      </c>
      <c r="K2569" s="2" t="s">
        <v>842</v>
      </c>
      <c r="L2569" s="3">
        <v>27.72</v>
      </c>
      <c r="M2569" s="3">
        <v>29.11</v>
      </c>
      <c r="N2569" s="3">
        <v>59.99</v>
      </c>
      <c r="O2569" s="2" t="s">
        <v>97</v>
      </c>
      <c r="P2569" s="2" t="s">
        <v>98</v>
      </c>
      <c r="Q2569" s="2" t="s">
        <v>99</v>
      </c>
      <c r="R2569" s="2" t="s">
        <v>100</v>
      </c>
      <c r="S2569" s="2" t="s">
        <v>9098</v>
      </c>
      <c r="T2569" s="2" t="s">
        <v>4529</v>
      </c>
      <c r="U2569" s="2" t="s">
        <v>1228</v>
      </c>
      <c r="V2569" s="2" t="s">
        <v>461</v>
      </c>
      <c r="W2569" s="2" t="s">
        <v>609</v>
      </c>
      <c r="X2569" s="2" t="s">
        <v>493</v>
      </c>
      <c r="Y2569" s="2" t="s">
        <v>2403</v>
      </c>
      <c r="Z2569" s="4">
        <v>131</v>
      </c>
      <c r="AA2569" s="4">
        <f>=ROUNDDOWN(21.8333333333333,0)</f>
      </c>
      <c r="AB2569" s="5">
        <v>6</v>
      </c>
      <c r="AC2569" s="2" t="s">
        <v>173</v>
      </c>
      <c r="AD2569" s="4">
        <v>70</v>
      </c>
      <c r="AE2569" s="4">
        <v>70</v>
      </c>
      <c r="AF2569" s="6">
        <v>70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>
        <v>1</v>
      </c>
      <c r="AW2569" s="8">
        <v>30.71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/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>
        <v>0.0309</v>
      </c>
      <c r="BJ2569" s="4">
        <v>12</v>
      </c>
      <c r="BK2569" s="8">
        <v>364.38</v>
      </c>
      <c r="BL2569" s="2" t="s">
        <v>9099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109</v>
      </c>
      <c r="BV2569" s="2" t="s">
        <v>97</v>
      </c>
      <c r="BW2569" s="2" t="s">
        <v>9100</v>
      </c>
      <c r="BX2569" s="2" t="s">
        <v>4371</v>
      </c>
      <c r="BY2569" s="2" t="s">
        <v>112</v>
      </c>
      <c r="BZ2569" s="2" t="s">
        <v>100</v>
      </c>
    </row>
    <row r="2570">
      <c r="A2570" s="2" t="s">
        <v>9101</v>
      </c>
      <c r="B2570" s="2" t="s">
        <v>9043</v>
      </c>
      <c r="C2570" s="2" t="s">
        <v>5095</v>
      </c>
      <c r="D2570" s="2" t="s">
        <v>9044</v>
      </c>
      <c r="E2570" s="2" t="s">
        <v>9045</v>
      </c>
      <c r="F2570" s="2" t="s">
        <v>9046</v>
      </c>
      <c r="G2570" s="2" t="s">
        <v>9046</v>
      </c>
      <c r="H2570" s="2" t="s">
        <v>9046</v>
      </c>
      <c r="I2570" s="2" t="s">
        <v>9047</v>
      </c>
      <c r="J2570" s="2" t="s">
        <v>95</v>
      </c>
      <c r="K2570" s="2" t="s">
        <v>842</v>
      </c>
      <c r="L2570" s="3">
        <v>30.71</v>
      </c>
      <c r="M2570" s="3">
        <v>32.25</v>
      </c>
      <c r="N2570" s="3">
        <v>64.99</v>
      </c>
      <c r="O2570" s="2" t="s">
        <v>97</v>
      </c>
      <c r="P2570" s="2" t="s">
        <v>156</v>
      </c>
      <c r="Q2570" s="2" t="s">
        <v>99</v>
      </c>
      <c r="R2570" s="2" t="s">
        <v>100</v>
      </c>
      <c r="S2570" s="2" t="s">
        <v>9098</v>
      </c>
      <c r="T2570" s="2" t="s">
        <v>4529</v>
      </c>
      <c r="U2570" s="2" t="s">
        <v>1228</v>
      </c>
      <c r="V2570" s="2" t="s">
        <v>461</v>
      </c>
      <c r="W2570" s="2" t="s">
        <v>609</v>
      </c>
      <c r="X2570" s="2" t="s">
        <v>493</v>
      </c>
      <c r="Y2570" s="2" t="s">
        <v>2403</v>
      </c>
      <c r="Z2570" s="4">
        <v>366</v>
      </c>
      <c r="AA2570" s="4">
        <f>=ROUNDDOWN(13.0714285714286,0)</f>
      </c>
      <c r="AB2570" s="5">
        <v>28</v>
      </c>
      <c r="AC2570" s="2" t="s">
        <v>1468</v>
      </c>
      <c r="AD2570" s="4">
        <v>370</v>
      </c>
      <c r="AE2570" s="4">
        <v>540</v>
      </c>
      <c r="AF2570" s="6">
        <v>70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1</v>
      </c>
      <c r="AQ2570" s="8">
        <v>30.71</v>
      </c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>
        <v>1</v>
      </c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 t="s">
        <v>100</v>
      </c>
      <c r="BJ2570" s="4">
        <v>71</v>
      </c>
      <c r="BK2570" s="8">
        <v>2320.37</v>
      </c>
      <c r="BL2570" s="2" t="s">
        <v>9102</v>
      </c>
      <c r="BM2570" s="7">
        <v>0.0141</v>
      </c>
      <c r="BN2570" s="7">
        <v>0.0132</v>
      </c>
      <c r="BO2570" s="4">
        <v>1</v>
      </c>
      <c r="BP2570" s="8">
        <v>30.71</v>
      </c>
      <c r="BQ2570" s="4"/>
      <c r="BR2570" s="8"/>
      <c r="BS2570" s="7"/>
      <c r="BT2570" s="7"/>
      <c r="BU2570" s="2" t="s">
        <v>109</v>
      </c>
      <c r="BV2570" s="2" t="s">
        <v>97</v>
      </c>
      <c r="BW2570" s="2" t="s">
        <v>9100</v>
      </c>
      <c r="BX2570" s="2" t="s">
        <v>6843</v>
      </c>
      <c r="BY2570" s="2" t="s">
        <v>112</v>
      </c>
      <c r="BZ2570" s="2" t="s">
        <v>100</v>
      </c>
    </row>
    <row r="2571">
      <c r="A2571" s="2" t="s">
        <v>9103</v>
      </c>
      <c r="B2571" s="2" t="s">
        <v>9043</v>
      </c>
      <c r="C2571" s="2" t="s">
        <v>5095</v>
      </c>
      <c r="D2571" s="2" t="s">
        <v>9044</v>
      </c>
      <c r="E2571" s="2" t="s">
        <v>9045</v>
      </c>
      <c r="F2571" s="2" t="s">
        <v>9046</v>
      </c>
      <c r="G2571" s="2" t="s">
        <v>9046</v>
      </c>
      <c r="H2571" s="2" t="s">
        <v>9046</v>
      </c>
      <c r="I2571" s="2" t="s">
        <v>9047</v>
      </c>
      <c r="J2571" s="2" t="s">
        <v>114</v>
      </c>
      <c r="K2571" s="2" t="s">
        <v>842</v>
      </c>
      <c r="L2571" s="3">
        <v>33.08</v>
      </c>
      <c r="M2571" s="3">
        <v>34.73</v>
      </c>
      <c r="N2571" s="3">
        <v>69.99</v>
      </c>
      <c r="O2571" s="2" t="s">
        <v>97</v>
      </c>
      <c r="P2571" s="2" t="s">
        <v>156</v>
      </c>
      <c r="Q2571" s="2" t="s">
        <v>99</v>
      </c>
      <c r="R2571" s="2" t="s">
        <v>100</v>
      </c>
      <c r="S2571" s="2" t="s">
        <v>9098</v>
      </c>
      <c r="T2571" s="2" t="s">
        <v>4529</v>
      </c>
      <c r="U2571" s="2" t="s">
        <v>1228</v>
      </c>
      <c r="V2571" s="2" t="s">
        <v>461</v>
      </c>
      <c r="W2571" s="2" t="s">
        <v>609</v>
      </c>
      <c r="X2571" s="2" t="s">
        <v>493</v>
      </c>
      <c r="Y2571" s="2" t="s">
        <v>2403</v>
      </c>
      <c r="Z2571" s="4">
        <v>197</v>
      </c>
      <c r="AA2571" s="4">
        <f>=ROUNDDOWN(10.9444444444444,0)</f>
      </c>
      <c r="AB2571" s="5">
        <v>18</v>
      </c>
      <c r="AC2571" s="2" t="s">
        <v>1468</v>
      </c>
      <c r="AD2571" s="4">
        <v>300</v>
      </c>
      <c r="AE2571" s="4">
        <v>510</v>
      </c>
      <c r="AF2571" s="6">
        <v>70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/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 t="s">
        <v>100</v>
      </c>
      <c r="BJ2571" s="4">
        <v>50</v>
      </c>
      <c r="BK2571" s="8">
        <v>1780.86</v>
      </c>
      <c r="BL2571" s="2" t="s">
        <v>9104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109</v>
      </c>
      <c r="BV2571" s="2" t="s">
        <v>97</v>
      </c>
      <c r="BW2571" s="2" t="s">
        <v>9100</v>
      </c>
      <c r="BX2571" s="2" t="s">
        <v>9105</v>
      </c>
      <c r="BY2571" s="2" t="s">
        <v>112</v>
      </c>
      <c r="BZ2571" s="2" t="s">
        <v>100</v>
      </c>
    </row>
    <row r="2572">
      <c r="A2572" s="2" t="s">
        <v>9106</v>
      </c>
      <c r="B2572" s="2" t="s">
        <v>9043</v>
      </c>
      <c r="C2572" s="2" t="s">
        <v>5095</v>
      </c>
      <c r="D2572" s="2" t="s">
        <v>9044</v>
      </c>
      <c r="E2572" s="2" t="s">
        <v>9045</v>
      </c>
      <c r="F2572" s="2" t="s">
        <v>9046</v>
      </c>
      <c r="G2572" s="2" t="s">
        <v>9046</v>
      </c>
      <c r="H2572" s="2" t="s">
        <v>9046</v>
      </c>
      <c r="I2572" s="2" t="s">
        <v>9047</v>
      </c>
      <c r="J2572" s="2" t="s">
        <v>118</v>
      </c>
      <c r="K2572" s="2" t="s">
        <v>842</v>
      </c>
      <c r="L2572" s="3">
        <v>33.08</v>
      </c>
      <c r="M2572" s="3">
        <v>34.73</v>
      </c>
      <c r="N2572" s="3">
        <v>69.99</v>
      </c>
      <c r="O2572" s="2" t="s">
        <v>97</v>
      </c>
      <c r="P2572" s="2" t="s">
        <v>98</v>
      </c>
      <c r="Q2572" s="2" t="s">
        <v>99</v>
      </c>
      <c r="R2572" s="2" t="s">
        <v>100</v>
      </c>
      <c r="S2572" s="2" t="s">
        <v>9098</v>
      </c>
      <c r="T2572" s="2" t="s">
        <v>4529</v>
      </c>
      <c r="U2572" s="2" t="s">
        <v>1228</v>
      </c>
      <c r="V2572" s="2" t="s">
        <v>461</v>
      </c>
      <c r="W2572" s="2" t="s">
        <v>609</v>
      </c>
      <c r="X2572" s="2" t="s">
        <v>493</v>
      </c>
      <c r="Y2572" s="2" t="s">
        <v>2403</v>
      </c>
      <c r="Z2572" s="4">
        <v>48</v>
      </c>
      <c r="AA2572" s="4">
        <f>=ROUNDDOWN(6.15384615384615,0)</f>
      </c>
      <c r="AB2572" s="5">
        <v>7.8</v>
      </c>
      <c r="AC2572" s="2" t="s">
        <v>1468</v>
      </c>
      <c r="AD2572" s="4">
        <v>100</v>
      </c>
      <c r="AE2572" s="4">
        <v>170</v>
      </c>
      <c r="AF2572" s="6">
        <v>70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100</v>
      </c>
      <c r="AW2572" s="8" t="s">
        <v>100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/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 t="s">
        <v>100</v>
      </c>
      <c r="BJ2572" s="4">
        <v>24</v>
      </c>
      <c r="BK2572" s="8">
        <v>873.79</v>
      </c>
      <c r="BL2572" s="2" t="s">
        <v>9107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109</v>
      </c>
      <c r="BV2572" s="2" t="s">
        <v>97</v>
      </c>
      <c r="BW2572" s="2" t="s">
        <v>9100</v>
      </c>
      <c r="BX2572" s="2" t="s">
        <v>5748</v>
      </c>
      <c r="BY2572" s="2" t="s">
        <v>112</v>
      </c>
      <c r="BZ2572" s="2" t="s">
        <v>100</v>
      </c>
    </row>
    <row r="2573">
      <c r="A2573" s="2" t="s">
        <v>9108</v>
      </c>
      <c r="B2573" s="2" t="s">
        <v>9043</v>
      </c>
      <c r="C2573" s="2" t="s">
        <v>5095</v>
      </c>
      <c r="D2573" s="2" t="s">
        <v>9044</v>
      </c>
      <c r="E2573" s="2" t="s">
        <v>9045</v>
      </c>
      <c r="F2573" s="2" t="s">
        <v>9046</v>
      </c>
      <c r="G2573" s="2" t="s">
        <v>9046</v>
      </c>
      <c r="H2573" s="2" t="s">
        <v>9046</v>
      </c>
      <c r="I2573" s="2" t="s">
        <v>9047</v>
      </c>
      <c r="J2573" s="2" t="s">
        <v>95</v>
      </c>
      <c r="K2573" s="2" t="s">
        <v>4362</v>
      </c>
      <c r="L2573" s="3">
        <v>30.71</v>
      </c>
      <c r="M2573" s="3">
        <v>32.25</v>
      </c>
      <c r="N2573" s="3">
        <v>64.99</v>
      </c>
      <c r="O2573" s="2" t="s">
        <v>97</v>
      </c>
      <c r="P2573" s="2" t="s">
        <v>123</v>
      </c>
      <c r="Q2573" s="2" t="s">
        <v>99</v>
      </c>
      <c r="R2573" s="2" t="s">
        <v>100</v>
      </c>
      <c r="S2573" s="2" t="s">
        <v>9109</v>
      </c>
      <c r="T2573" s="2" t="s">
        <v>4529</v>
      </c>
      <c r="U2573" s="2" t="s">
        <v>1228</v>
      </c>
      <c r="V2573" s="2" t="s">
        <v>461</v>
      </c>
      <c r="W2573" s="2" t="s">
        <v>609</v>
      </c>
      <c r="X2573" s="2" t="s">
        <v>493</v>
      </c>
      <c r="Y2573" s="2" t="s">
        <v>3720</v>
      </c>
      <c r="Z2573" s="4">
        <v>1005</v>
      </c>
      <c r="AA2573" s="4">
        <f>=ROUNDDOWN(35.8928571428571,0)</f>
      </c>
      <c r="AB2573" s="5">
        <v>28</v>
      </c>
      <c r="AC2573" s="2" t="s">
        <v>173</v>
      </c>
      <c r="AD2573" s="4">
        <v>170</v>
      </c>
      <c r="AE2573" s="4">
        <v>300</v>
      </c>
      <c r="AF2573" s="6">
        <v>70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 t="s">
        <v>100</v>
      </c>
      <c r="AW2573" s="8" t="s">
        <v>100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/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 t="s">
        <v>100</v>
      </c>
      <c r="BJ2573" s="4">
        <v>87</v>
      </c>
      <c r="BK2573" s="8">
        <v>2858.13</v>
      </c>
      <c r="BL2573" s="2" t="s">
        <v>9110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905</v>
      </c>
      <c r="BX2573" s="2" t="s">
        <v>1426</v>
      </c>
      <c r="BY2573" s="2" t="s">
        <v>112</v>
      </c>
      <c r="BZ2573" s="2" t="s">
        <v>100</v>
      </c>
    </row>
    <row r="2574">
      <c r="A2574" s="2" t="s">
        <v>9111</v>
      </c>
      <c r="B2574" s="2" t="s">
        <v>9043</v>
      </c>
      <c r="C2574" s="2" t="s">
        <v>5095</v>
      </c>
      <c r="D2574" s="2" t="s">
        <v>9044</v>
      </c>
      <c r="E2574" s="2" t="s">
        <v>9045</v>
      </c>
      <c r="F2574" s="2" t="s">
        <v>9046</v>
      </c>
      <c r="G2574" s="2" t="s">
        <v>9046</v>
      </c>
      <c r="H2574" s="2" t="s">
        <v>9046</v>
      </c>
      <c r="I2574" s="2" t="s">
        <v>9047</v>
      </c>
      <c r="J2574" s="2" t="s">
        <v>114</v>
      </c>
      <c r="K2574" s="2" t="s">
        <v>4362</v>
      </c>
      <c r="L2574" s="3">
        <v>33.08</v>
      </c>
      <c r="M2574" s="3">
        <v>34.73</v>
      </c>
      <c r="N2574" s="3">
        <v>69.99</v>
      </c>
      <c r="O2574" s="2" t="s">
        <v>97</v>
      </c>
      <c r="P2574" s="2" t="s">
        <v>156</v>
      </c>
      <c r="Q2574" s="2" t="s">
        <v>99</v>
      </c>
      <c r="R2574" s="2" t="s">
        <v>100</v>
      </c>
      <c r="S2574" s="2" t="s">
        <v>9109</v>
      </c>
      <c r="T2574" s="2" t="s">
        <v>4529</v>
      </c>
      <c r="U2574" s="2" t="s">
        <v>1228</v>
      </c>
      <c r="V2574" s="2" t="s">
        <v>461</v>
      </c>
      <c r="W2574" s="2" t="s">
        <v>609</v>
      </c>
      <c r="X2574" s="2" t="s">
        <v>493</v>
      </c>
      <c r="Y2574" s="2" t="s">
        <v>3720</v>
      </c>
      <c r="Z2574" s="4">
        <v>811</v>
      </c>
      <c r="AA2574" s="4">
        <f>=ROUNDDOWN(45.0555555555556,0)</f>
      </c>
      <c r="AB2574" s="5">
        <v>18</v>
      </c>
      <c r="AC2574" s="2" t="s">
        <v>130</v>
      </c>
      <c r="AD2574" s="4">
        <v>20</v>
      </c>
      <c r="AE2574" s="4">
        <v>20</v>
      </c>
      <c r="AF2574" s="6">
        <v>70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/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 t="s">
        <v>100</v>
      </c>
      <c r="BJ2574" s="4">
        <v>46</v>
      </c>
      <c r="BK2574" s="8">
        <v>1656.33</v>
      </c>
      <c r="BL2574" s="2" t="s">
        <v>9112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905</v>
      </c>
      <c r="BX2574" s="2" t="s">
        <v>1924</v>
      </c>
      <c r="BY2574" s="2" t="s">
        <v>112</v>
      </c>
      <c r="BZ2574" s="2" t="s">
        <v>100</v>
      </c>
    </row>
    <row r="2575">
      <c r="A2575" s="2" t="s">
        <v>9113</v>
      </c>
      <c r="B2575" s="2" t="s">
        <v>9043</v>
      </c>
      <c r="C2575" s="2" t="s">
        <v>5095</v>
      </c>
      <c r="D2575" s="2" t="s">
        <v>9044</v>
      </c>
      <c r="E2575" s="2" t="s">
        <v>9045</v>
      </c>
      <c r="F2575" s="2" t="s">
        <v>9046</v>
      </c>
      <c r="G2575" s="2" t="s">
        <v>9046</v>
      </c>
      <c r="H2575" s="2" t="s">
        <v>9046</v>
      </c>
      <c r="I2575" s="2" t="s">
        <v>9047</v>
      </c>
      <c r="J2575" s="2" t="s">
        <v>118</v>
      </c>
      <c r="K2575" s="2" t="s">
        <v>4362</v>
      </c>
      <c r="L2575" s="3">
        <v>33.08</v>
      </c>
      <c r="M2575" s="3">
        <v>34.73</v>
      </c>
      <c r="N2575" s="3">
        <v>69.99</v>
      </c>
      <c r="O2575" s="2" t="s">
        <v>97</v>
      </c>
      <c r="P2575" s="2" t="s">
        <v>98</v>
      </c>
      <c r="Q2575" s="2" t="s">
        <v>99</v>
      </c>
      <c r="R2575" s="2" t="s">
        <v>100</v>
      </c>
      <c r="S2575" s="2" t="s">
        <v>9109</v>
      </c>
      <c r="T2575" s="2" t="s">
        <v>4529</v>
      </c>
      <c r="U2575" s="2" t="s">
        <v>1228</v>
      </c>
      <c r="V2575" s="2" t="s">
        <v>461</v>
      </c>
      <c r="W2575" s="2" t="s">
        <v>609</v>
      </c>
      <c r="X2575" s="2" t="s">
        <v>493</v>
      </c>
      <c r="Y2575" s="2" t="s">
        <v>3720</v>
      </c>
      <c r="Z2575" s="4">
        <v>288</v>
      </c>
      <c r="AA2575" s="4">
        <f>=ROUNDDOWN(28.8,0)</f>
      </c>
      <c r="AB2575" s="5">
        <v>10</v>
      </c>
      <c r="AC2575" s="2" t="s">
        <v>173</v>
      </c>
      <c r="AD2575" s="4">
        <v>40</v>
      </c>
      <c r="AE2575" s="4">
        <v>70</v>
      </c>
      <c r="AF2575" s="6">
        <v>70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/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 t="s">
        <v>100</v>
      </c>
      <c r="BJ2575" s="4">
        <v>29</v>
      </c>
      <c r="BK2575" s="8">
        <v>1021.59</v>
      </c>
      <c r="BL2575" s="2" t="s">
        <v>9107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905</v>
      </c>
      <c r="BX2575" s="2" t="s">
        <v>9114</v>
      </c>
      <c r="BY2575" s="2" t="s">
        <v>112</v>
      </c>
      <c r="BZ2575" s="2" t="s">
        <v>100</v>
      </c>
    </row>
    <row r="2576">
      <c r="A2576" s="2" t="s">
        <v>9115</v>
      </c>
      <c r="B2576" s="2" t="s">
        <v>9043</v>
      </c>
      <c r="C2576" s="2" t="s">
        <v>5095</v>
      </c>
      <c r="D2576" s="2" t="s">
        <v>9044</v>
      </c>
      <c r="E2576" s="2" t="s">
        <v>9045</v>
      </c>
      <c r="F2576" s="2" t="s">
        <v>9046</v>
      </c>
      <c r="G2576" s="2" t="s">
        <v>9046</v>
      </c>
      <c r="H2576" s="2" t="s">
        <v>9046</v>
      </c>
      <c r="I2576" s="2" t="s">
        <v>9047</v>
      </c>
      <c r="J2576" s="2" t="s">
        <v>490</v>
      </c>
      <c r="K2576" s="2" t="s">
        <v>856</v>
      </c>
      <c r="L2576" s="3">
        <v>27.72</v>
      </c>
      <c r="M2576" s="3">
        <v>29.11</v>
      </c>
      <c r="N2576" s="3">
        <v>59.99</v>
      </c>
      <c r="O2576" s="2" t="s">
        <v>97</v>
      </c>
      <c r="P2576" s="2" t="s">
        <v>98</v>
      </c>
      <c r="Q2576" s="2" t="s">
        <v>99</v>
      </c>
      <c r="R2576" s="2" t="s">
        <v>100</v>
      </c>
      <c r="S2576" s="2" t="s">
        <v>9116</v>
      </c>
      <c r="T2576" s="2" t="s">
        <v>4529</v>
      </c>
      <c r="U2576" s="2" t="s">
        <v>1228</v>
      </c>
      <c r="V2576" s="2" t="s">
        <v>461</v>
      </c>
      <c r="W2576" s="2" t="s">
        <v>609</v>
      </c>
      <c r="X2576" s="2" t="s">
        <v>493</v>
      </c>
      <c r="Y2576" s="2" t="s">
        <v>2403</v>
      </c>
      <c r="Z2576" s="4">
        <v>96</v>
      </c>
      <c r="AA2576" s="4">
        <f>=ROUNDDOWN(12,0)</f>
      </c>
      <c r="AB2576" s="5">
        <v>8</v>
      </c>
      <c r="AC2576" s="2" t="s">
        <v>173</v>
      </c>
      <c r="AD2576" s="4">
        <v>100</v>
      </c>
      <c r="AE2576" s="4">
        <v>100</v>
      </c>
      <c r="AF2576" s="6">
        <v>70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/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 t="s">
        <v>100</v>
      </c>
      <c r="BJ2576" s="4">
        <v>27</v>
      </c>
      <c r="BK2576" s="8">
        <v>814.34</v>
      </c>
      <c r="BL2576" s="2" t="s">
        <v>9107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109</v>
      </c>
      <c r="BV2576" s="2" t="s">
        <v>97</v>
      </c>
      <c r="BW2576" s="2" t="s">
        <v>9100</v>
      </c>
      <c r="BX2576" s="2" t="s">
        <v>9117</v>
      </c>
      <c r="BY2576" s="2" t="s">
        <v>112</v>
      </c>
      <c r="BZ2576" s="2" t="s">
        <v>100</v>
      </c>
    </row>
    <row r="2577">
      <c r="A2577" s="2" t="s">
        <v>9118</v>
      </c>
      <c r="B2577" s="2" t="s">
        <v>9043</v>
      </c>
      <c r="C2577" s="2" t="s">
        <v>5095</v>
      </c>
      <c r="D2577" s="2" t="s">
        <v>9044</v>
      </c>
      <c r="E2577" s="2" t="s">
        <v>9045</v>
      </c>
      <c r="F2577" s="2" t="s">
        <v>9046</v>
      </c>
      <c r="G2577" s="2" t="s">
        <v>9046</v>
      </c>
      <c r="H2577" s="2" t="s">
        <v>9046</v>
      </c>
      <c r="I2577" s="2" t="s">
        <v>9047</v>
      </c>
      <c r="J2577" s="2" t="s">
        <v>95</v>
      </c>
      <c r="K2577" s="2" t="s">
        <v>856</v>
      </c>
      <c r="L2577" s="3">
        <v>30.71</v>
      </c>
      <c r="M2577" s="3">
        <v>32.25</v>
      </c>
      <c r="N2577" s="3">
        <v>64.99</v>
      </c>
      <c r="O2577" s="2" t="s">
        <v>97</v>
      </c>
      <c r="P2577" s="2" t="s">
        <v>123</v>
      </c>
      <c r="Q2577" s="2" t="s">
        <v>99</v>
      </c>
      <c r="R2577" s="2" t="s">
        <v>100</v>
      </c>
      <c r="S2577" s="2" t="s">
        <v>9116</v>
      </c>
      <c r="T2577" s="2" t="s">
        <v>4529</v>
      </c>
      <c r="U2577" s="2" t="s">
        <v>1228</v>
      </c>
      <c r="V2577" s="2" t="s">
        <v>461</v>
      </c>
      <c r="W2577" s="2" t="s">
        <v>609</v>
      </c>
      <c r="X2577" s="2" t="s">
        <v>493</v>
      </c>
      <c r="Y2577" s="2" t="s">
        <v>2403</v>
      </c>
      <c r="Z2577" s="4">
        <v>919</v>
      </c>
      <c r="AA2577" s="4">
        <f>=ROUNDDOWN(27.0294117647059,0)</f>
      </c>
      <c r="AB2577" s="5">
        <v>34</v>
      </c>
      <c r="AC2577" s="2" t="s">
        <v>173</v>
      </c>
      <c r="AD2577" s="4">
        <v>200</v>
      </c>
      <c r="AE2577" s="4">
        <v>200</v>
      </c>
      <c r="AF2577" s="6">
        <v>70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 t="s">
        <v>100</v>
      </c>
      <c r="AW2577" s="8" t="s">
        <v>100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/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 t="s">
        <v>100</v>
      </c>
      <c r="BJ2577" s="4">
        <v>97</v>
      </c>
      <c r="BK2577" s="8">
        <v>3242.75</v>
      </c>
      <c r="BL2577" s="2" t="s">
        <v>1421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109</v>
      </c>
      <c r="BV2577" s="2" t="s">
        <v>97</v>
      </c>
      <c r="BW2577" s="2" t="s">
        <v>9100</v>
      </c>
      <c r="BX2577" s="2" t="s">
        <v>6843</v>
      </c>
      <c r="BY2577" s="2" t="s">
        <v>112</v>
      </c>
      <c r="BZ2577" s="2" t="s">
        <v>100</v>
      </c>
    </row>
    <row r="2578">
      <c r="A2578" s="2" t="s">
        <v>9119</v>
      </c>
      <c r="B2578" s="2" t="s">
        <v>9043</v>
      </c>
      <c r="C2578" s="2" t="s">
        <v>5095</v>
      </c>
      <c r="D2578" s="2" t="s">
        <v>9044</v>
      </c>
      <c r="E2578" s="2" t="s">
        <v>9045</v>
      </c>
      <c r="F2578" s="2" t="s">
        <v>9046</v>
      </c>
      <c r="G2578" s="2" t="s">
        <v>9046</v>
      </c>
      <c r="H2578" s="2" t="s">
        <v>9046</v>
      </c>
      <c r="I2578" s="2" t="s">
        <v>9047</v>
      </c>
      <c r="J2578" s="2" t="s">
        <v>114</v>
      </c>
      <c r="K2578" s="2" t="s">
        <v>856</v>
      </c>
      <c r="L2578" s="3">
        <v>33.08</v>
      </c>
      <c r="M2578" s="3">
        <v>34.73</v>
      </c>
      <c r="N2578" s="3">
        <v>69.99</v>
      </c>
      <c r="O2578" s="2" t="s">
        <v>97</v>
      </c>
      <c r="P2578" s="2" t="s">
        <v>156</v>
      </c>
      <c r="Q2578" s="2" t="s">
        <v>99</v>
      </c>
      <c r="R2578" s="2" t="s">
        <v>100</v>
      </c>
      <c r="S2578" s="2" t="s">
        <v>9116</v>
      </c>
      <c r="T2578" s="2" t="s">
        <v>4529</v>
      </c>
      <c r="U2578" s="2" t="s">
        <v>1228</v>
      </c>
      <c r="V2578" s="2" t="s">
        <v>461</v>
      </c>
      <c r="W2578" s="2" t="s">
        <v>609</v>
      </c>
      <c r="X2578" s="2" t="s">
        <v>493</v>
      </c>
      <c r="Y2578" s="2" t="s">
        <v>2403</v>
      </c>
      <c r="Z2578" s="4">
        <v>730</v>
      </c>
      <c r="AA2578" s="4">
        <f>=ROUNDDOWN(28.968253968254,0)</f>
      </c>
      <c r="AB2578" s="5">
        <v>25.2</v>
      </c>
      <c r="AC2578" s="2" t="s">
        <v>173</v>
      </c>
      <c r="AD2578" s="4">
        <v>110</v>
      </c>
      <c r="AE2578" s="4">
        <v>110</v>
      </c>
      <c r="AF2578" s="6">
        <v>70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/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 t="s">
        <v>100</v>
      </c>
      <c r="BJ2578" s="4">
        <v>81</v>
      </c>
      <c r="BK2578" s="8">
        <v>2907.69</v>
      </c>
      <c r="BL2578" s="2" t="s">
        <v>9104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9100</v>
      </c>
      <c r="BX2578" s="2" t="s">
        <v>6409</v>
      </c>
      <c r="BY2578" s="2" t="s">
        <v>112</v>
      </c>
      <c r="BZ2578" s="2" t="s">
        <v>100</v>
      </c>
    </row>
    <row r="2579">
      <c r="A2579" s="2" t="s">
        <v>9120</v>
      </c>
      <c r="B2579" s="2" t="s">
        <v>9043</v>
      </c>
      <c r="C2579" s="2" t="s">
        <v>5095</v>
      </c>
      <c r="D2579" s="2" t="s">
        <v>9044</v>
      </c>
      <c r="E2579" s="2" t="s">
        <v>9045</v>
      </c>
      <c r="F2579" s="2" t="s">
        <v>9046</v>
      </c>
      <c r="G2579" s="2" t="s">
        <v>9046</v>
      </c>
      <c r="H2579" s="2" t="s">
        <v>9046</v>
      </c>
      <c r="I2579" s="2" t="s">
        <v>9047</v>
      </c>
      <c r="J2579" s="2" t="s">
        <v>118</v>
      </c>
      <c r="K2579" s="2" t="s">
        <v>856</v>
      </c>
      <c r="L2579" s="3">
        <v>33.08</v>
      </c>
      <c r="M2579" s="3">
        <v>34.73</v>
      </c>
      <c r="N2579" s="3">
        <v>69.99</v>
      </c>
      <c r="O2579" s="2" t="s">
        <v>97</v>
      </c>
      <c r="P2579" s="2" t="s">
        <v>98</v>
      </c>
      <c r="Q2579" s="2" t="s">
        <v>99</v>
      </c>
      <c r="R2579" s="2" t="s">
        <v>100</v>
      </c>
      <c r="S2579" s="2" t="s">
        <v>9116</v>
      </c>
      <c r="T2579" s="2" t="s">
        <v>4529</v>
      </c>
      <c r="U2579" s="2" t="s">
        <v>1228</v>
      </c>
      <c r="V2579" s="2" t="s">
        <v>461</v>
      </c>
      <c r="W2579" s="2" t="s">
        <v>609</v>
      </c>
      <c r="X2579" s="2" t="s">
        <v>493</v>
      </c>
      <c r="Y2579" s="2" t="s">
        <v>2403</v>
      </c>
      <c r="Z2579" s="4">
        <v>181</v>
      </c>
      <c r="AA2579" s="4">
        <f>=ROUNDDOWN(24.1333333333333,0)</f>
      </c>
      <c r="AB2579" s="5">
        <v>7.5</v>
      </c>
      <c r="AC2579" s="2" t="s">
        <v>173</v>
      </c>
      <c r="AD2579" s="4">
        <v>140</v>
      </c>
      <c r="AE2579" s="4">
        <v>140</v>
      </c>
      <c r="AF2579" s="6">
        <v>70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 t="s">
        <v>100</v>
      </c>
      <c r="AW2579" s="8" t="s">
        <v>100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/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 t="s">
        <v>100</v>
      </c>
      <c r="BJ2579" s="4">
        <v>23</v>
      </c>
      <c r="BK2579" s="8">
        <v>805.65</v>
      </c>
      <c r="BL2579" s="2" t="s">
        <v>9121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109</v>
      </c>
      <c r="BV2579" s="2" t="s">
        <v>97</v>
      </c>
      <c r="BW2579" s="2" t="s">
        <v>9100</v>
      </c>
      <c r="BX2579" s="2" t="s">
        <v>9122</v>
      </c>
      <c r="BY2579" s="2" t="s">
        <v>112</v>
      </c>
      <c r="BZ2579" s="2" t="s">
        <v>100</v>
      </c>
    </row>
    <row r="2580">
      <c r="A2580" s="2" t="s">
        <v>9123</v>
      </c>
      <c r="B2580" s="2" t="s">
        <v>9043</v>
      </c>
      <c r="C2580" s="2" t="s">
        <v>5095</v>
      </c>
      <c r="D2580" s="2" t="s">
        <v>9044</v>
      </c>
      <c r="E2580" s="2" t="s">
        <v>9045</v>
      </c>
      <c r="F2580" s="2" t="s">
        <v>9046</v>
      </c>
      <c r="G2580" s="2" t="s">
        <v>9046</v>
      </c>
      <c r="H2580" s="2" t="s">
        <v>9046</v>
      </c>
      <c r="I2580" s="2" t="s">
        <v>9047</v>
      </c>
      <c r="J2580" s="2" t="s">
        <v>490</v>
      </c>
      <c r="K2580" s="2" t="s">
        <v>386</v>
      </c>
      <c r="L2580" s="3">
        <v>27.72</v>
      </c>
      <c r="M2580" s="3">
        <v>29.11</v>
      </c>
      <c r="N2580" s="3">
        <v>59.99</v>
      </c>
      <c r="O2580" s="2" t="s">
        <v>97</v>
      </c>
      <c r="P2580" s="2" t="s">
        <v>98</v>
      </c>
      <c r="Q2580" s="2" t="s">
        <v>99</v>
      </c>
      <c r="R2580" s="2" t="s">
        <v>100</v>
      </c>
      <c r="S2580" s="2" t="s">
        <v>9124</v>
      </c>
      <c r="T2580" s="2" t="s">
        <v>4529</v>
      </c>
      <c r="U2580" s="2" t="s">
        <v>1228</v>
      </c>
      <c r="V2580" s="2" t="s">
        <v>461</v>
      </c>
      <c r="W2580" s="2" t="s">
        <v>609</v>
      </c>
      <c r="X2580" s="2" t="s">
        <v>493</v>
      </c>
      <c r="Y2580" s="2" t="s">
        <v>2403</v>
      </c>
      <c r="Z2580" s="4">
        <v>212</v>
      </c>
      <c r="AA2580" s="4">
        <f>=ROUNDDOWN(19.2727272727273,0)</f>
      </c>
      <c r="AB2580" s="5">
        <v>11</v>
      </c>
      <c r="AC2580" s="2" t="s">
        <v>173</v>
      </c>
      <c r="AD2580" s="4">
        <v>60</v>
      </c>
      <c r="AE2580" s="4">
        <v>60</v>
      </c>
      <c r="AF2580" s="6">
        <v>70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/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 t="s">
        <v>100</v>
      </c>
      <c r="BJ2580" s="4">
        <v>28</v>
      </c>
      <c r="BK2580" s="8">
        <v>847.22</v>
      </c>
      <c r="BL2580" s="2" t="s">
        <v>9125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9100</v>
      </c>
      <c r="BX2580" s="2" t="s">
        <v>9126</v>
      </c>
      <c r="BY2580" s="2" t="s">
        <v>112</v>
      </c>
      <c r="BZ2580" s="2" t="s">
        <v>100</v>
      </c>
    </row>
    <row r="2581">
      <c r="A2581" s="2" t="s">
        <v>9127</v>
      </c>
      <c r="B2581" s="2" t="s">
        <v>9043</v>
      </c>
      <c r="C2581" s="2" t="s">
        <v>5095</v>
      </c>
      <c r="D2581" s="2" t="s">
        <v>9044</v>
      </c>
      <c r="E2581" s="2" t="s">
        <v>9045</v>
      </c>
      <c r="F2581" s="2" t="s">
        <v>9046</v>
      </c>
      <c r="G2581" s="2" t="s">
        <v>9046</v>
      </c>
      <c r="H2581" s="2" t="s">
        <v>9046</v>
      </c>
      <c r="I2581" s="2" t="s">
        <v>9047</v>
      </c>
      <c r="J2581" s="2" t="s">
        <v>95</v>
      </c>
      <c r="K2581" s="2" t="s">
        <v>386</v>
      </c>
      <c r="L2581" s="3">
        <v>30.71</v>
      </c>
      <c r="M2581" s="3">
        <v>32.25</v>
      </c>
      <c r="N2581" s="3">
        <v>64.99</v>
      </c>
      <c r="O2581" s="2" t="s">
        <v>97</v>
      </c>
      <c r="P2581" s="2" t="s">
        <v>123</v>
      </c>
      <c r="Q2581" s="2" t="s">
        <v>99</v>
      </c>
      <c r="R2581" s="2" t="s">
        <v>100</v>
      </c>
      <c r="S2581" s="2" t="s">
        <v>9124</v>
      </c>
      <c r="T2581" s="2" t="s">
        <v>4529</v>
      </c>
      <c r="U2581" s="2" t="s">
        <v>1228</v>
      </c>
      <c r="V2581" s="2" t="s">
        <v>461</v>
      </c>
      <c r="W2581" s="2" t="s">
        <v>609</v>
      </c>
      <c r="X2581" s="2" t="s">
        <v>493</v>
      </c>
      <c r="Y2581" s="2" t="s">
        <v>2403</v>
      </c>
      <c r="Z2581" s="4">
        <v>896</v>
      </c>
      <c r="AA2581" s="4">
        <f>=ROUNDDOWN(21.4354066985646,0)</f>
      </c>
      <c r="AB2581" s="5">
        <v>41.8</v>
      </c>
      <c r="AC2581" s="2" t="s">
        <v>173</v>
      </c>
      <c r="AD2581" s="4">
        <v>280</v>
      </c>
      <c r="AE2581" s="4">
        <v>280</v>
      </c>
      <c r="AF2581" s="6">
        <v>70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/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 t="s">
        <v>100</v>
      </c>
      <c r="BJ2581" s="4">
        <v>128</v>
      </c>
      <c r="BK2581" s="8">
        <v>4199.09</v>
      </c>
      <c r="BL2581" s="2" t="s">
        <v>9128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9100</v>
      </c>
      <c r="BX2581" s="2" t="s">
        <v>5228</v>
      </c>
      <c r="BY2581" s="2" t="s">
        <v>112</v>
      </c>
      <c r="BZ2581" s="2" t="s">
        <v>100</v>
      </c>
    </row>
    <row r="2582">
      <c r="A2582" s="2" t="s">
        <v>9129</v>
      </c>
      <c r="B2582" s="2" t="s">
        <v>9043</v>
      </c>
      <c r="C2582" s="2" t="s">
        <v>5095</v>
      </c>
      <c r="D2582" s="2" t="s">
        <v>9044</v>
      </c>
      <c r="E2582" s="2" t="s">
        <v>9045</v>
      </c>
      <c r="F2582" s="2" t="s">
        <v>9046</v>
      </c>
      <c r="G2582" s="2" t="s">
        <v>9046</v>
      </c>
      <c r="H2582" s="2" t="s">
        <v>9046</v>
      </c>
      <c r="I2582" s="2" t="s">
        <v>9047</v>
      </c>
      <c r="J2582" s="2" t="s">
        <v>114</v>
      </c>
      <c r="K2582" s="2" t="s">
        <v>386</v>
      </c>
      <c r="L2582" s="3">
        <v>33.08</v>
      </c>
      <c r="M2582" s="3">
        <v>34.73</v>
      </c>
      <c r="N2582" s="3">
        <v>69.99</v>
      </c>
      <c r="O2582" s="2" t="s">
        <v>97</v>
      </c>
      <c r="P2582" s="2" t="s">
        <v>156</v>
      </c>
      <c r="Q2582" s="2" t="s">
        <v>99</v>
      </c>
      <c r="R2582" s="2" t="s">
        <v>100</v>
      </c>
      <c r="S2582" s="2" t="s">
        <v>9124</v>
      </c>
      <c r="T2582" s="2" t="s">
        <v>4529</v>
      </c>
      <c r="U2582" s="2" t="s">
        <v>1228</v>
      </c>
      <c r="V2582" s="2" t="s">
        <v>461</v>
      </c>
      <c r="W2582" s="2" t="s">
        <v>609</v>
      </c>
      <c r="X2582" s="2" t="s">
        <v>493</v>
      </c>
      <c r="Y2582" s="2" t="s">
        <v>2403</v>
      </c>
      <c r="Z2582" s="4">
        <v>336</v>
      </c>
      <c r="AA2582" s="4">
        <f>=ROUNDDOWN(15.4128440366972,0)</f>
      </c>
      <c r="AB2582" s="5">
        <v>21.8</v>
      </c>
      <c r="AC2582" s="2" t="s">
        <v>173</v>
      </c>
      <c r="AD2582" s="4">
        <v>180</v>
      </c>
      <c r="AE2582" s="4">
        <v>180</v>
      </c>
      <c r="AF2582" s="6">
        <v>70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 t="s">
        <v>100</v>
      </c>
      <c r="AW2582" s="8" t="s">
        <v>100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/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 t="s">
        <v>100</v>
      </c>
      <c r="BJ2582" s="4">
        <v>71</v>
      </c>
      <c r="BK2582" s="8">
        <v>2498.43</v>
      </c>
      <c r="BL2582" s="2" t="s">
        <v>9130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9100</v>
      </c>
      <c r="BX2582" s="2" t="s">
        <v>4202</v>
      </c>
      <c r="BY2582" s="2" t="s">
        <v>112</v>
      </c>
      <c r="BZ2582" s="2" t="s">
        <v>100</v>
      </c>
    </row>
    <row r="2583">
      <c r="A2583" s="2" t="s">
        <v>9131</v>
      </c>
      <c r="B2583" s="2" t="s">
        <v>9043</v>
      </c>
      <c r="C2583" s="2" t="s">
        <v>5095</v>
      </c>
      <c r="D2583" s="2" t="s">
        <v>9044</v>
      </c>
      <c r="E2583" s="2" t="s">
        <v>9045</v>
      </c>
      <c r="F2583" s="2" t="s">
        <v>9046</v>
      </c>
      <c r="G2583" s="2" t="s">
        <v>9046</v>
      </c>
      <c r="H2583" s="2" t="s">
        <v>9046</v>
      </c>
      <c r="I2583" s="2" t="s">
        <v>9047</v>
      </c>
      <c r="J2583" s="2" t="s">
        <v>118</v>
      </c>
      <c r="K2583" s="2" t="s">
        <v>386</v>
      </c>
      <c r="L2583" s="3">
        <v>33.08</v>
      </c>
      <c r="M2583" s="3">
        <v>34.73</v>
      </c>
      <c r="N2583" s="3">
        <v>69.99</v>
      </c>
      <c r="O2583" s="2" t="s">
        <v>97</v>
      </c>
      <c r="P2583" s="2" t="s">
        <v>98</v>
      </c>
      <c r="Q2583" s="2" t="s">
        <v>99</v>
      </c>
      <c r="R2583" s="2" t="s">
        <v>100</v>
      </c>
      <c r="S2583" s="2" t="s">
        <v>9124</v>
      </c>
      <c r="T2583" s="2" t="s">
        <v>4529</v>
      </c>
      <c r="U2583" s="2" t="s">
        <v>1228</v>
      </c>
      <c r="V2583" s="2" t="s">
        <v>461</v>
      </c>
      <c r="W2583" s="2" t="s">
        <v>609</v>
      </c>
      <c r="X2583" s="2" t="s">
        <v>493</v>
      </c>
      <c r="Y2583" s="2" t="s">
        <v>2403</v>
      </c>
      <c r="Z2583" s="4">
        <v>45</v>
      </c>
      <c r="AA2583" s="4">
        <f>=ROUNDDOWN(6.42857142857143,0)</f>
      </c>
      <c r="AB2583" s="5">
        <v>7</v>
      </c>
      <c r="AC2583" s="2" t="s">
        <v>173</v>
      </c>
      <c r="AD2583" s="4">
        <v>60</v>
      </c>
      <c r="AE2583" s="4">
        <v>60</v>
      </c>
      <c r="AF2583" s="6">
        <v>70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 t="s">
        <v>100</v>
      </c>
      <c r="AW2583" s="8" t="s">
        <v>100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/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 t="s">
        <v>100</v>
      </c>
      <c r="BJ2583" s="4">
        <v>19</v>
      </c>
      <c r="BK2583" s="8">
        <v>674.6</v>
      </c>
      <c r="BL2583" s="2" t="s">
        <v>9132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9100</v>
      </c>
      <c r="BX2583" s="2" t="s">
        <v>9133</v>
      </c>
      <c r="BY2583" s="2" t="s">
        <v>112</v>
      </c>
      <c r="BZ2583" s="2" t="s">
        <v>100</v>
      </c>
    </row>
    <row r="2584">
      <c r="A2584" s="2" t="s">
        <v>9134</v>
      </c>
      <c r="B2584" s="2" t="s">
        <v>9043</v>
      </c>
      <c r="C2584" s="2" t="s">
        <v>5095</v>
      </c>
      <c r="D2584" s="2" t="s">
        <v>9044</v>
      </c>
      <c r="E2584" s="2" t="s">
        <v>9045</v>
      </c>
      <c r="F2584" s="2" t="s">
        <v>9135</v>
      </c>
      <c r="G2584" s="2" t="s">
        <v>9135</v>
      </c>
      <c r="H2584" s="2" t="s">
        <v>9135</v>
      </c>
      <c r="I2584" s="2" t="s">
        <v>9136</v>
      </c>
      <c r="J2584" s="2" t="s">
        <v>490</v>
      </c>
      <c r="K2584" s="2" t="s">
        <v>4362</v>
      </c>
      <c r="L2584" s="3">
        <v>29.9</v>
      </c>
      <c r="M2584" s="3">
        <v>31.4</v>
      </c>
      <c r="N2584" s="3">
        <v>64.99</v>
      </c>
      <c r="O2584" s="2" t="s">
        <v>97</v>
      </c>
      <c r="P2584" s="2" t="s">
        <v>98</v>
      </c>
      <c r="Q2584" s="2" t="s">
        <v>99</v>
      </c>
      <c r="R2584" s="2" t="s">
        <v>100</v>
      </c>
      <c r="S2584" s="2" t="s">
        <v>9137</v>
      </c>
      <c r="T2584" s="2" t="s">
        <v>4529</v>
      </c>
      <c r="U2584" s="2" t="s">
        <v>1228</v>
      </c>
      <c r="V2584" s="2" t="s">
        <v>461</v>
      </c>
      <c r="W2584" s="2" t="s">
        <v>609</v>
      </c>
      <c r="X2584" s="2" t="s">
        <v>493</v>
      </c>
      <c r="Y2584" s="2" t="s">
        <v>9138</v>
      </c>
      <c r="Z2584" s="4">
        <v>239</v>
      </c>
      <c r="AA2584" s="4">
        <f>=ROUNDDOWN(23.9,0)</f>
      </c>
      <c r="AB2584" s="5">
        <v>10</v>
      </c>
      <c r="AC2584" s="2" t="s">
        <v>9139</v>
      </c>
      <c r="AD2584" s="4">
        <v>160</v>
      </c>
      <c r="AE2584" s="4">
        <v>160</v>
      </c>
      <c r="AF2584" s="6">
        <v>70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>
        <v>2</v>
      </c>
      <c r="AW2584" s="8">
        <v>70.03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/>
      <c r="BC2584" s="4">
        <v>7</v>
      </c>
      <c r="BD2584" s="8">
        <v>241.49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>
        <v>0.29</v>
      </c>
      <c r="BJ2584" s="4">
        <v>37</v>
      </c>
      <c r="BK2584" s="8">
        <v>1286.46</v>
      </c>
      <c r="BL2584" s="2" t="s">
        <v>9140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9100</v>
      </c>
      <c r="BX2584" s="2" t="s">
        <v>9141</v>
      </c>
      <c r="BY2584" s="2" t="s">
        <v>112</v>
      </c>
      <c r="BZ2584" s="2" t="s">
        <v>100</v>
      </c>
    </row>
    <row r="2585">
      <c r="A2585" s="2" t="s">
        <v>9142</v>
      </c>
      <c r="B2585" s="2" t="s">
        <v>9043</v>
      </c>
      <c r="C2585" s="2" t="s">
        <v>5095</v>
      </c>
      <c r="D2585" s="2" t="s">
        <v>9044</v>
      </c>
      <c r="E2585" s="2" t="s">
        <v>9045</v>
      </c>
      <c r="F2585" s="2" t="s">
        <v>9135</v>
      </c>
      <c r="G2585" s="2" t="s">
        <v>9135</v>
      </c>
      <c r="H2585" s="2" t="s">
        <v>9135</v>
      </c>
      <c r="I2585" s="2" t="s">
        <v>9136</v>
      </c>
      <c r="J2585" s="2" t="s">
        <v>95</v>
      </c>
      <c r="K2585" s="2" t="s">
        <v>4362</v>
      </c>
      <c r="L2585" s="3">
        <v>32.2</v>
      </c>
      <c r="M2585" s="3">
        <v>33.81</v>
      </c>
      <c r="N2585" s="3">
        <v>69.99</v>
      </c>
      <c r="O2585" s="2" t="s">
        <v>97</v>
      </c>
      <c r="P2585" s="2" t="s">
        <v>139</v>
      </c>
      <c r="Q2585" s="2" t="s">
        <v>99</v>
      </c>
      <c r="R2585" s="2" t="s">
        <v>100</v>
      </c>
      <c r="S2585" s="2" t="s">
        <v>9137</v>
      </c>
      <c r="T2585" s="2" t="s">
        <v>4529</v>
      </c>
      <c r="U2585" s="2" t="s">
        <v>1228</v>
      </c>
      <c r="V2585" s="2" t="s">
        <v>461</v>
      </c>
      <c r="W2585" s="2" t="s">
        <v>609</v>
      </c>
      <c r="X2585" s="2" t="s">
        <v>493</v>
      </c>
      <c r="Y2585" s="2" t="s">
        <v>9138</v>
      </c>
      <c r="Z2585" s="4">
        <v>753</v>
      </c>
      <c r="AA2585" s="4">
        <f>=ROUNDDOWN(15.06,0)</f>
      </c>
      <c r="AB2585" s="5">
        <v>50</v>
      </c>
      <c r="AC2585" s="2" t="s">
        <v>2008</v>
      </c>
      <c r="AD2585" s="4">
        <v>180</v>
      </c>
      <c r="AE2585" s="4">
        <v>1300</v>
      </c>
      <c r="AF2585" s="6">
        <v>70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1</v>
      </c>
      <c r="AQ2585" s="8">
        <v>33.81</v>
      </c>
      <c r="AR2585" s="4"/>
      <c r="AS2585" s="8"/>
      <c r="AT2585" s="7"/>
      <c r="AU2585" s="7"/>
      <c r="AV2585" s="4" t="s">
        <v>100</v>
      </c>
      <c r="AW2585" s="8" t="s">
        <v>100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>
        <v>0.4828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 t="s">
        <v>100</v>
      </c>
      <c r="BJ2585" s="4">
        <v>214</v>
      </c>
      <c r="BK2585" s="8">
        <v>7979.25</v>
      </c>
      <c r="BL2585" s="2" t="s">
        <v>9143</v>
      </c>
      <c r="BM2585" s="7">
        <v>0.0047</v>
      </c>
      <c r="BN2585" s="7">
        <v>0.0042</v>
      </c>
      <c r="BO2585" s="4">
        <v>1</v>
      </c>
      <c r="BP2585" s="8">
        <v>33.81</v>
      </c>
      <c r="BQ2585" s="4"/>
      <c r="BR2585" s="8"/>
      <c r="BS2585" s="7"/>
      <c r="BT2585" s="7"/>
      <c r="BU2585" s="2" t="s">
        <v>109</v>
      </c>
      <c r="BV2585" s="2" t="s">
        <v>97</v>
      </c>
      <c r="BW2585" s="2" t="s">
        <v>9100</v>
      </c>
      <c r="BX2585" s="2" t="s">
        <v>4202</v>
      </c>
      <c r="BY2585" s="2" t="s">
        <v>112</v>
      </c>
      <c r="BZ2585" s="2" t="s">
        <v>100</v>
      </c>
    </row>
    <row r="2586">
      <c r="A2586" s="2" t="s">
        <v>9144</v>
      </c>
      <c r="B2586" s="2" t="s">
        <v>9043</v>
      </c>
      <c r="C2586" s="2" t="s">
        <v>5095</v>
      </c>
      <c r="D2586" s="2" t="s">
        <v>9044</v>
      </c>
      <c r="E2586" s="2" t="s">
        <v>9045</v>
      </c>
      <c r="F2586" s="2" t="s">
        <v>9135</v>
      </c>
      <c r="G2586" s="2" t="s">
        <v>9135</v>
      </c>
      <c r="H2586" s="2" t="s">
        <v>9135</v>
      </c>
      <c r="I2586" s="2" t="s">
        <v>9136</v>
      </c>
      <c r="J2586" s="2" t="s">
        <v>114</v>
      </c>
      <c r="K2586" s="2" t="s">
        <v>4362</v>
      </c>
      <c r="L2586" s="3">
        <v>34.5</v>
      </c>
      <c r="M2586" s="3">
        <v>36.22</v>
      </c>
      <c r="N2586" s="3">
        <v>74.99</v>
      </c>
      <c r="O2586" s="2" t="s">
        <v>97</v>
      </c>
      <c r="P2586" s="2" t="s">
        <v>139</v>
      </c>
      <c r="Q2586" s="2" t="s">
        <v>99</v>
      </c>
      <c r="R2586" s="2" t="s">
        <v>100</v>
      </c>
      <c r="S2586" s="2" t="s">
        <v>9137</v>
      </c>
      <c r="T2586" s="2" t="s">
        <v>4529</v>
      </c>
      <c r="U2586" s="2" t="s">
        <v>1228</v>
      </c>
      <c r="V2586" s="2" t="s">
        <v>461</v>
      </c>
      <c r="W2586" s="2" t="s">
        <v>609</v>
      </c>
      <c r="X2586" s="2" t="s">
        <v>493</v>
      </c>
      <c r="Y2586" s="2" t="s">
        <v>9138</v>
      </c>
      <c r="Z2586" s="4">
        <v>324</v>
      </c>
      <c r="AA2586" s="4">
        <f>=ROUNDDOWN(7.04347826086957,0)</f>
      </c>
      <c r="AB2586" s="5">
        <v>46</v>
      </c>
      <c r="AC2586" s="2" t="s">
        <v>2008</v>
      </c>
      <c r="AD2586" s="4">
        <v>320</v>
      </c>
      <c r="AE2586" s="4">
        <v>1221</v>
      </c>
      <c r="AF2586" s="6">
        <v>70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1</v>
      </c>
      <c r="AQ2586" s="8">
        <v>36.22</v>
      </c>
      <c r="AR2586" s="4"/>
      <c r="AS2586" s="8"/>
      <c r="AT2586" s="7"/>
      <c r="AU2586" s="7"/>
      <c r="AV2586" s="4" t="s">
        <v>100</v>
      </c>
      <c r="AW2586" s="8" t="s">
        <v>100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>
        <v>0.5172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 t="s">
        <v>100</v>
      </c>
      <c r="BJ2586" s="4">
        <v>205</v>
      </c>
      <c r="BK2586" s="8">
        <v>8289.41</v>
      </c>
      <c r="BL2586" s="2" t="s">
        <v>9145</v>
      </c>
      <c r="BM2586" s="7">
        <v>0.0049</v>
      </c>
      <c r="BN2586" s="7">
        <v>0.0044</v>
      </c>
      <c r="BO2586" s="4">
        <v>1</v>
      </c>
      <c r="BP2586" s="8">
        <v>36.22</v>
      </c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9100</v>
      </c>
      <c r="BX2586" s="2" t="s">
        <v>6214</v>
      </c>
      <c r="BY2586" s="2" t="s">
        <v>112</v>
      </c>
      <c r="BZ2586" s="2" t="s">
        <v>100</v>
      </c>
    </row>
    <row r="2587">
      <c r="A2587" s="2" t="s">
        <v>9146</v>
      </c>
      <c r="B2587" s="2" t="s">
        <v>9043</v>
      </c>
      <c r="C2587" s="2" t="s">
        <v>5095</v>
      </c>
      <c r="D2587" s="2" t="s">
        <v>9044</v>
      </c>
      <c r="E2587" s="2" t="s">
        <v>9045</v>
      </c>
      <c r="F2587" s="2" t="s">
        <v>9135</v>
      </c>
      <c r="G2587" s="2" t="s">
        <v>9135</v>
      </c>
      <c r="H2587" s="2" t="s">
        <v>9135</v>
      </c>
      <c r="I2587" s="2" t="s">
        <v>9136</v>
      </c>
      <c r="J2587" s="2" t="s">
        <v>118</v>
      </c>
      <c r="K2587" s="2" t="s">
        <v>4362</v>
      </c>
      <c r="L2587" s="3">
        <v>34.5</v>
      </c>
      <c r="M2587" s="3">
        <v>36.22</v>
      </c>
      <c r="N2587" s="3">
        <v>74.99</v>
      </c>
      <c r="O2587" s="2" t="s">
        <v>97</v>
      </c>
      <c r="P2587" s="2" t="s">
        <v>98</v>
      </c>
      <c r="Q2587" s="2" t="s">
        <v>99</v>
      </c>
      <c r="R2587" s="2" t="s">
        <v>100</v>
      </c>
      <c r="S2587" s="2" t="s">
        <v>9137</v>
      </c>
      <c r="T2587" s="2" t="s">
        <v>4529</v>
      </c>
      <c r="U2587" s="2" t="s">
        <v>1228</v>
      </c>
      <c r="V2587" s="2" t="s">
        <v>461</v>
      </c>
      <c r="W2587" s="2" t="s">
        <v>609</v>
      </c>
      <c r="X2587" s="2" t="s">
        <v>493</v>
      </c>
      <c r="Y2587" s="2" t="s">
        <v>9138</v>
      </c>
      <c r="Z2587" s="4">
        <v>193</v>
      </c>
      <c r="AA2587" s="4">
        <f>=ROUNDDOWN(16.0833333333333,0)</f>
      </c>
      <c r="AB2587" s="5">
        <v>12</v>
      </c>
      <c r="AC2587" s="2" t="s">
        <v>2008</v>
      </c>
      <c r="AD2587" s="4">
        <v>40</v>
      </c>
      <c r="AE2587" s="4">
        <v>300</v>
      </c>
      <c r="AF2587" s="6">
        <v>70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 t="s">
        <v>100</v>
      </c>
      <c r="AW2587" s="8" t="s">
        <v>100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/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 t="s">
        <v>100</v>
      </c>
      <c r="BJ2587" s="4">
        <v>59</v>
      </c>
      <c r="BK2587" s="8">
        <v>2330.73</v>
      </c>
      <c r="BL2587" s="2" t="s">
        <v>9147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109</v>
      </c>
      <c r="BV2587" s="2" t="s">
        <v>97</v>
      </c>
      <c r="BW2587" s="2" t="s">
        <v>9100</v>
      </c>
      <c r="BX2587" s="2" t="s">
        <v>4371</v>
      </c>
      <c r="BY2587" s="2" t="s">
        <v>112</v>
      </c>
      <c r="BZ2587" s="2" t="s">
        <v>100</v>
      </c>
    </row>
    <row r="2588">
      <c r="A2588" s="2" t="s">
        <v>9148</v>
      </c>
      <c r="B2588" s="2" t="s">
        <v>9043</v>
      </c>
      <c r="C2588" s="2" t="s">
        <v>5095</v>
      </c>
      <c r="D2588" s="2" t="s">
        <v>9044</v>
      </c>
      <c r="E2588" s="2" t="s">
        <v>9045</v>
      </c>
      <c r="F2588" s="2" t="s">
        <v>9135</v>
      </c>
      <c r="G2588" s="2" t="s">
        <v>9135</v>
      </c>
      <c r="H2588" s="2" t="s">
        <v>9135</v>
      </c>
      <c r="I2588" s="2" t="s">
        <v>9136</v>
      </c>
      <c r="J2588" s="2" t="s">
        <v>490</v>
      </c>
      <c r="K2588" s="2" t="s">
        <v>1373</v>
      </c>
      <c r="L2588" s="3">
        <v>29.9</v>
      </c>
      <c r="M2588" s="3">
        <v>31.4</v>
      </c>
      <c r="N2588" s="3">
        <v>64.99</v>
      </c>
      <c r="O2588" s="2" t="s">
        <v>97</v>
      </c>
      <c r="P2588" s="2" t="s">
        <v>98</v>
      </c>
      <c r="Q2588" s="2" t="s">
        <v>99</v>
      </c>
      <c r="R2588" s="2" t="s">
        <v>100</v>
      </c>
      <c r="S2588" s="2" t="s">
        <v>9149</v>
      </c>
      <c r="T2588" s="2" t="s">
        <v>4529</v>
      </c>
      <c r="U2588" s="2" t="s">
        <v>1228</v>
      </c>
      <c r="V2588" s="2" t="s">
        <v>461</v>
      </c>
      <c r="W2588" s="2" t="s">
        <v>609</v>
      </c>
      <c r="X2588" s="2" t="s">
        <v>493</v>
      </c>
      <c r="Y2588" s="2" t="s">
        <v>9138</v>
      </c>
      <c r="Z2588" s="4">
        <v>164</v>
      </c>
      <c r="AA2588" s="4">
        <f>=ROUNDDOWN(10.25,0)</f>
      </c>
      <c r="AB2588" s="5">
        <v>16</v>
      </c>
      <c r="AC2588" s="2" t="s">
        <v>2008</v>
      </c>
      <c r="AD2588" s="4">
        <v>50</v>
      </c>
      <c r="AE2588" s="4">
        <v>250</v>
      </c>
      <c r="AF2588" s="6">
        <v>70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1</v>
      </c>
      <c r="AQ2588" s="8">
        <v>31.4</v>
      </c>
      <c r="AR2588" s="4"/>
      <c r="AS2588" s="8"/>
      <c r="AT2588" s="7"/>
      <c r="AU2588" s="7"/>
      <c r="AV2588" s="4">
        <v>2</v>
      </c>
      <c r="AW2588" s="8">
        <v>65.21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>
        <v>0.4815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>
        <v>0.27</v>
      </c>
      <c r="BJ2588" s="4">
        <v>69</v>
      </c>
      <c r="BK2588" s="8">
        <v>2364.96</v>
      </c>
      <c r="BL2588" s="2" t="s">
        <v>9150</v>
      </c>
      <c r="BM2588" s="7">
        <v>0.0145</v>
      </c>
      <c r="BN2588" s="7">
        <v>0.0133</v>
      </c>
      <c r="BO2588" s="4">
        <v>1</v>
      </c>
      <c r="BP2588" s="8">
        <v>31.4</v>
      </c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9100</v>
      </c>
      <c r="BX2588" s="2" t="s">
        <v>7902</v>
      </c>
      <c r="BY2588" s="2" t="s">
        <v>112</v>
      </c>
      <c r="BZ2588" s="2" t="s">
        <v>100</v>
      </c>
    </row>
    <row r="2589">
      <c r="A2589" s="2" t="s">
        <v>9151</v>
      </c>
      <c r="B2589" s="2" t="s">
        <v>9043</v>
      </c>
      <c r="C2589" s="2" t="s">
        <v>5095</v>
      </c>
      <c r="D2589" s="2" t="s">
        <v>9044</v>
      </c>
      <c r="E2589" s="2" t="s">
        <v>9045</v>
      </c>
      <c r="F2589" s="2" t="s">
        <v>9135</v>
      </c>
      <c r="G2589" s="2" t="s">
        <v>9135</v>
      </c>
      <c r="H2589" s="2" t="s">
        <v>9135</v>
      </c>
      <c r="I2589" s="2" t="s">
        <v>9136</v>
      </c>
      <c r="J2589" s="2" t="s">
        <v>95</v>
      </c>
      <c r="K2589" s="2" t="s">
        <v>1373</v>
      </c>
      <c r="L2589" s="3">
        <v>32.2</v>
      </c>
      <c r="M2589" s="3">
        <v>33.81</v>
      </c>
      <c r="N2589" s="3">
        <v>69.99</v>
      </c>
      <c r="O2589" s="2" t="s">
        <v>97</v>
      </c>
      <c r="P2589" s="2" t="s">
        <v>139</v>
      </c>
      <c r="Q2589" s="2" t="s">
        <v>99</v>
      </c>
      <c r="R2589" s="2" t="s">
        <v>100</v>
      </c>
      <c r="S2589" s="2" t="s">
        <v>9149</v>
      </c>
      <c r="T2589" s="2" t="s">
        <v>4529</v>
      </c>
      <c r="U2589" s="2" t="s">
        <v>1228</v>
      </c>
      <c r="V2589" s="2" t="s">
        <v>461</v>
      </c>
      <c r="W2589" s="2" t="s">
        <v>609</v>
      </c>
      <c r="X2589" s="2" t="s">
        <v>493</v>
      </c>
      <c r="Y2589" s="2" t="s">
        <v>9138</v>
      </c>
      <c r="Z2589" s="4">
        <v>744</v>
      </c>
      <c r="AA2589" s="4">
        <f>=ROUNDDOWN(12,0)</f>
      </c>
      <c r="AB2589" s="5">
        <v>62</v>
      </c>
      <c r="AC2589" s="2" t="s">
        <v>2008</v>
      </c>
      <c r="AD2589" s="4">
        <v>280</v>
      </c>
      <c r="AE2589" s="4">
        <v>1360</v>
      </c>
      <c r="AF2589" s="6">
        <v>70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1</v>
      </c>
      <c r="AQ2589" s="8">
        <v>33.81</v>
      </c>
      <c r="AR2589" s="4"/>
      <c r="AS2589" s="8"/>
      <c r="AT2589" s="7"/>
      <c r="AU2589" s="7"/>
      <c r="AV2589" s="4" t="s">
        <v>100</v>
      </c>
      <c r="AW2589" s="8" t="s">
        <v>100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>
        <v>0.5185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 t="s">
        <v>100</v>
      </c>
      <c r="BJ2589" s="4">
        <v>275</v>
      </c>
      <c r="BK2589" s="8">
        <v>10284.94</v>
      </c>
      <c r="BL2589" s="2" t="s">
        <v>9152</v>
      </c>
      <c r="BM2589" s="7">
        <v>0.0036</v>
      </c>
      <c r="BN2589" s="7">
        <v>0.0033</v>
      </c>
      <c r="BO2589" s="4">
        <v>1</v>
      </c>
      <c r="BP2589" s="8">
        <v>33.81</v>
      </c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9100</v>
      </c>
      <c r="BX2589" s="2" t="s">
        <v>1526</v>
      </c>
      <c r="BY2589" s="2" t="s">
        <v>112</v>
      </c>
      <c r="BZ2589" s="2" t="s">
        <v>100</v>
      </c>
    </row>
    <row r="2590">
      <c r="A2590" s="2" t="s">
        <v>9153</v>
      </c>
      <c r="B2590" s="2" t="s">
        <v>9043</v>
      </c>
      <c r="C2590" s="2" t="s">
        <v>5095</v>
      </c>
      <c r="D2590" s="2" t="s">
        <v>9044</v>
      </c>
      <c r="E2590" s="2" t="s">
        <v>9045</v>
      </c>
      <c r="F2590" s="2" t="s">
        <v>9135</v>
      </c>
      <c r="G2590" s="2" t="s">
        <v>9135</v>
      </c>
      <c r="H2590" s="2" t="s">
        <v>9135</v>
      </c>
      <c r="I2590" s="2" t="s">
        <v>9136</v>
      </c>
      <c r="J2590" s="2" t="s">
        <v>114</v>
      </c>
      <c r="K2590" s="2" t="s">
        <v>1373</v>
      </c>
      <c r="L2590" s="3">
        <v>34.5</v>
      </c>
      <c r="M2590" s="3">
        <v>36.22</v>
      </c>
      <c r="N2590" s="3">
        <v>74.99</v>
      </c>
      <c r="O2590" s="2" t="s">
        <v>97</v>
      </c>
      <c r="P2590" s="2" t="s">
        <v>139</v>
      </c>
      <c r="Q2590" s="2" t="s">
        <v>99</v>
      </c>
      <c r="R2590" s="2" t="s">
        <v>100</v>
      </c>
      <c r="S2590" s="2" t="s">
        <v>9149</v>
      </c>
      <c r="T2590" s="2" t="s">
        <v>4529</v>
      </c>
      <c r="U2590" s="2" t="s">
        <v>1228</v>
      </c>
      <c r="V2590" s="2" t="s">
        <v>461</v>
      </c>
      <c r="W2590" s="2" t="s">
        <v>609</v>
      </c>
      <c r="X2590" s="2" t="s">
        <v>493</v>
      </c>
      <c r="Y2590" s="2" t="s">
        <v>9138</v>
      </c>
      <c r="Z2590" s="4">
        <v>593</v>
      </c>
      <c r="AA2590" s="4">
        <f>=ROUNDDOWN(11.6274509803922,0)</f>
      </c>
      <c r="AB2590" s="5">
        <v>51</v>
      </c>
      <c r="AC2590" s="2" t="s">
        <v>2008</v>
      </c>
      <c r="AD2590" s="4">
        <v>230</v>
      </c>
      <c r="AE2590" s="4">
        <v>1230</v>
      </c>
      <c r="AF2590" s="6">
        <v>70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 t="s">
        <v>100</v>
      </c>
      <c r="AW2590" s="8" t="s">
        <v>100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/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 t="s">
        <v>100</v>
      </c>
      <c r="BJ2590" s="4">
        <v>218</v>
      </c>
      <c r="BK2590" s="8">
        <v>8803.97</v>
      </c>
      <c r="BL2590" s="2" t="s">
        <v>9154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9100</v>
      </c>
      <c r="BX2590" s="2" t="s">
        <v>4339</v>
      </c>
      <c r="BY2590" s="2" t="s">
        <v>112</v>
      </c>
      <c r="BZ2590" s="2" t="s">
        <v>100</v>
      </c>
    </row>
    <row r="2591">
      <c r="A2591" s="2" t="s">
        <v>9155</v>
      </c>
      <c r="B2591" s="2" t="s">
        <v>9043</v>
      </c>
      <c r="C2591" s="2" t="s">
        <v>5095</v>
      </c>
      <c r="D2591" s="2" t="s">
        <v>9044</v>
      </c>
      <c r="E2591" s="2" t="s">
        <v>9045</v>
      </c>
      <c r="F2591" s="2" t="s">
        <v>9135</v>
      </c>
      <c r="G2591" s="2" t="s">
        <v>9135</v>
      </c>
      <c r="H2591" s="2" t="s">
        <v>9135</v>
      </c>
      <c r="I2591" s="2" t="s">
        <v>9136</v>
      </c>
      <c r="J2591" s="2" t="s">
        <v>118</v>
      </c>
      <c r="K2591" s="2" t="s">
        <v>1373</v>
      </c>
      <c r="L2591" s="3">
        <v>34.5</v>
      </c>
      <c r="M2591" s="3">
        <v>36.22</v>
      </c>
      <c r="N2591" s="3">
        <v>74.99</v>
      </c>
      <c r="O2591" s="2" t="s">
        <v>97</v>
      </c>
      <c r="P2591" s="2" t="s">
        <v>98</v>
      </c>
      <c r="Q2591" s="2" t="s">
        <v>99</v>
      </c>
      <c r="R2591" s="2" t="s">
        <v>100</v>
      </c>
      <c r="S2591" s="2" t="s">
        <v>9149</v>
      </c>
      <c r="T2591" s="2" t="s">
        <v>4529</v>
      </c>
      <c r="U2591" s="2" t="s">
        <v>1228</v>
      </c>
      <c r="V2591" s="2" t="s">
        <v>461</v>
      </c>
      <c r="W2591" s="2" t="s">
        <v>609</v>
      </c>
      <c r="X2591" s="2" t="s">
        <v>493</v>
      </c>
      <c r="Y2591" s="2" t="s">
        <v>9138</v>
      </c>
      <c r="Z2591" s="4">
        <v>207</v>
      </c>
      <c r="AA2591" s="4">
        <f>=ROUNDDOWN(17.25,0)</f>
      </c>
      <c r="AB2591" s="5">
        <v>12</v>
      </c>
      <c r="AC2591" s="2" t="s">
        <v>2008</v>
      </c>
      <c r="AD2591" s="4">
        <v>50</v>
      </c>
      <c r="AE2591" s="4">
        <v>270</v>
      </c>
      <c r="AF2591" s="6">
        <v>70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 t="s">
        <v>100</v>
      </c>
      <c r="AW2591" s="8" t="s">
        <v>100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/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 t="s">
        <v>100</v>
      </c>
      <c r="BJ2591" s="4">
        <v>66</v>
      </c>
      <c r="BK2591" s="8">
        <v>2629.92</v>
      </c>
      <c r="BL2591" s="2" t="s">
        <v>9156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9100</v>
      </c>
      <c r="BX2591" s="2" t="s">
        <v>9157</v>
      </c>
      <c r="BY2591" s="2" t="s">
        <v>112</v>
      </c>
      <c r="BZ2591" s="2" t="s">
        <v>100</v>
      </c>
    </row>
    <row r="2592">
      <c r="A2592" s="2" t="s">
        <v>9158</v>
      </c>
      <c r="B2592" s="2" t="s">
        <v>9043</v>
      </c>
      <c r="C2592" s="2" t="s">
        <v>5095</v>
      </c>
      <c r="D2592" s="2" t="s">
        <v>9044</v>
      </c>
      <c r="E2592" s="2" t="s">
        <v>9045</v>
      </c>
      <c r="F2592" s="2" t="s">
        <v>9135</v>
      </c>
      <c r="G2592" s="2" t="s">
        <v>9135</v>
      </c>
      <c r="H2592" s="2" t="s">
        <v>9135</v>
      </c>
      <c r="I2592" s="2" t="s">
        <v>9136</v>
      </c>
      <c r="J2592" s="2" t="s">
        <v>490</v>
      </c>
      <c r="K2592" s="2" t="s">
        <v>1173</v>
      </c>
      <c r="L2592" s="3">
        <v>29.9</v>
      </c>
      <c r="M2592" s="3">
        <v>31.4</v>
      </c>
      <c r="N2592" s="3">
        <v>64.99</v>
      </c>
      <c r="O2592" s="2" t="s">
        <v>97</v>
      </c>
      <c r="P2592" s="2" t="s">
        <v>98</v>
      </c>
      <c r="Q2592" s="2" t="s">
        <v>99</v>
      </c>
      <c r="R2592" s="2" t="s">
        <v>100</v>
      </c>
      <c r="S2592" s="2" t="s">
        <v>9159</v>
      </c>
      <c r="T2592" s="2" t="s">
        <v>4529</v>
      </c>
      <c r="U2592" s="2" t="s">
        <v>1228</v>
      </c>
      <c r="V2592" s="2" t="s">
        <v>461</v>
      </c>
      <c r="W2592" s="2" t="s">
        <v>609</v>
      </c>
      <c r="X2592" s="2" t="s">
        <v>493</v>
      </c>
      <c r="Y2592" s="2" t="s">
        <v>9138</v>
      </c>
      <c r="Z2592" s="4">
        <v>162</v>
      </c>
      <c r="AA2592" s="4">
        <f>=ROUNDDOWN(14.7272727272727,0)</f>
      </c>
      <c r="AB2592" s="5">
        <v>11</v>
      </c>
      <c r="AC2592" s="2" t="s">
        <v>2008</v>
      </c>
      <c r="AD2592" s="4">
        <v>100</v>
      </c>
      <c r="AE2592" s="4">
        <v>320</v>
      </c>
      <c r="AF2592" s="6">
        <v>70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>
        <v>1</v>
      </c>
      <c r="AW2592" s="8">
        <v>36.22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/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>
        <v>0.15</v>
      </c>
      <c r="BJ2592" s="4">
        <v>40</v>
      </c>
      <c r="BK2592" s="8">
        <v>1367.85</v>
      </c>
      <c r="BL2592" s="2" t="s">
        <v>9160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9100</v>
      </c>
      <c r="BX2592" s="2" t="s">
        <v>6093</v>
      </c>
      <c r="BY2592" s="2" t="s">
        <v>112</v>
      </c>
      <c r="BZ2592" s="2" t="s">
        <v>100</v>
      </c>
    </row>
    <row r="2593">
      <c r="A2593" s="2" t="s">
        <v>9161</v>
      </c>
      <c r="B2593" s="2" t="s">
        <v>9043</v>
      </c>
      <c r="C2593" s="2" t="s">
        <v>5095</v>
      </c>
      <c r="D2593" s="2" t="s">
        <v>9044</v>
      </c>
      <c r="E2593" s="2" t="s">
        <v>9045</v>
      </c>
      <c r="F2593" s="2" t="s">
        <v>9135</v>
      </c>
      <c r="G2593" s="2" t="s">
        <v>9135</v>
      </c>
      <c r="H2593" s="2" t="s">
        <v>9135</v>
      </c>
      <c r="I2593" s="2" t="s">
        <v>9136</v>
      </c>
      <c r="J2593" s="2" t="s">
        <v>95</v>
      </c>
      <c r="K2593" s="2" t="s">
        <v>1173</v>
      </c>
      <c r="L2593" s="3">
        <v>32.2</v>
      </c>
      <c r="M2593" s="3">
        <v>33.81</v>
      </c>
      <c r="N2593" s="3">
        <v>69.99</v>
      </c>
      <c r="O2593" s="2" t="s">
        <v>97</v>
      </c>
      <c r="P2593" s="2" t="s">
        <v>123</v>
      </c>
      <c r="Q2593" s="2" t="s">
        <v>99</v>
      </c>
      <c r="R2593" s="2" t="s">
        <v>100</v>
      </c>
      <c r="S2593" s="2" t="s">
        <v>9159</v>
      </c>
      <c r="T2593" s="2" t="s">
        <v>4529</v>
      </c>
      <c r="U2593" s="2" t="s">
        <v>1228</v>
      </c>
      <c r="V2593" s="2" t="s">
        <v>461</v>
      </c>
      <c r="W2593" s="2" t="s">
        <v>609</v>
      </c>
      <c r="X2593" s="2" t="s">
        <v>493</v>
      </c>
      <c r="Y2593" s="2" t="s">
        <v>9138</v>
      </c>
      <c r="Z2593" s="4">
        <v>966</v>
      </c>
      <c r="AA2593" s="4">
        <f>=ROUNDDOWN(16.6551724137931,0)</f>
      </c>
      <c r="AB2593" s="5">
        <v>58</v>
      </c>
      <c r="AC2593" s="2" t="s">
        <v>2008</v>
      </c>
      <c r="AD2593" s="4">
        <v>250</v>
      </c>
      <c r="AE2593" s="4">
        <v>450</v>
      </c>
      <c r="AF2593" s="6">
        <v>70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 t="s">
        <v>100</v>
      </c>
      <c r="AW2593" s="8" t="s">
        <v>100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/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 t="s">
        <v>100</v>
      </c>
      <c r="BJ2593" s="4">
        <v>206</v>
      </c>
      <c r="BK2593" s="8">
        <v>7645</v>
      </c>
      <c r="BL2593" s="2" t="s">
        <v>9162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9100</v>
      </c>
      <c r="BX2593" s="2" t="s">
        <v>9163</v>
      </c>
      <c r="BY2593" s="2" t="s">
        <v>112</v>
      </c>
      <c r="BZ2593" s="2" t="s">
        <v>100</v>
      </c>
    </row>
    <row r="2594">
      <c r="A2594" s="2" t="s">
        <v>9164</v>
      </c>
      <c r="B2594" s="2" t="s">
        <v>9043</v>
      </c>
      <c r="C2594" s="2" t="s">
        <v>5095</v>
      </c>
      <c r="D2594" s="2" t="s">
        <v>9044</v>
      </c>
      <c r="E2594" s="2" t="s">
        <v>9045</v>
      </c>
      <c r="F2594" s="2" t="s">
        <v>9135</v>
      </c>
      <c r="G2594" s="2" t="s">
        <v>9135</v>
      </c>
      <c r="H2594" s="2" t="s">
        <v>9135</v>
      </c>
      <c r="I2594" s="2" t="s">
        <v>9136</v>
      </c>
      <c r="J2594" s="2" t="s">
        <v>114</v>
      </c>
      <c r="K2594" s="2" t="s">
        <v>1173</v>
      </c>
      <c r="L2594" s="3">
        <v>34.5</v>
      </c>
      <c r="M2594" s="3">
        <v>36.22</v>
      </c>
      <c r="N2594" s="3">
        <v>74.99</v>
      </c>
      <c r="O2594" s="2" t="s">
        <v>97</v>
      </c>
      <c r="P2594" s="2" t="s">
        <v>156</v>
      </c>
      <c r="Q2594" s="2" t="s">
        <v>99</v>
      </c>
      <c r="R2594" s="2" t="s">
        <v>100</v>
      </c>
      <c r="S2594" s="2" t="s">
        <v>9159</v>
      </c>
      <c r="T2594" s="2" t="s">
        <v>4529</v>
      </c>
      <c r="U2594" s="2" t="s">
        <v>1228</v>
      </c>
      <c r="V2594" s="2" t="s">
        <v>461</v>
      </c>
      <c r="W2594" s="2" t="s">
        <v>609</v>
      </c>
      <c r="X2594" s="2" t="s">
        <v>493</v>
      </c>
      <c r="Y2594" s="2" t="s">
        <v>9138</v>
      </c>
      <c r="Z2594" s="4">
        <v>761</v>
      </c>
      <c r="AA2594" s="4">
        <f>=ROUNDDOWN(20.0263157894737,0)</f>
      </c>
      <c r="AB2594" s="5">
        <v>38</v>
      </c>
      <c r="AC2594" s="2" t="s">
        <v>389</v>
      </c>
      <c r="AD2594" s="4">
        <v>50</v>
      </c>
      <c r="AE2594" s="4">
        <v>50</v>
      </c>
      <c r="AF2594" s="6">
        <v>70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/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 t="s">
        <v>100</v>
      </c>
      <c r="BJ2594" s="4">
        <v>143</v>
      </c>
      <c r="BK2594" s="8">
        <v>5705.89</v>
      </c>
      <c r="BL2594" s="2" t="s">
        <v>9165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9100</v>
      </c>
      <c r="BX2594" s="2" t="s">
        <v>5073</v>
      </c>
      <c r="BY2594" s="2" t="s">
        <v>112</v>
      </c>
      <c r="BZ2594" s="2" t="s">
        <v>100</v>
      </c>
    </row>
    <row r="2595">
      <c r="A2595" s="2" t="s">
        <v>9166</v>
      </c>
      <c r="B2595" s="2" t="s">
        <v>9043</v>
      </c>
      <c r="C2595" s="2" t="s">
        <v>5095</v>
      </c>
      <c r="D2595" s="2" t="s">
        <v>9044</v>
      </c>
      <c r="E2595" s="2" t="s">
        <v>9045</v>
      </c>
      <c r="F2595" s="2" t="s">
        <v>9135</v>
      </c>
      <c r="G2595" s="2" t="s">
        <v>9135</v>
      </c>
      <c r="H2595" s="2" t="s">
        <v>9135</v>
      </c>
      <c r="I2595" s="2" t="s">
        <v>9136</v>
      </c>
      <c r="J2595" s="2" t="s">
        <v>118</v>
      </c>
      <c r="K2595" s="2" t="s">
        <v>1173</v>
      </c>
      <c r="L2595" s="3">
        <v>34.5</v>
      </c>
      <c r="M2595" s="3">
        <v>36.22</v>
      </c>
      <c r="N2595" s="3">
        <v>74.99</v>
      </c>
      <c r="O2595" s="2" t="s">
        <v>97</v>
      </c>
      <c r="P2595" s="2" t="s">
        <v>98</v>
      </c>
      <c r="Q2595" s="2" t="s">
        <v>99</v>
      </c>
      <c r="R2595" s="2" t="s">
        <v>100</v>
      </c>
      <c r="S2595" s="2" t="s">
        <v>9159</v>
      </c>
      <c r="T2595" s="2" t="s">
        <v>4529</v>
      </c>
      <c r="U2595" s="2" t="s">
        <v>1228</v>
      </c>
      <c r="V2595" s="2" t="s">
        <v>461</v>
      </c>
      <c r="W2595" s="2" t="s">
        <v>609</v>
      </c>
      <c r="X2595" s="2" t="s">
        <v>493</v>
      </c>
      <c r="Y2595" s="2" t="s">
        <v>9138</v>
      </c>
      <c r="Z2595" s="4">
        <v>202</v>
      </c>
      <c r="AA2595" s="4">
        <f>=ROUNDDOWN(16.8333333333333,0)</f>
      </c>
      <c r="AB2595" s="5">
        <v>12</v>
      </c>
      <c r="AC2595" s="2" t="s">
        <v>2008</v>
      </c>
      <c r="AD2595" s="4">
        <v>50</v>
      </c>
      <c r="AE2595" s="4">
        <v>80</v>
      </c>
      <c r="AF2595" s="6">
        <v>70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1</v>
      </c>
      <c r="AQ2595" s="8">
        <v>36.22</v>
      </c>
      <c r="AR2595" s="4"/>
      <c r="AS2595" s="8"/>
      <c r="AT2595" s="7"/>
      <c r="AU2595" s="7"/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1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 t="s">
        <v>100</v>
      </c>
      <c r="BJ2595" s="4">
        <v>41</v>
      </c>
      <c r="BK2595" s="8">
        <v>1609.11</v>
      </c>
      <c r="BL2595" s="2" t="s">
        <v>9167</v>
      </c>
      <c r="BM2595" s="7">
        <v>0.0244</v>
      </c>
      <c r="BN2595" s="7">
        <v>0.0225</v>
      </c>
      <c r="BO2595" s="4">
        <v>1</v>
      </c>
      <c r="BP2595" s="8">
        <v>36.22</v>
      </c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9100</v>
      </c>
      <c r="BX2595" s="2" t="s">
        <v>9168</v>
      </c>
      <c r="BY2595" s="2" t="s">
        <v>112</v>
      </c>
      <c r="BZ2595" s="2" t="s">
        <v>100</v>
      </c>
    </row>
    <row r="2596">
      <c r="A2596" s="2" t="s">
        <v>9169</v>
      </c>
      <c r="B2596" s="2" t="s">
        <v>9043</v>
      </c>
      <c r="C2596" s="2" t="s">
        <v>5095</v>
      </c>
      <c r="D2596" s="2" t="s">
        <v>9044</v>
      </c>
      <c r="E2596" s="2" t="s">
        <v>9045</v>
      </c>
      <c r="F2596" s="2" t="s">
        <v>9135</v>
      </c>
      <c r="G2596" s="2" t="s">
        <v>9135</v>
      </c>
      <c r="H2596" s="2" t="s">
        <v>9135</v>
      </c>
      <c r="I2596" s="2" t="s">
        <v>9136</v>
      </c>
      <c r="J2596" s="2" t="s">
        <v>490</v>
      </c>
      <c r="K2596" s="2" t="s">
        <v>458</v>
      </c>
      <c r="L2596" s="3">
        <v>29.9</v>
      </c>
      <c r="M2596" s="3">
        <v>31.4</v>
      </c>
      <c r="N2596" s="3">
        <v>64.99</v>
      </c>
      <c r="O2596" s="2" t="s">
        <v>97</v>
      </c>
      <c r="P2596" s="2" t="s">
        <v>98</v>
      </c>
      <c r="Q2596" s="2" t="s">
        <v>99</v>
      </c>
      <c r="R2596" s="2" t="s">
        <v>100</v>
      </c>
      <c r="S2596" s="2" t="s">
        <v>9170</v>
      </c>
      <c r="T2596" s="2" t="s">
        <v>4529</v>
      </c>
      <c r="U2596" s="2" t="s">
        <v>1228</v>
      </c>
      <c r="V2596" s="2" t="s">
        <v>461</v>
      </c>
      <c r="W2596" s="2" t="s">
        <v>609</v>
      </c>
      <c r="X2596" s="2" t="s">
        <v>493</v>
      </c>
      <c r="Y2596" s="2" t="s">
        <v>9138</v>
      </c>
      <c r="Z2596" s="4">
        <v>100</v>
      </c>
      <c r="AA2596" s="4">
        <f>=ROUNDDOWN(6.2111801242236,0)</f>
      </c>
      <c r="AB2596" s="5">
        <v>16.1</v>
      </c>
      <c r="AC2596" s="2" t="s">
        <v>2008</v>
      </c>
      <c r="AD2596" s="4">
        <v>90</v>
      </c>
      <c r="AE2596" s="4">
        <v>510</v>
      </c>
      <c r="AF2596" s="6">
        <v>70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>
        <v>1</v>
      </c>
      <c r="AW2596" s="8">
        <v>36.22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/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>
        <v>0.15</v>
      </c>
      <c r="BJ2596" s="4">
        <v>95</v>
      </c>
      <c r="BK2596" s="8">
        <v>3311.44</v>
      </c>
      <c r="BL2596" s="2" t="s">
        <v>9171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9100</v>
      </c>
      <c r="BX2596" s="2" t="s">
        <v>6510</v>
      </c>
      <c r="BY2596" s="2" t="s">
        <v>112</v>
      </c>
      <c r="BZ2596" s="2" t="s">
        <v>100</v>
      </c>
    </row>
    <row r="2597">
      <c r="A2597" s="2" t="s">
        <v>9172</v>
      </c>
      <c r="B2597" s="2" t="s">
        <v>9043</v>
      </c>
      <c r="C2597" s="2" t="s">
        <v>5095</v>
      </c>
      <c r="D2597" s="2" t="s">
        <v>9044</v>
      </c>
      <c r="E2597" s="2" t="s">
        <v>9045</v>
      </c>
      <c r="F2597" s="2" t="s">
        <v>9135</v>
      </c>
      <c r="G2597" s="2" t="s">
        <v>9135</v>
      </c>
      <c r="H2597" s="2" t="s">
        <v>9135</v>
      </c>
      <c r="I2597" s="2" t="s">
        <v>9136</v>
      </c>
      <c r="J2597" s="2" t="s">
        <v>95</v>
      </c>
      <c r="K2597" s="2" t="s">
        <v>458</v>
      </c>
      <c r="L2597" s="3">
        <v>32.2</v>
      </c>
      <c r="M2597" s="3">
        <v>33.81</v>
      </c>
      <c r="N2597" s="3">
        <v>69.99</v>
      </c>
      <c r="O2597" s="2" t="s">
        <v>97</v>
      </c>
      <c r="P2597" s="2" t="s">
        <v>139</v>
      </c>
      <c r="Q2597" s="2" t="s">
        <v>99</v>
      </c>
      <c r="R2597" s="2" t="s">
        <v>100</v>
      </c>
      <c r="S2597" s="2" t="s">
        <v>9170</v>
      </c>
      <c r="T2597" s="2" t="s">
        <v>4529</v>
      </c>
      <c r="U2597" s="2" t="s">
        <v>1228</v>
      </c>
      <c r="V2597" s="2" t="s">
        <v>461</v>
      </c>
      <c r="W2597" s="2" t="s">
        <v>609</v>
      </c>
      <c r="X2597" s="2" t="s">
        <v>493</v>
      </c>
      <c r="Y2597" s="2" t="s">
        <v>9138</v>
      </c>
      <c r="Z2597" s="4">
        <v>490</v>
      </c>
      <c r="AA2597" s="4">
        <f>=ROUNDDOWN(6.53333333333333,0)</f>
      </c>
      <c r="AB2597" s="5">
        <v>75</v>
      </c>
      <c r="AC2597" s="2" t="s">
        <v>2008</v>
      </c>
      <c r="AD2597" s="4">
        <v>300</v>
      </c>
      <c r="AE2597" s="4">
        <v>2000</v>
      </c>
      <c r="AF2597" s="6">
        <v>70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 t="s">
        <v>100</v>
      </c>
      <c r="AW2597" s="8" t="s">
        <v>100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/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 t="s">
        <v>100</v>
      </c>
      <c r="BJ2597" s="4">
        <v>344</v>
      </c>
      <c r="BK2597" s="8">
        <v>13013.34</v>
      </c>
      <c r="BL2597" s="2" t="s">
        <v>9173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9100</v>
      </c>
      <c r="BX2597" s="2" t="s">
        <v>4371</v>
      </c>
      <c r="BY2597" s="2" t="s">
        <v>112</v>
      </c>
      <c r="BZ2597" s="2" t="s">
        <v>100</v>
      </c>
    </row>
    <row r="2598">
      <c r="A2598" s="2" t="s">
        <v>9174</v>
      </c>
      <c r="B2598" s="2" t="s">
        <v>9043</v>
      </c>
      <c r="C2598" s="2" t="s">
        <v>5095</v>
      </c>
      <c r="D2598" s="2" t="s">
        <v>9044</v>
      </c>
      <c r="E2598" s="2" t="s">
        <v>9045</v>
      </c>
      <c r="F2598" s="2" t="s">
        <v>9135</v>
      </c>
      <c r="G2598" s="2" t="s">
        <v>9135</v>
      </c>
      <c r="H2598" s="2" t="s">
        <v>9135</v>
      </c>
      <c r="I2598" s="2" t="s">
        <v>9136</v>
      </c>
      <c r="J2598" s="2" t="s">
        <v>114</v>
      </c>
      <c r="K2598" s="2" t="s">
        <v>458</v>
      </c>
      <c r="L2598" s="3">
        <v>34.5</v>
      </c>
      <c r="M2598" s="3">
        <v>36.22</v>
      </c>
      <c r="N2598" s="3">
        <v>74.99</v>
      </c>
      <c r="O2598" s="2" t="s">
        <v>97</v>
      </c>
      <c r="P2598" s="2" t="s">
        <v>139</v>
      </c>
      <c r="Q2598" s="2" t="s">
        <v>99</v>
      </c>
      <c r="R2598" s="2" t="s">
        <v>100</v>
      </c>
      <c r="S2598" s="2" t="s">
        <v>9170</v>
      </c>
      <c r="T2598" s="2" t="s">
        <v>4529</v>
      </c>
      <c r="U2598" s="2" t="s">
        <v>1228</v>
      </c>
      <c r="V2598" s="2" t="s">
        <v>461</v>
      </c>
      <c r="W2598" s="2" t="s">
        <v>609</v>
      </c>
      <c r="X2598" s="2" t="s">
        <v>493</v>
      </c>
      <c r="Y2598" s="2" t="s">
        <v>9138</v>
      </c>
      <c r="Z2598" s="4">
        <v>651</v>
      </c>
      <c r="AA2598" s="4">
        <f>=ROUNDDOWN(9.71641791044776,0)</f>
      </c>
      <c r="AB2598" s="5">
        <v>67</v>
      </c>
      <c r="AC2598" s="2" t="s">
        <v>2008</v>
      </c>
      <c r="AD2598" s="4">
        <v>150</v>
      </c>
      <c r="AE2598" s="4">
        <v>1550</v>
      </c>
      <c r="AF2598" s="6">
        <v>70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1</v>
      </c>
      <c r="AQ2598" s="8">
        <v>36.22</v>
      </c>
      <c r="AR2598" s="4"/>
      <c r="AS2598" s="8"/>
      <c r="AT2598" s="7"/>
      <c r="AU2598" s="7"/>
      <c r="AV2598" s="4" t="s">
        <v>100</v>
      </c>
      <c r="AW2598" s="8" t="s">
        <v>100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>
        <v>1</v>
      </c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 t="s">
        <v>100</v>
      </c>
      <c r="BJ2598" s="4">
        <v>286</v>
      </c>
      <c r="BK2598" s="8">
        <v>11687.53</v>
      </c>
      <c r="BL2598" s="2" t="s">
        <v>9175</v>
      </c>
      <c r="BM2598" s="7">
        <v>0.0035</v>
      </c>
      <c r="BN2598" s="7">
        <v>0.0031</v>
      </c>
      <c r="BO2598" s="4">
        <v>1</v>
      </c>
      <c r="BP2598" s="8">
        <v>36.22</v>
      </c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9100</v>
      </c>
      <c r="BX2598" s="2" t="s">
        <v>4339</v>
      </c>
      <c r="BY2598" s="2" t="s">
        <v>112</v>
      </c>
      <c r="BZ2598" s="2" t="s">
        <v>100</v>
      </c>
    </row>
    <row r="2599">
      <c r="A2599" s="2" t="s">
        <v>9176</v>
      </c>
      <c r="B2599" s="2" t="s">
        <v>9043</v>
      </c>
      <c r="C2599" s="2" t="s">
        <v>5095</v>
      </c>
      <c r="D2599" s="2" t="s">
        <v>9044</v>
      </c>
      <c r="E2599" s="2" t="s">
        <v>9045</v>
      </c>
      <c r="F2599" s="2" t="s">
        <v>9135</v>
      </c>
      <c r="G2599" s="2" t="s">
        <v>9135</v>
      </c>
      <c r="H2599" s="2" t="s">
        <v>9135</v>
      </c>
      <c r="I2599" s="2" t="s">
        <v>9136</v>
      </c>
      <c r="J2599" s="2" t="s">
        <v>118</v>
      </c>
      <c r="K2599" s="2" t="s">
        <v>458</v>
      </c>
      <c r="L2599" s="3">
        <v>34.5</v>
      </c>
      <c r="M2599" s="3">
        <v>36.22</v>
      </c>
      <c r="N2599" s="3">
        <v>74.99</v>
      </c>
      <c r="O2599" s="2" t="s">
        <v>97</v>
      </c>
      <c r="P2599" s="2" t="s">
        <v>98</v>
      </c>
      <c r="Q2599" s="2" t="s">
        <v>99</v>
      </c>
      <c r="R2599" s="2" t="s">
        <v>100</v>
      </c>
      <c r="S2599" s="2" t="s">
        <v>9170</v>
      </c>
      <c r="T2599" s="2" t="s">
        <v>4529</v>
      </c>
      <c r="U2599" s="2" t="s">
        <v>1228</v>
      </c>
      <c r="V2599" s="2" t="s">
        <v>461</v>
      </c>
      <c r="W2599" s="2" t="s">
        <v>609</v>
      </c>
      <c r="X2599" s="2" t="s">
        <v>493</v>
      </c>
      <c r="Y2599" s="2" t="s">
        <v>9138</v>
      </c>
      <c r="Z2599" s="4">
        <v>38</v>
      </c>
      <c r="AA2599" s="4">
        <f>=ROUNDDOWN(2.33128834355828,0)</f>
      </c>
      <c r="AB2599" s="5">
        <v>16.3</v>
      </c>
      <c r="AC2599" s="2" t="s">
        <v>2008</v>
      </c>
      <c r="AD2599" s="4">
        <v>70</v>
      </c>
      <c r="AE2599" s="4">
        <v>410</v>
      </c>
      <c r="AF2599" s="6">
        <v>70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 t="s">
        <v>100</v>
      </c>
      <c r="AW2599" s="8" t="s">
        <v>100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/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 t="s">
        <v>100</v>
      </c>
      <c r="BJ2599" s="4">
        <v>94</v>
      </c>
      <c r="BK2599" s="8">
        <v>3817.56</v>
      </c>
      <c r="BL2599" s="2" t="s">
        <v>9177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9100</v>
      </c>
      <c r="BX2599" s="2" t="s">
        <v>9133</v>
      </c>
      <c r="BY2599" s="2" t="s">
        <v>112</v>
      </c>
      <c r="BZ2599" s="2" t="s">
        <v>100</v>
      </c>
    </row>
    <row r="2600">
      <c r="A2600" s="2" t="s">
        <v>9178</v>
      </c>
      <c r="B2600" s="2" t="s">
        <v>9043</v>
      </c>
      <c r="C2600" s="2" t="s">
        <v>5095</v>
      </c>
      <c r="D2600" s="2" t="s">
        <v>9044</v>
      </c>
      <c r="E2600" s="2" t="s">
        <v>9045</v>
      </c>
      <c r="F2600" s="2" t="s">
        <v>9135</v>
      </c>
      <c r="G2600" s="2" t="s">
        <v>9135</v>
      </c>
      <c r="H2600" s="2" t="s">
        <v>9135</v>
      </c>
      <c r="I2600" s="2" t="s">
        <v>9136</v>
      </c>
      <c r="J2600" s="2" t="s">
        <v>490</v>
      </c>
      <c r="K2600" s="2" t="s">
        <v>179</v>
      </c>
      <c r="L2600" s="3">
        <v>29.9</v>
      </c>
      <c r="M2600" s="3">
        <v>31.4</v>
      </c>
      <c r="N2600" s="3">
        <v>64.99</v>
      </c>
      <c r="O2600" s="2" t="s">
        <v>97</v>
      </c>
      <c r="P2600" s="2" t="s">
        <v>98</v>
      </c>
      <c r="Q2600" s="2" t="s">
        <v>99</v>
      </c>
      <c r="R2600" s="2" t="s">
        <v>100</v>
      </c>
      <c r="S2600" s="2" t="s">
        <v>9179</v>
      </c>
      <c r="T2600" s="2" t="s">
        <v>4529</v>
      </c>
      <c r="U2600" s="2" t="s">
        <v>1228</v>
      </c>
      <c r="V2600" s="2" t="s">
        <v>461</v>
      </c>
      <c r="W2600" s="2" t="s">
        <v>609</v>
      </c>
      <c r="X2600" s="2" t="s">
        <v>493</v>
      </c>
      <c r="Y2600" s="2" t="s">
        <v>9138</v>
      </c>
      <c r="Z2600" s="4">
        <v>122</v>
      </c>
      <c r="AA2600" s="4">
        <f>=ROUNDDOWN(9.83870967741935,0)</f>
      </c>
      <c r="AB2600" s="5">
        <v>12.4</v>
      </c>
      <c r="AC2600" s="2" t="s">
        <v>2008</v>
      </c>
      <c r="AD2600" s="4">
        <v>120</v>
      </c>
      <c r="AE2600" s="4">
        <v>250</v>
      </c>
      <c r="AF2600" s="6">
        <v>70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>
        <v>1</v>
      </c>
      <c r="AW2600" s="8">
        <v>33.81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/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0.14</v>
      </c>
      <c r="BJ2600" s="4">
        <v>49</v>
      </c>
      <c r="BK2600" s="8">
        <v>1673.94</v>
      </c>
      <c r="BL2600" s="2" t="s">
        <v>9180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109</v>
      </c>
      <c r="BV2600" s="2" t="s">
        <v>97</v>
      </c>
      <c r="BW2600" s="2" t="s">
        <v>9100</v>
      </c>
      <c r="BX2600" s="2" t="s">
        <v>9181</v>
      </c>
      <c r="BY2600" s="2" t="s">
        <v>112</v>
      </c>
      <c r="BZ2600" s="2" t="s">
        <v>100</v>
      </c>
    </row>
    <row r="2601">
      <c r="A2601" s="2" t="s">
        <v>9182</v>
      </c>
      <c r="B2601" s="2" t="s">
        <v>9043</v>
      </c>
      <c r="C2601" s="2" t="s">
        <v>5095</v>
      </c>
      <c r="D2601" s="2" t="s">
        <v>9044</v>
      </c>
      <c r="E2601" s="2" t="s">
        <v>9045</v>
      </c>
      <c r="F2601" s="2" t="s">
        <v>9135</v>
      </c>
      <c r="G2601" s="2" t="s">
        <v>9135</v>
      </c>
      <c r="H2601" s="2" t="s">
        <v>9135</v>
      </c>
      <c r="I2601" s="2" t="s">
        <v>9136</v>
      </c>
      <c r="J2601" s="2" t="s">
        <v>95</v>
      </c>
      <c r="K2601" s="2" t="s">
        <v>179</v>
      </c>
      <c r="L2601" s="3">
        <v>32.2</v>
      </c>
      <c r="M2601" s="3">
        <v>33.81</v>
      </c>
      <c r="N2601" s="3">
        <v>69.99</v>
      </c>
      <c r="O2601" s="2" t="s">
        <v>97</v>
      </c>
      <c r="P2601" s="2" t="s">
        <v>139</v>
      </c>
      <c r="Q2601" s="2" t="s">
        <v>99</v>
      </c>
      <c r="R2601" s="2" t="s">
        <v>100</v>
      </c>
      <c r="S2601" s="2" t="s">
        <v>9179</v>
      </c>
      <c r="T2601" s="2" t="s">
        <v>4529</v>
      </c>
      <c r="U2601" s="2" t="s">
        <v>1228</v>
      </c>
      <c r="V2601" s="2" t="s">
        <v>461</v>
      </c>
      <c r="W2601" s="2" t="s">
        <v>609</v>
      </c>
      <c r="X2601" s="2" t="s">
        <v>493</v>
      </c>
      <c r="Y2601" s="2" t="s">
        <v>9138</v>
      </c>
      <c r="Z2601" s="4">
        <v>791</v>
      </c>
      <c r="AA2601" s="4">
        <f>=ROUNDDOWN(14.6481481481481,0)</f>
      </c>
      <c r="AB2601" s="5">
        <v>54</v>
      </c>
      <c r="AC2601" s="2" t="s">
        <v>2008</v>
      </c>
      <c r="AD2601" s="4">
        <v>450</v>
      </c>
      <c r="AE2601" s="4">
        <v>1123</v>
      </c>
      <c r="AF2601" s="6">
        <v>70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1</v>
      </c>
      <c r="AQ2601" s="8">
        <v>33.81</v>
      </c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>
        <v>1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232</v>
      </c>
      <c r="BK2601" s="8">
        <v>8640.52</v>
      </c>
      <c r="BL2601" s="2" t="s">
        <v>9183</v>
      </c>
      <c r="BM2601" s="7">
        <v>0.0043</v>
      </c>
      <c r="BN2601" s="7">
        <v>0.0039</v>
      </c>
      <c r="BO2601" s="4">
        <v>1</v>
      </c>
      <c r="BP2601" s="8">
        <v>33.81</v>
      </c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9100</v>
      </c>
      <c r="BX2601" s="2" t="s">
        <v>9184</v>
      </c>
      <c r="BY2601" s="2" t="s">
        <v>112</v>
      </c>
      <c r="BZ2601" s="2" t="s">
        <v>100</v>
      </c>
    </row>
    <row r="2602">
      <c r="A2602" s="2" t="s">
        <v>9185</v>
      </c>
      <c r="B2602" s="2" t="s">
        <v>9043</v>
      </c>
      <c r="C2602" s="2" t="s">
        <v>5095</v>
      </c>
      <c r="D2602" s="2" t="s">
        <v>9044</v>
      </c>
      <c r="E2602" s="2" t="s">
        <v>9045</v>
      </c>
      <c r="F2602" s="2" t="s">
        <v>9135</v>
      </c>
      <c r="G2602" s="2" t="s">
        <v>9135</v>
      </c>
      <c r="H2602" s="2" t="s">
        <v>9135</v>
      </c>
      <c r="I2602" s="2" t="s">
        <v>9136</v>
      </c>
      <c r="J2602" s="2" t="s">
        <v>114</v>
      </c>
      <c r="K2602" s="2" t="s">
        <v>179</v>
      </c>
      <c r="L2602" s="3">
        <v>34.5</v>
      </c>
      <c r="M2602" s="3">
        <v>36.22</v>
      </c>
      <c r="N2602" s="3">
        <v>74.99</v>
      </c>
      <c r="O2602" s="2" t="s">
        <v>97</v>
      </c>
      <c r="P2602" s="2" t="s">
        <v>139</v>
      </c>
      <c r="Q2602" s="2" t="s">
        <v>99</v>
      </c>
      <c r="R2602" s="2" t="s">
        <v>100</v>
      </c>
      <c r="S2602" s="2" t="s">
        <v>9179</v>
      </c>
      <c r="T2602" s="2" t="s">
        <v>4529</v>
      </c>
      <c r="U2602" s="2" t="s">
        <v>1228</v>
      </c>
      <c r="V2602" s="2" t="s">
        <v>461</v>
      </c>
      <c r="W2602" s="2" t="s">
        <v>609</v>
      </c>
      <c r="X2602" s="2" t="s">
        <v>493</v>
      </c>
      <c r="Y2602" s="2" t="s">
        <v>9138</v>
      </c>
      <c r="Z2602" s="4">
        <v>709</v>
      </c>
      <c r="AA2602" s="4">
        <f>=ROUNDDOWN(15.0851063829787,0)</f>
      </c>
      <c r="AB2602" s="5">
        <v>47</v>
      </c>
      <c r="AC2602" s="2" t="s">
        <v>9139</v>
      </c>
      <c r="AD2602" s="4">
        <v>460</v>
      </c>
      <c r="AE2602" s="4">
        <v>460</v>
      </c>
      <c r="AF2602" s="6">
        <v>70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 t="s">
        <v>100</v>
      </c>
      <c r="AW2602" s="8" t="s">
        <v>100</v>
      </c>
      <c r="AX2602" s="4" t="s">
        <v>100</v>
      </c>
      <c r="AY2602" s="8" t="s">
        <v>100</v>
      </c>
      <c r="AZ2602" s="7" t="s">
        <v>100</v>
      </c>
      <c r="BA2602" s="7" t="s">
        <v>100</v>
      </c>
      <c r="BB2602" s="7"/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 t="s">
        <v>100</v>
      </c>
      <c r="BJ2602" s="4">
        <v>188</v>
      </c>
      <c r="BK2602" s="8">
        <v>7510.51</v>
      </c>
      <c r="BL2602" s="2" t="s">
        <v>9186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9100</v>
      </c>
      <c r="BX2602" s="2" t="s">
        <v>9157</v>
      </c>
      <c r="BY2602" s="2" t="s">
        <v>112</v>
      </c>
      <c r="BZ2602" s="2" t="s">
        <v>100</v>
      </c>
    </row>
    <row r="2603">
      <c r="A2603" s="2" t="s">
        <v>9187</v>
      </c>
      <c r="B2603" s="2" t="s">
        <v>9043</v>
      </c>
      <c r="C2603" s="2" t="s">
        <v>5095</v>
      </c>
      <c r="D2603" s="2" t="s">
        <v>9044</v>
      </c>
      <c r="E2603" s="2" t="s">
        <v>9045</v>
      </c>
      <c r="F2603" s="2" t="s">
        <v>9135</v>
      </c>
      <c r="G2603" s="2" t="s">
        <v>9135</v>
      </c>
      <c r="H2603" s="2" t="s">
        <v>9135</v>
      </c>
      <c r="I2603" s="2" t="s">
        <v>9136</v>
      </c>
      <c r="J2603" s="2" t="s">
        <v>118</v>
      </c>
      <c r="K2603" s="2" t="s">
        <v>179</v>
      </c>
      <c r="L2603" s="3">
        <v>34.5</v>
      </c>
      <c r="M2603" s="3">
        <v>36.22</v>
      </c>
      <c r="N2603" s="3">
        <v>74.99</v>
      </c>
      <c r="O2603" s="2" t="s">
        <v>97</v>
      </c>
      <c r="P2603" s="2" t="s">
        <v>98</v>
      </c>
      <c r="Q2603" s="2" t="s">
        <v>99</v>
      </c>
      <c r="R2603" s="2" t="s">
        <v>100</v>
      </c>
      <c r="S2603" s="2" t="s">
        <v>9179</v>
      </c>
      <c r="T2603" s="2" t="s">
        <v>4529</v>
      </c>
      <c r="U2603" s="2" t="s">
        <v>1228</v>
      </c>
      <c r="V2603" s="2" t="s">
        <v>461</v>
      </c>
      <c r="W2603" s="2" t="s">
        <v>609</v>
      </c>
      <c r="X2603" s="2" t="s">
        <v>493</v>
      </c>
      <c r="Y2603" s="2" t="s">
        <v>9138</v>
      </c>
      <c r="Z2603" s="4">
        <v>223</v>
      </c>
      <c r="AA2603" s="4">
        <f>=ROUNDDOWN(18.5833333333333,0)</f>
      </c>
      <c r="AB2603" s="5">
        <v>12</v>
      </c>
      <c r="AC2603" s="2" t="s">
        <v>9139</v>
      </c>
      <c r="AD2603" s="4">
        <v>150</v>
      </c>
      <c r="AE2603" s="4">
        <v>150</v>
      </c>
      <c r="AF2603" s="6">
        <v>70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 t="s">
        <v>100</v>
      </c>
      <c r="AW2603" s="8" t="s">
        <v>100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/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 t="s">
        <v>100</v>
      </c>
      <c r="BJ2603" s="4">
        <v>62</v>
      </c>
      <c r="BK2603" s="8">
        <v>2455.48</v>
      </c>
      <c r="BL2603" s="2" t="s">
        <v>9188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9100</v>
      </c>
      <c r="BX2603" s="2" t="s">
        <v>6173</v>
      </c>
      <c r="BY2603" s="2" t="s">
        <v>112</v>
      </c>
      <c r="BZ2603" s="2" t="s">
        <v>100</v>
      </c>
    </row>
    <row r="2604">
      <c r="A2604" s="2" t="s">
        <v>9189</v>
      </c>
      <c r="B2604" s="2" t="s">
        <v>9043</v>
      </c>
      <c r="C2604" s="2" t="s">
        <v>5095</v>
      </c>
      <c r="D2604" s="2" t="s">
        <v>9044</v>
      </c>
      <c r="E2604" s="2" t="s">
        <v>9045</v>
      </c>
      <c r="F2604" s="2" t="s">
        <v>9135</v>
      </c>
      <c r="G2604" s="2" t="s">
        <v>9135</v>
      </c>
      <c r="H2604" s="2" t="s">
        <v>9135</v>
      </c>
      <c r="I2604" s="2" t="s">
        <v>9136</v>
      </c>
      <c r="J2604" s="2" t="s">
        <v>490</v>
      </c>
      <c r="K2604" s="2" t="s">
        <v>96</v>
      </c>
      <c r="L2604" s="3">
        <v>29.9</v>
      </c>
      <c r="M2604" s="3">
        <v>31.4</v>
      </c>
      <c r="N2604" s="3">
        <v>64.99</v>
      </c>
      <c r="O2604" s="2" t="s">
        <v>97</v>
      </c>
      <c r="P2604" s="2" t="s">
        <v>98</v>
      </c>
      <c r="Q2604" s="2" t="s">
        <v>99</v>
      </c>
      <c r="R2604" s="2" t="s">
        <v>100</v>
      </c>
      <c r="S2604" s="2" t="s">
        <v>9190</v>
      </c>
      <c r="T2604" s="2" t="s">
        <v>4529</v>
      </c>
      <c r="U2604" s="2" t="s">
        <v>1228</v>
      </c>
      <c r="V2604" s="2" t="s">
        <v>461</v>
      </c>
      <c r="W2604" s="2" t="s">
        <v>609</v>
      </c>
      <c r="X2604" s="2" t="s">
        <v>493</v>
      </c>
      <c r="Y2604" s="2" t="s">
        <v>9138</v>
      </c>
      <c r="Z2604" s="4">
        <v>106</v>
      </c>
      <c r="AA2604" s="4">
        <f>=ROUNDDOWN(8.48,0)</f>
      </c>
      <c r="AB2604" s="5">
        <v>12.5</v>
      </c>
      <c r="AC2604" s="2" t="s">
        <v>2008</v>
      </c>
      <c r="AD2604" s="4">
        <v>50</v>
      </c>
      <c r="AE2604" s="4">
        <v>250</v>
      </c>
      <c r="AF2604" s="6">
        <v>70</v>
      </c>
      <c r="AG2604" s="6"/>
      <c r="AH2604" s="7">
        <v>0.9677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100</v>
      </c>
      <c r="AW2604" s="8" t="s">
        <v>100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/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 t="s">
        <v>100</v>
      </c>
      <c r="BJ2604" s="4">
        <v>57</v>
      </c>
      <c r="BK2604" s="8">
        <v>1970.38</v>
      </c>
      <c r="BL2604" s="2" t="s">
        <v>9191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9100</v>
      </c>
      <c r="BX2604" s="2" t="s">
        <v>9192</v>
      </c>
      <c r="BY2604" s="2" t="s">
        <v>112</v>
      </c>
      <c r="BZ2604" s="2" t="s">
        <v>100</v>
      </c>
    </row>
    <row r="2605">
      <c r="A2605" s="2" t="s">
        <v>9193</v>
      </c>
      <c r="B2605" s="2" t="s">
        <v>9043</v>
      </c>
      <c r="C2605" s="2" t="s">
        <v>5095</v>
      </c>
      <c r="D2605" s="2" t="s">
        <v>9044</v>
      </c>
      <c r="E2605" s="2" t="s">
        <v>9045</v>
      </c>
      <c r="F2605" s="2" t="s">
        <v>9135</v>
      </c>
      <c r="G2605" s="2" t="s">
        <v>9135</v>
      </c>
      <c r="H2605" s="2" t="s">
        <v>9135</v>
      </c>
      <c r="I2605" s="2" t="s">
        <v>9136</v>
      </c>
      <c r="J2605" s="2" t="s">
        <v>95</v>
      </c>
      <c r="K2605" s="2" t="s">
        <v>96</v>
      </c>
      <c r="L2605" s="3">
        <v>32.2</v>
      </c>
      <c r="M2605" s="3">
        <v>33.81</v>
      </c>
      <c r="N2605" s="3">
        <v>69.99</v>
      </c>
      <c r="O2605" s="2" t="s">
        <v>97</v>
      </c>
      <c r="P2605" s="2" t="s">
        <v>139</v>
      </c>
      <c r="Q2605" s="2" t="s">
        <v>99</v>
      </c>
      <c r="R2605" s="2" t="s">
        <v>100</v>
      </c>
      <c r="S2605" s="2" t="s">
        <v>9190</v>
      </c>
      <c r="T2605" s="2" t="s">
        <v>4529</v>
      </c>
      <c r="U2605" s="2" t="s">
        <v>1228</v>
      </c>
      <c r="V2605" s="2" t="s">
        <v>461</v>
      </c>
      <c r="W2605" s="2" t="s">
        <v>609</v>
      </c>
      <c r="X2605" s="2" t="s">
        <v>493</v>
      </c>
      <c r="Y2605" s="2" t="s">
        <v>9138</v>
      </c>
      <c r="Z2605" s="4">
        <v>448</v>
      </c>
      <c r="AA2605" s="4">
        <f>=ROUNDDOWN(7.2258064516129,0)</f>
      </c>
      <c r="AB2605" s="5">
        <v>62</v>
      </c>
      <c r="AC2605" s="2" t="s">
        <v>2008</v>
      </c>
      <c r="AD2605" s="4">
        <v>340</v>
      </c>
      <c r="AE2605" s="4">
        <v>1290</v>
      </c>
      <c r="AF2605" s="6">
        <v>70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100</v>
      </c>
      <c r="AW2605" s="8" t="s">
        <v>100</v>
      </c>
      <c r="AX2605" s="4" t="s">
        <v>100</v>
      </c>
      <c r="AY2605" s="8" t="s">
        <v>100</v>
      </c>
      <c r="AZ2605" s="7" t="s">
        <v>100</v>
      </c>
      <c r="BA2605" s="7" t="s">
        <v>100</v>
      </c>
      <c r="BB2605" s="7"/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 t="s">
        <v>100</v>
      </c>
      <c r="BJ2605" s="4">
        <v>280</v>
      </c>
      <c r="BK2605" s="8">
        <v>10553.96</v>
      </c>
      <c r="BL2605" s="2" t="s">
        <v>9194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9100</v>
      </c>
      <c r="BX2605" s="2" t="s">
        <v>5464</v>
      </c>
      <c r="BY2605" s="2" t="s">
        <v>112</v>
      </c>
      <c r="BZ2605" s="2" t="s">
        <v>100</v>
      </c>
    </row>
    <row r="2606">
      <c r="A2606" s="2" t="s">
        <v>9195</v>
      </c>
      <c r="B2606" s="2" t="s">
        <v>9043</v>
      </c>
      <c r="C2606" s="2" t="s">
        <v>5095</v>
      </c>
      <c r="D2606" s="2" t="s">
        <v>9044</v>
      </c>
      <c r="E2606" s="2" t="s">
        <v>9045</v>
      </c>
      <c r="F2606" s="2" t="s">
        <v>9135</v>
      </c>
      <c r="G2606" s="2" t="s">
        <v>9135</v>
      </c>
      <c r="H2606" s="2" t="s">
        <v>9135</v>
      </c>
      <c r="I2606" s="2" t="s">
        <v>9136</v>
      </c>
      <c r="J2606" s="2" t="s">
        <v>114</v>
      </c>
      <c r="K2606" s="2" t="s">
        <v>96</v>
      </c>
      <c r="L2606" s="3">
        <v>34.5</v>
      </c>
      <c r="M2606" s="3">
        <v>36.22</v>
      </c>
      <c r="N2606" s="3">
        <v>74.99</v>
      </c>
      <c r="O2606" s="2" t="s">
        <v>97</v>
      </c>
      <c r="P2606" s="2" t="s">
        <v>317</v>
      </c>
      <c r="Q2606" s="2" t="s">
        <v>99</v>
      </c>
      <c r="R2606" s="2" t="s">
        <v>100</v>
      </c>
      <c r="S2606" s="2" t="s">
        <v>9190</v>
      </c>
      <c r="T2606" s="2" t="s">
        <v>4529</v>
      </c>
      <c r="U2606" s="2" t="s">
        <v>1228</v>
      </c>
      <c r="V2606" s="2" t="s">
        <v>461</v>
      </c>
      <c r="W2606" s="2" t="s">
        <v>609</v>
      </c>
      <c r="X2606" s="2" t="s">
        <v>493</v>
      </c>
      <c r="Y2606" s="2" t="s">
        <v>9138</v>
      </c>
      <c r="Z2606" s="4">
        <v>569</v>
      </c>
      <c r="AA2606" s="4">
        <f>=ROUNDDOWN(10.537037037037,0)</f>
      </c>
      <c r="AB2606" s="5">
        <v>54</v>
      </c>
      <c r="AC2606" s="2" t="s">
        <v>2008</v>
      </c>
      <c r="AD2606" s="4">
        <v>240</v>
      </c>
      <c r="AE2606" s="4">
        <v>1290</v>
      </c>
      <c r="AF2606" s="6">
        <v>70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100</v>
      </c>
      <c r="AW2606" s="8" t="s">
        <v>100</v>
      </c>
      <c r="AX2606" s="4" t="s">
        <v>100</v>
      </c>
      <c r="AY2606" s="8" t="s">
        <v>100</v>
      </c>
      <c r="AZ2606" s="7" t="s">
        <v>100</v>
      </c>
      <c r="BA2606" s="7" t="s">
        <v>100</v>
      </c>
      <c r="BB2606" s="7"/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 t="s">
        <v>100</v>
      </c>
      <c r="BJ2606" s="4">
        <v>223</v>
      </c>
      <c r="BK2606" s="8">
        <v>9037.54</v>
      </c>
      <c r="BL2606" s="2" t="s">
        <v>9196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109</v>
      </c>
      <c r="BV2606" s="2" t="s">
        <v>97</v>
      </c>
      <c r="BW2606" s="2" t="s">
        <v>9100</v>
      </c>
      <c r="BX2606" s="2" t="s">
        <v>9197</v>
      </c>
      <c r="BY2606" s="2" t="s">
        <v>112</v>
      </c>
      <c r="BZ2606" s="2" t="s">
        <v>100</v>
      </c>
    </row>
    <row r="2607">
      <c r="A2607" s="2" t="s">
        <v>9198</v>
      </c>
      <c r="B2607" s="2" t="s">
        <v>9043</v>
      </c>
      <c r="C2607" s="2" t="s">
        <v>5095</v>
      </c>
      <c r="D2607" s="2" t="s">
        <v>9044</v>
      </c>
      <c r="E2607" s="2" t="s">
        <v>9045</v>
      </c>
      <c r="F2607" s="2" t="s">
        <v>9135</v>
      </c>
      <c r="G2607" s="2" t="s">
        <v>9135</v>
      </c>
      <c r="H2607" s="2" t="s">
        <v>9135</v>
      </c>
      <c r="I2607" s="2" t="s">
        <v>9136</v>
      </c>
      <c r="J2607" s="2" t="s">
        <v>118</v>
      </c>
      <c r="K2607" s="2" t="s">
        <v>96</v>
      </c>
      <c r="L2607" s="3">
        <v>34.5</v>
      </c>
      <c r="M2607" s="3">
        <v>36.22</v>
      </c>
      <c r="N2607" s="3">
        <v>74.99</v>
      </c>
      <c r="O2607" s="2" t="s">
        <v>97</v>
      </c>
      <c r="P2607" s="2" t="s">
        <v>98</v>
      </c>
      <c r="Q2607" s="2" t="s">
        <v>99</v>
      </c>
      <c r="R2607" s="2" t="s">
        <v>100</v>
      </c>
      <c r="S2607" s="2" t="s">
        <v>9190</v>
      </c>
      <c r="T2607" s="2" t="s">
        <v>4529</v>
      </c>
      <c r="U2607" s="2" t="s">
        <v>1228</v>
      </c>
      <c r="V2607" s="2" t="s">
        <v>461</v>
      </c>
      <c r="W2607" s="2" t="s">
        <v>609</v>
      </c>
      <c r="X2607" s="2" t="s">
        <v>493</v>
      </c>
      <c r="Y2607" s="2" t="s">
        <v>9138</v>
      </c>
      <c r="Z2607" s="4">
        <v>216</v>
      </c>
      <c r="AA2607" s="4">
        <f>=ROUNDDOWN(16.6153846153846,0)</f>
      </c>
      <c r="AB2607" s="5">
        <v>13</v>
      </c>
      <c r="AC2607" s="2" t="s">
        <v>2008</v>
      </c>
      <c r="AD2607" s="4">
        <v>40</v>
      </c>
      <c r="AE2607" s="4">
        <v>250</v>
      </c>
      <c r="AF2607" s="6">
        <v>70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100</v>
      </c>
      <c r="AW2607" s="8" t="s">
        <v>100</v>
      </c>
      <c r="AX2607" s="4" t="s">
        <v>100</v>
      </c>
      <c r="AY2607" s="8" t="s">
        <v>100</v>
      </c>
      <c r="AZ2607" s="7" t="s">
        <v>100</v>
      </c>
      <c r="BA2607" s="7" t="s">
        <v>100</v>
      </c>
      <c r="BB2607" s="7"/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 t="s">
        <v>100</v>
      </c>
      <c r="BJ2607" s="4">
        <v>61</v>
      </c>
      <c r="BK2607" s="8">
        <v>2418.42</v>
      </c>
      <c r="BL2607" s="2" t="s">
        <v>9199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109</v>
      </c>
      <c r="BV2607" s="2" t="s">
        <v>97</v>
      </c>
      <c r="BW2607" s="2" t="s">
        <v>9100</v>
      </c>
      <c r="BX2607" s="2" t="s">
        <v>5073</v>
      </c>
      <c r="BY2607" s="2" t="s">
        <v>112</v>
      </c>
      <c r="BZ2607" s="2" t="s">
        <v>100</v>
      </c>
    </row>
    <row r="2608">
      <c r="A2608" s="2" t="s">
        <v>9200</v>
      </c>
      <c r="B2608" s="2" t="s">
        <v>9043</v>
      </c>
      <c r="C2608" s="2" t="s">
        <v>5095</v>
      </c>
      <c r="D2608" s="2" t="s">
        <v>9044</v>
      </c>
      <c r="E2608" s="2" t="s">
        <v>9045</v>
      </c>
      <c r="F2608" s="2" t="s">
        <v>9201</v>
      </c>
      <c r="G2608" s="2" t="s">
        <v>9201</v>
      </c>
      <c r="H2608" s="2" t="s">
        <v>9201</v>
      </c>
      <c r="I2608" s="2" t="s">
        <v>9202</v>
      </c>
      <c r="J2608" s="2" t="s">
        <v>95</v>
      </c>
      <c r="K2608" s="2" t="s">
        <v>9203</v>
      </c>
      <c r="L2608" s="3">
        <v>25.85</v>
      </c>
      <c r="M2608" s="3">
        <v>27.14</v>
      </c>
      <c r="N2608" s="3">
        <v>55.99</v>
      </c>
      <c r="O2608" s="2" t="s">
        <v>97</v>
      </c>
      <c r="P2608" s="2" t="s">
        <v>139</v>
      </c>
      <c r="Q2608" s="2" t="s">
        <v>99</v>
      </c>
      <c r="R2608" s="2" t="s">
        <v>100</v>
      </c>
      <c r="S2608" s="2" t="s">
        <v>9204</v>
      </c>
      <c r="T2608" s="2" t="s">
        <v>9205</v>
      </c>
      <c r="U2608" s="2" t="s">
        <v>1228</v>
      </c>
      <c r="V2608" s="2" t="s">
        <v>4636</v>
      </c>
      <c r="W2608" s="2" t="s">
        <v>609</v>
      </c>
      <c r="X2608" s="2" t="s">
        <v>493</v>
      </c>
      <c r="Y2608" s="2" t="s">
        <v>4646</v>
      </c>
      <c r="Z2608" s="4">
        <v>3</v>
      </c>
      <c r="AA2608" s="4">
        <f>=ROUNDDOWN(0.0769230769230769,0)</f>
      </c>
      <c r="AB2608" s="5">
        <v>39</v>
      </c>
      <c r="AC2608" s="2" t="s">
        <v>1142</v>
      </c>
      <c r="AD2608" s="4">
        <v>326</v>
      </c>
      <c r="AE2608" s="4">
        <v>924</v>
      </c>
      <c r="AF2608" s="6">
        <v>65</v>
      </c>
      <c r="AG2608" s="6"/>
      <c r="AH2608" s="7">
        <v>0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 t="s">
        <v>100</v>
      </c>
      <c r="AW2608" s="8" t="s">
        <v>100</v>
      </c>
      <c r="AX2608" s="4" t="s">
        <v>100</v>
      </c>
      <c r="AY2608" s="8" t="s">
        <v>100</v>
      </c>
      <c r="AZ2608" s="7" t="s">
        <v>100</v>
      </c>
      <c r="BA2608" s="7" t="s">
        <v>100</v>
      </c>
      <c r="BB2608" s="7"/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/>
      <c r="BJ2608" s="4"/>
      <c r="BK2608" s="8"/>
      <c r="BL2608" s="2" t="s">
        <v>100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171</v>
      </c>
      <c r="BV2608" s="2" t="s">
        <v>97</v>
      </c>
      <c r="BW2608" s="2" t="s">
        <v>100</v>
      </c>
      <c r="BX2608" s="2" t="s">
        <v>100</v>
      </c>
      <c r="BY2608" s="2" t="s">
        <v>112</v>
      </c>
      <c r="BZ2608" s="2" t="s">
        <v>149</v>
      </c>
    </row>
    <row r="2609">
      <c r="A2609" s="2" t="s">
        <v>9206</v>
      </c>
      <c r="B2609" s="2" t="s">
        <v>9043</v>
      </c>
      <c r="C2609" s="2" t="s">
        <v>5095</v>
      </c>
      <c r="D2609" s="2" t="s">
        <v>9044</v>
      </c>
      <c r="E2609" s="2" t="s">
        <v>9045</v>
      </c>
      <c r="F2609" s="2" t="s">
        <v>9201</v>
      </c>
      <c r="G2609" s="2" t="s">
        <v>9201</v>
      </c>
      <c r="H2609" s="2" t="s">
        <v>9201</v>
      </c>
      <c r="I2609" s="2" t="s">
        <v>9202</v>
      </c>
      <c r="J2609" s="2" t="s">
        <v>114</v>
      </c>
      <c r="K2609" s="2" t="s">
        <v>9203</v>
      </c>
      <c r="L2609" s="3">
        <v>28.68</v>
      </c>
      <c r="M2609" s="3">
        <v>30.11</v>
      </c>
      <c r="N2609" s="3">
        <v>62.99</v>
      </c>
      <c r="O2609" s="2" t="s">
        <v>97</v>
      </c>
      <c r="P2609" s="2" t="s">
        <v>156</v>
      </c>
      <c r="Q2609" s="2" t="s">
        <v>99</v>
      </c>
      <c r="R2609" s="2" t="s">
        <v>100</v>
      </c>
      <c r="S2609" s="2" t="s">
        <v>9204</v>
      </c>
      <c r="T2609" s="2" t="s">
        <v>9205</v>
      </c>
      <c r="U2609" s="2" t="s">
        <v>1228</v>
      </c>
      <c r="V2609" s="2" t="s">
        <v>4636</v>
      </c>
      <c r="W2609" s="2" t="s">
        <v>609</v>
      </c>
      <c r="X2609" s="2" t="s">
        <v>493</v>
      </c>
      <c r="Y2609" s="2" t="s">
        <v>4646</v>
      </c>
      <c r="Z2609" s="4">
        <v>2</v>
      </c>
      <c r="AA2609" s="4">
        <f>=ROUNDDOWN(0.1,0)</f>
      </c>
      <c r="AB2609" s="5">
        <v>20</v>
      </c>
      <c r="AC2609" s="2" t="s">
        <v>1142</v>
      </c>
      <c r="AD2609" s="4">
        <v>166</v>
      </c>
      <c r="AE2609" s="4">
        <v>471</v>
      </c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 t="s">
        <v>100</v>
      </c>
      <c r="AW2609" s="8" t="s">
        <v>100</v>
      </c>
      <c r="AX2609" s="4" t="s">
        <v>100</v>
      </c>
      <c r="AY2609" s="8" t="s">
        <v>100</v>
      </c>
      <c r="AZ2609" s="7" t="s">
        <v>100</v>
      </c>
      <c r="BA2609" s="7" t="s">
        <v>100</v>
      </c>
      <c r="BB2609" s="7"/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/>
      <c r="BJ2609" s="4">
        <v>27</v>
      </c>
      <c r="BK2609" s="8">
        <v>883.33</v>
      </c>
      <c r="BL2609" s="2" t="s">
        <v>9207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171</v>
      </c>
      <c r="BV2609" s="2" t="s">
        <v>97</v>
      </c>
      <c r="BW2609" s="2" t="s">
        <v>100</v>
      </c>
      <c r="BX2609" s="2" t="s">
        <v>100</v>
      </c>
      <c r="BY2609" s="2" t="s">
        <v>112</v>
      </c>
      <c r="BZ2609" s="2" t="s">
        <v>149</v>
      </c>
    </row>
    <row r="2610">
      <c r="A2610" s="2" t="s">
        <v>9208</v>
      </c>
      <c r="B2610" s="2" t="s">
        <v>9043</v>
      </c>
      <c r="C2610" s="2" t="s">
        <v>5095</v>
      </c>
      <c r="D2610" s="2" t="s">
        <v>9044</v>
      </c>
      <c r="E2610" s="2" t="s">
        <v>9045</v>
      </c>
      <c r="F2610" s="2" t="s">
        <v>9201</v>
      </c>
      <c r="G2610" s="2" t="s">
        <v>9201</v>
      </c>
      <c r="H2610" s="2" t="s">
        <v>9201</v>
      </c>
      <c r="I2610" s="2" t="s">
        <v>9202</v>
      </c>
      <c r="J2610" s="2" t="s">
        <v>118</v>
      </c>
      <c r="K2610" s="2" t="s">
        <v>9203</v>
      </c>
      <c r="L2610" s="3">
        <v>28.68</v>
      </c>
      <c r="M2610" s="3">
        <v>30.11</v>
      </c>
      <c r="N2610" s="3">
        <v>62.99</v>
      </c>
      <c r="O2610" s="2" t="s">
        <v>97</v>
      </c>
      <c r="P2610" s="2" t="s">
        <v>98</v>
      </c>
      <c r="Q2610" s="2" t="s">
        <v>99</v>
      </c>
      <c r="R2610" s="2" t="s">
        <v>100</v>
      </c>
      <c r="S2610" s="2" t="s">
        <v>9204</v>
      </c>
      <c r="T2610" s="2" t="s">
        <v>9205</v>
      </c>
      <c r="U2610" s="2" t="s">
        <v>1228</v>
      </c>
      <c r="V2610" s="2" t="s">
        <v>4636</v>
      </c>
      <c r="W2610" s="2" t="s">
        <v>609</v>
      </c>
      <c r="X2610" s="2" t="s">
        <v>493</v>
      </c>
      <c r="Y2610" s="2" t="s">
        <v>4646</v>
      </c>
      <c r="Z2610" s="4">
        <v>3</v>
      </c>
      <c r="AA2610" s="4">
        <f>=ROUNDDOWN(0.3,0)</f>
      </c>
      <c r="AB2610" s="5">
        <v>10</v>
      </c>
      <c r="AC2610" s="2" t="s">
        <v>1142</v>
      </c>
      <c r="AD2610" s="4">
        <v>90</v>
      </c>
      <c r="AE2610" s="4">
        <v>282</v>
      </c>
      <c r="AF2610" s="6">
        <v>65</v>
      </c>
      <c r="AG2610" s="6"/>
      <c r="AH2610" s="7">
        <v>0.1613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 t="s">
        <v>100</v>
      </c>
      <c r="AW2610" s="8" t="s">
        <v>100</v>
      </c>
      <c r="AX2610" s="4" t="s">
        <v>100</v>
      </c>
      <c r="AY2610" s="8" t="s">
        <v>100</v>
      </c>
      <c r="AZ2610" s="7" t="s">
        <v>100</v>
      </c>
      <c r="BA2610" s="7" t="s">
        <v>100</v>
      </c>
      <c r="BB2610" s="7"/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/>
      <c r="BJ2610" s="4">
        <v>1</v>
      </c>
      <c r="BK2610" s="8">
        <v>33.45</v>
      </c>
      <c r="BL2610" s="2" t="s">
        <v>4176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171</v>
      </c>
      <c r="BV2610" s="2" t="s">
        <v>97</v>
      </c>
      <c r="BW2610" s="2" t="s">
        <v>100</v>
      </c>
      <c r="BX2610" s="2" t="s">
        <v>100</v>
      </c>
      <c r="BY2610" s="2" t="s">
        <v>112</v>
      </c>
      <c r="BZ2610" s="2" t="s">
        <v>149</v>
      </c>
    </row>
    <row r="2611">
      <c r="A2611" s="2" t="s">
        <v>9209</v>
      </c>
      <c r="B2611" s="2" t="s">
        <v>9043</v>
      </c>
      <c r="C2611" s="2" t="s">
        <v>5095</v>
      </c>
      <c r="D2611" s="2" t="s">
        <v>9044</v>
      </c>
      <c r="E2611" s="2" t="s">
        <v>9045</v>
      </c>
      <c r="F2611" s="2" t="s">
        <v>9201</v>
      </c>
      <c r="G2611" s="2" t="s">
        <v>9201</v>
      </c>
      <c r="H2611" s="2" t="s">
        <v>9201</v>
      </c>
      <c r="I2611" s="2" t="s">
        <v>9202</v>
      </c>
      <c r="J2611" s="2" t="s">
        <v>490</v>
      </c>
      <c r="K2611" s="2" t="s">
        <v>9210</v>
      </c>
      <c r="L2611" s="3">
        <v>22</v>
      </c>
      <c r="M2611" s="3">
        <v>23.1</v>
      </c>
      <c r="N2611" s="3">
        <v>47.99</v>
      </c>
      <c r="O2611" s="2" t="s">
        <v>97</v>
      </c>
      <c r="P2611" s="2" t="s">
        <v>98</v>
      </c>
      <c r="Q2611" s="2" t="s">
        <v>99</v>
      </c>
      <c r="R2611" s="2" t="s">
        <v>100</v>
      </c>
      <c r="S2611" s="2" t="s">
        <v>9211</v>
      </c>
      <c r="T2611" s="2" t="s">
        <v>9205</v>
      </c>
      <c r="U2611" s="2" t="s">
        <v>1228</v>
      </c>
      <c r="V2611" s="2" t="s">
        <v>367</v>
      </c>
      <c r="W2611" s="2" t="s">
        <v>609</v>
      </c>
      <c r="X2611" s="2" t="s">
        <v>493</v>
      </c>
      <c r="Y2611" s="2" t="s">
        <v>9212</v>
      </c>
      <c r="Z2611" s="4">
        <v>3</v>
      </c>
      <c r="AA2611" s="4">
        <f>=ROUNDDOWN(3,0)</f>
      </c>
      <c r="AB2611" s="5">
        <v>1</v>
      </c>
      <c r="AC2611" s="2" t="s">
        <v>3033</v>
      </c>
      <c r="AD2611" s="4">
        <v>20</v>
      </c>
      <c r="AE2611" s="4">
        <v>20</v>
      </c>
      <c r="AF2611" s="6">
        <v>74</v>
      </c>
      <c r="AG2611" s="6"/>
      <c r="AH2611" s="7">
        <v>0.2258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 t="s">
        <v>100</v>
      </c>
      <c r="AW2611" s="8" t="s">
        <v>100</v>
      </c>
      <c r="AX2611" s="4" t="s">
        <v>100</v>
      </c>
      <c r="AY2611" s="8" t="s">
        <v>100</v>
      </c>
      <c r="AZ2611" s="7" t="s">
        <v>100</v>
      </c>
      <c r="BA2611" s="7" t="s">
        <v>100</v>
      </c>
      <c r="BB2611" s="7"/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/>
      <c r="BJ2611" s="4">
        <v>1</v>
      </c>
      <c r="BK2611" s="8">
        <v>24.26</v>
      </c>
      <c r="BL2611" s="2" t="s">
        <v>2202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171</v>
      </c>
      <c r="BV2611" s="2" t="s">
        <v>97</v>
      </c>
      <c r="BW2611" s="2" t="s">
        <v>100</v>
      </c>
      <c r="BX2611" s="2" t="s">
        <v>100</v>
      </c>
      <c r="BY2611" s="2" t="s">
        <v>112</v>
      </c>
      <c r="BZ2611" s="2" t="s">
        <v>100</v>
      </c>
    </row>
    <row r="2612">
      <c r="A2612" s="2" t="s">
        <v>9213</v>
      </c>
      <c r="B2612" s="2" t="s">
        <v>9043</v>
      </c>
      <c r="C2612" s="2" t="s">
        <v>5095</v>
      </c>
      <c r="D2612" s="2" t="s">
        <v>9044</v>
      </c>
      <c r="E2612" s="2" t="s">
        <v>9045</v>
      </c>
      <c r="F2612" s="2" t="s">
        <v>9201</v>
      </c>
      <c r="G2612" s="2" t="s">
        <v>9201</v>
      </c>
      <c r="H2612" s="2" t="s">
        <v>9201</v>
      </c>
      <c r="I2612" s="2" t="s">
        <v>9202</v>
      </c>
      <c r="J2612" s="2" t="s">
        <v>95</v>
      </c>
      <c r="K2612" s="2" t="s">
        <v>9210</v>
      </c>
      <c r="L2612" s="3">
        <v>25.85</v>
      </c>
      <c r="M2612" s="3">
        <v>27.14</v>
      </c>
      <c r="N2612" s="3">
        <v>55.99</v>
      </c>
      <c r="O2612" s="2" t="s">
        <v>97</v>
      </c>
      <c r="P2612" s="2" t="s">
        <v>98</v>
      </c>
      <c r="Q2612" s="2" t="s">
        <v>99</v>
      </c>
      <c r="R2612" s="2" t="s">
        <v>100</v>
      </c>
      <c r="S2612" s="2" t="s">
        <v>9211</v>
      </c>
      <c r="T2612" s="2" t="s">
        <v>9205</v>
      </c>
      <c r="U2612" s="2" t="s">
        <v>1228</v>
      </c>
      <c r="V2612" s="2" t="s">
        <v>367</v>
      </c>
      <c r="W2612" s="2" t="s">
        <v>609</v>
      </c>
      <c r="X2612" s="2" t="s">
        <v>493</v>
      </c>
      <c r="Y2612" s="2" t="s">
        <v>9212</v>
      </c>
      <c r="Z2612" s="4">
        <v>3</v>
      </c>
      <c r="AA2612" s="4">
        <f>=ROUNDDOWN(0.6,0)</f>
      </c>
      <c r="AB2612" s="5">
        <v>5</v>
      </c>
      <c r="AC2612" s="2" t="s">
        <v>3033</v>
      </c>
      <c r="AD2612" s="4">
        <v>50</v>
      </c>
      <c r="AE2612" s="4">
        <v>50</v>
      </c>
      <c r="AF2612" s="6">
        <v>74</v>
      </c>
      <c r="AG2612" s="6"/>
      <c r="AH2612" s="7">
        <v>0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 t="s">
        <v>100</v>
      </c>
      <c r="AW2612" s="8" t="s">
        <v>100</v>
      </c>
      <c r="AX2612" s="4" t="s">
        <v>100</v>
      </c>
      <c r="AY2612" s="8" t="s">
        <v>100</v>
      </c>
      <c r="AZ2612" s="7" t="s">
        <v>100</v>
      </c>
      <c r="BA2612" s="7" t="s">
        <v>100</v>
      </c>
      <c r="BB2612" s="7"/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/>
      <c r="BJ2612" s="4"/>
      <c r="BK2612" s="8"/>
      <c r="BL2612" s="2" t="s">
        <v>100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171</v>
      </c>
      <c r="BV2612" s="2" t="s">
        <v>97</v>
      </c>
      <c r="BW2612" s="2" t="s">
        <v>100</v>
      </c>
      <c r="BX2612" s="2" t="s">
        <v>100</v>
      </c>
      <c r="BY2612" s="2" t="s">
        <v>112</v>
      </c>
      <c r="BZ2612" s="2" t="s">
        <v>100</v>
      </c>
    </row>
    <row r="2613">
      <c r="A2613" s="2" t="s">
        <v>9214</v>
      </c>
      <c r="B2613" s="2" t="s">
        <v>9043</v>
      </c>
      <c r="C2613" s="2" t="s">
        <v>5095</v>
      </c>
      <c r="D2613" s="2" t="s">
        <v>9044</v>
      </c>
      <c r="E2613" s="2" t="s">
        <v>9045</v>
      </c>
      <c r="F2613" s="2" t="s">
        <v>9201</v>
      </c>
      <c r="G2613" s="2" t="s">
        <v>9201</v>
      </c>
      <c r="H2613" s="2" t="s">
        <v>9201</v>
      </c>
      <c r="I2613" s="2" t="s">
        <v>9202</v>
      </c>
      <c r="J2613" s="2" t="s">
        <v>114</v>
      </c>
      <c r="K2613" s="2" t="s">
        <v>9210</v>
      </c>
      <c r="L2613" s="3">
        <v>28.68</v>
      </c>
      <c r="M2613" s="3">
        <v>30.11</v>
      </c>
      <c r="N2613" s="3">
        <v>62.99</v>
      </c>
      <c r="O2613" s="2" t="s">
        <v>97</v>
      </c>
      <c r="P2613" s="2" t="s">
        <v>98</v>
      </c>
      <c r="Q2613" s="2" t="s">
        <v>99</v>
      </c>
      <c r="R2613" s="2" t="s">
        <v>100</v>
      </c>
      <c r="S2613" s="2" t="s">
        <v>9211</v>
      </c>
      <c r="T2613" s="2" t="s">
        <v>9205</v>
      </c>
      <c r="U2613" s="2" t="s">
        <v>1228</v>
      </c>
      <c r="V2613" s="2" t="s">
        <v>367</v>
      </c>
      <c r="W2613" s="2" t="s">
        <v>609</v>
      </c>
      <c r="X2613" s="2" t="s">
        <v>493</v>
      </c>
      <c r="Y2613" s="2" t="s">
        <v>9212</v>
      </c>
      <c r="Z2613" s="4">
        <v>271</v>
      </c>
      <c r="AA2613" s="4">
        <f>=ROUNDDOWN(135.5,0)</f>
      </c>
      <c r="AB2613" s="5">
        <v>2</v>
      </c>
      <c r="AC2613" s="2" t="s">
        <v>3033</v>
      </c>
      <c r="AD2613" s="4">
        <v>20</v>
      </c>
      <c r="AE2613" s="4">
        <v>20</v>
      </c>
      <c r="AF2613" s="6">
        <v>74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 t="s">
        <v>100</v>
      </c>
      <c r="AW2613" s="8" t="s">
        <v>100</v>
      </c>
      <c r="AX2613" s="4" t="s">
        <v>100</v>
      </c>
      <c r="AY2613" s="8" t="s">
        <v>100</v>
      </c>
      <c r="AZ2613" s="7" t="s">
        <v>100</v>
      </c>
      <c r="BA2613" s="7" t="s">
        <v>100</v>
      </c>
      <c r="BB2613" s="7"/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/>
      <c r="BJ2613" s="4">
        <v>20</v>
      </c>
      <c r="BK2613" s="8">
        <v>649.89</v>
      </c>
      <c r="BL2613" s="2" t="s">
        <v>4998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171</v>
      </c>
      <c r="BV2613" s="2" t="s">
        <v>97</v>
      </c>
      <c r="BW2613" s="2" t="s">
        <v>100</v>
      </c>
      <c r="BX2613" s="2" t="s">
        <v>100</v>
      </c>
      <c r="BY2613" s="2" t="s">
        <v>112</v>
      </c>
      <c r="BZ2613" s="2" t="s">
        <v>100</v>
      </c>
    </row>
    <row r="2614">
      <c r="A2614" s="2" t="s">
        <v>9215</v>
      </c>
      <c r="B2614" s="2" t="s">
        <v>9043</v>
      </c>
      <c r="C2614" s="2" t="s">
        <v>5095</v>
      </c>
      <c r="D2614" s="2" t="s">
        <v>9044</v>
      </c>
      <c r="E2614" s="2" t="s">
        <v>9045</v>
      </c>
      <c r="F2614" s="2" t="s">
        <v>9201</v>
      </c>
      <c r="G2614" s="2" t="s">
        <v>9201</v>
      </c>
      <c r="H2614" s="2" t="s">
        <v>9201</v>
      </c>
      <c r="I2614" s="2" t="s">
        <v>9202</v>
      </c>
      <c r="J2614" s="2" t="s">
        <v>118</v>
      </c>
      <c r="K2614" s="2" t="s">
        <v>9210</v>
      </c>
      <c r="L2614" s="3">
        <v>28.68</v>
      </c>
      <c r="M2614" s="3">
        <v>30.11</v>
      </c>
      <c r="N2614" s="3">
        <v>62.99</v>
      </c>
      <c r="O2614" s="2" t="s">
        <v>97</v>
      </c>
      <c r="P2614" s="2" t="s">
        <v>98</v>
      </c>
      <c r="Q2614" s="2" t="s">
        <v>99</v>
      </c>
      <c r="R2614" s="2" t="s">
        <v>100</v>
      </c>
      <c r="S2614" s="2" t="s">
        <v>9211</v>
      </c>
      <c r="T2614" s="2" t="s">
        <v>9205</v>
      </c>
      <c r="U2614" s="2" t="s">
        <v>1228</v>
      </c>
      <c r="V2614" s="2" t="s">
        <v>367</v>
      </c>
      <c r="W2614" s="2" t="s">
        <v>609</v>
      </c>
      <c r="X2614" s="2" t="s">
        <v>493</v>
      </c>
      <c r="Y2614" s="2" t="s">
        <v>9212</v>
      </c>
      <c r="Z2614" s="4">
        <v>136</v>
      </c>
      <c r="AA2614" s="4">
        <f>=ROUNDDOWN(34,0)</f>
      </c>
      <c r="AB2614" s="5">
        <v>4</v>
      </c>
      <c r="AC2614" s="2" t="s">
        <v>3033</v>
      </c>
      <c r="AD2614" s="4">
        <v>20</v>
      </c>
      <c r="AE2614" s="4">
        <v>20</v>
      </c>
      <c r="AF2614" s="6">
        <v>74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 t="s">
        <v>100</v>
      </c>
      <c r="AW2614" s="8" t="s">
        <v>100</v>
      </c>
      <c r="AX2614" s="4" t="s">
        <v>100</v>
      </c>
      <c r="AY2614" s="8" t="s">
        <v>100</v>
      </c>
      <c r="AZ2614" s="7" t="s">
        <v>100</v>
      </c>
      <c r="BA2614" s="7" t="s">
        <v>100</v>
      </c>
      <c r="BB2614" s="7"/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/>
      <c r="BJ2614" s="4">
        <v>21</v>
      </c>
      <c r="BK2614" s="8">
        <v>682.12</v>
      </c>
      <c r="BL2614" s="2" t="s">
        <v>9216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171</v>
      </c>
      <c r="BV2614" s="2" t="s">
        <v>97</v>
      </c>
      <c r="BW2614" s="2" t="s">
        <v>100</v>
      </c>
      <c r="BX2614" s="2" t="s">
        <v>100</v>
      </c>
      <c r="BY2614" s="2" t="s">
        <v>112</v>
      </c>
      <c r="BZ2614" s="2" t="s">
        <v>100</v>
      </c>
    </row>
    <row r="2615">
      <c r="A2615" s="2" t="s">
        <v>9217</v>
      </c>
      <c r="B2615" s="2" t="s">
        <v>9043</v>
      </c>
      <c r="C2615" s="2" t="s">
        <v>5095</v>
      </c>
      <c r="D2615" s="2" t="s">
        <v>9044</v>
      </c>
      <c r="E2615" s="2" t="s">
        <v>9045</v>
      </c>
      <c r="F2615" s="2" t="s">
        <v>9201</v>
      </c>
      <c r="G2615" s="2" t="s">
        <v>9201</v>
      </c>
      <c r="H2615" s="2" t="s">
        <v>9201</v>
      </c>
      <c r="I2615" s="2" t="s">
        <v>9202</v>
      </c>
      <c r="J2615" s="2" t="s">
        <v>95</v>
      </c>
      <c r="K2615" s="2" t="s">
        <v>9218</v>
      </c>
      <c r="L2615" s="3">
        <v>25.85</v>
      </c>
      <c r="M2615" s="3">
        <v>27.14</v>
      </c>
      <c r="N2615" s="3">
        <v>55.99</v>
      </c>
      <c r="O2615" s="2" t="s">
        <v>97</v>
      </c>
      <c r="P2615" s="2" t="s">
        <v>156</v>
      </c>
      <c r="Q2615" s="2" t="s">
        <v>99</v>
      </c>
      <c r="R2615" s="2" t="s">
        <v>100</v>
      </c>
      <c r="S2615" s="2" t="s">
        <v>9219</v>
      </c>
      <c r="T2615" s="2" t="s">
        <v>9205</v>
      </c>
      <c r="U2615" s="2" t="s">
        <v>1228</v>
      </c>
      <c r="V2615" s="2" t="s">
        <v>4636</v>
      </c>
      <c r="W2615" s="2" t="s">
        <v>609</v>
      </c>
      <c r="X2615" s="2" t="s">
        <v>493</v>
      </c>
      <c r="Y2615" s="2" t="s">
        <v>4646</v>
      </c>
      <c r="Z2615" s="4">
        <v>1</v>
      </c>
      <c r="AA2615" s="4">
        <f>=ROUNDDOWN(0.0344827586206897,0)</f>
      </c>
      <c r="AB2615" s="5">
        <v>29</v>
      </c>
      <c r="AC2615" s="2" t="s">
        <v>1142</v>
      </c>
      <c r="AD2615" s="4">
        <v>244</v>
      </c>
      <c r="AE2615" s="4">
        <v>692</v>
      </c>
      <c r="AF2615" s="6">
        <v>65</v>
      </c>
      <c r="AG2615" s="6"/>
      <c r="AH2615" s="7">
        <v>0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 t="s">
        <v>100</v>
      </c>
      <c r="AW2615" s="8" t="s">
        <v>100</v>
      </c>
      <c r="AX2615" s="4" t="s">
        <v>100</v>
      </c>
      <c r="AY2615" s="8" t="s">
        <v>100</v>
      </c>
      <c r="AZ2615" s="7" t="s">
        <v>100</v>
      </c>
      <c r="BA2615" s="7" t="s">
        <v>100</v>
      </c>
      <c r="BB2615" s="7"/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/>
      <c r="BJ2615" s="4"/>
      <c r="BK2615" s="8"/>
      <c r="BL2615" s="2" t="s">
        <v>100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171</v>
      </c>
      <c r="BV2615" s="2" t="s">
        <v>97</v>
      </c>
      <c r="BW2615" s="2" t="s">
        <v>100</v>
      </c>
      <c r="BX2615" s="2" t="s">
        <v>100</v>
      </c>
      <c r="BY2615" s="2" t="s">
        <v>112</v>
      </c>
      <c r="BZ2615" s="2" t="s">
        <v>100</v>
      </c>
    </row>
    <row r="2616">
      <c r="A2616" s="2" t="s">
        <v>9220</v>
      </c>
      <c r="B2616" s="2" t="s">
        <v>9043</v>
      </c>
      <c r="C2616" s="2" t="s">
        <v>5095</v>
      </c>
      <c r="D2616" s="2" t="s">
        <v>9044</v>
      </c>
      <c r="E2616" s="2" t="s">
        <v>9045</v>
      </c>
      <c r="F2616" s="2" t="s">
        <v>9201</v>
      </c>
      <c r="G2616" s="2" t="s">
        <v>9201</v>
      </c>
      <c r="H2616" s="2" t="s">
        <v>9201</v>
      </c>
      <c r="I2616" s="2" t="s">
        <v>9202</v>
      </c>
      <c r="J2616" s="2" t="s">
        <v>114</v>
      </c>
      <c r="K2616" s="2" t="s">
        <v>9218</v>
      </c>
      <c r="L2616" s="3">
        <v>28.68</v>
      </c>
      <c r="M2616" s="3">
        <v>30.11</v>
      </c>
      <c r="N2616" s="3">
        <v>62.99</v>
      </c>
      <c r="O2616" s="2" t="s">
        <v>97</v>
      </c>
      <c r="P2616" s="2" t="s">
        <v>98</v>
      </c>
      <c r="Q2616" s="2" t="s">
        <v>99</v>
      </c>
      <c r="R2616" s="2" t="s">
        <v>100</v>
      </c>
      <c r="S2616" s="2" t="s">
        <v>9219</v>
      </c>
      <c r="T2616" s="2" t="s">
        <v>9205</v>
      </c>
      <c r="U2616" s="2" t="s">
        <v>1228</v>
      </c>
      <c r="V2616" s="2" t="s">
        <v>4636</v>
      </c>
      <c r="W2616" s="2" t="s">
        <v>609</v>
      </c>
      <c r="X2616" s="2" t="s">
        <v>493</v>
      </c>
      <c r="Y2616" s="2" t="s">
        <v>4646</v>
      </c>
      <c r="Z2616" s="4">
        <v>2</v>
      </c>
      <c r="AA2616" s="4">
        <f>=ROUNDDOWN(0.142857142857143,0)</f>
      </c>
      <c r="AB2616" s="5">
        <v>14</v>
      </c>
      <c r="AC2616" s="2" t="s">
        <v>1142</v>
      </c>
      <c r="AD2616" s="4">
        <v>123</v>
      </c>
      <c r="AE2616" s="4">
        <v>357</v>
      </c>
      <c r="AF2616" s="6">
        <v>65</v>
      </c>
      <c r="AG2616" s="6"/>
      <c r="AH2616" s="7">
        <v>0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 t="s">
        <v>100</v>
      </c>
      <c r="AW2616" s="8" t="s">
        <v>100</v>
      </c>
      <c r="AX2616" s="4" t="s">
        <v>100</v>
      </c>
      <c r="AY2616" s="8" t="s">
        <v>100</v>
      </c>
      <c r="AZ2616" s="7" t="s">
        <v>100</v>
      </c>
      <c r="BA2616" s="7" t="s">
        <v>100</v>
      </c>
      <c r="BB2616" s="7"/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/>
      <c r="BJ2616" s="4"/>
      <c r="BK2616" s="8"/>
      <c r="BL2616" s="2" t="s">
        <v>100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171</v>
      </c>
      <c r="BV2616" s="2" t="s">
        <v>97</v>
      </c>
      <c r="BW2616" s="2" t="s">
        <v>100</v>
      </c>
      <c r="BX2616" s="2" t="s">
        <v>100</v>
      </c>
      <c r="BY2616" s="2" t="s">
        <v>112</v>
      </c>
      <c r="BZ2616" s="2" t="s">
        <v>100</v>
      </c>
    </row>
    <row r="2617">
      <c r="A2617" s="2" t="s">
        <v>9221</v>
      </c>
      <c r="B2617" s="2" t="s">
        <v>9043</v>
      </c>
      <c r="C2617" s="2" t="s">
        <v>5095</v>
      </c>
      <c r="D2617" s="2" t="s">
        <v>9044</v>
      </c>
      <c r="E2617" s="2" t="s">
        <v>9045</v>
      </c>
      <c r="F2617" s="2" t="s">
        <v>9201</v>
      </c>
      <c r="G2617" s="2" t="s">
        <v>9201</v>
      </c>
      <c r="H2617" s="2" t="s">
        <v>9201</v>
      </c>
      <c r="I2617" s="2" t="s">
        <v>9202</v>
      </c>
      <c r="J2617" s="2" t="s">
        <v>118</v>
      </c>
      <c r="K2617" s="2" t="s">
        <v>9218</v>
      </c>
      <c r="L2617" s="3">
        <v>28.68</v>
      </c>
      <c r="M2617" s="3">
        <v>30.11</v>
      </c>
      <c r="N2617" s="3">
        <v>62.99</v>
      </c>
      <c r="O2617" s="2" t="s">
        <v>97</v>
      </c>
      <c r="P2617" s="2" t="s">
        <v>98</v>
      </c>
      <c r="Q2617" s="2" t="s">
        <v>99</v>
      </c>
      <c r="R2617" s="2" t="s">
        <v>100</v>
      </c>
      <c r="S2617" s="2" t="s">
        <v>9219</v>
      </c>
      <c r="T2617" s="2" t="s">
        <v>9205</v>
      </c>
      <c r="U2617" s="2" t="s">
        <v>1228</v>
      </c>
      <c r="V2617" s="2" t="s">
        <v>4636</v>
      </c>
      <c r="W2617" s="2" t="s">
        <v>609</v>
      </c>
      <c r="X2617" s="2" t="s">
        <v>493</v>
      </c>
      <c r="Y2617" s="2" t="s">
        <v>4646</v>
      </c>
      <c r="Z2617" s="4">
        <v>2</v>
      </c>
      <c r="AA2617" s="4">
        <f>=ROUNDDOWN(0.285714285714286,0)</f>
      </c>
      <c r="AB2617" s="5">
        <v>7</v>
      </c>
      <c r="AC2617" s="2" t="s">
        <v>1142</v>
      </c>
      <c r="AD2617" s="4">
        <v>67</v>
      </c>
      <c r="AE2617" s="4">
        <v>210</v>
      </c>
      <c r="AF2617" s="6">
        <v>65</v>
      </c>
      <c r="AG2617" s="6"/>
      <c r="AH2617" s="7">
        <v>0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 t="s">
        <v>100</v>
      </c>
      <c r="AW2617" s="8" t="s">
        <v>100</v>
      </c>
      <c r="AX2617" s="4" t="s">
        <v>100</v>
      </c>
      <c r="AY2617" s="8" t="s">
        <v>100</v>
      </c>
      <c r="AZ2617" s="7" t="s">
        <v>100</v>
      </c>
      <c r="BA2617" s="7" t="s">
        <v>100</v>
      </c>
      <c r="BB2617" s="7"/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/>
      <c r="BJ2617" s="4">
        <v>1</v>
      </c>
      <c r="BK2617" s="8">
        <v>30.11</v>
      </c>
      <c r="BL2617" s="2" t="s">
        <v>3477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171</v>
      </c>
      <c r="BV2617" s="2" t="s">
        <v>97</v>
      </c>
      <c r="BW2617" s="2" t="s">
        <v>100</v>
      </c>
      <c r="BX2617" s="2" t="s">
        <v>100</v>
      </c>
      <c r="BY2617" s="2" t="s">
        <v>112</v>
      </c>
      <c r="BZ2617" s="2" t="s">
        <v>100</v>
      </c>
    </row>
    <row r="2618">
      <c r="A2618" s="2" t="s">
        <v>9222</v>
      </c>
      <c r="B2618" s="2" t="s">
        <v>9043</v>
      </c>
      <c r="C2618" s="2" t="s">
        <v>5095</v>
      </c>
      <c r="D2618" s="2" t="s">
        <v>9044</v>
      </c>
      <c r="E2618" s="2" t="s">
        <v>9045</v>
      </c>
      <c r="F2618" s="2" t="s">
        <v>9201</v>
      </c>
      <c r="G2618" s="2" t="s">
        <v>9201</v>
      </c>
      <c r="H2618" s="2" t="s">
        <v>9201</v>
      </c>
      <c r="I2618" s="2" t="s">
        <v>9202</v>
      </c>
      <c r="J2618" s="2" t="s">
        <v>95</v>
      </c>
      <c r="K2618" s="2" t="s">
        <v>9223</v>
      </c>
      <c r="L2618" s="3">
        <v>25.85</v>
      </c>
      <c r="M2618" s="3">
        <v>27.14</v>
      </c>
      <c r="N2618" s="3">
        <v>55.99</v>
      </c>
      <c r="O2618" s="2" t="s">
        <v>97</v>
      </c>
      <c r="P2618" s="2" t="s">
        <v>156</v>
      </c>
      <c r="Q2618" s="2" t="s">
        <v>99</v>
      </c>
      <c r="R2618" s="2" t="s">
        <v>100</v>
      </c>
      <c r="S2618" s="2" t="s">
        <v>9224</v>
      </c>
      <c r="T2618" s="2" t="s">
        <v>9205</v>
      </c>
      <c r="U2618" s="2" t="s">
        <v>1228</v>
      </c>
      <c r="V2618" s="2" t="s">
        <v>4636</v>
      </c>
      <c r="W2618" s="2" t="s">
        <v>609</v>
      </c>
      <c r="X2618" s="2" t="s">
        <v>493</v>
      </c>
      <c r="Y2618" s="2" t="s">
        <v>4646</v>
      </c>
      <c r="Z2618" s="4"/>
      <c r="AA2618" s="4">
        <f>=ROUNDDOWN({0},0)</f>
      </c>
      <c r="AB2618" s="5">
        <v>29</v>
      </c>
      <c r="AC2618" s="2" t="s">
        <v>1142</v>
      </c>
      <c r="AD2618" s="4">
        <v>241</v>
      </c>
      <c r="AE2618" s="4">
        <v>674</v>
      </c>
      <c r="AF2618" s="6">
        <v>65</v>
      </c>
      <c r="AG2618" s="6"/>
      <c r="AH2618" s="7">
        <v>0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 t="s">
        <v>100</v>
      </c>
      <c r="AW2618" s="8" t="s">
        <v>100</v>
      </c>
      <c r="AX2618" s="4" t="s">
        <v>100</v>
      </c>
      <c r="AY2618" s="8" t="s">
        <v>100</v>
      </c>
      <c r="AZ2618" s="7" t="s">
        <v>100</v>
      </c>
      <c r="BA2618" s="7" t="s">
        <v>100</v>
      </c>
      <c r="BB2618" s="7"/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/>
      <c r="BJ2618" s="4"/>
      <c r="BK2618" s="8"/>
      <c r="BL2618" s="2" t="s">
        <v>100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171</v>
      </c>
      <c r="BV2618" s="2" t="s">
        <v>97</v>
      </c>
      <c r="BW2618" s="2" t="s">
        <v>100</v>
      </c>
      <c r="BX2618" s="2" t="s">
        <v>100</v>
      </c>
      <c r="BY2618" s="2" t="s">
        <v>112</v>
      </c>
      <c r="BZ2618" s="2" t="s">
        <v>149</v>
      </c>
    </row>
    <row r="2619">
      <c r="A2619" s="2" t="s">
        <v>9225</v>
      </c>
      <c r="B2619" s="2" t="s">
        <v>9043</v>
      </c>
      <c r="C2619" s="2" t="s">
        <v>5095</v>
      </c>
      <c r="D2619" s="2" t="s">
        <v>9044</v>
      </c>
      <c r="E2619" s="2" t="s">
        <v>9045</v>
      </c>
      <c r="F2619" s="2" t="s">
        <v>9201</v>
      </c>
      <c r="G2619" s="2" t="s">
        <v>9201</v>
      </c>
      <c r="H2619" s="2" t="s">
        <v>9201</v>
      </c>
      <c r="I2619" s="2" t="s">
        <v>9202</v>
      </c>
      <c r="J2619" s="2" t="s">
        <v>114</v>
      </c>
      <c r="K2619" s="2" t="s">
        <v>9223</v>
      </c>
      <c r="L2619" s="3">
        <v>28.68</v>
      </c>
      <c r="M2619" s="3">
        <v>30.11</v>
      </c>
      <c r="N2619" s="3">
        <v>62.99</v>
      </c>
      <c r="O2619" s="2" t="s">
        <v>97</v>
      </c>
      <c r="P2619" s="2" t="s">
        <v>98</v>
      </c>
      <c r="Q2619" s="2" t="s">
        <v>99</v>
      </c>
      <c r="R2619" s="2" t="s">
        <v>100</v>
      </c>
      <c r="S2619" s="2" t="s">
        <v>9224</v>
      </c>
      <c r="T2619" s="2" t="s">
        <v>9205</v>
      </c>
      <c r="U2619" s="2" t="s">
        <v>1228</v>
      </c>
      <c r="V2619" s="2" t="s">
        <v>4636</v>
      </c>
      <c r="W2619" s="2" t="s">
        <v>609</v>
      </c>
      <c r="X2619" s="2" t="s">
        <v>493</v>
      </c>
      <c r="Y2619" s="2" t="s">
        <v>4646</v>
      </c>
      <c r="Z2619" s="4">
        <v>5</v>
      </c>
      <c r="AA2619" s="4">
        <f>=ROUNDDOWN(0.3125,0)</f>
      </c>
      <c r="AB2619" s="5">
        <v>16</v>
      </c>
      <c r="AC2619" s="2" t="s">
        <v>1142</v>
      </c>
      <c r="AD2619" s="4">
        <v>136</v>
      </c>
      <c r="AE2619" s="4">
        <v>384</v>
      </c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 t="s">
        <v>100</v>
      </c>
      <c r="AW2619" s="8" t="s">
        <v>100</v>
      </c>
      <c r="AX2619" s="4" t="s">
        <v>100</v>
      </c>
      <c r="AY2619" s="8" t="s">
        <v>100</v>
      </c>
      <c r="AZ2619" s="7" t="s">
        <v>100</v>
      </c>
      <c r="BA2619" s="7" t="s">
        <v>100</v>
      </c>
      <c r="BB2619" s="7"/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/>
      <c r="BJ2619" s="4">
        <v>26</v>
      </c>
      <c r="BK2619" s="8">
        <v>860.08</v>
      </c>
      <c r="BL2619" s="2" t="s">
        <v>9226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171</v>
      </c>
      <c r="BV2619" s="2" t="s">
        <v>97</v>
      </c>
      <c r="BW2619" s="2" t="s">
        <v>100</v>
      </c>
      <c r="BX2619" s="2" t="s">
        <v>100</v>
      </c>
      <c r="BY2619" s="2" t="s">
        <v>112</v>
      </c>
      <c r="BZ2619" s="2" t="s">
        <v>149</v>
      </c>
    </row>
    <row r="2620">
      <c r="A2620" s="2" t="s">
        <v>9227</v>
      </c>
      <c r="B2620" s="2" t="s">
        <v>9043</v>
      </c>
      <c r="C2620" s="2" t="s">
        <v>5095</v>
      </c>
      <c r="D2620" s="2" t="s">
        <v>9044</v>
      </c>
      <c r="E2620" s="2" t="s">
        <v>9045</v>
      </c>
      <c r="F2620" s="2" t="s">
        <v>9201</v>
      </c>
      <c r="G2620" s="2" t="s">
        <v>9201</v>
      </c>
      <c r="H2620" s="2" t="s">
        <v>9201</v>
      </c>
      <c r="I2620" s="2" t="s">
        <v>9202</v>
      </c>
      <c r="J2620" s="2" t="s">
        <v>118</v>
      </c>
      <c r="K2620" s="2" t="s">
        <v>9223</v>
      </c>
      <c r="L2620" s="3">
        <v>28.68</v>
      </c>
      <c r="M2620" s="3">
        <v>30.11</v>
      </c>
      <c r="N2620" s="3">
        <v>62.99</v>
      </c>
      <c r="O2620" s="2" t="s">
        <v>97</v>
      </c>
      <c r="P2620" s="2" t="s">
        <v>98</v>
      </c>
      <c r="Q2620" s="2" t="s">
        <v>99</v>
      </c>
      <c r="R2620" s="2" t="s">
        <v>100</v>
      </c>
      <c r="S2620" s="2" t="s">
        <v>9224</v>
      </c>
      <c r="T2620" s="2" t="s">
        <v>9205</v>
      </c>
      <c r="U2620" s="2" t="s">
        <v>1228</v>
      </c>
      <c r="V2620" s="2" t="s">
        <v>4636</v>
      </c>
      <c r="W2620" s="2" t="s">
        <v>609</v>
      </c>
      <c r="X2620" s="2" t="s">
        <v>493</v>
      </c>
      <c r="Y2620" s="2" t="s">
        <v>4646</v>
      </c>
      <c r="Z2620" s="4"/>
      <c r="AA2620" s="4">
        <f>=ROUNDDOWN({0},0)</f>
      </c>
      <c r="AB2620" s="5">
        <v>9</v>
      </c>
      <c r="AC2620" s="2" t="s">
        <v>1142</v>
      </c>
      <c r="AD2620" s="4">
        <v>78</v>
      </c>
      <c r="AE2620" s="4">
        <v>245</v>
      </c>
      <c r="AF2620" s="6">
        <v>65</v>
      </c>
      <c r="AG2620" s="6"/>
      <c r="AH2620" s="7">
        <v>0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 t="s">
        <v>100</v>
      </c>
      <c r="AW2620" s="8" t="s">
        <v>100</v>
      </c>
      <c r="AX2620" s="4" t="s">
        <v>100</v>
      </c>
      <c r="AY2620" s="8" t="s">
        <v>100</v>
      </c>
      <c r="AZ2620" s="7" t="s">
        <v>100</v>
      </c>
      <c r="BA2620" s="7" t="s">
        <v>100</v>
      </c>
      <c r="BB2620" s="7"/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/>
      <c r="BJ2620" s="4"/>
      <c r="BK2620" s="8"/>
      <c r="BL2620" s="2" t="s">
        <v>100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171</v>
      </c>
      <c r="BV2620" s="2" t="s">
        <v>97</v>
      </c>
      <c r="BW2620" s="2" t="s">
        <v>100</v>
      </c>
      <c r="BX2620" s="2" t="s">
        <v>100</v>
      </c>
      <c r="BY2620" s="2" t="s">
        <v>112</v>
      </c>
      <c r="BZ2620" s="2" t="s">
        <v>149</v>
      </c>
    </row>
    <row r="2621">
      <c r="A2621" s="2" t="s">
        <v>9228</v>
      </c>
      <c r="B2621" s="2" t="s">
        <v>9043</v>
      </c>
      <c r="C2621" s="2" t="s">
        <v>5095</v>
      </c>
      <c r="D2621" s="2" t="s">
        <v>9044</v>
      </c>
      <c r="E2621" s="2" t="s">
        <v>9045</v>
      </c>
      <c r="F2621" s="2" t="s">
        <v>9201</v>
      </c>
      <c r="G2621" s="2" t="s">
        <v>9201</v>
      </c>
      <c r="H2621" s="2" t="s">
        <v>9201</v>
      </c>
      <c r="I2621" s="2" t="s">
        <v>9202</v>
      </c>
      <c r="J2621" s="2" t="s">
        <v>95</v>
      </c>
      <c r="K2621" s="2" t="s">
        <v>9229</v>
      </c>
      <c r="L2621" s="3">
        <v>25.85</v>
      </c>
      <c r="M2621" s="3">
        <v>27.14</v>
      </c>
      <c r="N2621" s="3">
        <v>55.99</v>
      </c>
      <c r="O2621" s="2" t="s">
        <v>97</v>
      </c>
      <c r="P2621" s="2" t="s">
        <v>123</v>
      </c>
      <c r="Q2621" s="2" t="s">
        <v>99</v>
      </c>
      <c r="R2621" s="2" t="s">
        <v>100</v>
      </c>
      <c r="S2621" s="2" t="s">
        <v>9230</v>
      </c>
      <c r="T2621" s="2" t="s">
        <v>9205</v>
      </c>
      <c r="U2621" s="2" t="s">
        <v>1228</v>
      </c>
      <c r="V2621" s="2" t="s">
        <v>461</v>
      </c>
      <c r="W2621" s="2" t="s">
        <v>609</v>
      </c>
      <c r="X2621" s="2" t="s">
        <v>493</v>
      </c>
      <c r="Y2621" s="2" t="s">
        <v>4646</v>
      </c>
      <c r="Z2621" s="4">
        <v>2</v>
      </c>
      <c r="AA2621" s="4">
        <f>=ROUNDDOWN(0.0571428571428571,0)</f>
      </c>
      <c r="AB2621" s="5">
        <v>35</v>
      </c>
      <c r="AC2621" s="2" t="s">
        <v>1142</v>
      </c>
      <c r="AD2621" s="4">
        <v>295</v>
      </c>
      <c r="AE2621" s="4">
        <v>833</v>
      </c>
      <c r="AF2621" s="6">
        <v>65</v>
      </c>
      <c r="AG2621" s="6"/>
      <c r="AH2621" s="7">
        <v>0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 t="s">
        <v>100</v>
      </c>
      <c r="AW2621" s="8" t="s">
        <v>100</v>
      </c>
      <c r="AX2621" s="4" t="s">
        <v>100</v>
      </c>
      <c r="AY2621" s="8" t="s">
        <v>100</v>
      </c>
      <c r="AZ2621" s="7" t="s">
        <v>100</v>
      </c>
      <c r="BA2621" s="7" t="s">
        <v>100</v>
      </c>
      <c r="BB2621" s="7"/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/>
      <c r="BJ2621" s="4">
        <v>1</v>
      </c>
      <c r="BK2621" s="8">
        <v>55.99</v>
      </c>
      <c r="BL2621" s="2" t="s">
        <v>3783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171</v>
      </c>
      <c r="BV2621" s="2" t="s">
        <v>97</v>
      </c>
      <c r="BW2621" s="2" t="s">
        <v>100</v>
      </c>
      <c r="BX2621" s="2" t="s">
        <v>100</v>
      </c>
      <c r="BY2621" s="2" t="s">
        <v>112</v>
      </c>
      <c r="BZ2621" s="2" t="s">
        <v>149</v>
      </c>
    </row>
    <row r="2622">
      <c r="A2622" s="2" t="s">
        <v>9231</v>
      </c>
      <c r="B2622" s="2" t="s">
        <v>9043</v>
      </c>
      <c r="C2622" s="2" t="s">
        <v>5095</v>
      </c>
      <c r="D2622" s="2" t="s">
        <v>9044</v>
      </c>
      <c r="E2622" s="2" t="s">
        <v>9045</v>
      </c>
      <c r="F2622" s="2" t="s">
        <v>9201</v>
      </c>
      <c r="G2622" s="2" t="s">
        <v>9201</v>
      </c>
      <c r="H2622" s="2" t="s">
        <v>9201</v>
      </c>
      <c r="I2622" s="2" t="s">
        <v>9202</v>
      </c>
      <c r="J2622" s="2" t="s">
        <v>114</v>
      </c>
      <c r="K2622" s="2" t="s">
        <v>9229</v>
      </c>
      <c r="L2622" s="3">
        <v>28.68</v>
      </c>
      <c r="M2622" s="3">
        <v>30.11</v>
      </c>
      <c r="N2622" s="3">
        <v>62.99</v>
      </c>
      <c r="O2622" s="2" t="s">
        <v>97</v>
      </c>
      <c r="P2622" s="2" t="s">
        <v>98</v>
      </c>
      <c r="Q2622" s="2" t="s">
        <v>99</v>
      </c>
      <c r="R2622" s="2" t="s">
        <v>100</v>
      </c>
      <c r="S2622" s="2" t="s">
        <v>9230</v>
      </c>
      <c r="T2622" s="2" t="s">
        <v>9205</v>
      </c>
      <c r="U2622" s="2" t="s">
        <v>1228</v>
      </c>
      <c r="V2622" s="2" t="s">
        <v>461</v>
      </c>
      <c r="W2622" s="2" t="s">
        <v>609</v>
      </c>
      <c r="X2622" s="2" t="s">
        <v>493</v>
      </c>
      <c r="Y2622" s="2" t="s">
        <v>4646</v>
      </c>
      <c r="Z2622" s="4">
        <v>1</v>
      </c>
      <c r="AA2622" s="4">
        <f>=ROUNDDOWN(0.0714285714285714,0)</f>
      </c>
      <c r="AB2622" s="5">
        <v>14</v>
      </c>
      <c r="AC2622" s="2" t="s">
        <v>1142</v>
      </c>
      <c r="AD2622" s="4">
        <v>117</v>
      </c>
      <c r="AE2622" s="4">
        <v>333</v>
      </c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 t="s">
        <v>100</v>
      </c>
      <c r="AW2622" s="8" t="s">
        <v>100</v>
      </c>
      <c r="AX2622" s="4" t="s">
        <v>100</v>
      </c>
      <c r="AY2622" s="8" t="s">
        <v>100</v>
      </c>
      <c r="AZ2622" s="7" t="s">
        <v>100</v>
      </c>
      <c r="BA2622" s="7" t="s">
        <v>100</v>
      </c>
      <c r="BB2622" s="7"/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/>
      <c r="BJ2622" s="4">
        <v>15</v>
      </c>
      <c r="BK2622" s="8">
        <v>506.98</v>
      </c>
      <c r="BL2622" s="2" t="s">
        <v>9232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171</v>
      </c>
      <c r="BV2622" s="2" t="s">
        <v>97</v>
      </c>
      <c r="BW2622" s="2" t="s">
        <v>100</v>
      </c>
      <c r="BX2622" s="2" t="s">
        <v>100</v>
      </c>
      <c r="BY2622" s="2" t="s">
        <v>112</v>
      </c>
      <c r="BZ2622" s="2" t="s">
        <v>149</v>
      </c>
    </row>
    <row r="2623">
      <c r="A2623" s="2" t="s">
        <v>9233</v>
      </c>
      <c r="B2623" s="2" t="s">
        <v>9043</v>
      </c>
      <c r="C2623" s="2" t="s">
        <v>5095</v>
      </c>
      <c r="D2623" s="2" t="s">
        <v>9044</v>
      </c>
      <c r="E2623" s="2" t="s">
        <v>9045</v>
      </c>
      <c r="F2623" s="2" t="s">
        <v>9201</v>
      </c>
      <c r="G2623" s="2" t="s">
        <v>9201</v>
      </c>
      <c r="H2623" s="2" t="s">
        <v>9201</v>
      </c>
      <c r="I2623" s="2" t="s">
        <v>9202</v>
      </c>
      <c r="J2623" s="2" t="s">
        <v>118</v>
      </c>
      <c r="K2623" s="2" t="s">
        <v>9229</v>
      </c>
      <c r="L2623" s="3">
        <v>28.68</v>
      </c>
      <c r="M2623" s="3">
        <v>30.11</v>
      </c>
      <c r="N2623" s="3">
        <v>62.99</v>
      </c>
      <c r="O2623" s="2" t="s">
        <v>97</v>
      </c>
      <c r="P2623" s="2" t="s">
        <v>98</v>
      </c>
      <c r="Q2623" s="2" t="s">
        <v>99</v>
      </c>
      <c r="R2623" s="2" t="s">
        <v>100</v>
      </c>
      <c r="S2623" s="2" t="s">
        <v>9230</v>
      </c>
      <c r="T2623" s="2" t="s">
        <v>9205</v>
      </c>
      <c r="U2623" s="2" t="s">
        <v>1228</v>
      </c>
      <c r="V2623" s="2" t="s">
        <v>461</v>
      </c>
      <c r="W2623" s="2" t="s">
        <v>609</v>
      </c>
      <c r="X2623" s="2" t="s">
        <v>493</v>
      </c>
      <c r="Y2623" s="2" t="s">
        <v>4646</v>
      </c>
      <c r="Z2623" s="4"/>
      <c r="AA2623" s="4">
        <f>=ROUNDDOWN({0},0)</f>
      </c>
      <c r="AB2623" s="5">
        <v>7</v>
      </c>
      <c r="AC2623" s="2" t="s">
        <v>1142</v>
      </c>
      <c r="AD2623" s="4">
        <v>51</v>
      </c>
      <c r="AE2623" s="4">
        <v>160</v>
      </c>
      <c r="AF2623" s="6">
        <v>65</v>
      </c>
      <c r="AG2623" s="6"/>
      <c r="AH2623" s="7">
        <v>0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 t="s">
        <v>100</v>
      </c>
      <c r="AW2623" s="8" t="s">
        <v>100</v>
      </c>
      <c r="AX2623" s="4" t="s">
        <v>100</v>
      </c>
      <c r="AY2623" s="8" t="s">
        <v>100</v>
      </c>
      <c r="AZ2623" s="7" t="s">
        <v>100</v>
      </c>
      <c r="BA2623" s="7" t="s">
        <v>100</v>
      </c>
      <c r="BB2623" s="7"/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/>
      <c r="BJ2623" s="4"/>
      <c r="BK2623" s="8"/>
      <c r="BL2623" s="2" t="s">
        <v>100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171</v>
      </c>
      <c r="BV2623" s="2" t="s">
        <v>97</v>
      </c>
      <c r="BW2623" s="2" t="s">
        <v>100</v>
      </c>
      <c r="BX2623" s="2" t="s">
        <v>100</v>
      </c>
      <c r="BY2623" s="2" t="s">
        <v>112</v>
      </c>
      <c r="BZ2623" s="2" t="s">
        <v>149</v>
      </c>
    </row>
    <row r="2624">
      <c r="A2624" s="2" t="s">
        <v>9234</v>
      </c>
      <c r="B2624" s="2" t="s">
        <v>9043</v>
      </c>
      <c r="C2624" s="2" t="s">
        <v>5095</v>
      </c>
      <c r="D2624" s="2" t="s">
        <v>9044</v>
      </c>
      <c r="E2624" s="2" t="s">
        <v>9045</v>
      </c>
      <c r="F2624" s="2" t="s">
        <v>9201</v>
      </c>
      <c r="G2624" s="2" t="s">
        <v>9201</v>
      </c>
      <c r="H2624" s="2" t="s">
        <v>9201</v>
      </c>
      <c r="I2624" s="2" t="s">
        <v>9202</v>
      </c>
      <c r="J2624" s="2" t="s">
        <v>95</v>
      </c>
      <c r="K2624" s="2" t="s">
        <v>9235</v>
      </c>
      <c r="L2624" s="3">
        <v>25.85</v>
      </c>
      <c r="M2624" s="3">
        <v>27.14</v>
      </c>
      <c r="N2624" s="3">
        <v>55.99</v>
      </c>
      <c r="O2624" s="2" t="s">
        <v>97</v>
      </c>
      <c r="P2624" s="2" t="s">
        <v>123</v>
      </c>
      <c r="Q2624" s="2" t="s">
        <v>99</v>
      </c>
      <c r="R2624" s="2" t="s">
        <v>100</v>
      </c>
      <c r="S2624" s="2" t="s">
        <v>9236</v>
      </c>
      <c r="T2624" s="2" t="s">
        <v>9205</v>
      </c>
      <c r="U2624" s="2" t="s">
        <v>1228</v>
      </c>
      <c r="V2624" s="2" t="s">
        <v>461</v>
      </c>
      <c r="W2624" s="2" t="s">
        <v>609</v>
      </c>
      <c r="X2624" s="2" t="s">
        <v>493</v>
      </c>
      <c r="Y2624" s="2" t="s">
        <v>4646</v>
      </c>
      <c r="Z2624" s="4">
        <v>1</v>
      </c>
      <c r="AA2624" s="4">
        <f>=ROUNDDOWN(0.0238095238095238,0)</f>
      </c>
      <c r="AB2624" s="5">
        <v>42</v>
      </c>
      <c r="AC2624" s="2" t="s">
        <v>1142</v>
      </c>
      <c r="AD2624" s="4">
        <v>350</v>
      </c>
      <c r="AE2624" s="4">
        <v>989</v>
      </c>
      <c r="AF2624" s="6">
        <v>65</v>
      </c>
      <c r="AG2624" s="6"/>
      <c r="AH2624" s="7">
        <v>0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 t="s">
        <v>100</v>
      </c>
      <c r="AW2624" s="8" t="s">
        <v>100</v>
      </c>
      <c r="AX2624" s="4" t="s">
        <v>100</v>
      </c>
      <c r="AY2624" s="8" t="s">
        <v>100</v>
      </c>
      <c r="AZ2624" s="7" t="s">
        <v>100</v>
      </c>
      <c r="BA2624" s="7" t="s">
        <v>100</v>
      </c>
      <c r="BB2624" s="7"/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/>
      <c r="BJ2624" s="4">
        <v>1</v>
      </c>
      <c r="BK2624" s="8">
        <v>55.99</v>
      </c>
      <c r="BL2624" s="2" t="s">
        <v>3783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171</v>
      </c>
      <c r="BV2624" s="2" t="s">
        <v>97</v>
      </c>
      <c r="BW2624" s="2" t="s">
        <v>100</v>
      </c>
      <c r="BX2624" s="2" t="s">
        <v>100</v>
      </c>
      <c r="BY2624" s="2" t="s">
        <v>112</v>
      </c>
      <c r="BZ2624" s="2" t="s">
        <v>149</v>
      </c>
    </row>
    <row r="2625">
      <c r="A2625" s="2" t="s">
        <v>9237</v>
      </c>
      <c r="B2625" s="2" t="s">
        <v>9043</v>
      </c>
      <c r="C2625" s="2" t="s">
        <v>5095</v>
      </c>
      <c r="D2625" s="2" t="s">
        <v>9044</v>
      </c>
      <c r="E2625" s="2" t="s">
        <v>9045</v>
      </c>
      <c r="F2625" s="2" t="s">
        <v>9201</v>
      </c>
      <c r="G2625" s="2" t="s">
        <v>9201</v>
      </c>
      <c r="H2625" s="2" t="s">
        <v>9201</v>
      </c>
      <c r="I2625" s="2" t="s">
        <v>9202</v>
      </c>
      <c r="J2625" s="2" t="s">
        <v>114</v>
      </c>
      <c r="K2625" s="2" t="s">
        <v>9235</v>
      </c>
      <c r="L2625" s="3">
        <v>28.68</v>
      </c>
      <c r="M2625" s="3">
        <v>30.11</v>
      </c>
      <c r="N2625" s="3">
        <v>62.99</v>
      </c>
      <c r="O2625" s="2" t="s">
        <v>97</v>
      </c>
      <c r="P2625" s="2" t="s">
        <v>98</v>
      </c>
      <c r="Q2625" s="2" t="s">
        <v>99</v>
      </c>
      <c r="R2625" s="2" t="s">
        <v>100</v>
      </c>
      <c r="S2625" s="2" t="s">
        <v>9236</v>
      </c>
      <c r="T2625" s="2" t="s">
        <v>9205</v>
      </c>
      <c r="U2625" s="2" t="s">
        <v>1228</v>
      </c>
      <c r="V2625" s="2" t="s">
        <v>461</v>
      </c>
      <c r="W2625" s="2" t="s">
        <v>609</v>
      </c>
      <c r="X2625" s="2" t="s">
        <v>493</v>
      </c>
      <c r="Y2625" s="2" t="s">
        <v>4646</v>
      </c>
      <c r="Z2625" s="4">
        <v>1</v>
      </c>
      <c r="AA2625" s="4">
        <f>=ROUNDDOWN(0.0909090909090909,0)</f>
      </c>
      <c r="AB2625" s="5">
        <v>11</v>
      </c>
      <c r="AC2625" s="2" t="s">
        <v>1142</v>
      </c>
      <c r="AD2625" s="4">
        <v>100</v>
      </c>
      <c r="AE2625" s="4">
        <v>284</v>
      </c>
      <c r="AF2625" s="6">
        <v>65</v>
      </c>
      <c r="AG2625" s="6"/>
      <c r="AH2625" s="7">
        <v>0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 t="s">
        <v>100</v>
      </c>
      <c r="AW2625" s="8" t="s">
        <v>100</v>
      </c>
      <c r="AX2625" s="4" t="s">
        <v>100</v>
      </c>
      <c r="AY2625" s="8" t="s">
        <v>100</v>
      </c>
      <c r="AZ2625" s="7" t="s">
        <v>100</v>
      </c>
      <c r="BA2625" s="7" t="s">
        <v>100</v>
      </c>
      <c r="BB2625" s="7"/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/>
      <c r="BJ2625" s="4"/>
      <c r="BK2625" s="8"/>
      <c r="BL2625" s="2" t="s">
        <v>100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171</v>
      </c>
      <c r="BV2625" s="2" t="s">
        <v>97</v>
      </c>
      <c r="BW2625" s="2" t="s">
        <v>100</v>
      </c>
      <c r="BX2625" s="2" t="s">
        <v>100</v>
      </c>
      <c r="BY2625" s="2" t="s">
        <v>112</v>
      </c>
      <c r="BZ2625" s="2" t="s">
        <v>149</v>
      </c>
    </row>
    <row r="2626">
      <c r="A2626" s="2" t="s">
        <v>9238</v>
      </c>
      <c r="B2626" s="2" t="s">
        <v>9043</v>
      </c>
      <c r="C2626" s="2" t="s">
        <v>5095</v>
      </c>
      <c r="D2626" s="2" t="s">
        <v>9044</v>
      </c>
      <c r="E2626" s="2" t="s">
        <v>9045</v>
      </c>
      <c r="F2626" s="2" t="s">
        <v>9201</v>
      </c>
      <c r="G2626" s="2" t="s">
        <v>9201</v>
      </c>
      <c r="H2626" s="2" t="s">
        <v>9201</v>
      </c>
      <c r="I2626" s="2" t="s">
        <v>9202</v>
      </c>
      <c r="J2626" s="2" t="s">
        <v>118</v>
      </c>
      <c r="K2626" s="2" t="s">
        <v>9235</v>
      </c>
      <c r="L2626" s="3">
        <v>28.68</v>
      </c>
      <c r="M2626" s="3">
        <v>30.11</v>
      </c>
      <c r="N2626" s="3">
        <v>62.99</v>
      </c>
      <c r="O2626" s="2" t="s">
        <v>97</v>
      </c>
      <c r="P2626" s="2" t="s">
        <v>98</v>
      </c>
      <c r="Q2626" s="2" t="s">
        <v>99</v>
      </c>
      <c r="R2626" s="2" t="s">
        <v>100</v>
      </c>
      <c r="S2626" s="2" t="s">
        <v>9236</v>
      </c>
      <c r="T2626" s="2" t="s">
        <v>9205</v>
      </c>
      <c r="U2626" s="2" t="s">
        <v>1228</v>
      </c>
      <c r="V2626" s="2" t="s">
        <v>461</v>
      </c>
      <c r="W2626" s="2" t="s">
        <v>609</v>
      </c>
      <c r="X2626" s="2" t="s">
        <v>493</v>
      </c>
      <c r="Y2626" s="2" t="s">
        <v>4646</v>
      </c>
      <c r="Z2626" s="4">
        <v>1</v>
      </c>
      <c r="AA2626" s="4">
        <f>=ROUNDDOWN(0.142857142857143,0)</f>
      </c>
      <c r="AB2626" s="5">
        <v>7</v>
      </c>
      <c r="AC2626" s="2" t="s">
        <v>1142</v>
      </c>
      <c r="AD2626" s="4">
        <v>39</v>
      </c>
      <c r="AE2626" s="4">
        <v>122</v>
      </c>
      <c r="AF2626" s="6">
        <v>65</v>
      </c>
      <c r="AG2626" s="6"/>
      <c r="AH2626" s="7">
        <v>0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 t="s">
        <v>100</v>
      </c>
      <c r="AW2626" s="8" t="s">
        <v>100</v>
      </c>
      <c r="AX2626" s="4" t="s">
        <v>100</v>
      </c>
      <c r="AY2626" s="8" t="s">
        <v>100</v>
      </c>
      <c r="AZ2626" s="7" t="s">
        <v>100</v>
      </c>
      <c r="BA2626" s="7" t="s">
        <v>100</v>
      </c>
      <c r="BB2626" s="7"/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/>
      <c r="BJ2626" s="4">
        <v>2</v>
      </c>
      <c r="BK2626" s="8">
        <v>93.1</v>
      </c>
      <c r="BL2626" s="2" t="s">
        <v>9239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171</v>
      </c>
      <c r="BV2626" s="2" t="s">
        <v>97</v>
      </c>
      <c r="BW2626" s="2" t="s">
        <v>100</v>
      </c>
      <c r="BX2626" s="2" t="s">
        <v>100</v>
      </c>
      <c r="BY2626" s="2" t="s">
        <v>112</v>
      </c>
      <c r="BZ2626" s="2" t="s">
        <v>149</v>
      </c>
    </row>
    <row r="2627">
      <c r="A2627" s="2" t="s">
        <v>9240</v>
      </c>
      <c r="B2627" s="2" t="s">
        <v>9043</v>
      </c>
      <c r="C2627" s="2" t="s">
        <v>5095</v>
      </c>
      <c r="D2627" s="2" t="s">
        <v>9044</v>
      </c>
      <c r="E2627" s="2" t="s">
        <v>9045</v>
      </c>
      <c r="F2627" s="2" t="s">
        <v>9201</v>
      </c>
      <c r="G2627" s="2" t="s">
        <v>9201</v>
      </c>
      <c r="H2627" s="2" t="s">
        <v>9201</v>
      </c>
      <c r="I2627" s="2" t="s">
        <v>9202</v>
      </c>
      <c r="J2627" s="2" t="s">
        <v>490</v>
      </c>
      <c r="K2627" s="2" t="s">
        <v>9241</v>
      </c>
      <c r="L2627" s="3">
        <v>22</v>
      </c>
      <c r="M2627" s="3">
        <v>23.1</v>
      </c>
      <c r="N2627" s="3">
        <v>47.99</v>
      </c>
      <c r="O2627" s="2" t="s">
        <v>97</v>
      </c>
      <c r="P2627" s="2" t="s">
        <v>98</v>
      </c>
      <c r="Q2627" s="2" t="s">
        <v>99</v>
      </c>
      <c r="R2627" s="2" t="s">
        <v>100</v>
      </c>
      <c r="S2627" s="2" t="s">
        <v>9242</v>
      </c>
      <c r="T2627" s="2" t="s">
        <v>9205</v>
      </c>
      <c r="U2627" s="2" t="s">
        <v>1228</v>
      </c>
      <c r="V2627" s="2" t="s">
        <v>733</v>
      </c>
      <c r="W2627" s="2" t="s">
        <v>609</v>
      </c>
      <c r="X2627" s="2" t="s">
        <v>493</v>
      </c>
      <c r="Y2627" s="2" t="s">
        <v>9243</v>
      </c>
      <c r="Z2627" s="4">
        <v>3</v>
      </c>
      <c r="AA2627" s="4">
        <f>=ROUNDDOWN(1.5,0)</f>
      </c>
      <c r="AB2627" s="5">
        <v>2</v>
      </c>
      <c r="AC2627" s="2" t="s">
        <v>1142</v>
      </c>
      <c r="AD2627" s="4">
        <v>20</v>
      </c>
      <c r="AE2627" s="4">
        <v>90</v>
      </c>
      <c r="AF2627" s="6">
        <v>74</v>
      </c>
      <c r="AG2627" s="6"/>
      <c r="AH2627" s="7">
        <v>0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 t="s">
        <v>100</v>
      </c>
      <c r="AW2627" s="8" t="s">
        <v>100</v>
      </c>
      <c r="AX2627" s="4" t="s">
        <v>100</v>
      </c>
      <c r="AY2627" s="8" t="s">
        <v>100</v>
      </c>
      <c r="AZ2627" s="7" t="s">
        <v>100</v>
      </c>
      <c r="BA2627" s="7" t="s">
        <v>100</v>
      </c>
      <c r="BB2627" s="7"/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/>
      <c r="BJ2627" s="4"/>
      <c r="BK2627" s="8"/>
      <c r="BL2627" s="2" t="s">
        <v>100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171</v>
      </c>
      <c r="BV2627" s="2" t="s">
        <v>97</v>
      </c>
      <c r="BW2627" s="2" t="s">
        <v>100</v>
      </c>
      <c r="BX2627" s="2" t="s">
        <v>100</v>
      </c>
      <c r="BY2627" s="2" t="s">
        <v>112</v>
      </c>
      <c r="BZ2627" s="2" t="s">
        <v>100</v>
      </c>
    </row>
    <row r="2628">
      <c r="A2628" s="2" t="s">
        <v>9244</v>
      </c>
      <c r="B2628" s="2" t="s">
        <v>9043</v>
      </c>
      <c r="C2628" s="2" t="s">
        <v>5095</v>
      </c>
      <c r="D2628" s="2" t="s">
        <v>9044</v>
      </c>
      <c r="E2628" s="2" t="s">
        <v>9045</v>
      </c>
      <c r="F2628" s="2" t="s">
        <v>9201</v>
      </c>
      <c r="G2628" s="2" t="s">
        <v>9201</v>
      </c>
      <c r="H2628" s="2" t="s">
        <v>9201</v>
      </c>
      <c r="I2628" s="2" t="s">
        <v>9202</v>
      </c>
      <c r="J2628" s="2" t="s">
        <v>95</v>
      </c>
      <c r="K2628" s="2" t="s">
        <v>9241</v>
      </c>
      <c r="L2628" s="3">
        <v>25.85</v>
      </c>
      <c r="M2628" s="3">
        <v>27.14</v>
      </c>
      <c r="N2628" s="3">
        <v>55.99</v>
      </c>
      <c r="O2628" s="2" t="s">
        <v>97</v>
      </c>
      <c r="P2628" s="2" t="s">
        <v>98</v>
      </c>
      <c r="Q2628" s="2" t="s">
        <v>99</v>
      </c>
      <c r="R2628" s="2" t="s">
        <v>100</v>
      </c>
      <c r="S2628" s="2" t="s">
        <v>9242</v>
      </c>
      <c r="T2628" s="2" t="s">
        <v>9205</v>
      </c>
      <c r="U2628" s="2" t="s">
        <v>1228</v>
      </c>
      <c r="V2628" s="2" t="s">
        <v>733</v>
      </c>
      <c r="W2628" s="2" t="s">
        <v>609</v>
      </c>
      <c r="X2628" s="2" t="s">
        <v>493</v>
      </c>
      <c r="Y2628" s="2" t="s">
        <v>9243</v>
      </c>
      <c r="Z2628" s="4">
        <v>2</v>
      </c>
      <c r="AA2628" s="4">
        <f>=ROUNDDOWN(0.222222222222222,0)</f>
      </c>
      <c r="AB2628" s="5">
        <v>9</v>
      </c>
      <c r="AC2628" s="2" t="s">
        <v>1142</v>
      </c>
      <c r="AD2628" s="4">
        <v>20</v>
      </c>
      <c r="AE2628" s="4">
        <v>40</v>
      </c>
      <c r="AF2628" s="6">
        <v>74</v>
      </c>
      <c r="AG2628" s="6"/>
      <c r="AH2628" s="7">
        <v>0.1935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 t="s">
        <v>100</v>
      </c>
      <c r="AW2628" s="8" t="s">
        <v>100</v>
      </c>
      <c r="AX2628" s="4" t="s">
        <v>100</v>
      </c>
      <c r="AY2628" s="8" t="s">
        <v>100</v>
      </c>
      <c r="AZ2628" s="7" t="s">
        <v>100</v>
      </c>
      <c r="BA2628" s="7" t="s">
        <v>100</v>
      </c>
      <c r="BB2628" s="7"/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/>
      <c r="BJ2628" s="4">
        <v>11</v>
      </c>
      <c r="BK2628" s="8">
        <v>326.16</v>
      </c>
      <c r="BL2628" s="2" t="s">
        <v>9245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171</v>
      </c>
      <c r="BV2628" s="2" t="s">
        <v>97</v>
      </c>
      <c r="BW2628" s="2" t="s">
        <v>100</v>
      </c>
      <c r="BX2628" s="2" t="s">
        <v>100</v>
      </c>
      <c r="BY2628" s="2" t="s">
        <v>112</v>
      </c>
      <c r="BZ2628" s="2" t="s">
        <v>100</v>
      </c>
    </row>
    <row r="2629">
      <c r="A2629" s="2" t="s">
        <v>9246</v>
      </c>
      <c r="B2629" s="2" t="s">
        <v>9043</v>
      </c>
      <c r="C2629" s="2" t="s">
        <v>5095</v>
      </c>
      <c r="D2629" s="2" t="s">
        <v>9044</v>
      </c>
      <c r="E2629" s="2" t="s">
        <v>9045</v>
      </c>
      <c r="F2629" s="2" t="s">
        <v>9201</v>
      </c>
      <c r="G2629" s="2" t="s">
        <v>9201</v>
      </c>
      <c r="H2629" s="2" t="s">
        <v>9201</v>
      </c>
      <c r="I2629" s="2" t="s">
        <v>9202</v>
      </c>
      <c r="J2629" s="2" t="s">
        <v>114</v>
      </c>
      <c r="K2629" s="2" t="s">
        <v>9241</v>
      </c>
      <c r="L2629" s="3">
        <v>28.68</v>
      </c>
      <c r="M2629" s="3">
        <v>30.11</v>
      </c>
      <c r="N2629" s="3">
        <v>62.99</v>
      </c>
      <c r="O2629" s="2" t="s">
        <v>97</v>
      </c>
      <c r="P2629" s="2" t="s">
        <v>98</v>
      </c>
      <c r="Q2629" s="2" t="s">
        <v>99</v>
      </c>
      <c r="R2629" s="2" t="s">
        <v>100</v>
      </c>
      <c r="S2629" s="2" t="s">
        <v>9242</v>
      </c>
      <c r="T2629" s="2" t="s">
        <v>9205</v>
      </c>
      <c r="U2629" s="2" t="s">
        <v>1228</v>
      </c>
      <c r="V2629" s="2" t="s">
        <v>733</v>
      </c>
      <c r="W2629" s="2" t="s">
        <v>609</v>
      </c>
      <c r="X2629" s="2" t="s">
        <v>493</v>
      </c>
      <c r="Y2629" s="2" t="s">
        <v>9243</v>
      </c>
      <c r="Z2629" s="4">
        <v>155</v>
      </c>
      <c r="AA2629" s="4">
        <f>=ROUNDDOWN(38.75,0)</f>
      </c>
      <c r="AB2629" s="5">
        <v>4</v>
      </c>
      <c r="AC2629" s="2" t="s">
        <v>3033</v>
      </c>
      <c r="AD2629" s="4">
        <v>20</v>
      </c>
      <c r="AE2629" s="4">
        <v>20</v>
      </c>
      <c r="AF2629" s="6">
        <v>74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 t="s">
        <v>100</v>
      </c>
      <c r="AW2629" s="8" t="s">
        <v>100</v>
      </c>
      <c r="AX2629" s="4" t="s">
        <v>100</v>
      </c>
      <c r="AY2629" s="8" t="s">
        <v>100</v>
      </c>
      <c r="AZ2629" s="7" t="s">
        <v>100</v>
      </c>
      <c r="BA2629" s="7" t="s">
        <v>100</v>
      </c>
      <c r="BB2629" s="7"/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/>
      <c r="BJ2629" s="4">
        <v>41</v>
      </c>
      <c r="BK2629" s="8">
        <v>1363.41</v>
      </c>
      <c r="BL2629" s="2" t="s">
        <v>9247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171</v>
      </c>
      <c r="BV2629" s="2" t="s">
        <v>97</v>
      </c>
      <c r="BW2629" s="2" t="s">
        <v>100</v>
      </c>
      <c r="BX2629" s="2" t="s">
        <v>100</v>
      </c>
      <c r="BY2629" s="2" t="s">
        <v>112</v>
      </c>
      <c r="BZ2629" s="2" t="s">
        <v>100</v>
      </c>
    </row>
    <row r="2630">
      <c r="A2630" s="2" t="s">
        <v>9248</v>
      </c>
      <c r="B2630" s="2" t="s">
        <v>9043</v>
      </c>
      <c r="C2630" s="2" t="s">
        <v>5095</v>
      </c>
      <c r="D2630" s="2" t="s">
        <v>9044</v>
      </c>
      <c r="E2630" s="2" t="s">
        <v>9045</v>
      </c>
      <c r="F2630" s="2" t="s">
        <v>9201</v>
      </c>
      <c r="G2630" s="2" t="s">
        <v>9201</v>
      </c>
      <c r="H2630" s="2" t="s">
        <v>9201</v>
      </c>
      <c r="I2630" s="2" t="s">
        <v>9202</v>
      </c>
      <c r="J2630" s="2" t="s">
        <v>118</v>
      </c>
      <c r="K2630" s="2" t="s">
        <v>9241</v>
      </c>
      <c r="L2630" s="3">
        <v>28.68</v>
      </c>
      <c r="M2630" s="3">
        <v>30.11</v>
      </c>
      <c r="N2630" s="3">
        <v>62.99</v>
      </c>
      <c r="O2630" s="2" t="s">
        <v>97</v>
      </c>
      <c r="P2630" s="2" t="s">
        <v>98</v>
      </c>
      <c r="Q2630" s="2" t="s">
        <v>99</v>
      </c>
      <c r="R2630" s="2" t="s">
        <v>100</v>
      </c>
      <c r="S2630" s="2" t="s">
        <v>9242</v>
      </c>
      <c r="T2630" s="2" t="s">
        <v>9205</v>
      </c>
      <c r="U2630" s="2" t="s">
        <v>1228</v>
      </c>
      <c r="V2630" s="2" t="s">
        <v>733</v>
      </c>
      <c r="W2630" s="2" t="s">
        <v>609</v>
      </c>
      <c r="X2630" s="2" t="s">
        <v>493</v>
      </c>
      <c r="Y2630" s="2" t="s">
        <v>9243</v>
      </c>
      <c r="Z2630" s="4">
        <v>106</v>
      </c>
      <c r="AA2630" s="4">
        <f>=ROUNDDOWN(53,0)</f>
      </c>
      <c r="AB2630" s="5">
        <v>2</v>
      </c>
      <c r="AC2630" s="2" t="s">
        <v>3033</v>
      </c>
      <c r="AD2630" s="4">
        <v>20</v>
      </c>
      <c r="AE2630" s="4">
        <v>20</v>
      </c>
      <c r="AF2630" s="6">
        <v>74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 t="s">
        <v>100</v>
      </c>
      <c r="AW2630" s="8" t="s">
        <v>100</v>
      </c>
      <c r="AX2630" s="4" t="s">
        <v>100</v>
      </c>
      <c r="AY2630" s="8" t="s">
        <v>100</v>
      </c>
      <c r="AZ2630" s="7" t="s">
        <v>100</v>
      </c>
      <c r="BA2630" s="7" t="s">
        <v>100</v>
      </c>
      <c r="BB2630" s="7"/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/>
      <c r="BJ2630" s="4">
        <v>28</v>
      </c>
      <c r="BK2630" s="8">
        <v>921.72</v>
      </c>
      <c r="BL2630" s="2" t="s">
        <v>5819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171</v>
      </c>
      <c r="BV2630" s="2" t="s">
        <v>97</v>
      </c>
      <c r="BW2630" s="2" t="s">
        <v>100</v>
      </c>
      <c r="BX2630" s="2" t="s">
        <v>100</v>
      </c>
      <c r="BY2630" s="2" t="s">
        <v>112</v>
      </c>
      <c r="BZ2630" s="2" t="s">
        <v>100</v>
      </c>
    </row>
    <row r="2631">
      <c r="A2631" s="2" t="s">
        <v>9249</v>
      </c>
      <c r="B2631" s="2" t="s">
        <v>9043</v>
      </c>
      <c r="C2631" s="2" t="s">
        <v>88</v>
      </c>
      <c r="D2631" s="2" t="s">
        <v>9044</v>
      </c>
      <c r="E2631" s="2" t="s">
        <v>9045</v>
      </c>
      <c r="F2631" s="2" t="s">
        <v>9250</v>
      </c>
      <c r="G2631" s="2" t="s">
        <v>9250</v>
      </c>
      <c r="H2631" s="2" t="s">
        <v>9250</v>
      </c>
      <c r="I2631" s="2" t="s">
        <v>9251</v>
      </c>
      <c r="J2631" s="2" t="s">
        <v>95</v>
      </c>
      <c r="K2631" s="2" t="s">
        <v>471</v>
      </c>
      <c r="L2631" s="3">
        <v>32.9</v>
      </c>
      <c r="M2631" s="3">
        <v>34.54</v>
      </c>
      <c r="N2631" s="3">
        <v>69.99</v>
      </c>
      <c r="O2631" s="2" t="s">
        <v>97</v>
      </c>
      <c r="P2631" s="2" t="s">
        <v>98</v>
      </c>
      <c r="Q2631" s="2" t="s">
        <v>99</v>
      </c>
      <c r="R2631" s="2" t="s">
        <v>100</v>
      </c>
      <c r="S2631" s="2" t="s">
        <v>9252</v>
      </c>
      <c r="T2631" s="2" t="s">
        <v>4529</v>
      </c>
      <c r="U2631" s="2" t="s">
        <v>355</v>
      </c>
      <c r="V2631" s="2" t="s">
        <v>461</v>
      </c>
      <c r="W2631" s="2" t="s">
        <v>609</v>
      </c>
      <c r="X2631" s="2" t="s">
        <v>100</v>
      </c>
      <c r="Y2631" s="2" t="s">
        <v>1230</v>
      </c>
      <c r="Z2631" s="4">
        <v>287</v>
      </c>
      <c r="AA2631" s="4">
        <f>=ROUNDDOWN(17.9375,0)</f>
      </c>
      <c r="AB2631" s="5">
        <v>16</v>
      </c>
      <c r="AC2631" s="2" t="s">
        <v>1142</v>
      </c>
      <c r="AD2631" s="4">
        <v>210</v>
      </c>
      <c r="AE2631" s="4">
        <v>300</v>
      </c>
      <c r="AF2631" s="6">
        <v>70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4</v>
      </c>
      <c r="AQ2631" s="8">
        <v>136.08</v>
      </c>
      <c r="AR2631" s="4"/>
      <c r="AS2631" s="8"/>
      <c r="AT2631" s="7"/>
      <c r="AU2631" s="7"/>
      <c r="AV2631" s="4">
        <v>7</v>
      </c>
      <c r="AW2631" s="8">
        <v>255.15</v>
      </c>
      <c r="AX2631" s="4" t="s">
        <v>100</v>
      </c>
      <c r="AY2631" s="8" t="s">
        <v>100</v>
      </c>
      <c r="AZ2631" s="7" t="s">
        <v>100</v>
      </c>
      <c r="BA2631" s="7" t="s">
        <v>100</v>
      </c>
      <c r="BB2631" s="7">
        <v>0.5333</v>
      </c>
      <c r="BC2631" s="4">
        <v>13</v>
      </c>
      <c r="BD2631" s="8">
        <v>464.94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>
        <v>0.5488</v>
      </c>
      <c r="BJ2631" s="4">
        <v>52</v>
      </c>
      <c r="BK2631" s="8">
        <v>1835.47</v>
      </c>
      <c r="BL2631" s="2" t="s">
        <v>4075</v>
      </c>
      <c r="BM2631" s="7">
        <v>0.0769</v>
      </c>
      <c r="BN2631" s="7">
        <v>0.0741</v>
      </c>
      <c r="BO2631" s="4">
        <v>4</v>
      </c>
      <c r="BP2631" s="8">
        <v>136.08</v>
      </c>
      <c r="BQ2631" s="4"/>
      <c r="BR2631" s="8"/>
      <c r="BS2631" s="7"/>
      <c r="BT2631" s="7"/>
      <c r="BU2631" s="2" t="s">
        <v>109</v>
      </c>
      <c r="BV2631" s="2" t="s">
        <v>97</v>
      </c>
      <c r="BW2631" s="2" t="s">
        <v>110</v>
      </c>
      <c r="BX2631" s="2" t="s">
        <v>1276</v>
      </c>
      <c r="BY2631" s="2" t="s">
        <v>112</v>
      </c>
      <c r="BZ2631" s="2" t="s">
        <v>100</v>
      </c>
    </row>
    <row r="2632">
      <c r="A2632" s="2" t="s">
        <v>9253</v>
      </c>
      <c r="B2632" s="2" t="s">
        <v>9043</v>
      </c>
      <c r="C2632" s="2" t="s">
        <v>88</v>
      </c>
      <c r="D2632" s="2" t="s">
        <v>9044</v>
      </c>
      <c r="E2632" s="2" t="s">
        <v>9045</v>
      </c>
      <c r="F2632" s="2" t="s">
        <v>9250</v>
      </c>
      <c r="G2632" s="2" t="s">
        <v>9250</v>
      </c>
      <c r="H2632" s="2" t="s">
        <v>9250</v>
      </c>
      <c r="I2632" s="2" t="s">
        <v>9251</v>
      </c>
      <c r="J2632" s="2" t="s">
        <v>114</v>
      </c>
      <c r="K2632" s="2" t="s">
        <v>471</v>
      </c>
      <c r="L2632" s="3">
        <v>39.84</v>
      </c>
      <c r="M2632" s="3">
        <v>41.83</v>
      </c>
      <c r="N2632" s="3">
        <v>82.99</v>
      </c>
      <c r="O2632" s="2" t="s">
        <v>97</v>
      </c>
      <c r="P2632" s="2" t="s">
        <v>98</v>
      </c>
      <c r="Q2632" s="2" t="s">
        <v>99</v>
      </c>
      <c r="R2632" s="2" t="s">
        <v>100</v>
      </c>
      <c r="S2632" s="2" t="s">
        <v>9252</v>
      </c>
      <c r="T2632" s="2" t="s">
        <v>4529</v>
      </c>
      <c r="U2632" s="2" t="s">
        <v>355</v>
      </c>
      <c r="V2632" s="2" t="s">
        <v>461</v>
      </c>
      <c r="W2632" s="2" t="s">
        <v>609</v>
      </c>
      <c r="X2632" s="2" t="s">
        <v>100</v>
      </c>
      <c r="Y2632" s="2" t="s">
        <v>1230</v>
      </c>
      <c r="Z2632" s="4">
        <v>336</v>
      </c>
      <c r="AA2632" s="4">
        <f>=ROUNDDOWN(28,0)</f>
      </c>
      <c r="AB2632" s="5">
        <v>12</v>
      </c>
      <c r="AC2632" s="2" t="s">
        <v>1142</v>
      </c>
      <c r="AD2632" s="4">
        <v>120</v>
      </c>
      <c r="AE2632" s="4">
        <v>120</v>
      </c>
      <c r="AF2632" s="6">
        <v>70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3</v>
      </c>
      <c r="AQ2632" s="8">
        <v>119.07</v>
      </c>
      <c r="AR2632" s="4"/>
      <c r="AS2632" s="8"/>
      <c r="AT2632" s="7"/>
      <c r="AU2632" s="7"/>
      <c r="AV2632" s="4" t="s">
        <v>100</v>
      </c>
      <c r="AW2632" s="8" t="s">
        <v>100</v>
      </c>
      <c r="AX2632" s="4" t="s">
        <v>100</v>
      </c>
      <c r="AY2632" s="8" t="s">
        <v>100</v>
      </c>
      <c r="AZ2632" s="7" t="s">
        <v>100</v>
      </c>
      <c r="BA2632" s="7" t="s">
        <v>100</v>
      </c>
      <c r="BB2632" s="7">
        <v>0.4667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 t="s">
        <v>100</v>
      </c>
      <c r="BJ2632" s="4">
        <v>36</v>
      </c>
      <c r="BK2632" s="8">
        <v>1553.73</v>
      </c>
      <c r="BL2632" s="2" t="s">
        <v>9254</v>
      </c>
      <c r="BM2632" s="7">
        <v>0.0833</v>
      </c>
      <c r="BN2632" s="7">
        <v>0.0766</v>
      </c>
      <c r="BO2632" s="4">
        <v>3</v>
      </c>
      <c r="BP2632" s="8">
        <v>119.07</v>
      </c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110</v>
      </c>
      <c r="BX2632" s="2" t="s">
        <v>5093</v>
      </c>
      <c r="BY2632" s="2" t="s">
        <v>112</v>
      </c>
      <c r="BZ2632" s="2" t="s">
        <v>100</v>
      </c>
    </row>
    <row r="2633">
      <c r="A2633" s="2" t="s">
        <v>9255</v>
      </c>
      <c r="B2633" s="2" t="s">
        <v>9043</v>
      </c>
      <c r="C2633" s="2" t="s">
        <v>88</v>
      </c>
      <c r="D2633" s="2" t="s">
        <v>9044</v>
      </c>
      <c r="E2633" s="2" t="s">
        <v>9045</v>
      </c>
      <c r="F2633" s="2" t="s">
        <v>9250</v>
      </c>
      <c r="G2633" s="2" t="s">
        <v>9250</v>
      </c>
      <c r="H2633" s="2" t="s">
        <v>9250</v>
      </c>
      <c r="I2633" s="2" t="s">
        <v>9251</v>
      </c>
      <c r="J2633" s="2" t="s">
        <v>118</v>
      </c>
      <c r="K2633" s="2" t="s">
        <v>471</v>
      </c>
      <c r="L2633" s="3">
        <v>39.84</v>
      </c>
      <c r="M2633" s="3">
        <v>41.83</v>
      </c>
      <c r="N2633" s="3">
        <v>82.99</v>
      </c>
      <c r="O2633" s="2" t="s">
        <v>97</v>
      </c>
      <c r="P2633" s="2" t="s">
        <v>98</v>
      </c>
      <c r="Q2633" s="2" t="s">
        <v>99</v>
      </c>
      <c r="R2633" s="2" t="s">
        <v>100</v>
      </c>
      <c r="S2633" s="2" t="s">
        <v>9252</v>
      </c>
      <c r="T2633" s="2" t="s">
        <v>4529</v>
      </c>
      <c r="U2633" s="2" t="s">
        <v>355</v>
      </c>
      <c r="V2633" s="2" t="s">
        <v>461</v>
      </c>
      <c r="W2633" s="2" t="s">
        <v>609</v>
      </c>
      <c r="X2633" s="2" t="s">
        <v>100</v>
      </c>
      <c r="Y2633" s="2" t="s">
        <v>1230</v>
      </c>
      <c r="Z2633" s="4">
        <v>73</v>
      </c>
      <c r="AA2633" s="4">
        <f>=ROUNDDOWN(18.25,0)</f>
      </c>
      <c r="AB2633" s="5">
        <v>4</v>
      </c>
      <c r="AC2633" s="2" t="s">
        <v>1142</v>
      </c>
      <c r="AD2633" s="4">
        <v>40</v>
      </c>
      <c r="AE2633" s="4">
        <v>80</v>
      </c>
      <c r="AF2633" s="6">
        <v>70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 t="s">
        <v>100</v>
      </c>
      <c r="AW2633" s="8" t="s">
        <v>100</v>
      </c>
      <c r="AX2633" s="4" t="s">
        <v>100</v>
      </c>
      <c r="AY2633" s="8" t="s">
        <v>100</v>
      </c>
      <c r="AZ2633" s="7" t="s">
        <v>100</v>
      </c>
      <c r="BA2633" s="7" t="s">
        <v>100</v>
      </c>
      <c r="BB2633" s="7"/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 t="s">
        <v>100</v>
      </c>
      <c r="BJ2633" s="4">
        <v>11</v>
      </c>
      <c r="BK2633" s="8">
        <v>478.26</v>
      </c>
      <c r="BL2633" s="2" t="s">
        <v>9256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110</v>
      </c>
      <c r="BX2633" s="2" t="s">
        <v>2276</v>
      </c>
      <c r="BY2633" s="2" t="s">
        <v>112</v>
      </c>
      <c r="BZ2633" s="2" t="s">
        <v>100</v>
      </c>
    </row>
    <row r="2634">
      <c r="A2634" s="2" t="s">
        <v>9257</v>
      </c>
      <c r="B2634" s="2" t="s">
        <v>9043</v>
      </c>
      <c r="C2634" s="2" t="s">
        <v>88</v>
      </c>
      <c r="D2634" s="2" t="s">
        <v>9044</v>
      </c>
      <c r="E2634" s="2" t="s">
        <v>9045</v>
      </c>
      <c r="F2634" s="2" t="s">
        <v>9250</v>
      </c>
      <c r="G2634" s="2" t="s">
        <v>9250</v>
      </c>
      <c r="H2634" s="2" t="s">
        <v>9250</v>
      </c>
      <c r="I2634" s="2" t="s">
        <v>9251</v>
      </c>
      <c r="J2634" s="2" t="s">
        <v>95</v>
      </c>
      <c r="K2634" s="2" t="s">
        <v>842</v>
      </c>
      <c r="L2634" s="3">
        <v>32.9</v>
      </c>
      <c r="M2634" s="3">
        <v>34.54</v>
      </c>
      <c r="N2634" s="3">
        <v>69.99</v>
      </c>
      <c r="O2634" s="2" t="s">
        <v>97</v>
      </c>
      <c r="P2634" s="2" t="s">
        <v>98</v>
      </c>
      <c r="Q2634" s="2" t="s">
        <v>99</v>
      </c>
      <c r="R2634" s="2" t="s">
        <v>100</v>
      </c>
      <c r="S2634" s="2" t="s">
        <v>9258</v>
      </c>
      <c r="T2634" s="2" t="s">
        <v>4529</v>
      </c>
      <c r="U2634" s="2" t="s">
        <v>355</v>
      </c>
      <c r="V2634" s="2" t="s">
        <v>461</v>
      </c>
      <c r="W2634" s="2" t="s">
        <v>609</v>
      </c>
      <c r="X2634" s="2" t="s">
        <v>100</v>
      </c>
      <c r="Y2634" s="2" t="s">
        <v>1230</v>
      </c>
      <c r="Z2634" s="4">
        <v>433</v>
      </c>
      <c r="AA2634" s="4">
        <f>=ROUNDDOWN(21.65,0)</f>
      </c>
      <c r="AB2634" s="5">
        <v>20</v>
      </c>
      <c r="AC2634" s="2" t="s">
        <v>1142</v>
      </c>
      <c r="AD2634" s="4">
        <v>100</v>
      </c>
      <c r="AE2634" s="4">
        <v>200</v>
      </c>
      <c r="AF2634" s="6">
        <v>70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2</v>
      </c>
      <c r="AQ2634" s="8">
        <v>68.04</v>
      </c>
      <c r="AR2634" s="4"/>
      <c r="AS2634" s="8"/>
      <c r="AT2634" s="7"/>
      <c r="AU2634" s="7"/>
      <c r="AV2634" s="4">
        <v>3</v>
      </c>
      <c r="AW2634" s="8">
        <v>107.73</v>
      </c>
      <c r="AX2634" s="4" t="s">
        <v>100</v>
      </c>
      <c r="AY2634" s="8" t="s">
        <v>100</v>
      </c>
      <c r="AZ2634" s="7" t="s">
        <v>100</v>
      </c>
      <c r="BA2634" s="7" t="s">
        <v>100</v>
      </c>
      <c r="BB2634" s="7">
        <v>0.6316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>
        <v>0.2317</v>
      </c>
      <c r="BJ2634" s="4">
        <v>39</v>
      </c>
      <c r="BK2634" s="8">
        <v>1354.87</v>
      </c>
      <c r="BL2634" s="2" t="s">
        <v>1416</v>
      </c>
      <c r="BM2634" s="7">
        <v>0.0513</v>
      </c>
      <c r="BN2634" s="7">
        <v>0.0502</v>
      </c>
      <c r="BO2634" s="4">
        <v>2</v>
      </c>
      <c r="BP2634" s="8">
        <v>68.04</v>
      </c>
      <c r="BQ2634" s="4"/>
      <c r="BR2634" s="8"/>
      <c r="BS2634" s="7"/>
      <c r="BT2634" s="7"/>
      <c r="BU2634" s="2" t="s">
        <v>109</v>
      </c>
      <c r="BV2634" s="2" t="s">
        <v>97</v>
      </c>
      <c r="BW2634" s="2" t="s">
        <v>110</v>
      </c>
      <c r="BX2634" s="2" t="s">
        <v>116</v>
      </c>
      <c r="BY2634" s="2" t="s">
        <v>112</v>
      </c>
      <c r="BZ2634" s="2" t="s">
        <v>100</v>
      </c>
    </row>
    <row r="2635">
      <c r="A2635" s="2" t="s">
        <v>9259</v>
      </c>
      <c r="B2635" s="2" t="s">
        <v>9043</v>
      </c>
      <c r="C2635" s="2" t="s">
        <v>88</v>
      </c>
      <c r="D2635" s="2" t="s">
        <v>9044</v>
      </c>
      <c r="E2635" s="2" t="s">
        <v>9045</v>
      </c>
      <c r="F2635" s="2" t="s">
        <v>9250</v>
      </c>
      <c r="G2635" s="2" t="s">
        <v>9250</v>
      </c>
      <c r="H2635" s="2" t="s">
        <v>9250</v>
      </c>
      <c r="I2635" s="2" t="s">
        <v>9251</v>
      </c>
      <c r="J2635" s="2" t="s">
        <v>118</v>
      </c>
      <c r="K2635" s="2" t="s">
        <v>842</v>
      </c>
      <c r="L2635" s="3">
        <v>39.84</v>
      </c>
      <c r="M2635" s="3">
        <v>41.83</v>
      </c>
      <c r="N2635" s="3">
        <v>82.99</v>
      </c>
      <c r="O2635" s="2" t="s">
        <v>97</v>
      </c>
      <c r="P2635" s="2" t="s">
        <v>98</v>
      </c>
      <c r="Q2635" s="2" t="s">
        <v>99</v>
      </c>
      <c r="R2635" s="2" t="s">
        <v>100</v>
      </c>
      <c r="S2635" s="2" t="s">
        <v>9258</v>
      </c>
      <c r="T2635" s="2" t="s">
        <v>4529</v>
      </c>
      <c r="U2635" s="2" t="s">
        <v>355</v>
      </c>
      <c r="V2635" s="2" t="s">
        <v>461</v>
      </c>
      <c r="W2635" s="2" t="s">
        <v>609</v>
      </c>
      <c r="X2635" s="2" t="s">
        <v>100</v>
      </c>
      <c r="Y2635" s="2" t="s">
        <v>1230</v>
      </c>
      <c r="Z2635" s="4">
        <v>86</v>
      </c>
      <c r="AA2635" s="4">
        <f>=ROUNDDOWN(14.3333333333333,0)</f>
      </c>
      <c r="AB2635" s="5">
        <v>6</v>
      </c>
      <c r="AC2635" s="2" t="s">
        <v>1142</v>
      </c>
      <c r="AD2635" s="4">
        <v>60</v>
      </c>
      <c r="AE2635" s="4">
        <v>60</v>
      </c>
      <c r="AF2635" s="6">
        <v>70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1</v>
      </c>
      <c r="AQ2635" s="8">
        <v>39.69</v>
      </c>
      <c r="AR2635" s="4"/>
      <c r="AS2635" s="8"/>
      <c r="AT2635" s="7"/>
      <c r="AU2635" s="7"/>
      <c r="AV2635" s="4" t="s">
        <v>100</v>
      </c>
      <c r="AW2635" s="8" t="s">
        <v>100</v>
      </c>
      <c r="AX2635" s="4" t="s">
        <v>100</v>
      </c>
      <c r="AY2635" s="8" t="s">
        <v>100</v>
      </c>
      <c r="AZ2635" s="7" t="s">
        <v>100</v>
      </c>
      <c r="BA2635" s="7" t="s">
        <v>100</v>
      </c>
      <c r="BB2635" s="7">
        <v>0.3684</v>
      </c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 t="s">
        <v>100</v>
      </c>
      <c r="BJ2635" s="4">
        <v>18</v>
      </c>
      <c r="BK2635" s="8">
        <v>765.75</v>
      </c>
      <c r="BL2635" s="2" t="s">
        <v>9260</v>
      </c>
      <c r="BM2635" s="7">
        <v>0.0556</v>
      </c>
      <c r="BN2635" s="7">
        <v>0.0518</v>
      </c>
      <c r="BO2635" s="4">
        <v>1</v>
      </c>
      <c r="BP2635" s="8">
        <v>39.69</v>
      </c>
      <c r="BQ2635" s="4"/>
      <c r="BR2635" s="8"/>
      <c r="BS2635" s="7"/>
      <c r="BT2635" s="7"/>
      <c r="BU2635" s="2" t="s">
        <v>109</v>
      </c>
      <c r="BV2635" s="2" t="s">
        <v>97</v>
      </c>
      <c r="BW2635" s="2" t="s">
        <v>110</v>
      </c>
      <c r="BX2635" s="2" t="s">
        <v>5309</v>
      </c>
      <c r="BY2635" s="2" t="s">
        <v>112</v>
      </c>
      <c r="BZ2635" s="2" t="s">
        <v>100</v>
      </c>
    </row>
    <row r="2636">
      <c r="A2636" s="2" t="s">
        <v>9261</v>
      </c>
      <c r="B2636" s="2" t="s">
        <v>9043</v>
      </c>
      <c r="C2636" s="2" t="s">
        <v>88</v>
      </c>
      <c r="D2636" s="2" t="s">
        <v>9044</v>
      </c>
      <c r="E2636" s="2" t="s">
        <v>9045</v>
      </c>
      <c r="F2636" s="2" t="s">
        <v>9250</v>
      </c>
      <c r="G2636" s="2" t="s">
        <v>9250</v>
      </c>
      <c r="H2636" s="2" t="s">
        <v>9250</v>
      </c>
      <c r="I2636" s="2" t="s">
        <v>9251</v>
      </c>
      <c r="J2636" s="2" t="s">
        <v>95</v>
      </c>
      <c r="K2636" s="2" t="s">
        <v>1373</v>
      </c>
      <c r="L2636" s="3">
        <v>32.9</v>
      </c>
      <c r="M2636" s="3">
        <v>34.54</v>
      </c>
      <c r="N2636" s="3">
        <v>69.99</v>
      </c>
      <c r="O2636" s="2" t="s">
        <v>97</v>
      </c>
      <c r="P2636" s="2" t="s">
        <v>98</v>
      </c>
      <c r="Q2636" s="2" t="s">
        <v>99</v>
      </c>
      <c r="R2636" s="2" t="s">
        <v>100</v>
      </c>
      <c r="S2636" s="2" t="s">
        <v>9262</v>
      </c>
      <c r="T2636" s="2" t="s">
        <v>4529</v>
      </c>
      <c r="U2636" s="2" t="s">
        <v>355</v>
      </c>
      <c r="V2636" s="2" t="s">
        <v>461</v>
      </c>
      <c r="W2636" s="2" t="s">
        <v>609</v>
      </c>
      <c r="X2636" s="2" t="s">
        <v>100</v>
      </c>
      <c r="Y2636" s="2" t="s">
        <v>1230</v>
      </c>
      <c r="Z2636" s="4">
        <v>280</v>
      </c>
      <c r="AA2636" s="4">
        <f>=ROUNDDOWN(12.7272727272727,0)</f>
      </c>
      <c r="AB2636" s="5">
        <v>22</v>
      </c>
      <c r="AC2636" s="2" t="s">
        <v>1142</v>
      </c>
      <c r="AD2636" s="4">
        <v>150</v>
      </c>
      <c r="AE2636" s="4">
        <v>400</v>
      </c>
      <c r="AF2636" s="6">
        <v>70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1</v>
      </c>
      <c r="AQ2636" s="8">
        <v>34.02</v>
      </c>
      <c r="AR2636" s="4"/>
      <c r="AS2636" s="8"/>
      <c r="AT2636" s="7"/>
      <c r="AU2636" s="7"/>
      <c r="AV2636" s="4">
        <v>1</v>
      </c>
      <c r="AW2636" s="8">
        <v>34.02</v>
      </c>
      <c r="AX2636" s="4" t="s">
        <v>100</v>
      </c>
      <c r="AY2636" s="8" t="s">
        <v>100</v>
      </c>
      <c r="AZ2636" s="7" t="s">
        <v>100</v>
      </c>
      <c r="BA2636" s="7" t="s">
        <v>100</v>
      </c>
      <c r="BB2636" s="7">
        <v>1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>
        <v>0.0732</v>
      </c>
      <c r="BJ2636" s="4">
        <v>58</v>
      </c>
      <c r="BK2636" s="8">
        <v>2040.24</v>
      </c>
      <c r="BL2636" s="2" t="s">
        <v>9263</v>
      </c>
      <c r="BM2636" s="7">
        <v>0.0172</v>
      </c>
      <c r="BN2636" s="7">
        <v>0.0167</v>
      </c>
      <c r="BO2636" s="4">
        <v>1</v>
      </c>
      <c r="BP2636" s="8">
        <v>34.02</v>
      </c>
      <c r="BQ2636" s="4"/>
      <c r="BR2636" s="8"/>
      <c r="BS2636" s="7"/>
      <c r="BT2636" s="7"/>
      <c r="BU2636" s="2" t="s">
        <v>109</v>
      </c>
      <c r="BV2636" s="2" t="s">
        <v>97</v>
      </c>
      <c r="BW2636" s="2" t="s">
        <v>110</v>
      </c>
      <c r="BX2636" s="2" t="s">
        <v>9264</v>
      </c>
      <c r="BY2636" s="2" t="s">
        <v>112</v>
      </c>
      <c r="BZ2636" s="2" t="s">
        <v>100</v>
      </c>
    </row>
    <row r="2637">
      <c r="A2637" s="2" t="s">
        <v>9265</v>
      </c>
      <c r="B2637" s="2" t="s">
        <v>9043</v>
      </c>
      <c r="C2637" s="2" t="s">
        <v>88</v>
      </c>
      <c r="D2637" s="2" t="s">
        <v>9044</v>
      </c>
      <c r="E2637" s="2" t="s">
        <v>9045</v>
      </c>
      <c r="F2637" s="2" t="s">
        <v>9250</v>
      </c>
      <c r="G2637" s="2" t="s">
        <v>9250</v>
      </c>
      <c r="H2637" s="2" t="s">
        <v>9250</v>
      </c>
      <c r="I2637" s="2" t="s">
        <v>9251</v>
      </c>
      <c r="J2637" s="2" t="s">
        <v>118</v>
      </c>
      <c r="K2637" s="2" t="s">
        <v>1373</v>
      </c>
      <c r="L2637" s="3">
        <v>39.84</v>
      </c>
      <c r="M2637" s="3">
        <v>41.83</v>
      </c>
      <c r="N2637" s="3">
        <v>82.99</v>
      </c>
      <c r="O2637" s="2" t="s">
        <v>97</v>
      </c>
      <c r="P2637" s="2" t="s">
        <v>98</v>
      </c>
      <c r="Q2637" s="2" t="s">
        <v>99</v>
      </c>
      <c r="R2637" s="2" t="s">
        <v>100</v>
      </c>
      <c r="S2637" s="2" t="s">
        <v>9262</v>
      </c>
      <c r="T2637" s="2" t="s">
        <v>4529</v>
      </c>
      <c r="U2637" s="2" t="s">
        <v>355</v>
      </c>
      <c r="V2637" s="2" t="s">
        <v>461</v>
      </c>
      <c r="W2637" s="2" t="s">
        <v>609</v>
      </c>
      <c r="X2637" s="2" t="s">
        <v>100</v>
      </c>
      <c r="Y2637" s="2" t="s">
        <v>1230</v>
      </c>
      <c r="Z2637" s="4">
        <v>59</v>
      </c>
      <c r="AA2637" s="4">
        <f>=ROUNDDOWN(11.8,0)</f>
      </c>
      <c r="AB2637" s="5">
        <v>5</v>
      </c>
      <c r="AC2637" s="2" t="s">
        <v>1142</v>
      </c>
      <c r="AD2637" s="4">
        <v>30</v>
      </c>
      <c r="AE2637" s="4">
        <v>100</v>
      </c>
      <c r="AF2637" s="6">
        <v>70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 t="s">
        <v>100</v>
      </c>
      <c r="AW2637" s="8" t="s">
        <v>100</v>
      </c>
      <c r="AX2637" s="4" t="s">
        <v>100</v>
      </c>
      <c r="AY2637" s="8" t="s">
        <v>100</v>
      </c>
      <c r="AZ2637" s="7" t="s">
        <v>100</v>
      </c>
      <c r="BA2637" s="7" t="s">
        <v>100</v>
      </c>
      <c r="BB2637" s="7"/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 t="s">
        <v>100</v>
      </c>
      <c r="BJ2637" s="4">
        <v>15</v>
      </c>
      <c r="BK2637" s="8">
        <v>651.15</v>
      </c>
      <c r="BL2637" s="2" t="s">
        <v>9266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109</v>
      </c>
      <c r="BV2637" s="2" t="s">
        <v>97</v>
      </c>
      <c r="BW2637" s="2" t="s">
        <v>110</v>
      </c>
      <c r="BX2637" s="2" t="s">
        <v>2301</v>
      </c>
      <c r="BY2637" s="2" t="s">
        <v>112</v>
      </c>
      <c r="BZ2637" s="2" t="s">
        <v>100</v>
      </c>
    </row>
    <row r="2638">
      <c r="A2638" s="2" t="s">
        <v>9267</v>
      </c>
      <c r="B2638" s="2" t="s">
        <v>9043</v>
      </c>
      <c r="C2638" s="2" t="s">
        <v>88</v>
      </c>
      <c r="D2638" s="2" t="s">
        <v>9044</v>
      </c>
      <c r="E2638" s="2" t="s">
        <v>9045</v>
      </c>
      <c r="F2638" s="2" t="s">
        <v>9250</v>
      </c>
      <c r="G2638" s="2" t="s">
        <v>9250</v>
      </c>
      <c r="H2638" s="2" t="s">
        <v>9250</v>
      </c>
      <c r="I2638" s="2" t="s">
        <v>9251</v>
      </c>
      <c r="J2638" s="2" t="s">
        <v>9268</v>
      </c>
      <c r="K2638" s="2" t="s">
        <v>1373</v>
      </c>
      <c r="L2638" s="3">
        <v>43.2</v>
      </c>
      <c r="M2638" s="3">
        <v>45.36</v>
      </c>
      <c r="N2638" s="3">
        <v>89.99</v>
      </c>
      <c r="O2638" s="2" t="s">
        <v>97</v>
      </c>
      <c r="P2638" s="2" t="s">
        <v>98</v>
      </c>
      <c r="Q2638" s="2" t="s">
        <v>99</v>
      </c>
      <c r="R2638" s="2" t="s">
        <v>100</v>
      </c>
      <c r="S2638" s="2" t="s">
        <v>9262</v>
      </c>
      <c r="T2638" s="2" t="s">
        <v>4529</v>
      </c>
      <c r="U2638" s="2" t="s">
        <v>102</v>
      </c>
      <c r="V2638" s="2" t="s">
        <v>461</v>
      </c>
      <c r="W2638" s="2" t="s">
        <v>609</v>
      </c>
      <c r="X2638" s="2" t="s">
        <v>100</v>
      </c>
      <c r="Y2638" s="2" t="s">
        <v>7870</v>
      </c>
      <c r="Z2638" s="4">
        <v>167</v>
      </c>
      <c r="AA2638" s="4">
        <f>=ROUNDDOWN(13.9166666666667,0)</f>
      </c>
      <c r="AB2638" s="5">
        <v>12</v>
      </c>
      <c r="AC2638" s="2" t="s">
        <v>1142</v>
      </c>
      <c r="AD2638" s="4">
        <v>80</v>
      </c>
      <c r="AE2638" s="4">
        <v>220</v>
      </c>
      <c r="AF2638" s="6">
        <v>70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 t="s">
        <v>100</v>
      </c>
      <c r="AW2638" s="8" t="s">
        <v>100</v>
      </c>
      <c r="AX2638" s="4" t="s">
        <v>100</v>
      </c>
      <c r="AY2638" s="8" t="s">
        <v>100</v>
      </c>
      <c r="AZ2638" s="7" t="s">
        <v>100</v>
      </c>
      <c r="BA2638" s="7" t="s">
        <v>100</v>
      </c>
      <c r="BB2638" s="7"/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 t="s">
        <v>100</v>
      </c>
      <c r="BJ2638" s="4">
        <v>28</v>
      </c>
      <c r="BK2638" s="8">
        <v>1345.91</v>
      </c>
      <c r="BL2638" s="2" t="s">
        <v>788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1531</v>
      </c>
      <c r="BX2638" s="2" t="s">
        <v>9269</v>
      </c>
      <c r="BY2638" s="2" t="s">
        <v>112</v>
      </c>
      <c r="BZ2638" s="2" t="s">
        <v>100</v>
      </c>
    </row>
    <row r="2639">
      <c r="A2639" s="2" t="s">
        <v>9270</v>
      </c>
      <c r="B2639" s="2" t="s">
        <v>9043</v>
      </c>
      <c r="C2639" s="2" t="s">
        <v>88</v>
      </c>
      <c r="D2639" s="2" t="s">
        <v>9044</v>
      </c>
      <c r="E2639" s="2" t="s">
        <v>9045</v>
      </c>
      <c r="F2639" s="2" t="s">
        <v>9250</v>
      </c>
      <c r="G2639" s="2" t="s">
        <v>9250</v>
      </c>
      <c r="H2639" s="2" t="s">
        <v>9250</v>
      </c>
      <c r="I2639" s="2" t="s">
        <v>9251</v>
      </c>
      <c r="J2639" s="2" t="s">
        <v>95</v>
      </c>
      <c r="K2639" s="2" t="s">
        <v>856</v>
      </c>
      <c r="L2639" s="3">
        <v>32.9</v>
      </c>
      <c r="M2639" s="3">
        <v>34.54</v>
      </c>
      <c r="N2639" s="3">
        <v>69.99</v>
      </c>
      <c r="O2639" s="2" t="s">
        <v>97</v>
      </c>
      <c r="P2639" s="2" t="s">
        <v>156</v>
      </c>
      <c r="Q2639" s="2" t="s">
        <v>99</v>
      </c>
      <c r="R2639" s="2" t="s">
        <v>100</v>
      </c>
      <c r="S2639" s="2" t="s">
        <v>9271</v>
      </c>
      <c r="T2639" s="2" t="s">
        <v>4529</v>
      </c>
      <c r="U2639" s="2" t="s">
        <v>355</v>
      </c>
      <c r="V2639" s="2" t="s">
        <v>461</v>
      </c>
      <c r="W2639" s="2" t="s">
        <v>609</v>
      </c>
      <c r="X2639" s="2" t="s">
        <v>100</v>
      </c>
      <c r="Y2639" s="2" t="s">
        <v>1030</v>
      </c>
      <c r="Z2639" s="4">
        <v>282</v>
      </c>
      <c r="AA2639" s="4">
        <f>=ROUNDDOWN(10.8461538461538,0)</f>
      </c>
      <c r="AB2639" s="5">
        <v>26</v>
      </c>
      <c r="AC2639" s="2" t="s">
        <v>2949</v>
      </c>
      <c r="AD2639" s="4">
        <v>140</v>
      </c>
      <c r="AE2639" s="4">
        <v>480</v>
      </c>
      <c r="AF2639" s="6">
        <v>70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1</v>
      </c>
      <c r="AQ2639" s="8">
        <v>34.02</v>
      </c>
      <c r="AR2639" s="4"/>
      <c r="AS2639" s="8"/>
      <c r="AT2639" s="7"/>
      <c r="AU2639" s="7"/>
      <c r="AV2639" s="4">
        <v>1</v>
      </c>
      <c r="AW2639" s="8">
        <v>34.02</v>
      </c>
      <c r="AX2639" s="4" t="s">
        <v>100</v>
      </c>
      <c r="AY2639" s="8" t="s">
        <v>100</v>
      </c>
      <c r="AZ2639" s="7" t="s">
        <v>100</v>
      </c>
      <c r="BA2639" s="7" t="s">
        <v>100</v>
      </c>
      <c r="BB2639" s="7">
        <v>1</v>
      </c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>
        <v>0.0732</v>
      </c>
      <c r="BJ2639" s="4">
        <v>76</v>
      </c>
      <c r="BK2639" s="8">
        <v>2638.89</v>
      </c>
      <c r="BL2639" s="2" t="s">
        <v>2189</v>
      </c>
      <c r="BM2639" s="7">
        <v>0.0132</v>
      </c>
      <c r="BN2639" s="7">
        <v>0.0129</v>
      </c>
      <c r="BO2639" s="4">
        <v>1</v>
      </c>
      <c r="BP2639" s="8">
        <v>34.02</v>
      </c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110</v>
      </c>
      <c r="BX2639" s="2" t="s">
        <v>7550</v>
      </c>
      <c r="BY2639" s="2" t="s">
        <v>112</v>
      </c>
      <c r="BZ2639" s="2" t="s">
        <v>100</v>
      </c>
    </row>
    <row r="2640">
      <c r="A2640" s="2" t="s">
        <v>9272</v>
      </c>
      <c r="B2640" s="2" t="s">
        <v>9043</v>
      </c>
      <c r="C2640" s="2" t="s">
        <v>88</v>
      </c>
      <c r="D2640" s="2" t="s">
        <v>9044</v>
      </c>
      <c r="E2640" s="2" t="s">
        <v>9045</v>
      </c>
      <c r="F2640" s="2" t="s">
        <v>9250</v>
      </c>
      <c r="G2640" s="2" t="s">
        <v>9250</v>
      </c>
      <c r="H2640" s="2" t="s">
        <v>9250</v>
      </c>
      <c r="I2640" s="2" t="s">
        <v>9251</v>
      </c>
      <c r="J2640" s="2" t="s">
        <v>118</v>
      </c>
      <c r="K2640" s="2" t="s">
        <v>856</v>
      </c>
      <c r="L2640" s="3">
        <v>39.84</v>
      </c>
      <c r="M2640" s="3">
        <v>41.83</v>
      </c>
      <c r="N2640" s="3">
        <v>82.99</v>
      </c>
      <c r="O2640" s="2" t="s">
        <v>97</v>
      </c>
      <c r="P2640" s="2" t="s">
        <v>98</v>
      </c>
      <c r="Q2640" s="2" t="s">
        <v>99</v>
      </c>
      <c r="R2640" s="2" t="s">
        <v>100</v>
      </c>
      <c r="S2640" s="2" t="s">
        <v>9271</v>
      </c>
      <c r="T2640" s="2" t="s">
        <v>4529</v>
      </c>
      <c r="U2640" s="2" t="s">
        <v>355</v>
      </c>
      <c r="V2640" s="2" t="s">
        <v>461</v>
      </c>
      <c r="W2640" s="2" t="s">
        <v>609</v>
      </c>
      <c r="X2640" s="2" t="s">
        <v>100</v>
      </c>
      <c r="Y2640" s="2" t="s">
        <v>1230</v>
      </c>
      <c r="Z2640" s="4">
        <v>59</v>
      </c>
      <c r="AA2640" s="4">
        <f>=ROUNDDOWN(8.42857142857143,0)</f>
      </c>
      <c r="AB2640" s="5">
        <v>7</v>
      </c>
      <c r="AC2640" s="2" t="s">
        <v>2949</v>
      </c>
      <c r="AD2640" s="4">
        <v>40</v>
      </c>
      <c r="AE2640" s="4">
        <v>200</v>
      </c>
      <c r="AF2640" s="6">
        <v>70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 t="s">
        <v>100</v>
      </c>
      <c r="AW2640" s="8" t="s">
        <v>100</v>
      </c>
      <c r="AX2640" s="4" t="s">
        <v>100</v>
      </c>
      <c r="AY2640" s="8" t="s">
        <v>100</v>
      </c>
      <c r="AZ2640" s="7" t="s">
        <v>100</v>
      </c>
      <c r="BA2640" s="7" t="s">
        <v>100</v>
      </c>
      <c r="BB2640" s="7"/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 t="s">
        <v>100</v>
      </c>
      <c r="BJ2640" s="4">
        <v>18</v>
      </c>
      <c r="BK2640" s="8">
        <v>773.64</v>
      </c>
      <c r="BL2640" s="2" t="s">
        <v>788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110</v>
      </c>
      <c r="BX2640" s="2" t="s">
        <v>2134</v>
      </c>
      <c r="BY2640" s="2" t="s">
        <v>112</v>
      </c>
      <c r="BZ2640" s="2" t="s">
        <v>100</v>
      </c>
    </row>
    <row r="2641">
      <c r="A2641" s="2" t="s">
        <v>9273</v>
      </c>
      <c r="B2641" s="2" t="s">
        <v>9043</v>
      </c>
      <c r="C2641" s="2" t="s">
        <v>88</v>
      </c>
      <c r="D2641" s="2" t="s">
        <v>9044</v>
      </c>
      <c r="E2641" s="2" t="s">
        <v>9045</v>
      </c>
      <c r="F2641" s="2" t="s">
        <v>9250</v>
      </c>
      <c r="G2641" s="2" t="s">
        <v>9250</v>
      </c>
      <c r="H2641" s="2" t="s">
        <v>9250</v>
      </c>
      <c r="I2641" s="2" t="s">
        <v>9251</v>
      </c>
      <c r="J2641" s="2" t="s">
        <v>9268</v>
      </c>
      <c r="K2641" s="2" t="s">
        <v>856</v>
      </c>
      <c r="L2641" s="3">
        <v>43.2</v>
      </c>
      <c r="M2641" s="3">
        <v>45.36</v>
      </c>
      <c r="N2641" s="3">
        <v>89.99</v>
      </c>
      <c r="O2641" s="2" t="s">
        <v>97</v>
      </c>
      <c r="P2641" s="2" t="s">
        <v>98</v>
      </c>
      <c r="Q2641" s="2" t="s">
        <v>99</v>
      </c>
      <c r="R2641" s="2" t="s">
        <v>100</v>
      </c>
      <c r="S2641" s="2" t="s">
        <v>9271</v>
      </c>
      <c r="T2641" s="2" t="s">
        <v>4529</v>
      </c>
      <c r="U2641" s="2" t="s">
        <v>102</v>
      </c>
      <c r="V2641" s="2" t="s">
        <v>461</v>
      </c>
      <c r="W2641" s="2" t="s">
        <v>609</v>
      </c>
      <c r="X2641" s="2" t="s">
        <v>100</v>
      </c>
      <c r="Y2641" s="2" t="s">
        <v>7870</v>
      </c>
      <c r="Z2641" s="4">
        <v>160</v>
      </c>
      <c r="AA2641" s="4">
        <f>=ROUNDDOWN(14.5454545454545,0)</f>
      </c>
      <c r="AB2641" s="5">
        <v>11</v>
      </c>
      <c r="AC2641" s="2" t="s">
        <v>2949</v>
      </c>
      <c r="AD2641" s="4">
        <v>70</v>
      </c>
      <c r="AE2641" s="4">
        <v>190</v>
      </c>
      <c r="AF2641" s="6">
        <v>70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 t="s">
        <v>100</v>
      </c>
      <c r="AW2641" s="8" t="s">
        <v>100</v>
      </c>
      <c r="AX2641" s="4" t="s">
        <v>100</v>
      </c>
      <c r="AY2641" s="8" t="s">
        <v>100</v>
      </c>
      <c r="AZ2641" s="7" t="s">
        <v>100</v>
      </c>
      <c r="BA2641" s="7" t="s">
        <v>100</v>
      </c>
      <c r="BB2641" s="7"/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 t="s">
        <v>100</v>
      </c>
      <c r="BJ2641" s="4">
        <v>29</v>
      </c>
      <c r="BK2641" s="8">
        <v>1379.96</v>
      </c>
      <c r="BL2641" s="2" t="s">
        <v>788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1531</v>
      </c>
      <c r="BX2641" s="2" t="s">
        <v>1328</v>
      </c>
      <c r="BY2641" s="2" t="s">
        <v>112</v>
      </c>
      <c r="BZ2641" s="2" t="s">
        <v>100</v>
      </c>
    </row>
    <row r="2642">
      <c r="A2642" s="2" t="s">
        <v>9274</v>
      </c>
      <c r="B2642" s="2" t="s">
        <v>9043</v>
      </c>
      <c r="C2642" s="2" t="s">
        <v>88</v>
      </c>
      <c r="D2642" s="2" t="s">
        <v>9044</v>
      </c>
      <c r="E2642" s="2" t="s">
        <v>9045</v>
      </c>
      <c r="F2642" s="2" t="s">
        <v>9250</v>
      </c>
      <c r="G2642" s="2" t="s">
        <v>9250</v>
      </c>
      <c r="H2642" s="2" t="s">
        <v>9250</v>
      </c>
      <c r="I2642" s="2" t="s">
        <v>9251</v>
      </c>
      <c r="J2642" s="2" t="s">
        <v>95</v>
      </c>
      <c r="K2642" s="2" t="s">
        <v>386</v>
      </c>
      <c r="L2642" s="3">
        <v>32.9</v>
      </c>
      <c r="M2642" s="3">
        <v>34.54</v>
      </c>
      <c r="N2642" s="3">
        <v>69.99</v>
      </c>
      <c r="O2642" s="2" t="s">
        <v>97</v>
      </c>
      <c r="P2642" s="2" t="s">
        <v>98</v>
      </c>
      <c r="Q2642" s="2" t="s">
        <v>99</v>
      </c>
      <c r="R2642" s="2" t="s">
        <v>100</v>
      </c>
      <c r="S2642" s="2" t="s">
        <v>9275</v>
      </c>
      <c r="T2642" s="2" t="s">
        <v>4529</v>
      </c>
      <c r="U2642" s="2" t="s">
        <v>355</v>
      </c>
      <c r="V2642" s="2" t="s">
        <v>461</v>
      </c>
      <c r="W2642" s="2" t="s">
        <v>609</v>
      </c>
      <c r="X2642" s="2" t="s">
        <v>100</v>
      </c>
      <c r="Y2642" s="2" t="s">
        <v>1230</v>
      </c>
      <c r="Z2642" s="4">
        <v>195</v>
      </c>
      <c r="AA2642" s="4">
        <f>=ROUNDDOWN(9.75,0)</f>
      </c>
      <c r="AB2642" s="5">
        <v>20</v>
      </c>
      <c r="AC2642" s="2" t="s">
        <v>2949</v>
      </c>
      <c r="AD2642" s="4">
        <v>80</v>
      </c>
      <c r="AE2642" s="4">
        <v>510</v>
      </c>
      <c r="AF2642" s="6">
        <v>70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1</v>
      </c>
      <c r="AQ2642" s="8">
        <v>34.02</v>
      </c>
      <c r="AR2642" s="4"/>
      <c r="AS2642" s="8"/>
      <c r="AT2642" s="7"/>
      <c r="AU2642" s="7"/>
      <c r="AV2642" s="4">
        <v>1</v>
      </c>
      <c r="AW2642" s="8">
        <v>34.02</v>
      </c>
      <c r="AX2642" s="4" t="s">
        <v>100</v>
      </c>
      <c r="AY2642" s="8" t="s">
        <v>100</v>
      </c>
      <c r="AZ2642" s="7" t="s">
        <v>100</v>
      </c>
      <c r="BA2642" s="7" t="s">
        <v>100</v>
      </c>
      <c r="BB2642" s="7">
        <v>1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>
        <v>0.0732</v>
      </c>
      <c r="BJ2642" s="4">
        <v>58</v>
      </c>
      <c r="BK2642" s="8">
        <v>2050.59</v>
      </c>
      <c r="BL2642" s="2" t="s">
        <v>4075</v>
      </c>
      <c r="BM2642" s="7">
        <v>0.0172</v>
      </c>
      <c r="BN2642" s="7">
        <v>0.0166</v>
      </c>
      <c r="BO2642" s="4">
        <v>1</v>
      </c>
      <c r="BP2642" s="8">
        <v>34.02</v>
      </c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110</v>
      </c>
      <c r="BX2642" s="2" t="s">
        <v>284</v>
      </c>
      <c r="BY2642" s="2" t="s">
        <v>112</v>
      </c>
      <c r="BZ2642" s="2" t="s">
        <v>100</v>
      </c>
    </row>
    <row r="2643">
      <c r="A2643" s="2" t="s">
        <v>9276</v>
      </c>
      <c r="B2643" s="2" t="s">
        <v>9043</v>
      </c>
      <c r="C2643" s="2" t="s">
        <v>88</v>
      </c>
      <c r="D2643" s="2" t="s">
        <v>9044</v>
      </c>
      <c r="E2643" s="2" t="s">
        <v>9045</v>
      </c>
      <c r="F2643" s="2" t="s">
        <v>9250</v>
      </c>
      <c r="G2643" s="2" t="s">
        <v>9250</v>
      </c>
      <c r="H2643" s="2" t="s">
        <v>9250</v>
      </c>
      <c r="I2643" s="2" t="s">
        <v>9251</v>
      </c>
      <c r="J2643" s="2" t="s">
        <v>114</v>
      </c>
      <c r="K2643" s="2" t="s">
        <v>386</v>
      </c>
      <c r="L2643" s="3">
        <v>39.84</v>
      </c>
      <c r="M2643" s="3">
        <v>41.83</v>
      </c>
      <c r="N2643" s="3">
        <v>82.99</v>
      </c>
      <c r="O2643" s="2" t="s">
        <v>97</v>
      </c>
      <c r="P2643" s="2" t="s">
        <v>98</v>
      </c>
      <c r="Q2643" s="2" t="s">
        <v>99</v>
      </c>
      <c r="R2643" s="2" t="s">
        <v>100</v>
      </c>
      <c r="S2643" s="2" t="s">
        <v>9275</v>
      </c>
      <c r="T2643" s="2" t="s">
        <v>4529</v>
      </c>
      <c r="U2643" s="2" t="s">
        <v>355</v>
      </c>
      <c r="V2643" s="2" t="s">
        <v>461</v>
      </c>
      <c r="W2643" s="2" t="s">
        <v>609</v>
      </c>
      <c r="X2643" s="2" t="s">
        <v>100</v>
      </c>
      <c r="Y2643" s="2" t="s">
        <v>1230</v>
      </c>
      <c r="Z2643" s="4">
        <v>178</v>
      </c>
      <c r="AA2643" s="4">
        <f>=ROUNDDOWN(14.8333333333333,0)</f>
      </c>
      <c r="AB2643" s="5">
        <v>12</v>
      </c>
      <c r="AC2643" s="2" t="s">
        <v>2949</v>
      </c>
      <c r="AD2643" s="4">
        <v>90</v>
      </c>
      <c r="AE2643" s="4">
        <v>290</v>
      </c>
      <c r="AF2643" s="6">
        <v>70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 t="s">
        <v>100</v>
      </c>
      <c r="AW2643" s="8" t="s">
        <v>100</v>
      </c>
      <c r="AX2643" s="4" t="s">
        <v>100</v>
      </c>
      <c r="AY2643" s="8" t="s">
        <v>100</v>
      </c>
      <c r="AZ2643" s="7" t="s">
        <v>100</v>
      </c>
      <c r="BA2643" s="7" t="s">
        <v>100</v>
      </c>
      <c r="BB2643" s="7"/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 t="s">
        <v>100</v>
      </c>
      <c r="BJ2643" s="4">
        <v>21</v>
      </c>
      <c r="BK2643" s="8">
        <v>877.56</v>
      </c>
      <c r="BL2643" s="2" t="s">
        <v>9277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110</v>
      </c>
      <c r="BX2643" s="2" t="s">
        <v>2115</v>
      </c>
      <c r="BY2643" s="2" t="s">
        <v>112</v>
      </c>
      <c r="BZ2643" s="2" t="s">
        <v>100</v>
      </c>
    </row>
    <row r="2644">
      <c r="A2644" s="2" t="s">
        <v>9278</v>
      </c>
      <c r="B2644" s="2" t="s">
        <v>9043</v>
      </c>
      <c r="C2644" s="2" t="s">
        <v>88</v>
      </c>
      <c r="D2644" s="2" t="s">
        <v>9044</v>
      </c>
      <c r="E2644" s="2" t="s">
        <v>9045</v>
      </c>
      <c r="F2644" s="2" t="s">
        <v>9250</v>
      </c>
      <c r="G2644" s="2" t="s">
        <v>9250</v>
      </c>
      <c r="H2644" s="2" t="s">
        <v>9250</v>
      </c>
      <c r="I2644" s="2" t="s">
        <v>9251</v>
      </c>
      <c r="J2644" s="2" t="s">
        <v>118</v>
      </c>
      <c r="K2644" s="2" t="s">
        <v>386</v>
      </c>
      <c r="L2644" s="3">
        <v>39.84</v>
      </c>
      <c r="M2644" s="3">
        <v>41.83</v>
      </c>
      <c r="N2644" s="3">
        <v>82.99</v>
      </c>
      <c r="O2644" s="2" t="s">
        <v>97</v>
      </c>
      <c r="P2644" s="2" t="s">
        <v>98</v>
      </c>
      <c r="Q2644" s="2" t="s">
        <v>99</v>
      </c>
      <c r="R2644" s="2" t="s">
        <v>100</v>
      </c>
      <c r="S2644" s="2" t="s">
        <v>9275</v>
      </c>
      <c r="T2644" s="2" t="s">
        <v>4529</v>
      </c>
      <c r="U2644" s="2" t="s">
        <v>355</v>
      </c>
      <c r="V2644" s="2" t="s">
        <v>461</v>
      </c>
      <c r="W2644" s="2" t="s">
        <v>609</v>
      </c>
      <c r="X2644" s="2" t="s">
        <v>100</v>
      </c>
      <c r="Y2644" s="2" t="s">
        <v>1230</v>
      </c>
      <c r="Z2644" s="4">
        <v>10</v>
      </c>
      <c r="AA2644" s="4">
        <f>=ROUNDDOWN(2.85714285714286,0)</f>
      </c>
      <c r="AB2644" s="5">
        <v>3.5</v>
      </c>
      <c r="AC2644" s="2" t="s">
        <v>2949</v>
      </c>
      <c r="AD2644" s="4">
        <v>30</v>
      </c>
      <c r="AE2644" s="4">
        <v>90</v>
      </c>
      <c r="AF2644" s="6">
        <v>70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 t="s">
        <v>100</v>
      </c>
      <c r="AW2644" s="8" t="s">
        <v>100</v>
      </c>
      <c r="AX2644" s="4" t="s">
        <v>100</v>
      </c>
      <c r="AY2644" s="8" t="s">
        <v>100</v>
      </c>
      <c r="AZ2644" s="7" t="s">
        <v>100</v>
      </c>
      <c r="BA2644" s="7" t="s">
        <v>100</v>
      </c>
      <c r="BB2644" s="7"/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 t="s">
        <v>100</v>
      </c>
      <c r="BJ2644" s="4">
        <v>6</v>
      </c>
      <c r="BK2644" s="8">
        <v>259.85</v>
      </c>
      <c r="BL2644" s="2" t="s">
        <v>3101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110</v>
      </c>
      <c r="BX2644" s="2" t="s">
        <v>1759</v>
      </c>
      <c r="BY2644" s="2" t="s">
        <v>112</v>
      </c>
      <c r="BZ2644" s="2" t="s">
        <v>100</v>
      </c>
    </row>
    <row r="2645">
      <c r="A2645" s="2" t="s">
        <v>9279</v>
      </c>
      <c r="B2645" s="2" t="s">
        <v>9043</v>
      </c>
      <c r="C2645" s="2" t="s">
        <v>88</v>
      </c>
      <c r="D2645" s="2" t="s">
        <v>9044</v>
      </c>
      <c r="E2645" s="2" t="s">
        <v>9045</v>
      </c>
      <c r="F2645" s="2" t="s">
        <v>9250</v>
      </c>
      <c r="G2645" s="2" t="s">
        <v>9250</v>
      </c>
      <c r="H2645" s="2" t="s">
        <v>9250</v>
      </c>
      <c r="I2645" s="2" t="s">
        <v>9251</v>
      </c>
      <c r="J2645" s="2" t="s">
        <v>9268</v>
      </c>
      <c r="K2645" s="2" t="s">
        <v>386</v>
      </c>
      <c r="L2645" s="3">
        <v>43.2</v>
      </c>
      <c r="M2645" s="3">
        <v>45.36</v>
      </c>
      <c r="N2645" s="3">
        <v>89.99</v>
      </c>
      <c r="O2645" s="2" t="s">
        <v>97</v>
      </c>
      <c r="P2645" s="2" t="s">
        <v>98</v>
      </c>
      <c r="Q2645" s="2" t="s">
        <v>99</v>
      </c>
      <c r="R2645" s="2" t="s">
        <v>100</v>
      </c>
      <c r="S2645" s="2" t="s">
        <v>9280</v>
      </c>
      <c r="T2645" s="2" t="s">
        <v>4529</v>
      </c>
      <c r="U2645" s="2" t="s">
        <v>102</v>
      </c>
      <c r="V2645" s="2" t="s">
        <v>461</v>
      </c>
      <c r="W2645" s="2" t="s">
        <v>609</v>
      </c>
      <c r="X2645" s="2" t="s">
        <v>609</v>
      </c>
      <c r="Y2645" s="2" t="s">
        <v>9281</v>
      </c>
      <c r="Z2645" s="4">
        <v>66</v>
      </c>
      <c r="AA2645" s="4">
        <f>=ROUNDDOWN(11,0)</f>
      </c>
      <c r="AB2645" s="5">
        <v>6</v>
      </c>
      <c r="AC2645" s="2" t="s">
        <v>2949</v>
      </c>
      <c r="AD2645" s="4">
        <v>60</v>
      </c>
      <c r="AE2645" s="4">
        <v>120</v>
      </c>
      <c r="AF2645" s="6">
        <v>70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 t="s">
        <v>100</v>
      </c>
      <c r="AW2645" s="8" t="s">
        <v>100</v>
      </c>
      <c r="AX2645" s="4" t="s">
        <v>100</v>
      </c>
      <c r="AY2645" s="8" t="s">
        <v>100</v>
      </c>
      <c r="AZ2645" s="7" t="s">
        <v>100</v>
      </c>
      <c r="BA2645" s="7" t="s">
        <v>100</v>
      </c>
      <c r="BB2645" s="7"/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 t="s">
        <v>100</v>
      </c>
      <c r="BJ2645" s="4">
        <v>13</v>
      </c>
      <c r="BK2645" s="8">
        <v>624.64</v>
      </c>
      <c r="BL2645" s="2" t="s">
        <v>1380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109</v>
      </c>
      <c r="BV2645" s="2" t="s">
        <v>97</v>
      </c>
      <c r="BW2645" s="2" t="s">
        <v>4702</v>
      </c>
      <c r="BX2645" s="2" t="s">
        <v>4961</v>
      </c>
      <c r="BY2645" s="2" t="s">
        <v>112</v>
      </c>
      <c r="BZ2645" s="2" t="s">
        <v>100</v>
      </c>
    </row>
    <row r="2646">
      <c r="A2646" s="2" t="s">
        <v>9282</v>
      </c>
      <c r="B2646" s="2" t="s">
        <v>9043</v>
      </c>
      <c r="C2646" s="2" t="s">
        <v>88</v>
      </c>
      <c r="D2646" s="2" t="s">
        <v>9044</v>
      </c>
      <c r="E2646" s="2" t="s">
        <v>9045</v>
      </c>
      <c r="F2646" s="2" t="s">
        <v>9250</v>
      </c>
      <c r="G2646" s="2" t="s">
        <v>9250</v>
      </c>
      <c r="H2646" s="2" t="s">
        <v>9250</v>
      </c>
      <c r="I2646" s="2" t="s">
        <v>9251</v>
      </c>
      <c r="J2646" s="2" t="s">
        <v>95</v>
      </c>
      <c r="K2646" s="2" t="s">
        <v>4362</v>
      </c>
      <c r="L2646" s="3">
        <v>32.9</v>
      </c>
      <c r="M2646" s="3">
        <v>34.54</v>
      </c>
      <c r="N2646" s="3">
        <v>69.99</v>
      </c>
      <c r="O2646" s="2" t="s">
        <v>97</v>
      </c>
      <c r="P2646" s="2" t="s">
        <v>98</v>
      </c>
      <c r="Q2646" s="2" t="s">
        <v>99</v>
      </c>
      <c r="R2646" s="2" t="s">
        <v>100</v>
      </c>
      <c r="S2646" s="2" t="s">
        <v>9283</v>
      </c>
      <c r="T2646" s="2" t="s">
        <v>4529</v>
      </c>
      <c r="U2646" s="2" t="s">
        <v>355</v>
      </c>
      <c r="V2646" s="2" t="s">
        <v>461</v>
      </c>
      <c r="W2646" s="2" t="s">
        <v>609</v>
      </c>
      <c r="X2646" s="2" t="s">
        <v>1136</v>
      </c>
      <c r="Y2646" s="2" t="s">
        <v>654</v>
      </c>
      <c r="Z2646" s="4">
        <v>251</v>
      </c>
      <c r="AA2646" s="4">
        <f>=ROUNDDOWN(22.8181818181818,0)</f>
      </c>
      <c r="AB2646" s="5">
        <v>11</v>
      </c>
      <c r="AC2646" s="2" t="s">
        <v>1452</v>
      </c>
      <c r="AD2646" s="4">
        <v>70</v>
      </c>
      <c r="AE2646" s="4">
        <v>150</v>
      </c>
      <c r="AF2646" s="6">
        <v>70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 t="s">
        <v>100</v>
      </c>
      <c r="AW2646" s="8" t="s">
        <v>100</v>
      </c>
      <c r="AX2646" s="4" t="s">
        <v>100</v>
      </c>
      <c r="AY2646" s="8" t="s">
        <v>100</v>
      </c>
      <c r="AZ2646" s="7" t="s">
        <v>100</v>
      </c>
      <c r="BA2646" s="7" t="s">
        <v>100</v>
      </c>
      <c r="BB2646" s="7"/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 t="s">
        <v>100</v>
      </c>
      <c r="BJ2646" s="4">
        <v>31</v>
      </c>
      <c r="BK2646" s="8">
        <v>1094.35</v>
      </c>
      <c r="BL2646" s="2" t="s">
        <v>9284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1531</v>
      </c>
      <c r="BX2646" s="2" t="s">
        <v>1535</v>
      </c>
      <c r="BY2646" s="2" t="s">
        <v>112</v>
      </c>
      <c r="BZ2646" s="2" t="s">
        <v>100</v>
      </c>
    </row>
    <row r="2647">
      <c r="A2647" s="2" t="s">
        <v>9285</v>
      </c>
      <c r="B2647" s="2" t="s">
        <v>9043</v>
      </c>
      <c r="C2647" s="2" t="s">
        <v>88</v>
      </c>
      <c r="D2647" s="2" t="s">
        <v>9044</v>
      </c>
      <c r="E2647" s="2" t="s">
        <v>9045</v>
      </c>
      <c r="F2647" s="2" t="s">
        <v>9250</v>
      </c>
      <c r="G2647" s="2" t="s">
        <v>9250</v>
      </c>
      <c r="H2647" s="2" t="s">
        <v>9250</v>
      </c>
      <c r="I2647" s="2" t="s">
        <v>9251</v>
      </c>
      <c r="J2647" s="2" t="s">
        <v>118</v>
      </c>
      <c r="K2647" s="2" t="s">
        <v>4362</v>
      </c>
      <c r="L2647" s="3">
        <v>39.84</v>
      </c>
      <c r="M2647" s="3">
        <v>41.83</v>
      </c>
      <c r="N2647" s="3">
        <v>82.99</v>
      </c>
      <c r="O2647" s="2" t="s">
        <v>97</v>
      </c>
      <c r="P2647" s="2" t="s">
        <v>98</v>
      </c>
      <c r="Q2647" s="2" t="s">
        <v>99</v>
      </c>
      <c r="R2647" s="2" t="s">
        <v>100</v>
      </c>
      <c r="S2647" s="2" t="s">
        <v>9283</v>
      </c>
      <c r="T2647" s="2" t="s">
        <v>4529</v>
      </c>
      <c r="U2647" s="2" t="s">
        <v>355</v>
      </c>
      <c r="V2647" s="2" t="s">
        <v>461</v>
      </c>
      <c r="W2647" s="2" t="s">
        <v>609</v>
      </c>
      <c r="X2647" s="2" t="s">
        <v>1136</v>
      </c>
      <c r="Y2647" s="2" t="s">
        <v>654</v>
      </c>
      <c r="Z2647" s="4">
        <v>82</v>
      </c>
      <c r="AA2647" s="4">
        <f>=ROUNDDOWN(20.5,0)</f>
      </c>
      <c r="AB2647" s="5">
        <v>4</v>
      </c>
      <c r="AC2647" s="2" t="s">
        <v>1452</v>
      </c>
      <c r="AD2647" s="4">
        <v>30</v>
      </c>
      <c r="AE2647" s="4">
        <v>60</v>
      </c>
      <c r="AF2647" s="6">
        <v>70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 t="s">
        <v>100</v>
      </c>
      <c r="AW2647" s="8" t="s">
        <v>100</v>
      </c>
      <c r="AX2647" s="4" t="s">
        <v>100</v>
      </c>
      <c r="AY2647" s="8" t="s">
        <v>100</v>
      </c>
      <c r="AZ2647" s="7" t="s">
        <v>100</v>
      </c>
      <c r="BA2647" s="7" t="s">
        <v>100</v>
      </c>
      <c r="BB2647" s="7"/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 t="s">
        <v>100</v>
      </c>
      <c r="BJ2647" s="4">
        <v>14</v>
      </c>
      <c r="BK2647" s="8">
        <v>590.15</v>
      </c>
      <c r="BL2647" s="2" t="s">
        <v>5533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1531</v>
      </c>
      <c r="BX2647" s="2" t="s">
        <v>9286</v>
      </c>
      <c r="BY2647" s="2" t="s">
        <v>112</v>
      </c>
      <c r="BZ2647" s="2" t="s">
        <v>100</v>
      </c>
    </row>
    <row r="2648">
      <c r="A2648" s="2" t="s">
        <v>9287</v>
      </c>
      <c r="B2648" s="2" t="s">
        <v>9043</v>
      </c>
      <c r="C2648" s="2" t="s">
        <v>88</v>
      </c>
      <c r="D2648" s="2" t="s">
        <v>9044</v>
      </c>
      <c r="E2648" s="2" t="s">
        <v>9045</v>
      </c>
      <c r="F2648" s="2" t="s">
        <v>9250</v>
      </c>
      <c r="G2648" s="2" t="s">
        <v>9250</v>
      </c>
      <c r="H2648" s="2" t="s">
        <v>9250</v>
      </c>
      <c r="I2648" s="2" t="s">
        <v>9251</v>
      </c>
      <c r="J2648" s="2" t="s">
        <v>9268</v>
      </c>
      <c r="K2648" s="2" t="s">
        <v>4362</v>
      </c>
      <c r="L2648" s="3">
        <v>43.2</v>
      </c>
      <c r="M2648" s="3">
        <v>45.36</v>
      </c>
      <c r="N2648" s="3">
        <v>89.99</v>
      </c>
      <c r="O2648" s="2" t="s">
        <v>97</v>
      </c>
      <c r="P2648" s="2" t="s">
        <v>98</v>
      </c>
      <c r="Q2648" s="2" t="s">
        <v>99</v>
      </c>
      <c r="R2648" s="2" t="s">
        <v>100</v>
      </c>
      <c r="S2648" s="2" t="s">
        <v>9283</v>
      </c>
      <c r="T2648" s="2" t="s">
        <v>4529</v>
      </c>
      <c r="U2648" s="2" t="s">
        <v>102</v>
      </c>
      <c r="V2648" s="2" t="s">
        <v>461</v>
      </c>
      <c r="W2648" s="2" t="s">
        <v>609</v>
      </c>
      <c r="X2648" s="2" t="s">
        <v>609</v>
      </c>
      <c r="Y2648" s="2" t="s">
        <v>9281</v>
      </c>
      <c r="Z2648" s="4">
        <v>75</v>
      </c>
      <c r="AA2648" s="4">
        <f>=ROUNDDOWN(9.375,0)</f>
      </c>
      <c r="AB2648" s="5">
        <v>8</v>
      </c>
      <c r="AC2648" s="2" t="s">
        <v>2949</v>
      </c>
      <c r="AD2648" s="4">
        <v>50</v>
      </c>
      <c r="AE2648" s="4">
        <v>200</v>
      </c>
      <c r="AF2648" s="6">
        <v>70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 t="s">
        <v>100</v>
      </c>
      <c r="AW2648" s="8" t="s">
        <v>100</v>
      </c>
      <c r="AX2648" s="4" t="s">
        <v>100</v>
      </c>
      <c r="AY2648" s="8" t="s">
        <v>100</v>
      </c>
      <c r="AZ2648" s="7" t="s">
        <v>100</v>
      </c>
      <c r="BA2648" s="7" t="s">
        <v>100</v>
      </c>
      <c r="BB2648" s="7"/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 t="s">
        <v>100</v>
      </c>
      <c r="BJ2648" s="4">
        <v>19</v>
      </c>
      <c r="BK2648" s="8">
        <v>915.28</v>
      </c>
      <c r="BL2648" s="2" t="s">
        <v>9288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4607</v>
      </c>
      <c r="BX2648" s="2" t="s">
        <v>6427</v>
      </c>
      <c r="BY2648" s="2" t="s">
        <v>112</v>
      </c>
      <c r="BZ2648" s="2" t="s">
        <v>100</v>
      </c>
    </row>
    <row r="2649">
      <c r="A2649" s="2" t="s">
        <v>9289</v>
      </c>
      <c r="B2649" s="2" t="s">
        <v>9043</v>
      </c>
      <c r="C2649" s="2" t="s">
        <v>88</v>
      </c>
      <c r="D2649" s="2" t="s">
        <v>9044</v>
      </c>
      <c r="E2649" s="2" t="s">
        <v>9045</v>
      </c>
      <c r="F2649" s="2" t="s">
        <v>9250</v>
      </c>
      <c r="G2649" s="2" t="s">
        <v>9250</v>
      </c>
      <c r="H2649" s="2" t="s">
        <v>9250</v>
      </c>
      <c r="I2649" s="2" t="s">
        <v>9251</v>
      </c>
      <c r="J2649" s="2" t="s">
        <v>95</v>
      </c>
      <c r="K2649" s="2" t="s">
        <v>96</v>
      </c>
      <c r="L2649" s="3">
        <v>32.9</v>
      </c>
      <c r="M2649" s="3">
        <v>34.54</v>
      </c>
      <c r="N2649" s="3">
        <v>69.99</v>
      </c>
      <c r="O2649" s="2" t="s">
        <v>97</v>
      </c>
      <c r="P2649" s="2" t="s">
        <v>98</v>
      </c>
      <c r="Q2649" s="2" t="s">
        <v>99</v>
      </c>
      <c r="R2649" s="2" t="s">
        <v>100</v>
      </c>
      <c r="S2649" s="2" t="s">
        <v>9290</v>
      </c>
      <c r="T2649" s="2" t="s">
        <v>4529</v>
      </c>
      <c r="U2649" s="2" t="s">
        <v>355</v>
      </c>
      <c r="V2649" s="2" t="s">
        <v>461</v>
      </c>
      <c r="W2649" s="2" t="s">
        <v>609</v>
      </c>
      <c r="X2649" s="2" t="s">
        <v>100</v>
      </c>
      <c r="Y2649" s="2" t="s">
        <v>1230</v>
      </c>
      <c r="Z2649" s="4">
        <v>412</v>
      </c>
      <c r="AA2649" s="4">
        <f>=ROUNDDOWN(21.6842105263158,0)</f>
      </c>
      <c r="AB2649" s="5">
        <v>19</v>
      </c>
      <c r="AC2649" s="2" t="s">
        <v>1452</v>
      </c>
      <c r="AD2649" s="4">
        <v>60</v>
      </c>
      <c r="AE2649" s="4">
        <v>180</v>
      </c>
      <c r="AF2649" s="6">
        <v>70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 t="s">
        <v>100</v>
      </c>
      <c r="AW2649" s="8" t="s">
        <v>100</v>
      </c>
      <c r="AX2649" s="4" t="s">
        <v>100</v>
      </c>
      <c r="AY2649" s="8" t="s">
        <v>100</v>
      </c>
      <c r="AZ2649" s="7" t="s">
        <v>100</v>
      </c>
      <c r="BA2649" s="7" t="s">
        <v>100</v>
      </c>
      <c r="BB2649" s="7"/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 t="s">
        <v>100</v>
      </c>
      <c r="BJ2649" s="4">
        <v>46</v>
      </c>
      <c r="BK2649" s="8">
        <v>1588.71</v>
      </c>
      <c r="BL2649" s="2" t="s">
        <v>1421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110</v>
      </c>
      <c r="BX2649" s="2" t="s">
        <v>9291</v>
      </c>
      <c r="BY2649" s="2" t="s">
        <v>112</v>
      </c>
      <c r="BZ2649" s="2" t="s">
        <v>100</v>
      </c>
    </row>
    <row r="2650">
      <c r="A2650" s="2" t="s">
        <v>9292</v>
      </c>
      <c r="B2650" s="2" t="s">
        <v>9043</v>
      </c>
      <c r="C2650" s="2" t="s">
        <v>88</v>
      </c>
      <c r="D2650" s="2" t="s">
        <v>9044</v>
      </c>
      <c r="E2650" s="2" t="s">
        <v>9045</v>
      </c>
      <c r="F2650" s="2" t="s">
        <v>9250</v>
      </c>
      <c r="G2650" s="2" t="s">
        <v>9250</v>
      </c>
      <c r="H2650" s="2" t="s">
        <v>9250</v>
      </c>
      <c r="I2650" s="2" t="s">
        <v>9251</v>
      </c>
      <c r="J2650" s="2" t="s">
        <v>118</v>
      </c>
      <c r="K2650" s="2" t="s">
        <v>96</v>
      </c>
      <c r="L2650" s="3">
        <v>39.84</v>
      </c>
      <c r="M2650" s="3">
        <v>41.83</v>
      </c>
      <c r="N2650" s="3">
        <v>82.99</v>
      </c>
      <c r="O2650" s="2" t="s">
        <v>97</v>
      </c>
      <c r="P2650" s="2" t="s">
        <v>98</v>
      </c>
      <c r="Q2650" s="2" t="s">
        <v>99</v>
      </c>
      <c r="R2650" s="2" t="s">
        <v>100</v>
      </c>
      <c r="S2650" s="2" t="s">
        <v>9290</v>
      </c>
      <c r="T2650" s="2" t="s">
        <v>4529</v>
      </c>
      <c r="U2650" s="2" t="s">
        <v>355</v>
      </c>
      <c r="V2650" s="2" t="s">
        <v>461</v>
      </c>
      <c r="W2650" s="2" t="s">
        <v>609</v>
      </c>
      <c r="X2650" s="2" t="s">
        <v>100</v>
      </c>
      <c r="Y2650" s="2" t="s">
        <v>1230</v>
      </c>
      <c r="Z2650" s="4">
        <v>64</v>
      </c>
      <c r="AA2650" s="4">
        <f>=ROUNDDOWN(10.6666666666667,0)</f>
      </c>
      <c r="AB2650" s="5">
        <v>6</v>
      </c>
      <c r="AC2650" s="2" t="s">
        <v>1452</v>
      </c>
      <c r="AD2650" s="4">
        <v>80</v>
      </c>
      <c r="AE2650" s="4">
        <v>130</v>
      </c>
      <c r="AF2650" s="6">
        <v>70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 t="s">
        <v>100</v>
      </c>
      <c r="AW2650" s="8" t="s">
        <v>100</v>
      </c>
      <c r="AX2650" s="4" t="s">
        <v>100</v>
      </c>
      <c r="AY2650" s="8" t="s">
        <v>100</v>
      </c>
      <c r="AZ2650" s="7" t="s">
        <v>100</v>
      </c>
      <c r="BA2650" s="7" t="s">
        <v>100</v>
      </c>
      <c r="BB2650" s="7"/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 t="s">
        <v>100</v>
      </c>
      <c r="BJ2650" s="4">
        <v>11</v>
      </c>
      <c r="BK2650" s="8">
        <v>474.9</v>
      </c>
      <c r="BL2650" s="2" t="s">
        <v>3101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109</v>
      </c>
      <c r="BV2650" s="2" t="s">
        <v>97</v>
      </c>
      <c r="BW2650" s="2" t="s">
        <v>110</v>
      </c>
      <c r="BX2650" s="2" t="s">
        <v>1575</v>
      </c>
      <c r="BY2650" s="2" t="s">
        <v>112</v>
      </c>
      <c r="BZ2650" s="2" t="s">
        <v>100</v>
      </c>
    </row>
    <row r="2651">
      <c r="A2651" s="2" t="s">
        <v>9293</v>
      </c>
      <c r="B2651" s="2" t="s">
        <v>9043</v>
      </c>
      <c r="C2651" s="2" t="s">
        <v>88</v>
      </c>
      <c r="D2651" s="2" t="s">
        <v>9044</v>
      </c>
      <c r="E2651" s="2" t="s">
        <v>9045</v>
      </c>
      <c r="F2651" s="2" t="s">
        <v>9250</v>
      </c>
      <c r="G2651" s="2" t="s">
        <v>9250</v>
      </c>
      <c r="H2651" s="2" t="s">
        <v>9250</v>
      </c>
      <c r="I2651" s="2" t="s">
        <v>9251</v>
      </c>
      <c r="J2651" s="2" t="s">
        <v>9268</v>
      </c>
      <c r="K2651" s="2" t="s">
        <v>96</v>
      </c>
      <c r="L2651" s="3">
        <v>43.2</v>
      </c>
      <c r="M2651" s="3">
        <v>45.36</v>
      </c>
      <c r="N2651" s="3">
        <v>89.99</v>
      </c>
      <c r="O2651" s="2" t="s">
        <v>97</v>
      </c>
      <c r="P2651" s="2" t="s">
        <v>98</v>
      </c>
      <c r="Q2651" s="2" t="s">
        <v>99</v>
      </c>
      <c r="R2651" s="2" t="s">
        <v>100</v>
      </c>
      <c r="S2651" s="2" t="s">
        <v>9290</v>
      </c>
      <c r="T2651" s="2" t="s">
        <v>4529</v>
      </c>
      <c r="U2651" s="2" t="s">
        <v>102</v>
      </c>
      <c r="V2651" s="2" t="s">
        <v>461</v>
      </c>
      <c r="W2651" s="2" t="s">
        <v>609</v>
      </c>
      <c r="X2651" s="2" t="s">
        <v>100</v>
      </c>
      <c r="Y2651" s="2" t="s">
        <v>7870</v>
      </c>
      <c r="Z2651" s="4">
        <v>95</v>
      </c>
      <c r="AA2651" s="4">
        <f>=ROUNDDOWN(11.5853658536585,0)</f>
      </c>
      <c r="AB2651" s="5">
        <v>8.2</v>
      </c>
      <c r="AC2651" s="2" t="s">
        <v>2949</v>
      </c>
      <c r="AD2651" s="4">
        <v>60</v>
      </c>
      <c r="AE2651" s="4">
        <v>260</v>
      </c>
      <c r="AF2651" s="6">
        <v>70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 t="s">
        <v>100</v>
      </c>
      <c r="AW2651" s="8" t="s">
        <v>100</v>
      </c>
      <c r="AX2651" s="4" t="s">
        <v>100</v>
      </c>
      <c r="AY2651" s="8" t="s">
        <v>100</v>
      </c>
      <c r="AZ2651" s="7" t="s">
        <v>100</v>
      </c>
      <c r="BA2651" s="7" t="s">
        <v>100</v>
      </c>
      <c r="BB2651" s="7"/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 t="s">
        <v>100</v>
      </c>
      <c r="BJ2651" s="4">
        <v>48</v>
      </c>
      <c r="BK2651" s="8">
        <v>2335.66</v>
      </c>
      <c r="BL2651" s="2" t="s">
        <v>3052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109</v>
      </c>
      <c r="BV2651" s="2" t="s">
        <v>97</v>
      </c>
      <c r="BW2651" s="2" t="s">
        <v>1531</v>
      </c>
      <c r="BX2651" s="2" t="s">
        <v>9294</v>
      </c>
      <c r="BY2651" s="2" t="s">
        <v>112</v>
      </c>
      <c r="BZ2651" s="2" t="s">
        <v>100</v>
      </c>
    </row>
    <row r="2652">
      <c r="A2652" s="2" t="s">
        <v>9295</v>
      </c>
      <c r="B2652" s="2" t="s">
        <v>9043</v>
      </c>
      <c r="C2652" s="2" t="s">
        <v>88</v>
      </c>
      <c r="D2652" s="2" t="s">
        <v>9044</v>
      </c>
      <c r="E2652" s="2" t="s">
        <v>9045</v>
      </c>
      <c r="F2652" s="2" t="s">
        <v>9250</v>
      </c>
      <c r="G2652" s="2" t="s">
        <v>9250</v>
      </c>
      <c r="H2652" s="2" t="s">
        <v>9250</v>
      </c>
      <c r="I2652" s="2" t="s">
        <v>9251</v>
      </c>
      <c r="J2652" s="2" t="s">
        <v>95</v>
      </c>
      <c r="K2652" s="2" t="s">
        <v>458</v>
      </c>
      <c r="L2652" s="3">
        <v>32.9</v>
      </c>
      <c r="M2652" s="3">
        <v>34.54</v>
      </c>
      <c r="N2652" s="3">
        <v>69.99</v>
      </c>
      <c r="O2652" s="2" t="s">
        <v>97</v>
      </c>
      <c r="P2652" s="2" t="s">
        <v>98</v>
      </c>
      <c r="Q2652" s="2" t="s">
        <v>99</v>
      </c>
      <c r="R2652" s="2" t="s">
        <v>100</v>
      </c>
      <c r="S2652" s="2" t="s">
        <v>9296</v>
      </c>
      <c r="T2652" s="2" t="s">
        <v>4529</v>
      </c>
      <c r="U2652" s="2" t="s">
        <v>355</v>
      </c>
      <c r="V2652" s="2" t="s">
        <v>461</v>
      </c>
      <c r="W2652" s="2" t="s">
        <v>609</v>
      </c>
      <c r="X2652" s="2" t="s">
        <v>1136</v>
      </c>
      <c r="Y2652" s="2" t="s">
        <v>654</v>
      </c>
      <c r="Z2652" s="4">
        <v>262</v>
      </c>
      <c r="AA2652" s="4">
        <f>=ROUNDDOWN(14.5555555555556,0)</f>
      </c>
      <c r="AB2652" s="5">
        <v>18</v>
      </c>
      <c r="AC2652" s="2" t="s">
        <v>1142</v>
      </c>
      <c r="AD2652" s="4">
        <v>100</v>
      </c>
      <c r="AE2652" s="4">
        <v>380</v>
      </c>
      <c r="AF2652" s="6">
        <v>70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 t="s">
        <v>100</v>
      </c>
      <c r="AW2652" s="8" t="s">
        <v>100</v>
      </c>
      <c r="AX2652" s="4" t="s">
        <v>100</v>
      </c>
      <c r="AY2652" s="8" t="s">
        <v>100</v>
      </c>
      <c r="AZ2652" s="7" t="s">
        <v>100</v>
      </c>
      <c r="BA2652" s="7" t="s">
        <v>100</v>
      </c>
      <c r="BB2652" s="7"/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 t="s">
        <v>100</v>
      </c>
      <c r="BJ2652" s="4">
        <v>56</v>
      </c>
      <c r="BK2652" s="8">
        <v>2077.32</v>
      </c>
      <c r="BL2652" s="2" t="s">
        <v>2000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109</v>
      </c>
      <c r="BV2652" s="2" t="s">
        <v>97</v>
      </c>
      <c r="BW2652" s="2" t="s">
        <v>1531</v>
      </c>
      <c r="BX2652" s="2" t="s">
        <v>6116</v>
      </c>
      <c r="BY2652" s="2" t="s">
        <v>112</v>
      </c>
      <c r="BZ2652" s="2" t="s">
        <v>100</v>
      </c>
    </row>
    <row r="2653">
      <c r="A2653" s="2" t="s">
        <v>9297</v>
      </c>
      <c r="B2653" s="2" t="s">
        <v>9043</v>
      </c>
      <c r="C2653" s="2" t="s">
        <v>88</v>
      </c>
      <c r="D2653" s="2" t="s">
        <v>9044</v>
      </c>
      <c r="E2653" s="2" t="s">
        <v>9045</v>
      </c>
      <c r="F2653" s="2" t="s">
        <v>9250</v>
      </c>
      <c r="G2653" s="2" t="s">
        <v>9250</v>
      </c>
      <c r="H2653" s="2" t="s">
        <v>9250</v>
      </c>
      <c r="I2653" s="2" t="s">
        <v>9251</v>
      </c>
      <c r="J2653" s="2" t="s">
        <v>114</v>
      </c>
      <c r="K2653" s="2" t="s">
        <v>458</v>
      </c>
      <c r="L2653" s="3">
        <v>39.84</v>
      </c>
      <c r="M2653" s="3">
        <v>41.83</v>
      </c>
      <c r="N2653" s="3">
        <v>82.99</v>
      </c>
      <c r="O2653" s="2" t="s">
        <v>97</v>
      </c>
      <c r="P2653" s="2" t="s">
        <v>98</v>
      </c>
      <c r="Q2653" s="2" t="s">
        <v>99</v>
      </c>
      <c r="R2653" s="2" t="s">
        <v>100</v>
      </c>
      <c r="S2653" s="2" t="s">
        <v>9296</v>
      </c>
      <c r="T2653" s="2" t="s">
        <v>4529</v>
      </c>
      <c r="U2653" s="2" t="s">
        <v>355</v>
      </c>
      <c r="V2653" s="2" t="s">
        <v>461</v>
      </c>
      <c r="W2653" s="2" t="s">
        <v>609</v>
      </c>
      <c r="X2653" s="2" t="s">
        <v>1136</v>
      </c>
      <c r="Y2653" s="2" t="s">
        <v>654</v>
      </c>
      <c r="Z2653" s="4">
        <v>269</v>
      </c>
      <c r="AA2653" s="4">
        <f>=ROUNDDOWN(16.8125,0)</f>
      </c>
      <c r="AB2653" s="5">
        <v>16</v>
      </c>
      <c r="AC2653" s="2" t="s">
        <v>1142</v>
      </c>
      <c r="AD2653" s="4">
        <v>220</v>
      </c>
      <c r="AE2653" s="4">
        <v>280</v>
      </c>
      <c r="AF2653" s="6">
        <v>70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 t="s">
        <v>100</v>
      </c>
      <c r="AW2653" s="8" t="s">
        <v>100</v>
      </c>
      <c r="AX2653" s="4" t="s">
        <v>100</v>
      </c>
      <c r="AY2653" s="8" t="s">
        <v>100</v>
      </c>
      <c r="AZ2653" s="7" t="s">
        <v>100</v>
      </c>
      <c r="BA2653" s="7" t="s">
        <v>100</v>
      </c>
      <c r="BB2653" s="7"/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 t="s">
        <v>100</v>
      </c>
      <c r="BJ2653" s="4">
        <v>59</v>
      </c>
      <c r="BK2653" s="8">
        <v>2556.51</v>
      </c>
      <c r="BL2653" s="2" t="s">
        <v>1181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109</v>
      </c>
      <c r="BV2653" s="2" t="s">
        <v>97</v>
      </c>
      <c r="BW2653" s="2" t="s">
        <v>1531</v>
      </c>
      <c r="BX2653" s="2" t="s">
        <v>9298</v>
      </c>
      <c r="BY2653" s="2" t="s">
        <v>112</v>
      </c>
      <c r="BZ2653" s="2" t="s">
        <v>100</v>
      </c>
    </row>
    <row r="2654">
      <c r="A2654" s="2" t="s">
        <v>9299</v>
      </c>
      <c r="B2654" s="2" t="s">
        <v>9043</v>
      </c>
      <c r="C2654" s="2" t="s">
        <v>88</v>
      </c>
      <c r="D2654" s="2" t="s">
        <v>9044</v>
      </c>
      <c r="E2654" s="2" t="s">
        <v>9045</v>
      </c>
      <c r="F2654" s="2" t="s">
        <v>9250</v>
      </c>
      <c r="G2654" s="2" t="s">
        <v>9250</v>
      </c>
      <c r="H2654" s="2" t="s">
        <v>9250</v>
      </c>
      <c r="I2654" s="2" t="s">
        <v>9251</v>
      </c>
      <c r="J2654" s="2" t="s">
        <v>118</v>
      </c>
      <c r="K2654" s="2" t="s">
        <v>458</v>
      </c>
      <c r="L2654" s="3">
        <v>39.84</v>
      </c>
      <c r="M2654" s="3">
        <v>41.83</v>
      </c>
      <c r="N2654" s="3">
        <v>82.99</v>
      </c>
      <c r="O2654" s="2" t="s">
        <v>97</v>
      </c>
      <c r="P2654" s="2" t="s">
        <v>98</v>
      </c>
      <c r="Q2654" s="2" t="s">
        <v>99</v>
      </c>
      <c r="R2654" s="2" t="s">
        <v>100</v>
      </c>
      <c r="S2654" s="2" t="s">
        <v>9296</v>
      </c>
      <c r="T2654" s="2" t="s">
        <v>4529</v>
      </c>
      <c r="U2654" s="2" t="s">
        <v>355</v>
      </c>
      <c r="V2654" s="2" t="s">
        <v>461</v>
      </c>
      <c r="W2654" s="2" t="s">
        <v>609</v>
      </c>
      <c r="X2654" s="2" t="s">
        <v>1136</v>
      </c>
      <c r="Y2654" s="2" t="s">
        <v>654</v>
      </c>
      <c r="Z2654" s="4">
        <v>19</v>
      </c>
      <c r="AA2654" s="4">
        <f>=ROUNDDOWN(2.71428571428571,0)</f>
      </c>
      <c r="AB2654" s="5">
        <v>7</v>
      </c>
      <c r="AC2654" s="2" t="s">
        <v>1142</v>
      </c>
      <c r="AD2654" s="4">
        <v>110</v>
      </c>
      <c r="AE2654" s="4">
        <v>150</v>
      </c>
      <c r="AF2654" s="6">
        <v>70</v>
      </c>
      <c r="AG2654" s="6"/>
      <c r="AH2654" s="7">
        <v>0.6774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 t="s">
        <v>100</v>
      </c>
      <c r="AW2654" s="8" t="s">
        <v>100</v>
      </c>
      <c r="AX2654" s="4" t="s">
        <v>100</v>
      </c>
      <c r="AY2654" s="8" t="s">
        <v>100</v>
      </c>
      <c r="AZ2654" s="7" t="s">
        <v>100</v>
      </c>
      <c r="BA2654" s="7" t="s">
        <v>100</v>
      </c>
      <c r="BB2654" s="7"/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 t="s">
        <v>100</v>
      </c>
      <c r="BJ2654" s="4">
        <v>60</v>
      </c>
      <c r="BK2654" s="8">
        <v>2636.11</v>
      </c>
      <c r="BL2654" s="2" t="s">
        <v>4530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109</v>
      </c>
      <c r="BV2654" s="2" t="s">
        <v>97</v>
      </c>
      <c r="BW2654" s="2" t="s">
        <v>1531</v>
      </c>
      <c r="BX2654" s="2" t="s">
        <v>1643</v>
      </c>
      <c r="BY2654" s="2" t="s">
        <v>112</v>
      </c>
      <c r="BZ2654" s="2" t="s">
        <v>100</v>
      </c>
    </row>
    <row r="2655">
      <c r="A2655" s="2" t="s">
        <v>9300</v>
      </c>
      <c r="B2655" s="2" t="s">
        <v>9043</v>
      </c>
      <c r="C2655" s="2" t="s">
        <v>88</v>
      </c>
      <c r="D2655" s="2" t="s">
        <v>9044</v>
      </c>
      <c r="E2655" s="2" t="s">
        <v>9045</v>
      </c>
      <c r="F2655" s="2" t="s">
        <v>9250</v>
      </c>
      <c r="G2655" s="2" t="s">
        <v>9250</v>
      </c>
      <c r="H2655" s="2" t="s">
        <v>9250</v>
      </c>
      <c r="I2655" s="2" t="s">
        <v>9251</v>
      </c>
      <c r="J2655" s="2" t="s">
        <v>9268</v>
      </c>
      <c r="K2655" s="2" t="s">
        <v>458</v>
      </c>
      <c r="L2655" s="3">
        <v>43.2</v>
      </c>
      <c r="M2655" s="3">
        <v>45.36</v>
      </c>
      <c r="N2655" s="3">
        <v>89.99</v>
      </c>
      <c r="O2655" s="2" t="s">
        <v>97</v>
      </c>
      <c r="P2655" s="2" t="s">
        <v>98</v>
      </c>
      <c r="Q2655" s="2" t="s">
        <v>99</v>
      </c>
      <c r="R2655" s="2" t="s">
        <v>100</v>
      </c>
      <c r="S2655" s="2" t="s">
        <v>9296</v>
      </c>
      <c r="T2655" s="2" t="s">
        <v>4529</v>
      </c>
      <c r="U2655" s="2" t="s">
        <v>102</v>
      </c>
      <c r="V2655" s="2" t="s">
        <v>461</v>
      </c>
      <c r="W2655" s="2" t="s">
        <v>609</v>
      </c>
      <c r="X2655" s="2" t="s">
        <v>609</v>
      </c>
      <c r="Y2655" s="2" t="s">
        <v>9281</v>
      </c>
      <c r="Z2655" s="4">
        <v>177</v>
      </c>
      <c r="AA2655" s="4">
        <f>=ROUNDDOWN(17.7,0)</f>
      </c>
      <c r="AB2655" s="5">
        <v>10</v>
      </c>
      <c r="AC2655" s="2" t="s">
        <v>1142</v>
      </c>
      <c r="AD2655" s="4">
        <v>60</v>
      </c>
      <c r="AE2655" s="4">
        <v>150</v>
      </c>
      <c r="AF2655" s="6">
        <v>70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 t="s">
        <v>100</v>
      </c>
      <c r="AW2655" s="8" t="s">
        <v>100</v>
      </c>
      <c r="AX2655" s="4" t="s">
        <v>100</v>
      </c>
      <c r="AY2655" s="8" t="s">
        <v>100</v>
      </c>
      <c r="AZ2655" s="7" t="s">
        <v>100</v>
      </c>
      <c r="BA2655" s="7" t="s">
        <v>100</v>
      </c>
      <c r="BB2655" s="7"/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 t="s">
        <v>100</v>
      </c>
      <c r="BJ2655" s="4">
        <v>35</v>
      </c>
      <c r="BK2655" s="8">
        <v>1681.53</v>
      </c>
      <c r="BL2655" s="2" t="s">
        <v>1612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109</v>
      </c>
      <c r="BV2655" s="2" t="s">
        <v>97</v>
      </c>
      <c r="BW2655" s="2" t="s">
        <v>9301</v>
      </c>
      <c r="BX2655" s="2" t="s">
        <v>6024</v>
      </c>
      <c r="BY2655" s="2" t="s">
        <v>112</v>
      </c>
      <c r="BZ2655" s="2" t="s">
        <v>100</v>
      </c>
    </row>
    <row r="2656">
      <c r="A2656" s="2" t="s">
        <v>9302</v>
      </c>
      <c r="B2656" s="2" t="s">
        <v>9043</v>
      </c>
      <c r="C2656" s="2" t="s">
        <v>88</v>
      </c>
      <c r="D2656" s="2" t="s">
        <v>9044</v>
      </c>
      <c r="E2656" s="2" t="s">
        <v>9045</v>
      </c>
      <c r="F2656" s="2" t="s">
        <v>9303</v>
      </c>
      <c r="G2656" s="2" t="s">
        <v>9303</v>
      </c>
      <c r="H2656" s="2" t="s">
        <v>9303</v>
      </c>
      <c r="I2656" s="2" t="s">
        <v>9304</v>
      </c>
      <c r="J2656" s="2" t="s">
        <v>1443</v>
      </c>
      <c r="K2656" s="2" t="s">
        <v>96</v>
      </c>
      <c r="L2656" s="3">
        <v>21.6</v>
      </c>
      <c r="M2656" s="3">
        <v>22.68</v>
      </c>
      <c r="N2656" s="3">
        <v>47.99</v>
      </c>
      <c r="O2656" s="2" t="s">
        <v>97</v>
      </c>
      <c r="P2656" s="2" t="s">
        <v>98</v>
      </c>
      <c r="Q2656" s="2" t="s">
        <v>99</v>
      </c>
      <c r="R2656" s="2" t="s">
        <v>100</v>
      </c>
      <c r="S2656" s="2" t="s">
        <v>9305</v>
      </c>
      <c r="T2656" s="2" t="s">
        <v>190</v>
      </c>
      <c r="U2656" s="2" t="s">
        <v>901</v>
      </c>
      <c r="V2656" s="2" t="s">
        <v>461</v>
      </c>
      <c r="W2656" s="2" t="s">
        <v>609</v>
      </c>
      <c r="X2656" s="2" t="s">
        <v>100</v>
      </c>
      <c r="Y2656" s="2" t="s">
        <v>9306</v>
      </c>
      <c r="Z2656" s="4">
        <v>77</v>
      </c>
      <c r="AA2656" s="4">
        <f>=ROUNDDOWN(19.25,0)</f>
      </c>
      <c r="AB2656" s="5">
        <v>4</v>
      </c>
      <c r="AC2656" s="2" t="s">
        <v>990</v>
      </c>
      <c r="AD2656" s="4">
        <v>40</v>
      </c>
      <c r="AE2656" s="4">
        <v>40</v>
      </c>
      <c r="AF2656" s="6">
        <v>70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>
        <v>5</v>
      </c>
      <c r="AW2656" s="8">
        <v>141.75</v>
      </c>
      <c r="AX2656" s="4" t="s">
        <v>100</v>
      </c>
      <c r="AY2656" s="8" t="s">
        <v>100</v>
      </c>
      <c r="AZ2656" s="7" t="s">
        <v>100</v>
      </c>
      <c r="BA2656" s="7" t="s">
        <v>100</v>
      </c>
      <c r="BB2656" s="7"/>
      <c r="BC2656" s="4">
        <v>12</v>
      </c>
      <c r="BD2656" s="8">
        <v>348.71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>
        <v>0.4065</v>
      </c>
      <c r="BJ2656" s="4">
        <v>5</v>
      </c>
      <c r="BK2656" s="8">
        <v>117.85</v>
      </c>
      <c r="BL2656" s="2" t="s">
        <v>3025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109</v>
      </c>
      <c r="BV2656" s="2" t="s">
        <v>97</v>
      </c>
      <c r="BW2656" s="2" t="s">
        <v>2115</v>
      </c>
      <c r="BX2656" s="2" t="s">
        <v>2280</v>
      </c>
      <c r="BY2656" s="2" t="s">
        <v>112</v>
      </c>
      <c r="BZ2656" s="2" t="s">
        <v>100</v>
      </c>
    </row>
    <row r="2657">
      <c r="A2657" s="2" t="s">
        <v>9307</v>
      </c>
      <c r="B2657" s="2" t="s">
        <v>9043</v>
      </c>
      <c r="C2657" s="2" t="s">
        <v>88</v>
      </c>
      <c r="D2657" s="2" t="s">
        <v>9044</v>
      </c>
      <c r="E2657" s="2" t="s">
        <v>9045</v>
      </c>
      <c r="F2657" s="2" t="s">
        <v>9303</v>
      </c>
      <c r="G2657" s="2" t="s">
        <v>9303</v>
      </c>
      <c r="H2657" s="2" t="s">
        <v>9303</v>
      </c>
      <c r="I2657" s="2" t="s">
        <v>9304</v>
      </c>
      <c r="J2657" s="2" t="s">
        <v>490</v>
      </c>
      <c r="K2657" s="2" t="s">
        <v>96</v>
      </c>
      <c r="L2657" s="3">
        <v>27</v>
      </c>
      <c r="M2657" s="3">
        <v>28.35</v>
      </c>
      <c r="N2657" s="3">
        <v>59.99</v>
      </c>
      <c r="O2657" s="2" t="s">
        <v>97</v>
      </c>
      <c r="P2657" s="2" t="s">
        <v>98</v>
      </c>
      <c r="Q2657" s="2" t="s">
        <v>99</v>
      </c>
      <c r="R2657" s="2" t="s">
        <v>100</v>
      </c>
      <c r="S2657" s="2" t="s">
        <v>9305</v>
      </c>
      <c r="T2657" s="2" t="s">
        <v>190</v>
      </c>
      <c r="U2657" s="2" t="s">
        <v>1228</v>
      </c>
      <c r="V2657" s="2" t="s">
        <v>461</v>
      </c>
      <c r="W2657" s="2" t="s">
        <v>609</v>
      </c>
      <c r="X2657" s="2" t="s">
        <v>100</v>
      </c>
      <c r="Y2657" s="2" t="s">
        <v>9306</v>
      </c>
      <c r="Z2657" s="4">
        <v>115</v>
      </c>
      <c r="AA2657" s="4">
        <f>=ROUNDDOWN(28.75,0)</f>
      </c>
      <c r="AB2657" s="5">
        <v>4</v>
      </c>
      <c r="AC2657" s="2" t="s">
        <v>100</v>
      </c>
      <c r="AD2657" s="4"/>
      <c r="AE2657" s="4"/>
      <c r="AF2657" s="6">
        <v>70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5</v>
      </c>
      <c r="AQ2657" s="8">
        <v>141.75</v>
      </c>
      <c r="AR2657" s="4"/>
      <c r="AS2657" s="8"/>
      <c r="AT2657" s="7"/>
      <c r="AU2657" s="7"/>
      <c r="AV2657" s="4" t="s">
        <v>100</v>
      </c>
      <c r="AW2657" s="8" t="s">
        <v>100</v>
      </c>
      <c r="AX2657" s="4" t="s">
        <v>100</v>
      </c>
      <c r="AY2657" s="8" t="s">
        <v>100</v>
      </c>
      <c r="AZ2657" s="7" t="s">
        <v>100</v>
      </c>
      <c r="BA2657" s="7" t="s">
        <v>100</v>
      </c>
      <c r="BB2657" s="7">
        <v>1</v>
      </c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 t="s">
        <v>100</v>
      </c>
      <c r="BJ2657" s="4">
        <v>12</v>
      </c>
      <c r="BK2657" s="8">
        <v>343</v>
      </c>
      <c r="BL2657" s="2" t="s">
        <v>9308</v>
      </c>
      <c r="BM2657" s="7">
        <v>0.4167</v>
      </c>
      <c r="BN2657" s="7">
        <v>0.4133</v>
      </c>
      <c r="BO2657" s="4">
        <v>5</v>
      </c>
      <c r="BP2657" s="8">
        <v>141.75</v>
      </c>
      <c r="BQ2657" s="4"/>
      <c r="BR2657" s="8"/>
      <c r="BS2657" s="7"/>
      <c r="BT2657" s="7"/>
      <c r="BU2657" s="2" t="s">
        <v>109</v>
      </c>
      <c r="BV2657" s="2" t="s">
        <v>97</v>
      </c>
      <c r="BW2657" s="2" t="s">
        <v>2115</v>
      </c>
      <c r="BX2657" s="2" t="s">
        <v>5475</v>
      </c>
      <c r="BY2657" s="2" t="s">
        <v>112</v>
      </c>
      <c r="BZ2657" s="2" t="s">
        <v>100</v>
      </c>
    </row>
    <row r="2658">
      <c r="A2658" s="2" t="s">
        <v>9309</v>
      </c>
      <c r="B2658" s="2" t="s">
        <v>9043</v>
      </c>
      <c r="C2658" s="2" t="s">
        <v>88</v>
      </c>
      <c r="D2658" s="2" t="s">
        <v>9044</v>
      </c>
      <c r="E2658" s="2" t="s">
        <v>9045</v>
      </c>
      <c r="F2658" s="2" t="s">
        <v>9303</v>
      </c>
      <c r="G2658" s="2" t="s">
        <v>9303</v>
      </c>
      <c r="H2658" s="2" t="s">
        <v>9303</v>
      </c>
      <c r="I2658" s="2" t="s">
        <v>9304</v>
      </c>
      <c r="J2658" s="2" t="s">
        <v>95</v>
      </c>
      <c r="K2658" s="2" t="s">
        <v>96</v>
      </c>
      <c r="L2658" s="3">
        <v>29.9</v>
      </c>
      <c r="M2658" s="3">
        <v>31.4</v>
      </c>
      <c r="N2658" s="3">
        <v>64.99</v>
      </c>
      <c r="O2658" s="2" t="s">
        <v>97</v>
      </c>
      <c r="P2658" s="2" t="s">
        <v>98</v>
      </c>
      <c r="Q2658" s="2" t="s">
        <v>99</v>
      </c>
      <c r="R2658" s="2" t="s">
        <v>100</v>
      </c>
      <c r="S2658" s="2" t="s">
        <v>9305</v>
      </c>
      <c r="T2658" s="2" t="s">
        <v>190</v>
      </c>
      <c r="U2658" s="2" t="s">
        <v>1228</v>
      </c>
      <c r="V2658" s="2" t="s">
        <v>461</v>
      </c>
      <c r="W2658" s="2" t="s">
        <v>609</v>
      </c>
      <c r="X2658" s="2" t="s">
        <v>100</v>
      </c>
      <c r="Y2658" s="2" t="s">
        <v>9306</v>
      </c>
      <c r="Z2658" s="4">
        <v>162</v>
      </c>
      <c r="AA2658" s="4">
        <f>=ROUNDDOWN(23.1428571428571,0)</f>
      </c>
      <c r="AB2658" s="5">
        <v>7</v>
      </c>
      <c r="AC2658" s="2" t="s">
        <v>990</v>
      </c>
      <c r="AD2658" s="4">
        <v>70</v>
      </c>
      <c r="AE2658" s="4">
        <v>70</v>
      </c>
      <c r="AF2658" s="6">
        <v>70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 t="s">
        <v>100</v>
      </c>
      <c r="AW2658" s="8" t="s">
        <v>100</v>
      </c>
      <c r="AX2658" s="4" t="s">
        <v>100</v>
      </c>
      <c r="AY2658" s="8" t="s">
        <v>100</v>
      </c>
      <c r="AZ2658" s="7" t="s">
        <v>100</v>
      </c>
      <c r="BA2658" s="7" t="s">
        <v>100</v>
      </c>
      <c r="BB2658" s="7"/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 t="s">
        <v>100</v>
      </c>
      <c r="BJ2658" s="4">
        <v>25</v>
      </c>
      <c r="BK2658" s="8">
        <v>773.03</v>
      </c>
      <c r="BL2658" s="2" t="s">
        <v>4451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109</v>
      </c>
      <c r="BV2658" s="2" t="s">
        <v>97</v>
      </c>
      <c r="BW2658" s="2" t="s">
        <v>2115</v>
      </c>
      <c r="BX2658" s="2" t="s">
        <v>902</v>
      </c>
      <c r="BY2658" s="2" t="s">
        <v>112</v>
      </c>
      <c r="BZ2658" s="2" t="s">
        <v>100</v>
      </c>
    </row>
    <row r="2659">
      <c r="A2659" s="2" t="s">
        <v>9310</v>
      </c>
      <c r="B2659" s="2" t="s">
        <v>9043</v>
      </c>
      <c r="C2659" s="2" t="s">
        <v>88</v>
      </c>
      <c r="D2659" s="2" t="s">
        <v>9044</v>
      </c>
      <c r="E2659" s="2" t="s">
        <v>9045</v>
      </c>
      <c r="F2659" s="2" t="s">
        <v>9303</v>
      </c>
      <c r="G2659" s="2" t="s">
        <v>9303</v>
      </c>
      <c r="H2659" s="2" t="s">
        <v>9303</v>
      </c>
      <c r="I2659" s="2" t="s">
        <v>9304</v>
      </c>
      <c r="J2659" s="2" t="s">
        <v>114</v>
      </c>
      <c r="K2659" s="2" t="s">
        <v>96</v>
      </c>
      <c r="L2659" s="3">
        <v>32.2</v>
      </c>
      <c r="M2659" s="3">
        <v>33.81</v>
      </c>
      <c r="N2659" s="3">
        <v>69.99</v>
      </c>
      <c r="O2659" s="2" t="s">
        <v>97</v>
      </c>
      <c r="P2659" s="2" t="s">
        <v>98</v>
      </c>
      <c r="Q2659" s="2" t="s">
        <v>99</v>
      </c>
      <c r="R2659" s="2" t="s">
        <v>100</v>
      </c>
      <c r="S2659" s="2" t="s">
        <v>9305</v>
      </c>
      <c r="T2659" s="2" t="s">
        <v>190</v>
      </c>
      <c r="U2659" s="2" t="s">
        <v>1228</v>
      </c>
      <c r="V2659" s="2" t="s">
        <v>461</v>
      </c>
      <c r="W2659" s="2" t="s">
        <v>609</v>
      </c>
      <c r="X2659" s="2" t="s">
        <v>100</v>
      </c>
      <c r="Y2659" s="2" t="s">
        <v>9306</v>
      </c>
      <c r="Z2659" s="4">
        <v>201</v>
      </c>
      <c r="AA2659" s="4">
        <f>=ROUNDDOWN(28.7142857142857,0)</f>
      </c>
      <c r="AB2659" s="5">
        <v>7</v>
      </c>
      <c r="AC2659" s="2" t="s">
        <v>990</v>
      </c>
      <c r="AD2659" s="4">
        <v>80</v>
      </c>
      <c r="AE2659" s="4">
        <v>80</v>
      </c>
      <c r="AF2659" s="6">
        <v>70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 t="s">
        <v>100</v>
      </c>
      <c r="AW2659" s="8" t="s">
        <v>100</v>
      </c>
      <c r="AX2659" s="4" t="s">
        <v>100</v>
      </c>
      <c r="AY2659" s="8" t="s">
        <v>100</v>
      </c>
      <c r="AZ2659" s="7" t="s">
        <v>100</v>
      </c>
      <c r="BA2659" s="7" t="s">
        <v>100</v>
      </c>
      <c r="BB2659" s="7"/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 t="s">
        <v>100</v>
      </c>
      <c r="BJ2659" s="4">
        <v>19</v>
      </c>
      <c r="BK2659" s="8">
        <v>680.34</v>
      </c>
      <c r="BL2659" s="2" t="s">
        <v>9311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109</v>
      </c>
      <c r="BV2659" s="2" t="s">
        <v>97</v>
      </c>
      <c r="BW2659" s="2" t="s">
        <v>2115</v>
      </c>
      <c r="BX2659" s="2" t="s">
        <v>9312</v>
      </c>
      <c r="BY2659" s="2" t="s">
        <v>112</v>
      </c>
      <c r="BZ2659" s="2" t="s">
        <v>100</v>
      </c>
    </row>
    <row r="2660">
      <c r="A2660" s="2" t="s">
        <v>9313</v>
      </c>
      <c r="B2660" s="2" t="s">
        <v>9043</v>
      </c>
      <c r="C2660" s="2" t="s">
        <v>88</v>
      </c>
      <c r="D2660" s="2" t="s">
        <v>9044</v>
      </c>
      <c r="E2660" s="2" t="s">
        <v>9045</v>
      </c>
      <c r="F2660" s="2" t="s">
        <v>9303</v>
      </c>
      <c r="G2660" s="2" t="s">
        <v>9303</v>
      </c>
      <c r="H2660" s="2" t="s">
        <v>9303</v>
      </c>
      <c r="I2660" s="2" t="s">
        <v>9304</v>
      </c>
      <c r="J2660" s="2" t="s">
        <v>118</v>
      </c>
      <c r="K2660" s="2" t="s">
        <v>96</v>
      </c>
      <c r="L2660" s="3">
        <v>32.2</v>
      </c>
      <c r="M2660" s="3">
        <v>33.81</v>
      </c>
      <c r="N2660" s="3">
        <v>69.99</v>
      </c>
      <c r="O2660" s="2" t="s">
        <v>97</v>
      </c>
      <c r="P2660" s="2" t="s">
        <v>98</v>
      </c>
      <c r="Q2660" s="2" t="s">
        <v>99</v>
      </c>
      <c r="R2660" s="2" t="s">
        <v>100</v>
      </c>
      <c r="S2660" s="2" t="s">
        <v>9305</v>
      </c>
      <c r="T2660" s="2" t="s">
        <v>190</v>
      </c>
      <c r="U2660" s="2" t="s">
        <v>1228</v>
      </c>
      <c r="V2660" s="2" t="s">
        <v>461</v>
      </c>
      <c r="W2660" s="2" t="s">
        <v>609</v>
      </c>
      <c r="X2660" s="2" t="s">
        <v>100</v>
      </c>
      <c r="Y2660" s="2" t="s">
        <v>9306</v>
      </c>
      <c r="Z2660" s="4">
        <v>86</v>
      </c>
      <c r="AA2660" s="4">
        <f>=ROUNDDOWN(28.6666666666667,0)</f>
      </c>
      <c r="AB2660" s="5">
        <v>3</v>
      </c>
      <c r="AC2660" s="2" t="s">
        <v>990</v>
      </c>
      <c r="AD2660" s="4">
        <v>80</v>
      </c>
      <c r="AE2660" s="4">
        <v>80</v>
      </c>
      <c r="AF2660" s="6">
        <v>70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 t="s">
        <v>100</v>
      </c>
      <c r="AW2660" s="8" t="s">
        <v>100</v>
      </c>
      <c r="AX2660" s="4" t="s">
        <v>100</v>
      </c>
      <c r="AY2660" s="8" t="s">
        <v>100</v>
      </c>
      <c r="AZ2660" s="7" t="s">
        <v>100</v>
      </c>
      <c r="BA2660" s="7" t="s">
        <v>100</v>
      </c>
      <c r="BB2660" s="7"/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 t="s">
        <v>100</v>
      </c>
      <c r="BJ2660" s="4">
        <v>12</v>
      </c>
      <c r="BK2660" s="8">
        <v>421.33</v>
      </c>
      <c r="BL2660" s="2" t="s">
        <v>9314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109</v>
      </c>
      <c r="BV2660" s="2" t="s">
        <v>97</v>
      </c>
      <c r="BW2660" s="2" t="s">
        <v>2115</v>
      </c>
      <c r="BX2660" s="2" t="s">
        <v>2123</v>
      </c>
      <c r="BY2660" s="2" t="s">
        <v>112</v>
      </c>
      <c r="BZ2660" s="2" t="s">
        <v>100</v>
      </c>
    </row>
    <row r="2661">
      <c r="A2661" s="2" t="s">
        <v>9315</v>
      </c>
      <c r="B2661" s="2" t="s">
        <v>9043</v>
      </c>
      <c r="C2661" s="2" t="s">
        <v>88</v>
      </c>
      <c r="D2661" s="2" t="s">
        <v>9044</v>
      </c>
      <c r="E2661" s="2" t="s">
        <v>9045</v>
      </c>
      <c r="F2661" s="2" t="s">
        <v>9303</v>
      </c>
      <c r="G2661" s="2" t="s">
        <v>9303</v>
      </c>
      <c r="H2661" s="2" t="s">
        <v>9303</v>
      </c>
      <c r="I2661" s="2" t="s">
        <v>9304</v>
      </c>
      <c r="J2661" s="2" t="s">
        <v>1443</v>
      </c>
      <c r="K2661" s="2" t="s">
        <v>458</v>
      </c>
      <c r="L2661" s="3">
        <v>21.6</v>
      </c>
      <c r="M2661" s="3">
        <v>22.68</v>
      </c>
      <c r="N2661" s="3">
        <v>47.99</v>
      </c>
      <c r="O2661" s="2" t="s">
        <v>97</v>
      </c>
      <c r="P2661" s="2" t="s">
        <v>98</v>
      </c>
      <c r="Q2661" s="2" t="s">
        <v>99</v>
      </c>
      <c r="R2661" s="2" t="s">
        <v>100</v>
      </c>
      <c r="S2661" s="2" t="s">
        <v>9316</v>
      </c>
      <c r="T2661" s="2" t="s">
        <v>190</v>
      </c>
      <c r="U2661" s="2" t="s">
        <v>901</v>
      </c>
      <c r="V2661" s="2" t="s">
        <v>461</v>
      </c>
      <c r="W2661" s="2" t="s">
        <v>609</v>
      </c>
      <c r="X2661" s="2" t="s">
        <v>100</v>
      </c>
      <c r="Y2661" s="2" t="s">
        <v>9306</v>
      </c>
      <c r="Z2661" s="4">
        <v>149</v>
      </c>
      <c r="AA2661" s="4">
        <f>=ROUNDDOWN(21.2857142857143,0)</f>
      </c>
      <c r="AB2661" s="5">
        <v>7</v>
      </c>
      <c r="AC2661" s="2" t="s">
        <v>832</v>
      </c>
      <c r="AD2661" s="4">
        <v>60</v>
      </c>
      <c r="AE2661" s="4">
        <v>90</v>
      </c>
      <c r="AF2661" s="6">
        <v>70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>
        <v>2</v>
      </c>
      <c r="AW2661" s="8">
        <v>62.37</v>
      </c>
      <c r="AX2661" s="4" t="s">
        <v>100</v>
      </c>
      <c r="AY2661" s="8" t="s">
        <v>100</v>
      </c>
      <c r="AZ2661" s="7" t="s">
        <v>100</v>
      </c>
      <c r="BA2661" s="7" t="s">
        <v>100</v>
      </c>
      <c r="BB2661" s="7"/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>
        <v>0.1789</v>
      </c>
      <c r="BJ2661" s="4">
        <v>23</v>
      </c>
      <c r="BK2661" s="8">
        <v>539.87</v>
      </c>
      <c r="BL2661" s="2" t="s">
        <v>935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109</v>
      </c>
      <c r="BV2661" s="2" t="s">
        <v>97</v>
      </c>
      <c r="BW2661" s="2" t="s">
        <v>2115</v>
      </c>
      <c r="BX2661" s="2" t="s">
        <v>4977</v>
      </c>
      <c r="BY2661" s="2" t="s">
        <v>112</v>
      </c>
      <c r="BZ2661" s="2" t="s">
        <v>100</v>
      </c>
    </row>
    <row r="2662">
      <c r="A2662" s="2" t="s">
        <v>9317</v>
      </c>
      <c r="B2662" s="2" t="s">
        <v>9043</v>
      </c>
      <c r="C2662" s="2" t="s">
        <v>88</v>
      </c>
      <c r="D2662" s="2" t="s">
        <v>9044</v>
      </c>
      <c r="E2662" s="2" t="s">
        <v>9045</v>
      </c>
      <c r="F2662" s="2" t="s">
        <v>9303</v>
      </c>
      <c r="G2662" s="2" t="s">
        <v>9303</v>
      </c>
      <c r="H2662" s="2" t="s">
        <v>9303</v>
      </c>
      <c r="I2662" s="2" t="s">
        <v>9304</v>
      </c>
      <c r="J2662" s="2" t="s">
        <v>490</v>
      </c>
      <c r="K2662" s="2" t="s">
        <v>458</v>
      </c>
      <c r="L2662" s="3">
        <v>27</v>
      </c>
      <c r="M2662" s="3">
        <v>28.35</v>
      </c>
      <c r="N2662" s="3">
        <v>59.99</v>
      </c>
      <c r="O2662" s="2" t="s">
        <v>97</v>
      </c>
      <c r="P2662" s="2" t="s">
        <v>98</v>
      </c>
      <c r="Q2662" s="2" t="s">
        <v>99</v>
      </c>
      <c r="R2662" s="2" t="s">
        <v>100</v>
      </c>
      <c r="S2662" s="2" t="s">
        <v>9316</v>
      </c>
      <c r="T2662" s="2" t="s">
        <v>190</v>
      </c>
      <c r="U2662" s="2" t="s">
        <v>1228</v>
      </c>
      <c r="V2662" s="2" t="s">
        <v>461</v>
      </c>
      <c r="W2662" s="2" t="s">
        <v>609</v>
      </c>
      <c r="X2662" s="2" t="s">
        <v>100</v>
      </c>
      <c r="Y2662" s="2" t="s">
        <v>9306</v>
      </c>
      <c r="Z2662" s="4">
        <v>204</v>
      </c>
      <c r="AA2662" s="4">
        <f>=ROUNDDOWN(29.1428571428571,0)</f>
      </c>
      <c r="AB2662" s="5">
        <v>7</v>
      </c>
      <c r="AC2662" s="2" t="s">
        <v>1142</v>
      </c>
      <c r="AD2662" s="4">
        <v>40</v>
      </c>
      <c r="AE2662" s="4">
        <v>40</v>
      </c>
      <c r="AF2662" s="6">
        <v>70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1</v>
      </c>
      <c r="AQ2662" s="8">
        <v>28.35</v>
      </c>
      <c r="AR2662" s="4"/>
      <c r="AS2662" s="8"/>
      <c r="AT2662" s="7"/>
      <c r="AU2662" s="7"/>
      <c r="AV2662" s="4" t="s">
        <v>100</v>
      </c>
      <c r="AW2662" s="8" t="s">
        <v>100</v>
      </c>
      <c r="AX2662" s="4" t="s">
        <v>100</v>
      </c>
      <c r="AY2662" s="8" t="s">
        <v>100</v>
      </c>
      <c r="AZ2662" s="7" t="s">
        <v>100</v>
      </c>
      <c r="BA2662" s="7" t="s">
        <v>100</v>
      </c>
      <c r="BB2662" s="7">
        <v>0.4545</v>
      </c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 t="s">
        <v>100</v>
      </c>
      <c r="BJ2662" s="4">
        <v>18</v>
      </c>
      <c r="BK2662" s="8">
        <v>535.58</v>
      </c>
      <c r="BL2662" s="2" t="s">
        <v>6295</v>
      </c>
      <c r="BM2662" s="7">
        <v>0.0556</v>
      </c>
      <c r="BN2662" s="7">
        <v>0.0529</v>
      </c>
      <c r="BO2662" s="4">
        <v>1</v>
      </c>
      <c r="BP2662" s="8">
        <v>28.35</v>
      </c>
      <c r="BQ2662" s="4"/>
      <c r="BR2662" s="8"/>
      <c r="BS2662" s="7"/>
      <c r="BT2662" s="7"/>
      <c r="BU2662" s="2" t="s">
        <v>109</v>
      </c>
      <c r="BV2662" s="2" t="s">
        <v>97</v>
      </c>
      <c r="BW2662" s="2" t="s">
        <v>2115</v>
      </c>
      <c r="BX2662" s="2" t="s">
        <v>9318</v>
      </c>
      <c r="BY2662" s="2" t="s">
        <v>112</v>
      </c>
      <c r="BZ2662" s="2" t="s">
        <v>100</v>
      </c>
    </row>
    <row r="2663">
      <c r="A2663" s="2" t="s">
        <v>9319</v>
      </c>
      <c r="B2663" s="2" t="s">
        <v>9043</v>
      </c>
      <c r="C2663" s="2" t="s">
        <v>88</v>
      </c>
      <c r="D2663" s="2" t="s">
        <v>9044</v>
      </c>
      <c r="E2663" s="2" t="s">
        <v>9045</v>
      </c>
      <c r="F2663" s="2" t="s">
        <v>9303</v>
      </c>
      <c r="G2663" s="2" t="s">
        <v>9303</v>
      </c>
      <c r="H2663" s="2" t="s">
        <v>9303</v>
      </c>
      <c r="I2663" s="2" t="s">
        <v>9304</v>
      </c>
      <c r="J2663" s="2" t="s">
        <v>95</v>
      </c>
      <c r="K2663" s="2" t="s">
        <v>458</v>
      </c>
      <c r="L2663" s="3">
        <v>29.9</v>
      </c>
      <c r="M2663" s="3">
        <v>31.4</v>
      </c>
      <c r="N2663" s="3">
        <v>64.99</v>
      </c>
      <c r="O2663" s="2" t="s">
        <v>97</v>
      </c>
      <c r="P2663" s="2" t="s">
        <v>98</v>
      </c>
      <c r="Q2663" s="2" t="s">
        <v>99</v>
      </c>
      <c r="R2663" s="2" t="s">
        <v>100</v>
      </c>
      <c r="S2663" s="2" t="s">
        <v>9316</v>
      </c>
      <c r="T2663" s="2" t="s">
        <v>190</v>
      </c>
      <c r="U2663" s="2" t="s">
        <v>1228</v>
      </c>
      <c r="V2663" s="2" t="s">
        <v>461</v>
      </c>
      <c r="W2663" s="2" t="s">
        <v>609</v>
      </c>
      <c r="X2663" s="2" t="s">
        <v>100</v>
      </c>
      <c r="Y2663" s="2" t="s">
        <v>9306</v>
      </c>
      <c r="Z2663" s="4">
        <v>234</v>
      </c>
      <c r="AA2663" s="4">
        <f>=ROUNDDOWN(13,0)</f>
      </c>
      <c r="AB2663" s="5">
        <v>18</v>
      </c>
      <c r="AC2663" s="2" t="s">
        <v>832</v>
      </c>
      <c r="AD2663" s="4">
        <v>140</v>
      </c>
      <c r="AE2663" s="4">
        <v>230</v>
      </c>
      <c r="AF2663" s="6">
        <v>70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 t="s">
        <v>100</v>
      </c>
      <c r="AW2663" s="8" t="s">
        <v>100</v>
      </c>
      <c r="AX2663" s="4" t="s">
        <v>100</v>
      </c>
      <c r="AY2663" s="8" t="s">
        <v>100</v>
      </c>
      <c r="AZ2663" s="7" t="s">
        <v>100</v>
      </c>
      <c r="BA2663" s="7" t="s">
        <v>100</v>
      </c>
      <c r="BB2663" s="7"/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 t="s">
        <v>100</v>
      </c>
      <c r="BJ2663" s="4">
        <v>78</v>
      </c>
      <c r="BK2663" s="8">
        <v>2522.38</v>
      </c>
      <c r="BL2663" s="2" t="s">
        <v>4451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109</v>
      </c>
      <c r="BV2663" s="2" t="s">
        <v>97</v>
      </c>
      <c r="BW2663" s="2" t="s">
        <v>2115</v>
      </c>
      <c r="BX2663" s="2" t="s">
        <v>4899</v>
      </c>
      <c r="BY2663" s="2" t="s">
        <v>112</v>
      </c>
      <c r="BZ2663" s="2" t="s">
        <v>100</v>
      </c>
    </row>
    <row r="2664">
      <c r="A2664" s="2" t="s">
        <v>9320</v>
      </c>
      <c r="B2664" s="2" t="s">
        <v>9043</v>
      </c>
      <c r="C2664" s="2" t="s">
        <v>88</v>
      </c>
      <c r="D2664" s="2" t="s">
        <v>9044</v>
      </c>
      <c r="E2664" s="2" t="s">
        <v>9045</v>
      </c>
      <c r="F2664" s="2" t="s">
        <v>9303</v>
      </c>
      <c r="G2664" s="2" t="s">
        <v>9303</v>
      </c>
      <c r="H2664" s="2" t="s">
        <v>9303</v>
      </c>
      <c r="I2664" s="2" t="s">
        <v>9304</v>
      </c>
      <c r="J2664" s="2" t="s">
        <v>114</v>
      </c>
      <c r="K2664" s="2" t="s">
        <v>458</v>
      </c>
      <c r="L2664" s="3">
        <v>32.2</v>
      </c>
      <c r="M2664" s="3">
        <v>33.81</v>
      </c>
      <c r="N2664" s="3">
        <v>69.99</v>
      </c>
      <c r="O2664" s="2" t="s">
        <v>97</v>
      </c>
      <c r="P2664" s="2" t="s">
        <v>98</v>
      </c>
      <c r="Q2664" s="2" t="s">
        <v>99</v>
      </c>
      <c r="R2664" s="2" t="s">
        <v>100</v>
      </c>
      <c r="S2664" s="2" t="s">
        <v>9316</v>
      </c>
      <c r="T2664" s="2" t="s">
        <v>190</v>
      </c>
      <c r="U2664" s="2" t="s">
        <v>1228</v>
      </c>
      <c r="V2664" s="2" t="s">
        <v>461</v>
      </c>
      <c r="W2664" s="2" t="s">
        <v>609</v>
      </c>
      <c r="X2664" s="2" t="s">
        <v>100</v>
      </c>
      <c r="Y2664" s="2" t="s">
        <v>9306</v>
      </c>
      <c r="Z2664" s="4">
        <v>290</v>
      </c>
      <c r="AA2664" s="4">
        <f>=ROUNDDOWN(22.3076923076923,0)</f>
      </c>
      <c r="AB2664" s="5">
        <v>13</v>
      </c>
      <c r="AC2664" s="2" t="s">
        <v>832</v>
      </c>
      <c r="AD2664" s="4">
        <v>100</v>
      </c>
      <c r="AE2664" s="4">
        <v>170</v>
      </c>
      <c r="AF2664" s="6">
        <v>70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 t="s">
        <v>100</v>
      </c>
      <c r="AW2664" s="8" t="s">
        <v>100</v>
      </c>
      <c r="AX2664" s="4" t="s">
        <v>100</v>
      </c>
      <c r="AY2664" s="8" t="s">
        <v>100</v>
      </c>
      <c r="AZ2664" s="7" t="s">
        <v>100</v>
      </c>
      <c r="BA2664" s="7" t="s">
        <v>100</v>
      </c>
      <c r="BB2664" s="7"/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 t="s">
        <v>100</v>
      </c>
      <c r="BJ2664" s="4">
        <v>49</v>
      </c>
      <c r="BK2664" s="8">
        <v>1763.83</v>
      </c>
      <c r="BL2664" s="2" t="s">
        <v>4165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109</v>
      </c>
      <c r="BV2664" s="2" t="s">
        <v>97</v>
      </c>
      <c r="BW2664" s="2" t="s">
        <v>2115</v>
      </c>
      <c r="BX2664" s="2" t="s">
        <v>2169</v>
      </c>
      <c r="BY2664" s="2" t="s">
        <v>112</v>
      </c>
      <c r="BZ2664" s="2" t="s">
        <v>100</v>
      </c>
    </row>
    <row r="2665">
      <c r="A2665" s="2" t="s">
        <v>9321</v>
      </c>
      <c r="B2665" s="2" t="s">
        <v>9043</v>
      </c>
      <c r="C2665" s="2" t="s">
        <v>88</v>
      </c>
      <c r="D2665" s="2" t="s">
        <v>9044</v>
      </c>
      <c r="E2665" s="2" t="s">
        <v>9045</v>
      </c>
      <c r="F2665" s="2" t="s">
        <v>9303</v>
      </c>
      <c r="G2665" s="2" t="s">
        <v>9303</v>
      </c>
      <c r="H2665" s="2" t="s">
        <v>9303</v>
      </c>
      <c r="I2665" s="2" t="s">
        <v>9304</v>
      </c>
      <c r="J2665" s="2" t="s">
        <v>118</v>
      </c>
      <c r="K2665" s="2" t="s">
        <v>458</v>
      </c>
      <c r="L2665" s="3">
        <v>32.2</v>
      </c>
      <c r="M2665" s="3">
        <v>33.81</v>
      </c>
      <c r="N2665" s="3">
        <v>69.99</v>
      </c>
      <c r="O2665" s="2" t="s">
        <v>97</v>
      </c>
      <c r="P2665" s="2" t="s">
        <v>98</v>
      </c>
      <c r="Q2665" s="2" t="s">
        <v>99</v>
      </c>
      <c r="R2665" s="2" t="s">
        <v>100</v>
      </c>
      <c r="S2665" s="2" t="s">
        <v>9316</v>
      </c>
      <c r="T2665" s="2" t="s">
        <v>190</v>
      </c>
      <c r="U2665" s="2" t="s">
        <v>1228</v>
      </c>
      <c r="V2665" s="2" t="s">
        <v>461</v>
      </c>
      <c r="W2665" s="2" t="s">
        <v>609</v>
      </c>
      <c r="X2665" s="2" t="s">
        <v>100</v>
      </c>
      <c r="Y2665" s="2" t="s">
        <v>9306</v>
      </c>
      <c r="Z2665" s="4">
        <v>86</v>
      </c>
      <c r="AA2665" s="4">
        <f>=ROUNDDOWN(17.2,0)</f>
      </c>
      <c r="AB2665" s="5">
        <v>5</v>
      </c>
      <c r="AC2665" s="2" t="s">
        <v>1142</v>
      </c>
      <c r="AD2665" s="4">
        <v>70</v>
      </c>
      <c r="AE2665" s="4">
        <v>70</v>
      </c>
      <c r="AF2665" s="6">
        <v>70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1</v>
      </c>
      <c r="AQ2665" s="8">
        <v>34.02</v>
      </c>
      <c r="AR2665" s="4"/>
      <c r="AS2665" s="8"/>
      <c r="AT2665" s="7"/>
      <c r="AU2665" s="7"/>
      <c r="AV2665" s="4" t="s">
        <v>100</v>
      </c>
      <c r="AW2665" s="8" t="s">
        <v>100</v>
      </c>
      <c r="AX2665" s="4" t="s">
        <v>100</v>
      </c>
      <c r="AY2665" s="8" t="s">
        <v>100</v>
      </c>
      <c r="AZ2665" s="7" t="s">
        <v>100</v>
      </c>
      <c r="BA2665" s="7" t="s">
        <v>100</v>
      </c>
      <c r="BB2665" s="7">
        <v>0.5455</v>
      </c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 t="s">
        <v>100</v>
      </c>
      <c r="BJ2665" s="4">
        <v>24</v>
      </c>
      <c r="BK2665" s="8">
        <v>838.89</v>
      </c>
      <c r="BL2665" s="2" t="s">
        <v>9322</v>
      </c>
      <c r="BM2665" s="7">
        <v>0.0417</v>
      </c>
      <c r="BN2665" s="7">
        <v>0.0406</v>
      </c>
      <c r="BO2665" s="4">
        <v>1</v>
      </c>
      <c r="BP2665" s="8">
        <v>34.02</v>
      </c>
      <c r="BQ2665" s="4"/>
      <c r="BR2665" s="8"/>
      <c r="BS2665" s="7"/>
      <c r="BT2665" s="7"/>
      <c r="BU2665" s="2" t="s">
        <v>109</v>
      </c>
      <c r="BV2665" s="2" t="s">
        <v>97</v>
      </c>
      <c r="BW2665" s="2" t="s">
        <v>2115</v>
      </c>
      <c r="BX2665" s="2" t="s">
        <v>837</v>
      </c>
      <c r="BY2665" s="2" t="s">
        <v>112</v>
      </c>
      <c r="BZ2665" s="2" t="s">
        <v>100</v>
      </c>
    </row>
    <row r="2666">
      <c r="A2666" s="2" t="s">
        <v>9323</v>
      </c>
      <c r="B2666" s="2" t="s">
        <v>9043</v>
      </c>
      <c r="C2666" s="2" t="s">
        <v>88</v>
      </c>
      <c r="D2666" s="2" t="s">
        <v>9044</v>
      </c>
      <c r="E2666" s="2" t="s">
        <v>9045</v>
      </c>
      <c r="F2666" s="2" t="s">
        <v>9303</v>
      </c>
      <c r="G2666" s="2" t="s">
        <v>9303</v>
      </c>
      <c r="H2666" s="2" t="s">
        <v>9303</v>
      </c>
      <c r="I2666" s="2" t="s">
        <v>9304</v>
      </c>
      <c r="J2666" s="2" t="s">
        <v>1443</v>
      </c>
      <c r="K2666" s="2" t="s">
        <v>471</v>
      </c>
      <c r="L2666" s="3">
        <v>21.6</v>
      </c>
      <c r="M2666" s="3">
        <v>22.68</v>
      </c>
      <c r="N2666" s="3">
        <v>47.99</v>
      </c>
      <c r="O2666" s="2" t="s">
        <v>97</v>
      </c>
      <c r="P2666" s="2" t="s">
        <v>98</v>
      </c>
      <c r="Q2666" s="2" t="s">
        <v>99</v>
      </c>
      <c r="R2666" s="2" t="s">
        <v>100</v>
      </c>
      <c r="S2666" s="2" t="s">
        <v>9324</v>
      </c>
      <c r="T2666" s="2" t="s">
        <v>190</v>
      </c>
      <c r="U2666" s="2" t="s">
        <v>901</v>
      </c>
      <c r="V2666" s="2" t="s">
        <v>461</v>
      </c>
      <c r="W2666" s="2" t="s">
        <v>609</v>
      </c>
      <c r="X2666" s="2" t="s">
        <v>100</v>
      </c>
      <c r="Y2666" s="2" t="s">
        <v>9306</v>
      </c>
      <c r="Z2666" s="4">
        <v>44</v>
      </c>
      <c r="AA2666" s="4">
        <f>=ROUNDDOWN(11,0)</f>
      </c>
      <c r="AB2666" s="5">
        <v>4</v>
      </c>
      <c r="AC2666" s="2" t="s">
        <v>832</v>
      </c>
      <c r="AD2666" s="4">
        <v>30</v>
      </c>
      <c r="AE2666" s="4">
        <v>110</v>
      </c>
      <c r="AF2666" s="6">
        <v>70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>
        <v>2</v>
      </c>
      <c r="AW2666" s="8">
        <v>59.54</v>
      </c>
      <c r="AX2666" s="4" t="s">
        <v>100</v>
      </c>
      <c r="AY2666" s="8" t="s">
        <v>100</v>
      </c>
      <c r="AZ2666" s="7" t="s">
        <v>100</v>
      </c>
      <c r="BA2666" s="7" t="s">
        <v>100</v>
      </c>
      <c r="BB2666" s="7"/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>
        <v>0.1707</v>
      </c>
      <c r="BJ2666" s="4">
        <v>9</v>
      </c>
      <c r="BK2666" s="8">
        <v>219.96</v>
      </c>
      <c r="BL2666" s="2" t="s">
        <v>1625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2168</v>
      </c>
      <c r="BX2666" s="2" t="s">
        <v>9325</v>
      </c>
      <c r="BY2666" s="2" t="s">
        <v>112</v>
      </c>
      <c r="BZ2666" s="2" t="s">
        <v>100</v>
      </c>
    </row>
    <row r="2667">
      <c r="A2667" s="2" t="s">
        <v>9326</v>
      </c>
      <c r="B2667" s="2" t="s">
        <v>9043</v>
      </c>
      <c r="C2667" s="2" t="s">
        <v>88</v>
      </c>
      <c r="D2667" s="2" t="s">
        <v>9044</v>
      </c>
      <c r="E2667" s="2" t="s">
        <v>9045</v>
      </c>
      <c r="F2667" s="2" t="s">
        <v>9303</v>
      </c>
      <c r="G2667" s="2" t="s">
        <v>9303</v>
      </c>
      <c r="H2667" s="2" t="s">
        <v>9303</v>
      </c>
      <c r="I2667" s="2" t="s">
        <v>9304</v>
      </c>
      <c r="J2667" s="2" t="s">
        <v>490</v>
      </c>
      <c r="K2667" s="2" t="s">
        <v>471</v>
      </c>
      <c r="L2667" s="3">
        <v>27</v>
      </c>
      <c r="M2667" s="3">
        <v>28.35</v>
      </c>
      <c r="N2667" s="3">
        <v>59.99</v>
      </c>
      <c r="O2667" s="2" t="s">
        <v>97</v>
      </c>
      <c r="P2667" s="2" t="s">
        <v>98</v>
      </c>
      <c r="Q2667" s="2" t="s">
        <v>99</v>
      </c>
      <c r="R2667" s="2" t="s">
        <v>100</v>
      </c>
      <c r="S2667" s="2" t="s">
        <v>9324</v>
      </c>
      <c r="T2667" s="2" t="s">
        <v>190</v>
      </c>
      <c r="U2667" s="2" t="s">
        <v>1228</v>
      </c>
      <c r="V2667" s="2" t="s">
        <v>461</v>
      </c>
      <c r="W2667" s="2" t="s">
        <v>609</v>
      </c>
      <c r="X2667" s="2" t="s">
        <v>100</v>
      </c>
      <c r="Y2667" s="2" t="s">
        <v>9306</v>
      </c>
      <c r="Z2667" s="4">
        <v>81</v>
      </c>
      <c r="AA2667" s="4">
        <f>=ROUNDDOWN(27,0)</f>
      </c>
      <c r="AB2667" s="5">
        <v>3</v>
      </c>
      <c r="AC2667" s="2" t="s">
        <v>1142</v>
      </c>
      <c r="AD2667" s="4">
        <v>50</v>
      </c>
      <c r="AE2667" s="4">
        <v>50</v>
      </c>
      <c r="AF2667" s="6">
        <v>70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1</v>
      </c>
      <c r="AQ2667" s="8">
        <v>28.35</v>
      </c>
      <c r="AR2667" s="4"/>
      <c r="AS2667" s="8"/>
      <c r="AT2667" s="7"/>
      <c r="AU2667" s="7"/>
      <c r="AV2667" s="4" t="s">
        <v>100</v>
      </c>
      <c r="AW2667" s="8" t="s">
        <v>100</v>
      </c>
      <c r="AX2667" s="4" t="s">
        <v>100</v>
      </c>
      <c r="AY2667" s="8" t="s">
        <v>100</v>
      </c>
      <c r="AZ2667" s="7" t="s">
        <v>100</v>
      </c>
      <c r="BA2667" s="7" t="s">
        <v>100</v>
      </c>
      <c r="BB2667" s="7">
        <v>0.4762</v>
      </c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 t="s">
        <v>100</v>
      </c>
      <c r="BJ2667" s="4">
        <v>11</v>
      </c>
      <c r="BK2667" s="8">
        <v>312.71</v>
      </c>
      <c r="BL2667" s="2" t="s">
        <v>9327</v>
      </c>
      <c r="BM2667" s="7">
        <v>0.0909</v>
      </c>
      <c r="BN2667" s="7">
        <v>0.0907</v>
      </c>
      <c r="BO2667" s="4">
        <v>1</v>
      </c>
      <c r="BP2667" s="8">
        <v>28.35</v>
      </c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2115</v>
      </c>
      <c r="BX2667" s="2" t="s">
        <v>9318</v>
      </c>
      <c r="BY2667" s="2" t="s">
        <v>112</v>
      </c>
      <c r="BZ2667" s="2" t="s">
        <v>100</v>
      </c>
    </row>
    <row r="2668">
      <c r="A2668" s="2" t="s">
        <v>9328</v>
      </c>
      <c r="B2668" s="2" t="s">
        <v>9043</v>
      </c>
      <c r="C2668" s="2" t="s">
        <v>88</v>
      </c>
      <c r="D2668" s="2" t="s">
        <v>9044</v>
      </c>
      <c r="E2668" s="2" t="s">
        <v>9045</v>
      </c>
      <c r="F2668" s="2" t="s">
        <v>9303</v>
      </c>
      <c r="G2668" s="2" t="s">
        <v>9303</v>
      </c>
      <c r="H2668" s="2" t="s">
        <v>9303</v>
      </c>
      <c r="I2668" s="2" t="s">
        <v>9304</v>
      </c>
      <c r="J2668" s="2" t="s">
        <v>95</v>
      </c>
      <c r="K2668" s="2" t="s">
        <v>471</v>
      </c>
      <c r="L2668" s="3">
        <v>29.9</v>
      </c>
      <c r="M2668" s="3">
        <v>31.4</v>
      </c>
      <c r="N2668" s="3">
        <v>64.99</v>
      </c>
      <c r="O2668" s="2" t="s">
        <v>97</v>
      </c>
      <c r="P2668" s="2" t="s">
        <v>98</v>
      </c>
      <c r="Q2668" s="2" t="s">
        <v>99</v>
      </c>
      <c r="R2668" s="2" t="s">
        <v>100</v>
      </c>
      <c r="S2668" s="2" t="s">
        <v>9324</v>
      </c>
      <c r="T2668" s="2" t="s">
        <v>190</v>
      </c>
      <c r="U2668" s="2" t="s">
        <v>1228</v>
      </c>
      <c r="V2668" s="2" t="s">
        <v>461</v>
      </c>
      <c r="W2668" s="2" t="s">
        <v>609</v>
      </c>
      <c r="X2668" s="2" t="s">
        <v>100</v>
      </c>
      <c r="Y2668" s="2" t="s">
        <v>9306</v>
      </c>
      <c r="Z2668" s="4">
        <v>141</v>
      </c>
      <c r="AA2668" s="4">
        <f>=ROUNDDOWN(15.6666666666667,0)</f>
      </c>
      <c r="AB2668" s="5">
        <v>9</v>
      </c>
      <c r="AC2668" s="2" t="s">
        <v>832</v>
      </c>
      <c r="AD2668" s="4">
        <v>90</v>
      </c>
      <c r="AE2668" s="4">
        <v>180</v>
      </c>
      <c r="AF2668" s="6">
        <v>70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1</v>
      </c>
      <c r="AQ2668" s="8">
        <v>31.19</v>
      </c>
      <c r="AR2668" s="4"/>
      <c r="AS2668" s="8"/>
      <c r="AT2668" s="7"/>
      <c r="AU2668" s="7"/>
      <c r="AV2668" s="4" t="s">
        <v>100</v>
      </c>
      <c r="AW2668" s="8" t="s">
        <v>100</v>
      </c>
      <c r="AX2668" s="4" t="s">
        <v>100</v>
      </c>
      <c r="AY2668" s="8" t="s">
        <v>100</v>
      </c>
      <c r="AZ2668" s="7" t="s">
        <v>100</v>
      </c>
      <c r="BA2668" s="7" t="s">
        <v>100</v>
      </c>
      <c r="BB2668" s="7">
        <v>0.5238</v>
      </c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 t="s">
        <v>100</v>
      </c>
      <c r="BJ2668" s="4">
        <v>27</v>
      </c>
      <c r="BK2668" s="8">
        <v>865.87</v>
      </c>
      <c r="BL2668" s="2" t="s">
        <v>9329</v>
      </c>
      <c r="BM2668" s="7">
        <v>0.037</v>
      </c>
      <c r="BN2668" s="7">
        <v>0.036</v>
      </c>
      <c r="BO2668" s="4">
        <v>1</v>
      </c>
      <c r="BP2668" s="8">
        <v>31.19</v>
      </c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2115</v>
      </c>
      <c r="BX2668" s="2" t="s">
        <v>5475</v>
      </c>
      <c r="BY2668" s="2" t="s">
        <v>112</v>
      </c>
      <c r="BZ2668" s="2" t="s">
        <v>100</v>
      </c>
    </row>
    <row r="2669">
      <c r="A2669" s="2" t="s">
        <v>9330</v>
      </c>
      <c r="B2669" s="2" t="s">
        <v>9043</v>
      </c>
      <c r="C2669" s="2" t="s">
        <v>88</v>
      </c>
      <c r="D2669" s="2" t="s">
        <v>9044</v>
      </c>
      <c r="E2669" s="2" t="s">
        <v>9045</v>
      </c>
      <c r="F2669" s="2" t="s">
        <v>9303</v>
      </c>
      <c r="G2669" s="2" t="s">
        <v>9303</v>
      </c>
      <c r="H2669" s="2" t="s">
        <v>9303</v>
      </c>
      <c r="I2669" s="2" t="s">
        <v>9304</v>
      </c>
      <c r="J2669" s="2" t="s">
        <v>114</v>
      </c>
      <c r="K2669" s="2" t="s">
        <v>471</v>
      </c>
      <c r="L2669" s="3">
        <v>32.2</v>
      </c>
      <c r="M2669" s="3">
        <v>33.81</v>
      </c>
      <c r="N2669" s="3">
        <v>69.99</v>
      </c>
      <c r="O2669" s="2" t="s">
        <v>97</v>
      </c>
      <c r="P2669" s="2" t="s">
        <v>98</v>
      </c>
      <c r="Q2669" s="2" t="s">
        <v>99</v>
      </c>
      <c r="R2669" s="2" t="s">
        <v>100</v>
      </c>
      <c r="S2669" s="2" t="s">
        <v>9324</v>
      </c>
      <c r="T2669" s="2" t="s">
        <v>190</v>
      </c>
      <c r="U2669" s="2" t="s">
        <v>1228</v>
      </c>
      <c r="V2669" s="2" t="s">
        <v>461</v>
      </c>
      <c r="W2669" s="2" t="s">
        <v>609</v>
      </c>
      <c r="X2669" s="2" t="s">
        <v>100</v>
      </c>
      <c r="Y2669" s="2" t="s">
        <v>9306</v>
      </c>
      <c r="Z2669" s="4">
        <v>97</v>
      </c>
      <c r="AA2669" s="4">
        <f>=ROUNDDOWN(16.1666666666667,0)</f>
      </c>
      <c r="AB2669" s="5">
        <v>6</v>
      </c>
      <c r="AC2669" s="2" t="s">
        <v>832</v>
      </c>
      <c r="AD2669" s="4">
        <v>70</v>
      </c>
      <c r="AE2669" s="4">
        <v>130</v>
      </c>
      <c r="AF2669" s="6">
        <v>70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 t="s">
        <v>100</v>
      </c>
      <c r="AW2669" s="8" t="s">
        <v>100</v>
      </c>
      <c r="AX2669" s="4" t="s">
        <v>100</v>
      </c>
      <c r="AY2669" s="8" t="s">
        <v>100</v>
      </c>
      <c r="AZ2669" s="7" t="s">
        <v>100</v>
      </c>
      <c r="BA2669" s="7" t="s">
        <v>100</v>
      </c>
      <c r="BB2669" s="7"/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 t="s">
        <v>100</v>
      </c>
      <c r="BJ2669" s="4">
        <v>18</v>
      </c>
      <c r="BK2669" s="8">
        <v>637.67</v>
      </c>
      <c r="BL2669" s="2" t="s">
        <v>4262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2115</v>
      </c>
      <c r="BX2669" s="2" t="s">
        <v>2280</v>
      </c>
      <c r="BY2669" s="2" t="s">
        <v>112</v>
      </c>
      <c r="BZ2669" s="2" t="s">
        <v>100</v>
      </c>
    </row>
    <row r="2670">
      <c r="A2670" s="2" t="s">
        <v>9331</v>
      </c>
      <c r="B2670" s="2" t="s">
        <v>9043</v>
      </c>
      <c r="C2670" s="2" t="s">
        <v>88</v>
      </c>
      <c r="D2670" s="2" t="s">
        <v>9044</v>
      </c>
      <c r="E2670" s="2" t="s">
        <v>9045</v>
      </c>
      <c r="F2670" s="2" t="s">
        <v>9303</v>
      </c>
      <c r="G2670" s="2" t="s">
        <v>9303</v>
      </c>
      <c r="H2670" s="2" t="s">
        <v>9303</v>
      </c>
      <c r="I2670" s="2" t="s">
        <v>9304</v>
      </c>
      <c r="J2670" s="2" t="s">
        <v>118</v>
      </c>
      <c r="K2670" s="2" t="s">
        <v>471</v>
      </c>
      <c r="L2670" s="3">
        <v>32.2</v>
      </c>
      <c r="M2670" s="3">
        <v>33.81</v>
      </c>
      <c r="N2670" s="3">
        <v>69.99</v>
      </c>
      <c r="O2670" s="2" t="s">
        <v>97</v>
      </c>
      <c r="P2670" s="2" t="s">
        <v>98</v>
      </c>
      <c r="Q2670" s="2" t="s">
        <v>99</v>
      </c>
      <c r="R2670" s="2" t="s">
        <v>100</v>
      </c>
      <c r="S2670" s="2" t="s">
        <v>9324</v>
      </c>
      <c r="T2670" s="2" t="s">
        <v>190</v>
      </c>
      <c r="U2670" s="2" t="s">
        <v>1228</v>
      </c>
      <c r="V2670" s="2" t="s">
        <v>461</v>
      </c>
      <c r="W2670" s="2" t="s">
        <v>609</v>
      </c>
      <c r="X2670" s="2" t="s">
        <v>100</v>
      </c>
      <c r="Y2670" s="2" t="s">
        <v>9306</v>
      </c>
      <c r="Z2670" s="4">
        <v>24</v>
      </c>
      <c r="AA2670" s="4">
        <f>=ROUNDDOWN(12,0)</f>
      </c>
      <c r="AB2670" s="5">
        <v>2</v>
      </c>
      <c r="AC2670" s="2" t="s">
        <v>832</v>
      </c>
      <c r="AD2670" s="4">
        <v>20</v>
      </c>
      <c r="AE2670" s="4">
        <v>40</v>
      </c>
      <c r="AF2670" s="6">
        <v>70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 t="s">
        <v>100</v>
      </c>
      <c r="AW2670" s="8" t="s">
        <v>100</v>
      </c>
      <c r="AX2670" s="4" t="s">
        <v>100</v>
      </c>
      <c r="AY2670" s="8" t="s">
        <v>100</v>
      </c>
      <c r="AZ2670" s="7" t="s">
        <v>100</v>
      </c>
      <c r="BA2670" s="7" t="s">
        <v>100</v>
      </c>
      <c r="BB2670" s="7"/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 t="s">
        <v>100</v>
      </c>
      <c r="BJ2670" s="4">
        <v>5</v>
      </c>
      <c r="BK2670" s="8">
        <v>178.46</v>
      </c>
      <c r="BL2670" s="2" t="s">
        <v>4412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2115</v>
      </c>
      <c r="BX2670" s="2" t="s">
        <v>2297</v>
      </c>
      <c r="BY2670" s="2" t="s">
        <v>112</v>
      </c>
      <c r="BZ2670" s="2" t="s">
        <v>100</v>
      </c>
    </row>
    <row r="2671">
      <c r="A2671" s="2" t="s">
        <v>9332</v>
      </c>
      <c r="B2671" s="2" t="s">
        <v>9043</v>
      </c>
      <c r="C2671" s="2" t="s">
        <v>88</v>
      </c>
      <c r="D2671" s="2" t="s">
        <v>9044</v>
      </c>
      <c r="E2671" s="2" t="s">
        <v>9045</v>
      </c>
      <c r="F2671" s="2" t="s">
        <v>9303</v>
      </c>
      <c r="G2671" s="2" t="s">
        <v>9303</v>
      </c>
      <c r="H2671" s="2" t="s">
        <v>9303</v>
      </c>
      <c r="I2671" s="2" t="s">
        <v>9304</v>
      </c>
      <c r="J2671" s="2" t="s">
        <v>1443</v>
      </c>
      <c r="K2671" s="2" t="s">
        <v>842</v>
      </c>
      <c r="L2671" s="3">
        <v>21.6</v>
      </c>
      <c r="M2671" s="3">
        <v>22.68</v>
      </c>
      <c r="N2671" s="3">
        <v>47.99</v>
      </c>
      <c r="O2671" s="2" t="s">
        <v>97</v>
      </c>
      <c r="P2671" s="2" t="s">
        <v>98</v>
      </c>
      <c r="Q2671" s="2" t="s">
        <v>99</v>
      </c>
      <c r="R2671" s="2" t="s">
        <v>100</v>
      </c>
      <c r="S2671" s="2" t="s">
        <v>9333</v>
      </c>
      <c r="T2671" s="2" t="s">
        <v>190</v>
      </c>
      <c r="U2671" s="2" t="s">
        <v>901</v>
      </c>
      <c r="V2671" s="2" t="s">
        <v>461</v>
      </c>
      <c r="W2671" s="2" t="s">
        <v>609</v>
      </c>
      <c r="X2671" s="2" t="s">
        <v>100</v>
      </c>
      <c r="Y2671" s="2" t="s">
        <v>9306</v>
      </c>
      <c r="Z2671" s="4">
        <v>60</v>
      </c>
      <c r="AA2671" s="4">
        <f>=ROUNDDOWN(20,0)</f>
      </c>
      <c r="AB2671" s="5">
        <v>3</v>
      </c>
      <c r="AC2671" s="2" t="s">
        <v>100</v>
      </c>
      <c r="AD2671" s="4"/>
      <c r="AE2671" s="4"/>
      <c r="AF2671" s="6">
        <v>70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>
        <v>1</v>
      </c>
      <c r="AW2671" s="8">
        <v>34.02</v>
      </c>
      <c r="AX2671" s="4" t="s">
        <v>100</v>
      </c>
      <c r="AY2671" s="8" t="s">
        <v>100</v>
      </c>
      <c r="AZ2671" s="7" t="s">
        <v>100</v>
      </c>
      <c r="BA2671" s="7" t="s">
        <v>100</v>
      </c>
      <c r="BB2671" s="7"/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>
        <v>0.0976</v>
      </c>
      <c r="BJ2671" s="4">
        <v>8</v>
      </c>
      <c r="BK2671" s="8">
        <v>189.85</v>
      </c>
      <c r="BL2671" s="2" t="s">
        <v>9334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2115</v>
      </c>
      <c r="BX2671" s="2" t="s">
        <v>2283</v>
      </c>
      <c r="BY2671" s="2" t="s">
        <v>112</v>
      </c>
      <c r="BZ2671" s="2" t="s">
        <v>100</v>
      </c>
    </row>
    <row r="2672">
      <c r="A2672" s="2" t="s">
        <v>9335</v>
      </c>
      <c r="B2672" s="2" t="s">
        <v>9043</v>
      </c>
      <c r="C2672" s="2" t="s">
        <v>88</v>
      </c>
      <c r="D2672" s="2" t="s">
        <v>9044</v>
      </c>
      <c r="E2672" s="2" t="s">
        <v>9045</v>
      </c>
      <c r="F2672" s="2" t="s">
        <v>9303</v>
      </c>
      <c r="G2672" s="2" t="s">
        <v>9303</v>
      </c>
      <c r="H2672" s="2" t="s">
        <v>9303</v>
      </c>
      <c r="I2672" s="2" t="s">
        <v>9304</v>
      </c>
      <c r="J2672" s="2" t="s">
        <v>490</v>
      </c>
      <c r="K2672" s="2" t="s">
        <v>842</v>
      </c>
      <c r="L2672" s="3">
        <v>27</v>
      </c>
      <c r="M2672" s="3">
        <v>28.35</v>
      </c>
      <c r="N2672" s="3">
        <v>59.99</v>
      </c>
      <c r="O2672" s="2" t="s">
        <v>97</v>
      </c>
      <c r="P2672" s="2" t="s">
        <v>98</v>
      </c>
      <c r="Q2672" s="2" t="s">
        <v>99</v>
      </c>
      <c r="R2672" s="2" t="s">
        <v>100</v>
      </c>
      <c r="S2672" s="2" t="s">
        <v>9333</v>
      </c>
      <c r="T2672" s="2" t="s">
        <v>190</v>
      </c>
      <c r="U2672" s="2" t="s">
        <v>1228</v>
      </c>
      <c r="V2672" s="2" t="s">
        <v>461</v>
      </c>
      <c r="W2672" s="2" t="s">
        <v>609</v>
      </c>
      <c r="X2672" s="2" t="s">
        <v>100</v>
      </c>
      <c r="Y2672" s="2" t="s">
        <v>9306</v>
      </c>
      <c r="Z2672" s="4">
        <v>106</v>
      </c>
      <c r="AA2672" s="4">
        <f>=ROUNDDOWN(35.3333333333333,0)</f>
      </c>
      <c r="AB2672" s="5">
        <v>3</v>
      </c>
      <c r="AC2672" s="2" t="s">
        <v>990</v>
      </c>
      <c r="AD2672" s="4">
        <v>60</v>
      </c>
      <c r="AE2672" s="4">
        <v>60</v>
      </c>
      <c r="AF2672" s="6">
        <v>70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 t="s">
        <v>100</v>
      </c>
      <c r="AW2672" s="8" t="s">
        <v>100</v>
      </c>
      <c r="AX2672" s="4" t="s">
        <v>100</v>
      </c>
      <c r="AY2672" s="8" t="s">
        <v>100</v>
      </c>
      <c r="AZ2672" s="7" t="s">
        <v>100</v>
      </c>
      <c r="BA2672" s="7" t="s">
        <v>100</v>
      </c>
      <c r="BB2672" s="7"/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 t="s">
        <v>100</v>
      </c>
      <c r="BJ2672" s="4">
        <v>6</v>
      </c>
      <c r="BK2672" s="8">
        <v>171.56</v>
      </c>
      <c r="BL2672" s="2" t="s">
        <v>9336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2115</v>
      </c>
      <c r="BX2672" s="2" t="s">
        <v>837</v>
      </c>
      <c r="BY2672" s="2" t="s">
        <v>112</v>
      </c>
      <c r="BZ2672" s="2" t="s">
        <v>100</v>
      </c>
    </row>
    <row r="2673">
      <c r="A2673" s="2" t="s">
        <v>9337</v>
      </c>
      <c r="B2673" s="2" t="s">
        <v>9043</v>
      </c>
      <c r="C2673" s="2" t="s">
        <v>88</v>
      </c>
      <c r="D2673" s="2" t="s">
        <v>9044</v>
      </c>
      <c r="E2673" s="2" t="s">
        <v>9045</v>
      </c>
      <c r="F2673" s="2" t="s">
        <v>9303</v>
      </c>
      <c r="G2673" s="2" t="s">
        <v>9303</v>
      </c>
      <c r="H2673" s="2" t="s">
        <v>9303</v>
      </c>
      <c r="I2673" s="2" t="s">
        <v>9304</v>
      </c>
      <c r="J2673" s="2" t="s">
        <v>95</v>
      </c>
      <c r="K2673" s="2" t="s">
        <v>842</v>
      </c>
      <c r="L2673" s="3">
        <v>29.9</v>
      </c>
      <c r="M2673" s="3">
        <v>31.4</v>
      </c>
      <c r="N2673" s="3">
        <v>64.99</v>
      </c>
      <c r="O2673" s="2" t="s">
        <v>97</v>
      </c>
      <c r="P2673" s="2" t="s">
        <v>98</v>
      </c>
      <c r="Q2673" s="2" t="s">
        <v>99</v>
      </c>
      <c r="R2673" s="2" t="s">
        <v>100</v>
      </c>
      <c r="S2673" s="2" t="s">
        <v>9333</v>
      </c>
      <c r="T2673" s="2" t="s">
        <v>190</v>
      </c>
      <c r="U2673" s="2" t="s">
        <v>1228</v>
      </c>
      <c r="V2673" s="2" t="s">
        <v>461</v>
      </c>
      <c r="W2673" s="2" t="s">
        <v>609</v>
      </c>
      <c r="X2673" s="2" t="s">
        <v>100</v>
      </c>
      <c r="Y2673" s="2" t="s">
        <v>9306</v>
      </c>
      <c r="Z2673" s="4">
        <v>223</v>
      </c>
      <c r="AA2673" s="4">
        <f>=ROUNDDOWN(24.7777777777778,0)</f>
      </c>
      <c r="AB2673" s="5">
        <v>9</v>
      </c>
      <c r="AC2673" s="2" t="s">
        <v>990</v>
      </c>
      <c r="AD2673" s="4">
        <v>110</v>
      </c>
      <c r="AE2673" s="4">
        <v>110</v>
      </c>
      <c r="AF2673" s="6">
        <v>70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 t="s">
        <v>100</v>
      </c>
      <c r="AW2673" s="8" t="s">
        <v>100</v>
      </c>
      <c r="AX2673" s="4" t="s">
        <v>100</v>
      </c>
      <c r="AY2673" s="8" t="s">
        <v>100</v>
      </c>
      <c r="AZ2673" s="7" t="s">
        <v>100</v>
      </c>
      <c r="BA2673" s="7" t="s">
        <v>100</v>
      </c>
      <c r="BB2673" s="7"/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 t="s">
        <v>100</v>
      </c>
      <c r="BJ2673" s="4">
        <v>29</v>
      </c>
      <c r="BK2673" s="8">
        <v>913.2</v>
      </c>
      <c r="BL2673" s="2" t="s">
        <v>9338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109</v>
      </c>
      <c r="BV2673" s="2" t="s">
        <v>97</v>
      </c>
      <c r="BW2673" s="2" t="s">
        <v>2115</v>
      </c>
      <c r="BX2673" s="2" t="s">
        <v>2134</v>
      </c>
      <c r="BY2673" s="2" t="s">
        <v>112</v>
      </c>
      <c r="BZ2673" s="2" t="s">
        <v>100</v>
      </c>
    </row>
    <row r="2674">
      <c r="A2674" s="2" t="s">
        <v>9339</v>
      </c>
      <c r="B2674" s="2" t="s">
        <v>9043</v>
      </c>
      <c r="C2674" s="2" t="s">
        <v>88</v>
      </c>
      <c r="D2674" s="2" t="s">
        <v>9044</v>
      </c>
      <c r="E2674" s="2" t="s">
        <v>9045</v>
      </c>
      <c r="F2674" s="2" t="s">
        <v>9303</v>
      </c>
      <c r="G2674" s="2" t="s">
        <v>9303</v>
      </c>
      <c r="H2674" s="2" t="s">
        <v>9303</v>
      </c>
      <c r="I2674" s="2" t="s">
        <v>9304</v>
      </c>
      <c r="J2674" s="2" t="s">
        <v>114</v>
      </c>
      <c r="K2674" s="2" t="s">
        <v>842</v>
      </c>
      <c r="L2674" s="3">
        <v>32.2</v>
      </c>
      <c r="M2674" s="3">
        <v>33.81</v>
      </c>
      <c r="N2674" s="3">
        <v>69.99</v>
      </c>
      <c r="O2674" s="2" t="s">
        <v>97</v>
      </c>
      <c r="P2674" s="2" t="s">
        <v>98</v>
      </c>
      <c r="Q2674" s="2" t="s">
        <v>99</v>
      </c>
      <c r="R2674" s="2" t="s">
        <v>100</v>
      </c>
      <c r="S2674" s="2" t="s">
        <v>9333</v>
      </c>
      <c r="T2674" s="2" t="s">
        <v>190</v>
      </c>
      <c r="U2674" s="2" t="s">
        <v>1228</v>
      </c>
      <c r="V2674" s="2" t="s">
        <v>461</v>
      </c>
      <c r="W2674" s="2" t="s">
        <v>609</v>
      </c>
      <c r="X2674" s="2" t="s">
        <v>100</v>
      </c>
      <c r="Y2674" s="2" t="s">
        <v>9306</v>
      </c>
      <c r="Z2674" s="4">
        <v>121</v>
      </c>
      <c r="AA2674" s="4">
        <f>=ROUNDDOWN(20.1666666666667,0)</f>
      </c>
      <c r="AB2674" s="5">
        <v>6</v>
      </c>
      <c r="AC2674" s="2" t="s">
        <v>990</v>
      </c>
      <c r="AD2674" s="4">
        <v>110</v>
      </c>
      <c r="AE2674" s="4">
        <v>110</v>
      </c>
      <c r="AF2674" s="6">
        <v>70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1</v>
      </c>
      <c r="AQ2674" s="8">
        <v>34.02</v>
      </c>
      <c r="AR2674" s="4"/>
      <c r="AS2674" s="8"/>
      <c r="AT2674" s="7"/>
      <c r="AU2674" s="7"/>
      <c r="AV2674" s="4" t="s">
        <v>100</v>
      </c>
      <c r="AW2674" s="8" t="s">
        <v>100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>
        <v>1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 t="s">
        <v>100</v>
      </c>
      <c r="BJ2674" s="4">
        <v>21</v>
      </c>
      <c r="BK2674" s="8">
        <v>752.62</v>
      </c>
      <c r="BL2674" s="2" t="s">
        <v>9340</v>
      </c>
      <c r="BM2674" s="7">
        <v>0.0476</v>
      </c>
      <c r="BN2674" s="7">
        <v>0.0452</v>
      </c>
      <c r="BO2674" s="4">
        <v>1</v>
      </c>
      <c r="BP2674" s="8">
        <v>34.02</v>
      </c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2115</v>
      </c>
      <c r="BX2674" s="2" t="s">
        <v>505</v>
      </c>
      <c r="BY2674" s="2" t="s">
        <v>112</v>
      </c>
      <c r="BZ2674" s="2" t="s">
        <v>100</v>
      </c>
    </row>
    <row r="2675">
      <c r="A2675" s="2" t="s">
        <v>9341</v>
      </c>
      <c r="B2675" s="2" t="s">
        <v>9043</v>
      </c>
      <c r="C2675" s="2" t="s">
        <v>88</v>
      </c>
      <c r="D2675" s="2" t="s">
        <v>9044</v>
      </c>
      <c r="E2675" s="2" t="s">
        <v>9045</v>
      </c>
      <c r="F2675" s="2" t="s">
        <v>9303</v>
      </c>
      <c r="G2675" s="2" t="s">
        <v>9303</v>
      </c>
      <c r="H2675" s="2" t="s">
        <v>9303</v>
      </c>
      <c r="I2675" s="2" t="s">
        <v>9304</v>
      </c>
      <c r="J2675" s="2" t="s">
        <v>118</v>
      </c>
      <c r="K2675" s="2" t="s">
        <v>842</v>
      </c>
      <c r="L2675" s="3">
        <v>32.2</v>
      </c>
      <c r="M2675" s="3">
        <v>33.81</v>
      </c>
      <c r="N2675" s="3">
        <v>69.99</v>
      </c>
      <c r="O2675" s="2" t="s">
        <v>97</v>
      </c>
      <c r="P2675" s="2" t="s">
        <v>98</v>
      </c>
      <c r="Q2675" s="2" t="s">
        <v>99</v>
      </c>
      <c r="R2675" s="2" t="s">
        <v>100</v>
      </c>
      <c r="S2675" s="2" t="s">
        <v>9333</v>
      </c>
      <c r="T2675" s="2" t="s">
        <v>190</v>
      </c>
      <c r="U2675" s="2" t="s">
        <v>1228</v>
      </c>
      <c r="V2675" s="2" t="s">
        <v>461</v>
      </c>
      <c r="W2675" s="2" t="s">
        <v>609</v>
      </c>
      <c r="X2675" s="2" t="s">
        <v>100</v>
      </c>
      <c r="Y2675" s="2" t="s">
        <v>9306</v>
      </c>
      <c r="Z2675" s="4">
        <v>58</v>
      </c>
      <c r="AA2675" s="4">
        <f>=ROUNDDOWN(19.3333333333333,0)</f>
      </c>
      <c r="AB2675" s="5">
        <v>3</v>
      </c>
      <c r="AC2675" s="2" t="s">
        <v>990</v>
      </c>
      <c r="AD2675" s="4">
        <v>50</v>
      </c>
      <c r="AE2675" s="4">
        <v>50</v>
      </c>
      <c r="AF2675" s="6">
        <v>70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100</v>
      </c>
      <c r="AW2675" s="8" t="s">
        <v>100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/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 t="s">
        <v>100</v>
      </c>
      <c r="BJ2675" s="4">
        <v>7</v>
      </c>
      <c r="BK2675" s="8">
        <v>250.73</v>
      </c>
      <c r="BL2675" s="2" t="s">
        <v>9342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109</v>
      </c>
      <c r="BV2675" s="2" t="s">
        <v>97</v>
      </c>
      <c r="BW2675" s="2" t="s">
        <v>2115</v>
      </c>
      <c r="BX2675" s="2" t="s">
        <v>1440</v>
      </c>
      <c r="BY2675" s="2" t="s">
        <v>112</v>
      </c>
      <c r="BZ2675" s="2" t="s">
        <v>100</v>
      </c>
    </row>
    <row r="2676">
      <c r="A2676" s="2" t="s">
        <v>9343</v>
      </c>
      <c r="B2676" s="2" t="s">
        <v>9043</v>
      </c>
      <c r="C2676" s="2" t="s">
        <v>88</v>
      </c>
      <c r="D2676" s="2" t="s">
        <v>9044</v>
      </c>
      <c r="E2676" s="2" t="s">
        <v>9045</v>
      </c>
      <c r="F2676" s="2" t="s">
        <v>9303</v>
      </c>
      <c r="G2676" s="2" t="s">
        <v>9303</v>
      </c>
      <c r="H2676" s="2" t="s">
        <v>9303</v>
      </c>
      <c r="I2676" s="2" t="s">
        <v>9304</v>
      </c>
      <c r="J2676" s="2" t="s">
        <v>1443</v>
      </c>
      <c r="K2676" s="2" t="s">
        <v>386</v>
      </c>
      <c r="L2676" s="3">
        <v>21.6</v>
      </c>
      <c r="M2676" s="3">
        <v>22.68</v>
      </c>
      <c r="N2676" s="3">
        <v>47.99</v>
      </c>
      <c r="O2676" s="2" t="s">
        <v>97</v>
      </c>
      <c r="P2676" s="2" t="s">
        <v>98</v>
      </c>
      <c r="Q2676" s="2" t="s">
        <v>99</v>
      </c>
      <c r="R2676" s="2" t="s">
        <v>100</v>
      </c>
      <c r="S2676" s="2" t="s">
        <v>9344</v>
      </c>
      <c r="T2676" s="2" t="s">
        <v>190</v>
      </c>
      <c r="U2676" s="2" t="s">
        <v>901</v>
      </c>
      <c r="V2676" s="2" t="s">
        <v>461</v>
      </c>
      <c r="W2676" s="2" t="s">
        <v>609</v>
      </c>
      <c r="X2676" s="2" t="s">
        <v>100</v>
      </c>
      <c r="Y2676" s="2" t="s">
        <v>9306</v>
      </c>
      <c r="Z2676" s="4">
        <v>125</v>
      </c>
      <c r="AA2676" s="4">
        <f>=ROUNDDOWN(20.8333333333333,0)</f>
      </c>
      <c r="AB2676" s="5">
        <v>6</v>
      </c>
      <c r="AC2676" s="2" t="s">
        <v>990</v>
      </c>
      <c r="AD2676" s="4">
        <v>60</v>
      </c>
      <c r="AE2676" s="4">
        <v>60</v>
      </c>
      <c r="AF2676" s="6">
        <v>70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>
        <v>1</v>
      </c>
      <c r="AW2676" s="8">
        <v>28.35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/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>
        <v>0.0813</v>
      </c>
      <c r="BJ2676" s="4">
        <v>10</v>
      </c>
      <c r="BK2676" s="8">
        <v>237.47</v>
      </c>
      <c r="BL2676" s="2" t="s">
        <v>9345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2115</v>
      </c>
      <c r="BX2676" s="2" t="s">
        <v>9346</v>
      </c>
      <c r="BY2676" s="2" t="s">
        <v>112</v>
      </c>
      <c r="BZ2676" s="2" t="s">
        <v>100</v>
      </c>
    </row>
    <row r="2677">
      <c r="A2677" s="2" t="s">
        <v>9347</v>
      </c>
      <c r="B2677" s="2" t="s">
        <v>9043</v>
      </c>
      <c r="C2677" s="2" t="s">
        <v>88</v>
      </c>
      <c r="D2677" s="2" t="s">
        <v>9044</v>
      </c>
      <c r="E2677" s="2" t="s">
        <v>9045</v>
      </c>
      <c r="F2677" s="2" t="s">
        <v>9303</v>
      </c>
      <c r="G2677" s="2" t="s">
        <v>9303</v>
      </c>
      <c r="H2677" s="2" t="s">
        <v>9303</v>
      </c>
      <c r="I2677" s="2" t="s">
        <v>9304</v>
      </c>
      <c r="J2677" s="2" t="s">
        <v>490</v>
      </c>
      <c r="K2677" s="2" t="s">
        <v>386</v>
      </c>
      <c r="L2677" s="3">
        <v>27</v>
      </c>
      <c r="M2677" s="3">
        <v>28.35</v>
      </c>
      <c r="N2677" s="3">
        <v>59.99</v>
      </c>
      <c r="O2677" s="2" t="s">
        <v>97</v>
      </c>
      <c r="P2677" s="2" t="s">
        <v>98</v>
      </c>
      <c r="Q2677" s="2" t="s">
        <v>99</v>
      </c>
      <c r="R2677" s="2" t="s">
        <v>100</v>
      </c>
      <c r="S2677" s="2" t="s">
        <v>9344</v>
      </c>
      <c r="T2677" s="2" t="s">
        <v>190</v>
      </c>
      <c r="U2677" s="2" t="s">
        <v>1228</v>
      </c>
      <c r="V2677" s="2" t="s">
        <v>461</v>
      </c>
      <c r="W2677" s="2" t="s">
        <v>609</v>
      </c>
      <c r="X2677" s="2" t="s">
        <v>100</v>
      </c>
      <c r="Y2677" s="2" t="s">
        <v>9306</v>
      </c>
      <c r="Z2677" s="4">
        <v>113</v>
      </c>
      <c r="AA2677" s="4">
        <f>=ROUNDDOWN(22.6,0)</f>
      </c>
      <c r="AB2677" s="5">
        <v>5</v>
      </c>
      <c r="AC2677" s="2" t="s">
        <v>990</v>
      </c>
      <c r="AD2677" s="4">
        <v>40</v>
      </c>
      <c r="AE2677" s="4">
        <v>40</v>
      </c>
      <c r="AF2677" s="6">
        <v>70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1</v>
      </c>
      <c r="AQ2677" s="8">
        <v>28.35</v>
      </c>
      <c r="AR2677" s="4"/>
      <c r="AS2677" s="8"/>
      <c r="AT2677" s="7"/>
      <c r="AU2677" s="7"/>
      <c r="AV2677" s="4" t="s">
        <v>100</v>
      </c>
      <c r="AW2677" s="8" t="s">
        <v>100</v>
      </c>
      <c r="AX2677" s="4" t="s">
        <v>100</v>
      </c>
      <c r="AY2677" s="8" t="s">
        <v>100</v>
      </c>
      <c r="AZ2677" s="7" t="s">
        <v>100</v>
      </c>
      <c r="BA2677" s="7" t="s">
        <v>100</v>
      </c>
      <c r="BB2677" s="7">
        <v>1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 t="s">
        <v>100</v>
      </c>
      <c r="BJ2677" s="4">
        <v>13</v>
      </c>
      <c r="BK2677" s="8">
        <v>385.25</v>
      </c>
      <c r="BL2677" s="2" t="s">
        <v>9348</v>
      </c>
      <c r="BM2677" s="7">
        <v>0.0769</v>
      </c>
      <c r="BN2677" s="7">
        <v>0.0736</v>
      </c>
      <c r="BO2677" s="4">
        <v>1</v>
      </c>
      <c r="BP2677" s="8">
        <v>28.35</v>
      </c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2115</v>
      </c>
      <c r="BX2677" s="2" t="s">
        <v>1276</v>
      </c>
      <c r="BY2677" s="2" t="s">
        <v>112</v>
      </c>
      <c r="BZ2677" s="2" t="s">
        <v>100</v>
      </c>
    </row>
    <row r="2678">
      <c r="A2678" s="2" t="s">
        <v>9349</v>
      </c>
      <c r="B2678" s="2" t="s">
        <v>9043</v>
      </c>
      <c r="C2678" s="2" t="s">
        <v>88</v>
      </c>
      <c r="D2678" s="2" t="s">
        <v>9044</v>
      </c>
      <c r="E2678" s="2" t="s">
        <v>9045</v>
      </c>
      <c r="F2678" s="2" t="s">
        <v>9303</v>
      </c>
      <c r="G2678" s="2" t="s">
        <v>9303</v>
      </c>
      <c r="H2678" s="2" t="s">
        <v>9303</v>
      </c>
      <c r="I2678" s="2" t="s">
        <v>9304</v>
      </c>
      <c r="J2678" s="2" t="s">
        <v>95</v>
      </c>
      <c r="K2678" s="2" t="s">
        <v>386</v>
      </c>
      <c r="L2678" s="3">
        <v>29.9</v>
      </c>
      <c r="M2678" s="3">
        <v>31.4</v>
      </c>
      <c r="N2678" s="3">
        <v>64.99</v>
      </c>
      <c r="O2678" s="2" t="s">
        <v>97</v>
      </c>
      <c r="P2678" s="2" t="s">
        <v>98</v>
      </c>
      <c r="Q2678" s="2" t="s">
        <v>99</v>
      </c>
      <c r="R2678" s="2" t="s">
        <v>100</v>
      </c>
      <c r="S2678" s="2" t="s">
        <v>9344</v>
      </c>
      <c r="T2678" s="2" t="s">
        <v>190</v>
      </c>
      <c r="U2678" s="2" t="s">
        <v>1228</v>
      </c>
      <c r="V2678" s="2" t="s">
        <v>461</v>
      </c>
      <c r="W2678" s="2" t="s">
        <v>609</v>
      </c>
      <c r="X2678" s="2" t="s">
        <v>100</v>
      </c>
      <c r="Y2678" s="2" t="s">
        <v>9306</v>
      </c>
      <c r="Z2678" s="4">
        <v>173</v>
      </c>
      <c r="AA2678" s="4">
        <f>=ROUNDDOWN(15.7272727272727,0)</f>
      </c>
      <c r="AB2678" s="5">
        <v>11</v>
      </c>
      <c r="AC2678" s="2" t="s">
        <v>990</v>
      </c>
      <c r="AD2678" s="4">
        <v>94</v>
      </c>
      <c r="AE2678" s="4">
        <v>94</v>
      </c>
      <c r="AF2678" s="6">
        <v>70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 t="s">
        <v>100</v>
      </c>
      <c r="AW2678" s="8" t="s">
        <v>100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/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 t="s">
        <v>100</v>
      </c>
      <c r="BJ2678" s="4">
        <v>25</v>
      </c>
      <c r="BK2678" s="8">
        <v>816.39</v>
      </c>
      <c r="BL2678" s="2" t="s">
        <v>6265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2115</v>
      </c>
      <c r="BX2678" s="2" t="s">
        <v>9350</v>
      </c>
      <c r="BY2678" s="2" t="s">
        <v>112</v>
      </c>
      <c r="BZ2678" s="2" t="s">
        <v>100</v>
      </c>
    </row>
    <row r="2679">
      <c r="A2679" s="2" t="s">
        <v>9351</v>
      </c>
      <c r="B2679" s="2" t="s">
        <v>9043</v>
      </c>
      <c r="C2679" s="2" t="s">
        <v>88</v>
      </c>
      <c r="D2679" s="2" t="s">
        <v>9044</v>
      </c>
      <c r="E2679" s="2" t="s">
        <v>9045</v>
      </c>
      <c r="F2679" s="2" t="s">
        <v>9303</v>
      </c>
      <c r="G2679" s="2" t="s">
        <v>9303</v>
      </c>
      <c r="H2679" s="2" t="s">
        <v>9303</v>
      </c>
      <c r="I2679" s="2" t="s">
        <v>9304</v>
      </c>
      <c r="J2679" s="2" t="s">
        <v>114</v>
      </c>
      <c r="K2679" s="2" t="s">
        <v>386</v>
      </c>
      <c r="L2679" s="3">
        <v>32.2</v>
      </c>
      <c r="M2679" s="3">
        <v>33.81</v>
      </c>
      <c r="N2679" s="3">
        <v>69.99</v>
      </c>
      <c r="O2679" s="2" t="s">
        <v>97</v>
      </c>
      <c r="P2679" s="2" t="s">
        <v>98</v>
      </c>
      <c r="Q2679" s="2" t="s">
        <v>99</v>
      </c>
      <c r="R2679" s="2" t="s">
        <v>100</v>
      </c>
      <c r="S2679" s="2" t="s">
        <v>9344</v>
      </c>
      <c r="T2679" s="2" t="s">
        <v>190</v>
      </c>
      <c r="U2679" s="2" t="s">
        <v>1228</v>
      </c>
      <c r="V2679" s="2" t="s">
        <v>461</v>
      </c>
      <c r="W2679" s="2" t="s">
        <v>609</v>
      </c>
      <c r="X2679" s="2" t="s">
        <v>100</v>
      </c>
      <c r="Y2679" s="2" t="s">
        <v>9306</v>
      </c>
      <c r="Z2679" s="4">
        <v>134</v>
      </c>
      <c r="AA2679" s="4">
        <f>=ROUNDDOWN(22.3333333333333,0)</f>
      </c>
      <c r="AB2679" s="5">
        <v>6</v>
      </c>
      <c r="AC2679" s="2" t="s">
        <v>990</v>
      </c>
      <c r="AD2679" s="4">
        <v>30</v>
      </c>
      <c r="AE2679" s="4">
        <v>30</v>
      </c>
      <c r="AF2679" s="6">
        <v>70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 t="s">
        <v>100</v>
      </c>
      <c r="AW2679" s="8" t="s">
        <v>100</v>
      </c>
      <c r="AX2679" s="4" t="s">
        <v>100</v>
      </c>
      <c r="AY2679" s="8" t="s">
        <v>100</v>
      </c>
      <c r="AZ2679" s="7" t="s">
        <v>100</v>
      </c>
      <c r="BA2679" s="7" t="s">
        <v>100</v>
      </c>
      <c r="BB2679" s="7"/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 t="s">
        <v>100</v>
      </c>
      <c r="BJ2679" s="4">
        <v>16</v>
      </c>
      <c r="BK2679" s="8">
        <v>579.62</v>
      </c>
      <c r="BL2679" s="2" t="s">
        <v>9352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2115</v>
      </c>
      <c r="BX2679" s="2" t="s">
        <v>5475</v>
      </c>
      <c r="BY2679" s="2" t="s">
        <v>112</v>
      </c>
      <c r="BZ2679" s="2" t="s">
        <v>100</v>
      </c>
    </row>
    <row r="2680">
      <c r="A2680" s="2" t="s">
        <v>9353</v>
      </c>
      <c r="B2680" s="2" t="s">
        <v>9043</v>
      </c>
      <c r="C2680" s="2" t="s">
        <v>88</v>
      </c>
      <c r="D2680" s="2" t="s">
        <v>9044</v>
      </c>
      <c r="E2680" s="2" t="s">
        <v>9045</v>
      </c>
      <c r="F2680" s="2" t="s">
        <v>9303</v>
      </c>
      <c r="G2680" s="2" t="s">
        <v>9303</v>
      </c>
      <c r="H2680" s="2" t="s">
        <v>9303</v>
      </c>
      <c r="I2680" s="2" t="s">
        <v>9304</v>
      </c>
      <c r="J2680" s="2" t="s">
        <v>118</v>
      </c>
      <c r="K2680" s="2" t="s">
        <v>386</v>
      </c>
      <c r="L2680" s="3">
        <v>32.2</v>
      </c>
      <c r="M2680" s="3">
        <v>33.81</v>
      </c>
      <c r="N2680" s="3">
        <v>69.99</v>
      </c>
      <c r="O2680" s="2" t="s">
        <v>97</v>
      </c>
      <c r="P2680" s="2" t="s">
        <v>98</v>
      </c>
      <c r="Q2680" s="2" t="s">
        <v>99</v>
      </c>
      <c r="R2680" s="2" t="s">
        <v>100</v>
      </c>
      <c r="S2680" s="2" t="s">
        <v>9344</v>
      </c>
      <c r="T2680" s="2" t="s">
        <v>190</v>
      </c>
      <c r="U2680" s="2" t="s">
        <v>1228</v>
      </c>
      <c r="V2680" s="2" t="s">
        <v>461</v>
      </c>
      <c r="W2680" s="2" t="s">
        <v>609</v>
      </c>
      <c r="X2680" s="2" t="s">
        <v>100</v>
      </c>
      <c r="Y2680" s="2" t="s">
        <v>9306</v>
      </c>
      <c r="Z2680" s="4">
        <v>37</v>
      </c>
      <c r="AA2680" s="4">
        <f>=ROUNDDOWN(14.2307692307692,0)</f>
      </c>
      <c r="AB2680" s="5">
        <v>2.6</v>
      </c>
      <c r="AC2680" s="2" t="s">
        <v>990</v>
      </c>
      <c r="AD2680" s="4">
        <v>40</v>
      </c>
      <c r="AE2680" s="4">
        <v>40</v>
      </c>
      <c r="AF2680" s="6">
        <v>70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 t="s">
        <v>100</v>
      </c>
      <c r="AW2680" s="8" t="s">
        <v>100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/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 t="s">
        <v>100</v>
      </c>
      <c r="BJ2680" s="4">
        <v>13</v>
      </c>
      <c r="BK2680" s="8">
        <v>465.07</v>
      </c>
      <c r="BL2680" s="2" t="s">
        <v>9354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109</v>
      </c>
      <c r="BV2680" s="2" t="s">
        <v>97</v>
      </c>
      <c r="BW2680" s="2" t="s">
        <v>2115</v>
      </c>
      <c r="BX2680" s="2" t="s">
        <v>837</v>
      </c>
      <c r="BY2680" s="2" t="s">
        <v>112</v>
      </c>
      <c r="BZ2680" s="2" t="s">
        <v>100</v>
      </c>
    </row>
    <row r="2681">
      <c r="A2681" s="2" t="s">
        <v>9355</v>
      </c>
      <c r="B2681" s="2" t="s">
        <v>9043</v>
      </c>
      <c r="C2681" s="2" t="s">
        <v>88</v>
      </c>
      <c r="D2681" s="2" t="s">
        <v>9044</v>
      </c>
      <c r="E2681" s="2" t="s">
        <v>9045</v>
      </c>
      <c r="F2681" s="2" t="s">
        <v>9303</v>
      </c>
      <c r="G2681" s="2" t="s">
        <v>9303</v>
      </c>
      <c r="H2681" s="2" t="s">
        <v>9303</v>
      </c>
      <c r="I2681" s="2" t="s">
        <v>9304</v>
      </c>
      <c r="J2681" s="2" t="s">
        <v>1443</v>
      </c>
      <c r="K2681" s="2" t="s">
        <v>1373</v>
      </c>
      <c r="L2681" s="3">
        <v>21.6</v>
      </c>
      <c r="M2681" s="3">
        <v>22.68</v>
      </c>
      <c r="N2681" s="3">
        <v>47.99</v>
      </c>
      <c r="O2681" s="2" t="s">
        <v>97</v>
      </c>
      <c r="P2681" s="2" t="s">
        <v>98</v>
      </c>
      <c r="Q2681" s="2" t="s">
        <v>99</v>
      </c>
      <c r="R2681" s="2" t="s">
        <v>100</v>
      </c>
      <c r="S2681" s="2" t="s">
        <v>9356</v>
      </c>
      <c r="T2681" s="2" t="s">
        <v>190</v>
      </c>
      <c r="U2681" s="2" t="s">
        <v>901</v>
      </c>
      <c r="V2681" s="2" t="s">
        <v>461</v>
      </c>
      <c r="W2681" s="2" t="s">
        <v>609</v>
      </c>
      <c r="X2681" s="2" t="s">
        <v>100</v>
      </c>
      <c r="Y2681" s="2" t="s">
        <v>9306</v>
      </c>
      <c r="Z2681" s="4">
        <v>28</v>
      </c>
      <c r="AA2681" s="4">
        <f>=ROUNDDOWN(4.59016393442623,0)</f>
      </c>
      <c r="AB2681" s="5">
        <v>6.1</v>
      </c>
      <c r="AC2681" s="2" t="s">
        <v>990</v>
      </c>
      <c r="AD2681" s="4">
        <v>60</v>
      </c>
      <c r="AE2681" s="4">
        <v>60</v>
      </c>
      <c r="AF2681" s="6">
        <v>70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1</v>
      </c>
      <c r="AQ2681" s="8">
        <v>22.68</v>
      </c>
      <c r="AR2681" s="4"/>
      <c r="AS2681" s="8"/>
      <c r="AT2681" s="7"/>
      <c r="AU2681" s="7"/>
      <c r="AV2681" s="4">
        <v>1</v>
      </c>
      <c r="AW2681" s="8">
        <v>22.68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>
        <v>1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>
        <v>0.065</v>
      </c>
      <c r="BJ2681" s="4">
        <v>25</v>
      </c>
      <c r="BK2681" s="8">
        <v>600.73</v>
      </c>
      <c r="BL2681" s="2" t="s">
        <v>9357</v>
      </c>
      <c r="BM2681" s="7">
        <v>0.04</v>
      </c>
      <c r="BN2681" s="7">
        <v>0.0378</v>
      </c>
      <c r="BO2681" s="4">
        <v>1</v>
      </c>
      <c r="BP2681" s="8">
        <v>22.68</v>
      </c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2115</v>
      </c>
      <c r="BX2681" s="2" t="s">
        <v>4977</v>
      </c>
      <c r="BY2681" s="2" t="s">
        <v>112</v>
      </c>
      <c r="BZ2681" s="2" t="s">
        <v>100</v>
      </c>
    </row>
    <row r="2682">
      <c r="A2682" s="2" t="s">
        <v>9358</v>
      </c>
      <c r="B2682" s="2" t="s">
        <v>9043</v>
      </c>
      <c r="C2682" s="2" t="s">
        <v>88</v>
      </c>
      <c r="D2682" s="2" t="s">
        <v>9044</v>
      </c>
      <c r="E2682" s="2" t="s">
        <v>9045</v>
      </c>
      <c r="F2682" s="2" t="s">
        <v>9303</v>
      </c>
      <c r="G2682" s="2" t="s">
        <v>9303</v>
      </c>
      <c r="H2682" s="2" t="s">
        <v>9303</v>
      </c>
      <c r="I2682" s="2" t="s">
        <v>9304</v>
      </c>
      <c r="J2682" s="2" t="s">
        <v>490</v>
      </c>
      <c r="K2682" s="2" t="s">
        <v>1373</v>
      </c>
      <c r="L2682" s="3">
        <v>27</v>
      </c>
      <c r="M2682" s="3">
        <v>28.35</v>
      </c>
      <c r="N2682" s="3">
        <v>59.99</v>
      </c>
      <c r="O2682" s="2" t="s">
        <v>97</v>
      </c>
      <c r="P2682" s="2" t="s">
        <v>98</v>
      </c>
      <c r="Q2682" s="2" t="s">
        <v>99</v>
      </c>
      <c r="R2682" s="2" t="s">
        <v>100</v>
      </c>
      <c r="S2682" s="2" t="s">
        <v>9356</v>
      </c>
      <c r="T2682" s="2" t="s">
        <v>190</v>
      </c>
      <c r="U2682" s="2" t="s">
        <v>1228</v>
      </c>
      <c r="V2682" s="2" t="s">
        <v>461</v>
      </c>
      <c r="W2682" s="2" t="s">
        <v>609</v>
      </c>
      <c r="X2682" s="2" t="s">
        <v>100</v>
      </c>
      <c r="Y2682" s="2" t="s">
        <v>9306</v>
      </c>
      <c r="Z2682" s="4">
        <v>113</v>
      </c>
      <c r="AA2682" s="4">
        <f>=ROUNDDOWN(37.6666666666667,0)</f>
      </c>
      <c r="AB2682" s="5">
        <v>3</v>
      </c>
      <c r="AC2682" s="2" t="s">
        <v>990</v>
      </c>
      <c r="AD2682" s="4">
        <v>50</v>
      </c>
      <c r="AE2682" s="4">
        <v>50</v>
      </c>
      <c r="AF2682" s="6">
        <v>70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 t="s">
        <v>100</v>
      </c>
      <c r="AW2682" s="8" t="s">
        <v>100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/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 t="s">
        <v>100</v>
      </c>
      <c r="BJ2682" s="4">
        <v>9</v>
      </c>
      <c r="BK2682" s="8">
        <v>266.91</v>
      </c>
      <c r="BL2682" s="2" t="s">
        <v>9359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2115</v>
      </c>
      <c r="BX2682" s="2" t="s">
        <v>902</v>
      </c>
      <c r="BY2682" s="2" t="s">
        <v>112</v>
      </c>
      <c r="BZ2682" s="2" t="s">
        <v>100</v>
      </c>
    </row>
    <row r="2683">
      <c r="A2683" s="2" t="s">
        <v>9360</v>
      </c>
      <c r="B2683" s="2" t="s">
        <v>9043</v>
      </c>
      <c r="C2683" s="2" t="s">
        <v>88</v>
      </c>
      <c r="D2683" s="2" t="s">
        <v>9044</v>
      </c>
      <c r="E2683" s="2" t="s">
        <v>9045</v>
      </c>
      <c r="F2683" s="2" t="s">
        <v>9303</v>
      </c>
      <c r="G2683" s="2" t="s">
        <v>9303</v>
      </c>
      <c r="H2683" s="2" t="s">
        <v>9303</v>
      </c>
      <c r="I2683" s="2" t="s">
        <v>9304</v>
      </c>
      <c r="J2683" s="2" t="s">
        <v>95</v>
      </c>
      <c r="K2683" s="2" t="s">
        <v>1373</v>
      </c>
      <c r="L2683" s="3">
        <v>29.9</v>
      </c>
      <c r="M2683" s="3">
        <v>31.4</v>
      </c>
      <c r="N2683" s="3">
        <v>64.99</v>
      </c>
      <c r="O2683" s="2" t="s">
        <v>97</v>
      </c>
      <c r="P2683" s="2" t="s">
        <v>98</v>
      </c>
      <c r="Q2683" s="2" t="s">
        <v>99</v>
      </c>
      <c r="R2683" s="2" t="s">
        <v>100</v>
      </c>
      <c r="S2683" s="2" t="s">
        <v>9356</v>
      </c>
      <c r="T2683" s="2" t="s">
        <v>190</v>
      </c>
      <c r="U2683" s="2" t="s">
        <v>1228</v>
      </c>
      <c r="V2683" s="2" t="s">
        <v>461</v>
      </c>
      <c r="W2683" s="2" t="s">
        <v>609</v>
      </c>
      <c r="X2683" s="2" t="s">
        <v>100</v>
      </c>
      <c r="Y2683" s="2" t="s">
        <v>9306</v>
      </c>
      <c r="Z2683" s="4">
        <v>242</v>
      </c>
      <c r="AA2683" s="4">
        <f>=ROUNDDOWN(26.8888888888889,0)</f>
      </c>
      <c r="AB2683" s="5">
        <v>9</v>
      </c>
      <c r="AC2683" s="2" t="s">
        <v>990</v>
      </c>
      <c r="AD2683" s="4">
        <v>40</v>
      </c>
      <c r="AE2683" s="4">
        <v>40</v>
      </c>
      <c r="AF2683" s="6">
        <v>70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 t="s">
        <v>100</v>
      </c>
      <c r="AW2683" s="8" t="s">
        <v>100</v>
      </c>
      <c r="AX2683" s="4" t="s">
        <v>100</v>
      </c>
      <c r="AY2683" s="8" t="s">
        <v>100</v>
      </c>
      <c r="AZ2683" s="7" t="s">
        <v>100</v>
      </c>
      <c r="BA2683" s="7" t="s">
        <v>100</v>
      </c>
      <c r="BB2683" s="7"/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 t="s">
        <v>100</v>
      </c>
      <c r="BJ2683" s="4">
        <v>29</v>
      </c>
      <c r="BK2683" s="8">
        <v>941.39</v>
      </c>
      <c r="BL2683" s="2" t="s">
        <v>788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2115</v>
      </c>
      <c r="BX2683" s="2" t="s">
        <v>840</v>
      </c>
      <c r="BY2683" s="2" t="s">
        <v>112</v>
      </c>
      <c r="BZ2683" s="2" t="s">
        <v>100</v>
      </c>
    </row>
    <row r="2684">
      <c r="A2684" s="2" t="s">
        <v>9361</v>
      </c>
      <c r="B2684" s="2" t="s">
        <v>9043</v>
      </c>
      <c r="C2684" s="2" t="s">
        <v>88</v>
      </c>
      <c r="D2684" s="2" t="s">
        <v>9044</v>
      </c>
      <c r="E2684" s="2" t="s">
        <v>9045</v>
      </c>
      <c r="F2684" s="2" t="s">
        <v>9303</v>
      </c>
      <c r="G2684" s="2" t="s">
        <v>9303</v>
      </c>
      <c r="H2684" s="2" t="s">
        <v>9303</v>
      </c>
      <c r="I2684" s="2" t="s">
        <v>9304</v>
      </c>
      <c r="J2684" s="2" t="s">
        <v>114</v>
      </c>
      <c r="K2684" s="2" t="s">
        <v>1373</v>
      </c>
      <c r="L2684" s="3">
        <v>32.2</v>
      </c>
      <c r="M2684" s="3">
        <v>33.81</v>
      </c>
      <c r="N2684" s="3">
        <v>69.99</v>
      </c>
      <c r="O2684" s="2" t="s">
        <v>97</v>
      </c>
      <c r="P2684" s="2" t="s">
        <v>98</v>
      </c>
      <c r="Q2684" s="2" t="s">
        <v>99</v>
      </c>
      <c r="R2684" s="2" t="s">
        <v>100</v>
      </c>
      <c r="S2684" s="2" t="s">
        <v>9356</v>
      </c>
      <c r="T2684" s="2" t="s">
        <v>190</v>
      </c>
      <c r="U2684" s="2" t="s">
        <v>1228</v>
      </c>
      <c r="V2684" s="2" t="s">
        <v>461</v>
      </c>
      <c r="W2684" s="2" t="s">
        <v>609</v>
      </c>
      <c r="X2684" s="2" t="s">
        <v>100</v>
      </c>
      <c r="Y2684" s="2" t="s">
        <v>9306</v>
      </c>
      <c r="Z2684" s="4">
        <v>203</v>
      </c>
      <c r="AA2684" s="4">
        <f>=ROUNDDOWN(29,0)</f>
      </c>
      <c r="AB2684" s="5">
        <v>7</v>
      </c>
      <c r="AC2684" s="2" t="s">
        <v>990</v>
      </c>
      <c r="AD2684" s="4">
        <v>50</v>
      </c>
      <c r="AE2684" s="4">
        <v>50</v>
      </c>
      <c r="AF2684" s="6">
        <v>70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 t="s">
        <v>100</v>
      </c>
      <c r="AW2684" s="8" t="s">
        <v>100</v>
      </c>
      <c r="AX2684" s="4" t="s">
        <v>100</v>
      </c>
      <c r="AY2684" s="8" t="s">
        <v>100</v>
      </c>
      <c r="AZ2684" s="7" t="s">
        <v>100</v>
      </c>
      <c r="BA2684" s="7" t="s">
        <v>100</v>
      </c>
      <c r="BB2684" s="7"/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 t="s">
        <v>100</v>
      </c>
      <c r="BJ2684" s="4">
        <v>24</v>
      </c>
      <c r="BK2684" s="8">
        <v>840.28</v>
      </c>
      <c r="BL2684" s="2" t="s">
        <v>9362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2115</v>
      </c>
      <c r="BX2684" s="2" t="s">
        <v>9363</v>
      </c>
      <c r="BY2684" s="2" t="s">
        <v>112</v>
      </c>
      <c r="BZ2684" s="2" t="s">
        <v>100</v>
      </c>
    </row>
    <row r="2685">
      <c r="A2685" s="2" t="s">
        <v>9364</v>
      </c>
      <c r="B2685" s="2" t="s">
        <v>9043</v>
      </c>
      <c r="C2685" s="2" t="s">
        <v>88</v>
      </c>
      <c r="D2685" s="2" t="s">
        <v>9044</v>
      </c>
      <c r="E2685" s="2" t="s">
        <v>9045</v>
      </c>
      <c r="F2685" s="2" t="s">
        <v>9303</v>
      </c>
      <c r="G2685" s="2" t="s">
        <v>9303</v>
      </c>
      <c r="H2685" s="2" t="s">
        <v>9303</v>
      </c>
      <c r="I2685" s="2" t="s">
        <v>9304</v>
      </c>
      <c r="J2685" s="2" t="s">
        <v>118</v>
      </c>
      <c r="K2685" s="2" t="s">
        <v>1373</v>
      </c>
      <c r="L2685" s="3">
        <v>32.2</v>
      </c>
      <c r="M2685" s="3">
        <v>33.81</v>
      </c>
      <c r="N2685" s="3">
        <v>69.99</v>
      </c>
      <c r="O2685" s="2" t="s">
        <v>97</v>
      </c>
      <c r="P2685" s="2" t="s">
        <v>98</v>
      </c>
      <c r="Q2685" s="2" t="s">
        <v>99</v>
      </c>
      <c r="R2685" s="2" t="s">
        <v>100</v>
      </c>
      <c r="S2685" s="2" t="s">
        <v>9356</v>
      </c>
      <c r="T2685" s="2" t="s">
        <v>190</v>
      </c>
      <c r="U2685" s="2" t="s">
        <v>1228</v>
      </c>
      <c r="V2685" s="2" t="s">
        <v>461</v>
      </c>
      <c r="W2685" s="2" t="s">
        <v>609</v>
      </c>
      <c r="X2685" s="2" t="s">
        <v>100</v>
      </c>
      <c r="Y2685" s="2" t="s">
        <v>9306</v>
      </c>
      <c r="Z2685" s="4">
        <v>63</v>
      </c>
      <c r="AA2685" s="4">
        <f>=ROUNDDOWN(15.75,0)</f>
      </c>
      <c r="AB2685" s="5">
        <v>4</v>
      </c>
      <c r="AC2685" s="2" t="s">
        <v>990</v>
      </c>
      <c r="AD2685" s="4">
        <v>60</v>
      </c>
      <c r="AE2685" s="4">
        <v>60</v>
      </c>
      <c r="AF2685" s="6">
        <v>70</v>
      </c>
      <c r="AG2685" s="6"/>
      <c r="AH2685" s="7">
        <v>0.2258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 t="s">
        <v>100</v>
      </c>
      <c r="AW2685" s="8" t="s">
        <v>100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/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 t="s">
        <v>100</v>
      </c>
      <c r="BJ2685" s="4">
        <v>4</v>
      </c>
      <c r="BK2685" s="8">
        <v>145.56</v>
      </c>
      <c r="BL2685" s="2" t="s">
        <v>1655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2115</v>
      </c>
      <c r="BX2685" s="2" t="s">
        <v>9363</v>
      </c>
      <c r="BY2685" s="2" t="s">
        <v>112</v>
      </c>
      <c r="BZ2685" s="2" t="s">
        <v>100</v>
      </c>
    </row>
    <row r="2686">
      <c r="A2686" s="2" t="s">
        <v>9365</v>
      </c>
      <c r="B2686" s="2" t="s">
        <v>9043</v>
      </c>
      <c r="C2686" s="2" t="s">
        <v>88</v>
      </c>
      <c r="D2686" s="2" t="s">
        <v>9044</v>
      </c>
      <c r="E2686" s="2" t="s">
        <v>9045</v>
      </c>
      <c r="F2686" s="2" t="s">
        <v>9366</v>
      </c>
      <c r="G2686" s="2" t="s">
        <v>9366</v>
      </c>
      <c r="H2686" s="2" t="s">
        <v>9366</v>
      </c>
      <c r="I2686" s="2" t="s">
        <v>9367</v>
      </c>
      <c r="J2686" s="2" t="s">
        <v>1443</v>
      </c>
      <c r="K2686" s="2" t="s">
        <v>1373</v>
      </c>
      <c r="L2686" s="3">
        <v>13.44</v>
      </c>
      <c r="M2686" s="3">
        <v>14.11</v>
      </c>
      <c r="N2686" s="3">
        <v>27.99</v>
      </c>
      <c r="O2686" s="2" t="s">
        <v>97</v>
      </c>
      <c r="P2686" s="2" t="s">
        <v>98</v>
      </c>
      <c r="Q2686" s="2" t="s">
        <v>99</v>
      </c>
      <c r="R2686" s="2" t="s">
        <v>100</v>
      </c>
      <c r="S2686" s="2" t="s">
        <v>9368</v>
      </c>
      <c r="T2686" s="2" t="s">
        <v>438</v>
      </c>
      <c r="U2686" s="2" t="s">
        <v>100</v>
      </c>
      <c r="V2686" s="2" t="s">
        <v>461</v>
      </c>
      <c r="W2686" s="2" t="s">
        <v>609</v>
      </c>
      <c r="X2686" s="2" t="s">
        <v>100</v>
      </c>
      <c r="Y2686" s="2" t="s">
        <v>144</v>
      </c>
      <c r="Z2686" s="4">
        <v>116</v>
      </c>
      <c r="AA2686" s="4">
        <f>=ROUNDDOWN(29,0)</f>
      </c>
      <c r="AB2686" s="5">
        <v>4</v>
      </c>
      <c r="AC2686" s="2" t="s">
        <v>312</v>
      </c>
      <c r="AD2686" s="4">
        <v>50</v>
      </c>
      <c r="AE2686" s="4">
        <v>50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>
        <v>5</v>
      </c>
      <c r="AW2686" s="8">
        <v>113.35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/>
      <c r="BC2686" s="4">
        <v>13</v>
      </c>
      <c r="BD2686" s="8">
        <v>272.05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>
        <v>0.4167</v>
      </c>
      <c r="BJ2686" s="4">
        <v>12</v>
      </c>
      <c r="BK2686" s="8">
        <v>177.82</v>
      </c>
      <c r="BL2686" s="2" t="s">
        <v>5899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159</v>
      </c>
      <c r="BX2686" s="2" t="s">
        <v>239</v>
      </c>
      <c r="BY2686" s="2" t="s">
        <v>112</v>
      </c>
      <c r="BZ2686" s="2" t="s">
        <v>100</v>
      </c>
    </row>
    <row r="2687">
      <c r="A2687" s="2" t="s">
        <v>9369</v>
      </c>
      <c r="B2687" s="2" t="s">
        <v>9043</v>
      </c>
      <c r="C2687" s="2" t="s">
        <v>88</v>
      </c>
      <c r="D2687" s="2" t="s">
        <v>9044</v>
      </c>
      <c r="E2687" s="2" t="s">
        <v>9045</v>
      </c>
      <c r="F2687" s="2" t="s">
        <v>9366</v>
      </c>
      <c r="G2687" s="2" t="s">
        <v>9366</v>
      </c>
      <c r="H2687" s="2" t="s">
        <v>9366</v>
      </c>
      <c r="I2687" s="2" t="s">
        <v>9367</v>
      </c>
      <c r="J2687" s="2" t="s">
        <v>1806</v>
      </c>
      <c r="K2687" s="2" t="s">
        <v>1373</v>
      </c>
      <c r="L2687" s="3">
        <v>15.19</v>
      </c>
      <c r="M2687" s="3">
        <v>15.95</v>
      </c>
      <c r="N2687" s="3">
        <v>30.99</v>
      </c>
      <c r="O2687" s="2" t="s">
        <v>97</v>
      </c>
      <c r="P2687" s="2" t="s">
        <v>98</v>
      </c>
      <c r="Q2687" s="2" t="s">
        <v>99</v>
      </c>
      <c r="R2687" s="2" t="s">
        <v>100</v>
      </c>
      <c r="S2687" s="2" t="s">
        <v>9368</v>
      </c>
      <c r="T2687" s="2" t="s">
        <v>438</v>
      </c>
      <c r="U2687" s="2" t="s">
        <v>100</v>
      </c>
      <c r="V2687" s="2" t="s">
        <v>461</v>
      </c>
      <c r="W2687" s="2" t="s">
        <v>609</v>
      </c>
      <c r="X2687" s="2" t="s">
        <v>100</v>
      </c>
      <c r="Y2687" s="2" t="s">
        <v>144</v>
      </c>
      <c r="Z2687" s="4">
        <v>203</v>
      </c>
      <c r="AA2687" s="4">
        <f>=ROUNDDOWN(40.6,0)</f>
      </c>
      <c r="AB2687" s="5">
        <v>5</v>
      </c>
      <c r="AC2687" s="2" t="s">
        <v>312</v>
      </c>
      <c r="AD2687" s="4">
        <v>90</v>
      </c>
      <c r="AE2687" s="4">
        <v>280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 t="s">
        <v>100</v>
      </c>
      <c r="AW2687" s="8" t="s">
        <v>100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/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 t="s">
        <v>100</v>
      </c>
      <c r="BJ2687" s="4">
        <v>6</v>
      </c>
      <c r="BK2687" s="8">
        <v>94.8</v>
      </c>
      <c r="BL2687" s="2" t="s">
        <v>9370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1815</v>
      </c>
      <c r="BX2687" s="2" t="s">
        <v>1824</v>
      </c>
      <c r="BY2687" s="2" t="s">
        <v>112</v>
      </c>
      <c r="BZ2687" s="2" t="s">
        <v>100</v>
      </c>
    </row>
    <row r="2688">
      <c r="A2688" s="2" t="s">
        <v>9371</v>
      </c>
      <c r="B2688" s="2" t="s">
        <v>9043</v>
      </c>
      <c r="C2688" s="2" t="s">
        <v>88</v>
      </c>
      <c r="D2688" s="2" t="s">
        <v>9044</v>
      </c>
      <c r="E2688" s="2" t="s">
        <v>9045</v>
      </c>
      <c r="F2688" s="2" t="s">
        <v>9366</v>
      </c>
      <c r="G2688" s="2" t="s">
        <v>9366</v>
      </c>
      <c r="H2688" s="2" t="s">
        <v>9366</v>
      </c>
      <c r="I2688" s="2" t="s">
        <v>9367</v>
      </c>
      <c r="J2688" s="2" t="s">
        <v>490</v>
      </c>
      <c r="K2688" s="2" t="s">
        <v>1373</v>
      </c>
      <c r="L2688" s="3">
        <v>16.5</v>
      </c>
      <c r="M2688" s="3">
        <v>17.32</v>
      </c>
      <c r="N2688" s="3">
        <v>32.99</v>
      </c>
      <c r="O2688" s="2" t="s">
        <v>97</v>
      </c>
      <c r="P2688" s="2" t="s">
        <v>98</v>
      </c>
      <c r="Q2688" s="2" t="s">
        <v>99</v>
      </c>
      <c r="R2688" s="2" t="s">
        <v>100</v>
      </c>
      <c r="S2688" s="2" t="s">
        <v>9368</v>
      </c>
      <c r="T2688" s="2" t="s">
        <v>438</v>
      </c>
      <c r="U2688" s="2" t="s">
        <v>100</v>
      </c>
      <c r="V2688" s="2" t="s">
        <v>461</v>
      </c>
      <c r="W2688" s="2" t="s">
        <v>609</v>
      </c>
      <c r="X2688" s="2" t="s">
        <v>100</v>
      </c>
      <c r="Y2688" s="2" t="s">
        <v>144</v>
      </c>
      <c r="Z2688" s="4">
        <v>91</v>
      </c>
      <c r="AA2688" s="4">
        <f>=ROUNDDOWN(22.75,0)</f>
      </c>
      <c r="AB2688" s="5">
        <v>4</v>
      </c>
      <c r="AC2688" s="2" t="s">
        <v>330</v>
      </c>
      <c r="AD2688" s="4">
        <v>30</v>
      </c>
      <c r="AE2688" s="4">
        <v>30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100</v>
      </c>
      <c r="AW2688" s="8" t="s">
        <v>100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/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 t="s">
        <v>100</v>
      </c>
      <c r="BJ2688" s="4">
        <v>23</v>
      </c>
      <c r="BK2688" s="8">
        <v>373.14</v>
      </c>
      <c r="BL2688" s="2" t="s">
        <v>9372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159</v>
      </c>
      <c r="BX2688" s="2" t="s">
        <v>1900</v>
      </c>
      <c r="BY2688" s="2" t="s">
        <v>112</v>
      </c>
      <c r="BZ2688" s="2" t="s">
        <v>100</v>
      </c>
    </row>
    <row r="2689">
      <c r="A2689" s="2" t="s">
        <v>9373</v>
      </c>
      <c r="B2689" s="2" t="s">
        <v>9043</v>
      </c>
      <c r="C2689" s="2" t="s">
        <v>88</v>
      </c>
      <c r="D2689" s="2" t="s">
        <v>9044</v>
      </c>
      <c r="E2689" s="2" t="s">
        <v>9045</v>
      </c>
      <c r="F2689" s="2" t="s">
        <v>9366</v>
      </c>
      <c r="G2689" s="2" t="s">
        <v>9366</v>
      </c>
      <c r="H2689" s="2" t="s">
        <v>9366</v>
      </c>
      <c r="I2689" s="2" t="s">
        <v>9367</v>
      </c>
      <c r="J2689" s="2" t="s">
        <v>95</v>
      </c>
      <c r="K2689" s="2" t="s">
        <v>1373</v>
      </c>
      <c r="L2689" s="3">
        <v>19</v>
      </c>
      <c r="M2689" s="3">
        <v>19.95</v>
      </c>
      <c r="N2689" s="3">
        <v>37.99</v>
      </c>
      <c r="O2689" s="2" t="s">
        <v>97</v>
      </c>
      <c r="P2689" s="2" t="s">
        <v>98</v>
      </c>
      <c r="Q2689" s="2" t="s">
        <v>99</v>
      </c>
      <c r="R2689" s="2" t="s">
        <v>100</v>
      </c>
      <c r="S2689" s="2" t="s">
        <v>9368</v>
      </c>
      <c r="T2689" s="2" t="s">
        <v>438</v>
      </c>
      <c r="U2689" s="2" t="s">
        <v>100</v>
      </c>
      <c r="V2689" s="2" t="s">
        <v>461</v>
      </c>
      <c r="W2689" s="2" t="s">
        <v>609</v>
      </c>
      <c r="X2689" s="2" t="s">
        <v>100</v>
      </c>
      <c r="Y2689" s="2" t="s">
        <v>144</v>
      </c>
      <c r="Z2689" s="4">
        <v>482</v>
      </c>
      <c r="AA2689" s="4">
        <f>=ROUNDDOWN(25.3684210526316,0)</f>
      </c>
      <c r="AB2689" s="5">
        <v>19</v>
      </c>
      <c r="AC2689" s="2" t="s">
        <v>1452</v>
      </c>
      <c r="AD2689" s="4">
        <v>50</v>
      </c>
      <c r="AE2689" s="4">
        <v>50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 t="s">
        <v>100</v>
      </c>
      <c r="AW2689" s="8" t="s">
        <v>100</v>
      </c>
      <c r="AX2689" s="4" t="s">
        <v>100</v>
      </c>
      <c r="AY2689" s="8" t="s">
        <v>100</v>
      </c>
      <c r="AZ2689" s="7" t="s">
        <v>100</v>
      </c>
      <c r="BA2689" s="7" t="s">
        <v>100</v>
      </c>
      <c r="BB2689" s="7"/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 t="s">
        <v>100</v>
      </c>
      <c r="BJ2689" s="4">
        <v>73</v>
      </c>
      <c r="BK2689" s="8">
        <v>1406.99</v>
      </c>
      <c r="BL2689" s="2" t="s">
        <v>9374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159</v>
      </c>
      <c r="BX2689" s="2" t="s">
        <v>9375</v>
      </c>
      <c r="BY2689" s="2" t="s">
        <v>112</v>
      </c>
      <c r="BZ2689" s="2" t="s">
        <v>100</v>
      </c>
    </row>
    <row r="2690">
      <c r="A2690" s="2" t="s">
        <v>9376</v>
      </c>
      <c r="B2690" s="2" t="s">
        <v>9043</v>
      </c>
      <c r="C2690" s="2" t="s">
        <v>88</v>
      </c>
      <c r="D2690" s="2" t="s">
        <v>9044</v>
      </c>
      <c r="E2690" s="2" t="s">
        <v>9045</v>
      </c>
      <c r="F2690" s="2" t="s">
        <v>9366</v>
      </c>
      <c r="G2690" s="2" t="s">
        <v>9366</v>
      </c>
      <c r="H2690" s="2" t="s">
        <v>9366</v>
      </c>
      <c r="I2690" s="2" t="s">
        <v>9367</v>
      </c>
      <c r="J2690" s="2" t="s">
        <v>114</v>
      </c>
      <c r="K2690" s="2" t="s">
        <v>1373</v>
      </c>
      <c r="L2690" s="3">
        <v>21.5</v>
      </c>
      <c r="M2690" s="3">
        <v>22.58</v>
      </c>
      <c r="N2690" s="3">
        <v>42.99</v>
      </c>
      <c r="O2690" s="2" t="s">
        <v>97</v>
      </c>
      <c r="P2690" s="2" t="s">
        <v>98</v>
      </c>
      <c r="Q2690" s="2" t="s">
        <v>99</v>
      </c>
      <c r="R2690" s="2" t="s">
        <v>100</v>
      </c>
      <c r="S2690" s="2" t="s">
        <v>9368</v>
      </c>
      <c r="T2690" s="2" t="s">
        <v>438</v>
      </c>
      <c r="U2690" s="2" t="s">
        <v>100</v>
      </c>
      <c r="V2690" s="2" t="s">
        <v>461</v>
      </c>
      <c r="W2690" s="2" t="s">
        <v>609</v>
      </c>
      <c r="X2690" s="2" t="s">
        <v>100</v>
      </c>
      <c r="Y2690" s="2" t="s">
        <v>144</v>
      </c>
      <c r="Z2690" s="4">
        <v>291</v>
      </c>
      <c r="AA2690" s="4">
        <f>=ROUNDDOWN(18.1875,0)</f>
      </c>
      <c r="AB2690" s="5">
        <v>16</v>
      </c>
      <c r="AC2690" s="2" t="s">
        <v>1452</v>
      </c>
      <c r="AD2690" s="4">
        <v>80</v>
      </c>
      <c r="AE2690" s="4">
        <v>130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5</v>
      </c>
      <c r="AQ2690" s="8">
        <v>113.35</v>
      </c>
      <c r="AR2690" s="4"/>
      <c r="AS2690" s="8"/>
      <c r="AT2690" s="7"/>
      <c r="AU2690" s="7"/>
      <c r="AV2690" s="4" t="s">
        <v>100</v>
      </c>
      <c r="AW2690" s="8" t="s">
        <v>100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>
        <v>1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 t="s">
        <v>100</v>
      </c>
      <c r="BJ2690" s="4">
        <v>60</v>
      </c>
      <c r="BK2690" s="8">
        <v>1333.91</v>
      </c>
      <c r="BL2690" s="2" t="s">
        <v>9377</v>
      </c>
      <c r="BM2690" s="7">
        <v>0.0833</v>
      </c>
      <c r="BN2690" s="7">
        <v>0.085</v>
      </c>
      <c r="BO2690" s="4">
        <v>5</v>
      </c>
      <c r="BP2690" s="8">
        <v>113.35</v>
      </c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159</v>
      </c>
      <c r="BX2690" s="2" t="s">
        <v>5347</v>
      </c>
      <c r="BY2690" s="2" t="s">
        <v>112</v>
      </c>
      <c r="BZ2690" s="2" t="s">
        <v>100</v>
      </c>
    </row>
    <row r="2691">
      <c r="A2691" s="2" t="s">
        <v>9378</v>
      </c>
      <c r="B2691" s="2" t="s">
        <v>9043</v>
      </c>
      <c r="C2691" s="2" t="s">
        <v>88</v>
      </c>
      <c r="D2691" s="2" t="s">
        <v>9044</v>
      </c>
      <c r="E2691" s="2" t="s">
        <v>9045</v>
      </c>
      <c r="F2691" s="2" t="s">
        <v>9366</v>
      </c>
      <c r="G2691" s="2" t="s">
        <v>9366</v>
      </c>
      <c r="H2691" s="2" t="s">
        <v>9366</v>
      </c>
      <c r="I2691" s="2" t="s">
        <v>9367</v>
      </c>
      <c r="J2691" s="2" t="s">
        <v>118</v>
      </c>
      <c r="K2691" s="2" t="s">
        <v>1373</v>
      </c>
      <c r="L2691" s="3">
        <v>21.5</v>
      </c>
      <c r="M2691" s="3">
        <v>22.58</v>
      </c>
      <c r="N2691" s="3">
        <v>42.99</v>
      </c>
      <c r="O2691" s="2" t="s">
        <v>97</v>
      </c>
      <c r="P2691" s="2" t="s">
        <v>98</v>
      </c>
      <c r="Q2691" s="2" t="s">
        <v>99</v>
      </c>
      <c r="R2691" s="2" t="s">
        <v>100</v>
      </c>
      <c r="S2691" s="2" t="s">
        <v>9368</v>
      </c>
      <c r="T2691" s="2" t="s">
        <v>438</v>
      </c>
      <c r="U2691" s="2" t="s">
        <v>100</v>
      </c>
      <c r="V2691" s="2" t="s">
        <v>461</v>
      </c>
      <c r="W2691" s="2" t="s">
        <v>609</v>
      </c>
      <c r="X2691" s="2" t="s">
        <v>100</v>
      </c>
      <c r="Y2691" s="2" t="s">
        <v>144</v>
      </c>
      <c r="Z2691" s="4">
        <v>6</v>
      </c>
      <c r="AA2691" s="4">
        <f>=ROUNDDOWN(1.5,0)</f>
      </c>
      <c r="AB2691" s="5">
        <v>4</v>
      </c>
      <c r="AC2691" s="2" t="s">
        <v>312</v>
      </c>
      <c r="AD2691" s="4">
        <v>30</v>
      </c>
      <c r="AE2691" s="4">
        <v>95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 t="s">
        <v>100</v>
      </c>
      <c r="AW2691" s="8" t="s">
        <v>100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/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 t="s">
        <v>100</v>
      </c>
      <c r="BJ2691" s="4">
        <v>12</v>
      </c>
      <c r="BK2691" s="8">
        <v>272.45</v>
      </c>
      <c r="BL2691" s="2" t="s">
        <v>4254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159</v>
      </c>
      <c r="BX2691" s="2" t="s">
        <v>9379</v>
      </c>
      <c r="BY2691" s="2" t="s">
        <v>112</v>
      </c>
      <c r="BZ2691" s="2" t="s">
        <v>100</v>
      </c>
    </row>
    <row r="2692">
      <c r="A2692" s="2" t="s">
        <v>9380</v>
      </c>
      <c r="B2692" s="2" t="s">
        <v>9043</v>
      </c>
      <c r="C2692" s="2" t="s">
        <v>88</v>
      </c>
      <c r="D2692" s="2" t="s">
        <v>9044</v>
      </c>
      <c r="E2692" s="2" t="s">
        <v>9045</v>
      </c>
      <c r="F2692" s="2" t="s">
        <v>9366</v>
      </c>
      <c r="G2692" s="2" t="s">
        <v>9366</v>
      </c>
      <c r="H2692" s="2" t="s">
        <v>9366</v>
      </c>
      <c r="I2692" s="2" t="s">
        <v>9367</v>
      </c>
      <c r="J2692" s="2" t="s">
        <v>1443</v>
      </c>
      <c r="K2692" s="2" t="s">
        <v>458</v>
      </c>
      <c r="L2692" s="3">
        <v>13.44</v>
      </c>
      <c r="M2692" s="3">
        <v>14.11</v>
      </c>
      <c r="N2692" s="3">
        <v>27.99</v>
      </c>
      <c r="O2692" s="2" t="s">
        <v>97</v>
      </c>
      <c r="P2692" s="2" t="s">
        <v>98</v>
      </c>
      <c r="Q2692" s="2" t="s">
        <v>99</v>
      </c>
      <c r="R2692" s="2" t="s">
        <v>100</v>
      </c>
      <c r="S2692" s="2" t="s">
        <v>9381</v>
      </c>
      <c r="T2692" s="2" t="s">
        <v>438</v>
      </c>
      <c r="U2692" s="2" t="s">
        <v>100</v>
      </c>
      <c r="V2692" s="2" t="s">
        <v>461</v>
      </c>
      <c r="W2692" s="2" t="s">
        <v>609</v>
      </c>
      <c r="X2692" s="2" t="s">
        <v>100</v>
      </c>
      <c r="Y2692" s="2" t="s">
        <v>144</v>
      </c>
      <c r="Z2692" s="4">
        <v>167</v>
      </c>
      <c r="AA2692" s="4">
        <f>=ROUNDDOWN(27.8333333333333,0)</f>
      </c>
      <c r="AB2692" s="5">
        <v>6</v>
      </c>
      <c r="AC2692" s="2" t="s">
        <v>1452</v>
      </c>
      <c r="AD2692" s="4">
        <v>20</v>
      </c>
      <c r="AE2692" s="4">
        <v>20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>
        <v>3</v>
      </c>
      <c r="AW2692" s="8">
        <v>68.01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/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>
        <v>0.25</v>
      </c>
      <c r="BJ2692" s="4">
        <v>25</v>
      </c>
      <c r="BK2692" s="8">
        <v>344.87</v>
      </c>
      <c r="BL2692" s="2" t="s">
        <v>9382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159</v>
      </c>
      <c r="BX2692" s="2" t="s">
        <v>9375</v>
      </c>
      <c r="BY2692" s="2" t="s">
        <v>112</v>
      </c>
      <c r="BZ2692" s="2" t="s">
        <v>100</v>
      </c>
    </row>
    <row r="2693">
      <c r="A2693" s="2" t="s">
        <v>9383</v>
      </c>
      <c r="B2693" s="2" t="s">
        <v>9043</v>
      </c>
      <c r="C2693" s="2" t="s">
        <v>88</v>
      </c>
      <c r="D2693" s="2" t="s">
        <v>9044</v>
      </c>
      <c r="E2693" s="2" t="s">
        <v>9045</v>
      </c>
      <c r="F2693" s="2" t="s">
        <v>9366</v>
      </c>
      <c r="G2693" s="2" t="s">
        <v>9366</v>
      </c>
      <c r="H2693" s="2" t="s">
        <v>9366</v>
      </c>
      <c r="I2693" s="2" t="s">
        <v>9367</v>
      </c>
      <c r="J2693" s="2" t="s">
        <v>1806</v>
      </c>
      <c r="K2693" s="2" t="s">
        <v>458</v>
      </c>
      <c r="L2693" s="3">
        <v>15.19</v>
      </c>
      <c r="M2693" s="3">
        <v>15.95</v>
      </c>
      <c r="N2693" s="3">
        <v>30.99</v>
      </c>
      <c r="O2693" s="2" t="s">
        <v>97</v>
      </c>
      <c r="P2693" s="2" t="s">
        <v>98</v>
      </c>
      <c r="Q2693" s="2" t="s">
        <v>99</v>
      </c>
      <c r="R2693" s="2" t="s">
        <v>100</v>
      </c>
      <c r="S2693" s="2" t="s">
        <v>9381</v>
      </c>
      <c r="T2693" s="2" t="s">
        <v>438</v>
      </c>
      <c r="U2693" s="2" t="s">
        <v>100</v>
      </c>
      <c r="V2693" s="2" t="s">
        <v>461</v>
      </c>
      <c r="W2693" s="2" t="s">
        <v>609</v>
      </c>
      <c r="X2693" s="2" t="s">
        <v>100</v>
      </c>
      <c r="Y2693" s="2" t="s">
        <v>144</v>
      </c>
      <c r="Z2693" s="4">
        <v>112</v>
      </c>
      <c r="AA2693" s="4">
        <f>=ROUNDDOWN(28,0)</f>
      </c>
      <c r="AB2693" s="5">
        <v>4</v>
      </c>
      <c r="AC2693" s="2" t="s">
        <v>312</v>
      </c>
      <c r="AD2693" s="4">
        <v>100</v>
      </c>
      <c r="AE2693" s="4">
        <v>250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/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13</v>
      </c>
      <c r="BK2693" s="8">
        <v>195.09</v>
      </c>
      <c r="BL2693" s="2" t="s">
        <v>6718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1815</v>
      </c>
      <c r="BX2693" s="2" t="s">
        <v>1818</v>
      </c>
      <c r="BY2693" s="2" t="s">
        <v>112</v>
      </c>
      <c r="BZ2693" s="2" t="s">
        <v>100</v>
      </c>
    </row>
    <row r="2694">
      <c r="A2694" s="2" t="s">
        <v>9384</v>
      </c>
      <c r="B2694" s="2" t="s">
        <v>9043</v>
      </c>
      <c r="C2694" s="2" t="s">
        <v>88</v>
      </c>
      <c r="D2694" s="2" t="s">
        <v>9044</v>
      </c>
      <c r="E2694" s="2" t="s">
        <v>9045</v>
      </c>
      <c r="F2694" s="2" t="s">
        <v>9366</v>
      </c>
      <c r="G2694" s="2" t="s">
        <v>9366</v>
      </c>
      <c r="H2694" s="2" t="s">
        <v>9366</v>
      </c>
      <c r="I2694" s="2" t="s">
        <v>9367</v>
      </c>
      <c r="J2694" s="2" t="s">
        <v>490</v>
      </c>
      <c r="K2694" s="2" t="s">
        <v>458</v>
      </c>
      <c r="L2694" s="3">
        <v>16.5</v>
      </c>
      <c r="M2694" s="3">
        <v>17.32</v>
      </c>
      <c r="N2694" s="3">
        <v>32.99</v>
      </c>
      <c r="O2694" s="2" t="s">
        <v>97</v>
      </c>
      <c r="P2694" s="2" t="s">
        <v>98</v>
      </c>
      <c r="Q2694" s="2" t="s">
        <v>99</v>
      </c>
      <c r="R2694" s="2" t="s">
        <v>100</v>
      </c>
      <c r="S2694" s="2" t="s">
        <v>9381</v>
      </c>
      <c r="T2694" s="2" t="s">
        <v>438</v>
      </c>
      <c r="U2694" s="2" t="s">
        <v>100</v>
      </c>
      <c r="V2694" s="2" t="s">
        <v>461</v>
      </c>
      <c r="W2694" s="2" t="s">
        <v>609</v>
      </c>
      <c r="X2694" s="2" t="s">
        <v>100</v>
      </c>
      <c r="Y2694" s="2" t="s">
        <v>144</v>
      </c>
      <c r="Z2694" s="4">
        <v>174</v>
      </c>
      <c r="AA2694" s="4">
        <f>=ROUNDDOWN(24.8571428571429,0)</f>
      </c>
      <c r="AB2694" s="5">
        <v>7</v>
      </c>
      <c r="AC2694" s="2" t="s">
        <v>312</v>
      </c>
      <c r="AD2694" s="4">
        <v>120</v>
      </c>
      <c r="AE2694" s="4">
        <v>120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100</v>
      </c>
      <c r="AW2694" s="8" t="s">
        <v>100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/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 t="s">
        <v>100</v>
      </c>
      <c r="BJ2694" s="4">
        <v>37</v>
      </c>
      <c r="BK2694" s="8">
        <v>640.74</v>
      </c>
      <c r="BL2694" s="2" t="s">
        <v>9385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159</v>
      </c>
      <c r="BX2694" s="2" t="s">
        <v>4585</v>
      </c>
      <c r="BY2694" s="2" t="s">
        <v>112</v>
      </c>
      <c r="BZ2694" s="2" t="s">
        <v>100</v>
      </c>
    </row>
    <row r="2695">
      <c r="A2695" s="2" t="s">
        <v>9386</v>
      </c>
      <c r="B2695" s="2" t="s">
        <v>9043</v>
      </c>
      <c r="C2695" s="2" t="s">
        <v>88</v>
      </c>
      <c r="D2695" s="2" t="s">
        <v>9044</v>
      </c>
      <c r="E2695" s="2" t="s">
        <v>9045</v>
      </c>
      <c r="F2695" s="2" t="s">
        <v>9366</v>
      </c>
      <c r="G2695" s="2" t="s">
        <v>9366</v>
      </c>
      <c r="H2695" s="2" t="s">
        <v>9366</v>
      </c>
      <c r="I2695" s="2" t="s">
        <v>9367</v>
      </c>
      <c r="J2695" s="2" t="s">
        <v>95</v>
      </c>
      <c r="K2695" s="2" t="s">
        <v>458</v>
      </c>
      <c r="L2695" s="3">
        <v>19</v>
      </c>
      <c r="M2695" s="3">
        <v>19.95</v>
      </c>
      <c r="N2695" s="3">
        <v>37.99</v>
      </c>
      <c r="O2695" s="2" t="s">
        <v>97</v>
      </c>
      <c r="P2695" s="2" t="s">
        <v>98</v>
      </c>
      <c r="Q2695" s="2" t="s">
        <v>99</v>
      </c>
      <c r="R2695" s="2" t="s">
        <v>100</v>
      </c>
      <c r="S2695" s="2" t="s">
        <v>9381</v>
      </c>
      <c r="T2695" s="2" t="s">
        <v>438</v>
      </c>
      <c r="U2695" s="2" t="s">
        <v>100</v>
      </c>
      <c r="V2695" s="2" t="s">
        <v>461</v>
      </c>
      <c r="W2695" s="2" t="s">
        <v>609</v>
      </c>
      <c r="X2695" s="2" t="s">
        <v>100</v>
      </c>
      <c r="Y2695" s="2" t="s">
        <v>144</v>
      </c>
      <c r="Z2695" s="4">
        <v>166</v>
      </c>
      <c r="AA2695" s="4">
        <f>=ROUNDDOWN(11.0666666666667,0)</f>
      </c>
      <c r="AB2695" s="5">
        <v>15</v>
      </c>
      <c r="AC2695" s="2" t="s">
        <v>312</v>
      </c>
      <c r="AD2695" s="4">
        <v>250</v>
      </c>
      <c r="AE2695" s="4">
        <v>290</v>
      </c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100</v>
      </c>
      <c r="AW2695" s="8" t="s">
        <v>100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/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 t="s">
        <v>100</v>
      </c>
      <c r="BJ2695" s="4">
        <v>64</v>
      </c>
      <c r="BK2695" s="8">
        <v>1246.34</v>
      </c>
      <c r="BL2695" s="2" t="s">
        <v>9387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159</v>
      </c>
      <c r="BX2695" s="2" t="s">
        <v>9388</v>
      </c>
      <c r="BY2695" s="2" t="s">
        <v>112</v>
      </c>
      <c r="BZ2695" s="2" t="s">
        <v>100</v>
      </c>
    </row>
    <row r="2696">
      <c r="A2696" s="2" t="s">
        <v>9389</v>
      </c>
      <c r="B2696" s="2" t="s">
        <v>9043</v>
      </c>
      <c r="C2696" s="2" t="s">
        <v>88</v>
      </c>
      <c r="D2696" s="2" t="s">
        <v>9044</v>
      </c>
      <c r="E2696" s="2" t="s">
        <v>9045</v>
      </c>
      <c r="F2696" s="2" t="s">
        <v>9366</v>
      </c>
      <c r="G2696" s="2" t="s">
        <v>9366</v>
      </c>
      <c r="H2696" s="2" t="s">
        <v>9366</v>
      </c>
      <c r="I2696" s="2" t="s">
        <v>9367</v>
      </c>
      <c r="J2696" s="2" t="s">
        <v>114</v>
      </c>
      <c r="K2696" s="2" t="s">
        <v>458</v>
      </c>
      <c r="L2696" s="3">
        <v>21.5</v>
      </c>
      <c r="M2696" s="3">
        <v>22.58</v>
      </c>
      <c r="N2696" s="3">
        <v>42.99</v>
      </c>
      <c r="O2696" s="2" t="s">
        <v>97</v>
      </c>
      <c r="P2696" s="2" t="s">
        <v>98</v>
      </c>
      <c r="Q2696" s="2" t="s">
        <v>99</v>
      </c>
      <c r="R2696" s="2" t="s">
        <v>100</v>
      </c>
      <c r="S2696" s="2" t="s">
        <v>9381</v>
      </c>
      <c r="T2696" s="2" t="s">
        <v>438</v>
      </c>
      <c r="U2696" s="2" t="s">
        <v>100</v>
      </c>
      <c r="V2696" s="2" t="s">
        <v>461</v>
      </c>
      <c r="W2696" s="2" t="s">
        <v>609</v>
      </c>
      <c r="X2696" s="2" t="s">
        <v>100</v>
      </c>
      <c r="Y2696" s="2" t="s">
        <v>144</v>
      </c>
      <c r="Z2696" s="4">
        <v>128</v>
      </c>
      <c r="AA2696" s="4">
        <f>=ROUNDDOWN(11.6363636363636,0)</f>
      </c>
      <c r="AB2696" s="5">
        <v>11</v>
      </c>
      <c r="AC2696" s="2" t="s">
        <v>1452</v>
      </c>
      <c r="AD2696" s="4">
        <v>30</v>
      </c>
      <c r="AE2696" s="4">
        <v>80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3</v>
      </c>
      <c r="AQ2696" s="8">
        <v>68.01</v>
      </c>
      <c r="AR2696" s="4"/>
      <c r="AS2696" s="8"/>
      <c r="AT2696" s="7"/>
      <c r="AU2696" s="7"/>
      <c r="AV2696" s="4" t="s">
        <v>100</v>
      </c>
      <c r="AW2696" s="8" t="s">
        <v>100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>
        <v>1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 t="s">
        <v>100</v>
      </c>
      <c r="BJ2696" s="4">
        <v>57</v>
      </c>
      <c r="BK2696" s="8">
        <v>1285.97</v>
      </c>
      <c r="BL2696" s="2" t="s">
        <v>9390</v>
      </c>
      <c r="BM2696" s="7">
        <v>0.0526</v>
      </c>
      <c r="BN2696" s="7">
        <v>0.0529</v>
      </c>
      <c r="BO2696" s="4">
        <v>3</v>
      </c>
      <c r="BP2696" s="8">
        <v>68.01</v>
      </c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159</v>
      </c>
      <c r="BX2696" s="2" t="s">
        <v>5176</v>
      </c>
      <c r="BY2696" s="2" t="s">
        <v>112</v>
      </c>
      <c r="BZ2696" s="2" t="s">
        <v>100</v>
      </c>
    </row>
    <row r="2697">
      <c r="A2697" s="2" t="s">
        <v>9391</v>
      </c>
      <c r="B2697" s="2" t="s">
        <v>9043</v>
      </c>
      <c r="C2697" s="2" t="s">
        <v>88</v>
      </c>
      <c r="D2697" s="2" t="s">
        <v>9044</v>
      </c>
      <c r="E2697" s="2" t="s">
        <v>9045</v>
      </c>
      <c r="F2697" s="2" t="s">
        <v>9366</v>
      </c>
      <c r="G2697" s="2" t="s">
        <v>9366</v>
      </c>
      <c r="H2697" s="2" t="s">
        <v>9366</v>
      </c>
      <c r="I2697" s="2" t="s">
        <v>9367</v>
      </c>
      <c r="J2697" s="2" t="s">
        <v>118</v>
      </c>
      <c r="K2697" s="2" t="s">
        <v>458</v>
      </c>
      <c r="L2697" s="3">
        <v>21.5</v>
      </c>
      <c r="M2697" s="3">
        <v>22.58</v>
      </c>
      <c r="N2697" s="3">
        <v>42.99</v>
      </c>
      <c r="O2697" s="2" t="s">
        <v>97</v>
      </c>
      <c r="P2697" s="2" t="s">
        <v>98</v>
      </c>
      <c r="Q2697" s="2" t="s">
        <v>99</v>
      </c>
      <c r="R2697" s="2" t="s">
        <v>100</v>
      </c>
      <c r="S2697" s="2" t="s">
        <v>9381</v>
      </c>
      <c r="T2697" s="2" t="s">
        <v>438</v>
      </c>
      <c r="U2697" s="2" t="s">
        <v>100</v>
      </c>
      <c r="V2697" s="2" t="s">
        <v>461</v>
      </c>
      <c r="W2697" s="2" t="s">
        <v>609</v>
      </c>
      <c r="X2697" s="2" t="s">
        <v>100</v>
      </c>
      <c r="Y2697" s="2" t="s">
        <v>144</v>
      </c>
      <c r="Z2697" s="4">
        <v>104</v>
      </c>
      <c r="AA2697" s="4">
        <f>=ROUNDDOWN(26,0)</f>
      </c>
      <c r="AB2697" s="5">
        <v>4</v>
      </c>
      <c r="AC2697" s="2" t="s">
        <v>330</v>
      </c>
      <c r="AD2697" s="4">
        <v>20</v>
      </c>
      <c r="AE2697" s="4">
        <v>20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/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 t="s">
        <v>100</v>
      </c>
      <c r="BJ2697" s="4">
        <v>11</v>
      </c>
      <c r="BK2697" s="8">
        <v>247.05</v>
      </c>
      <c r="BL2697" s="2" t="s">
        <v>9345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159</v>
      </c>
      <c r="BX2697" s="2" t="s">
        <v>9392</v>
      </c>
      <c r="BY2697" s="2" t="s">
        <v>112</v>
      </c>
      <c r="BZ2697" s="2" t="s">
        <v>100</v>
      </c>
    </row>
    <row r="2698">
      <c r="A2698" s="2" t="s">
        <v>9393</v>
      </c>
      <c r="B2698" s="2" t="s">
        <v>9043</v>
      </c>
      <c r="C2698" s="2" t="s">
        <v>88</v>
      </c>
      <c r="D2698" s="2" t="s">
        <v>9044</v>
      </c>
      <c r="E2698" s="2" t="s">
        <v>9045</v>
      </c>
      <c r="F2698" s="2" t="s">
        <v>9366</v>
      </c>
      <c r="G2698" s="2" t="s">
        <v>9366</v>
      </c>
      <c r="H2698" s="2" t="s">
        <v>9366</v>
      </c>
      <c r="I2698" s="2" t="s">
        <v>9367</v>
      </c>
      <c r="J2698" s="2" t="s">
        <v>1443</v>
      </c>
      <c r="K2698" s="2" t="s">
        <v>179</v>
      </c>
      <c r="L2698" s="3">
        <v>13.44</v>
      </c>
      <c r="M2698" s="3">
        <v>14.11</v>
      </c>
      <c r="N2698" s="3">
        <v>27.99</v>
      </c>
      <c r="O2698" s="2" t="s">
        <v>97</v>
      </c>
      <c r="P2698" s="2" t="s">
        <v>98</v>
      </c>
      <c r="Q2698" s="2" t="s">
        <v>99</v>
      </c>
      <c r="R2698" s="2" t="s">
        <v>100</v>
      </c>
      <c r="S2698" s="2" t="s">
        <v>9394</v>
      </c>
      <c r="T2698" s="2" t="s">
        <v>438</v>
      </c>
      <c r="U2698" s="2" t="s">
        <v>100</v>
      </c>
      <c r="V2698" s="2" t="s">
        <v>461</v>
      </c>
      <c r="W2698" s="2" t="s">
        <v>609</v>
      </c>
      <c r="X2698" s="2" t="s">
        <v>100</v>
      </c>
      <c r="Y2698" s="2" t="s">
        <v>144</v>
      </c>
      <c r="Z2698" s="4">
        <v>187</v>
      </c>
      <c r="AA2698" s="4">
        <f>=ROUNDDOWN(37.4,0)</f>
      </c>
      <c r="AB2698" s="5">
        <v>5</v>
      </c>
      <c r="AC2698" s="2" t="s">
        <v>100</v>
      </c>
      <c r="AD2698" s="4"/>
      <c r="AE2698" s="4"/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>
        <v>2</v>
      </c>
      <c r="AW2698" s="8">
        <v>36.84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/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>
        <v>0.1354</v>
      </c>
      <c r="BJ2698" s="4">
        <v>17</v>
      </c>
      <c r="BK2698" s="8">
        <v>234.96</v>
      </c>
      <c r="BL2698" s="2" t="s">
        <v>9395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159</v>
      </c>
      <c r="BX2698" s="2" t="s">
        <v>902</v>
      </c>
      <c r="BY2698" s="2" t="s">
        <v>112</v>
      </c>
      <c r="BZ2698" s="2" t="s">
        <v>100</v>
      </c>
    </row>
    <row r="2699">
      <c r="A2699" s="2" t="s">
        <v>9396</v>
      </c>
      <c r="B2699" s="2" t="s">
        <v>9043</v>
      </c>
      <c r="C2699" s="2" t="s">
        <v>88</v>
      </c>
      <c r="D2699" s="2" t="s">
        <v>9044</v>
      </c>
      <c r="E2699" s="2" t="s">
        <v>9045</v>
      </c>
      <c r="F2699" s="2" t="s">
        <v>9366</v>
      </c>
      <c r="G2699" s="2" t="s">
        <v>9366</v>
      </c>
      <c r="H2699" s="2" t="s">
        <v>9366</v>
      </c>
      <c r="I2699" s="2" t="s">
        <v>9367</v>
      </c>
      <c r="J2699" s="2" t="s">
        <v>1806</v>
      </c>
      <c r="K2699" s="2" t="s">
        <v>179</v>
      </c>
      <c r="L2699" s="3">
        <v>15.19</v>
      </c>
      <c r="M2699" s="3">
        <v>15.95</v>
      </c>
      <c r="N2699" s="3">
        <v>30.99</v>
      </c>
      <c r="O2699" s="2" t="s">
        <v>97</v>
      </c>
      <c r="P2699" s="2" t="s">
        <v>98</v>
      </c>
      <c r="Q2699" s="2" t="s">
        <v>99</v>
      </c>
      <c r="R2699" s="2" t="s">
        <v>100</v>
      </c>
      <c r="S2699" s="2" t="s">
        <v>9394</v>
      </c>
      <c r="T2699" s="2" t="s">
        <v>438</v>
      </c>
      <c r="U2699" s="2" t="s">
        <v>100</v>
      </c>
      <c r="V2699" s="2" t="s">
        <v>461</v>
      </c>
      <c r="W2699" s="2" t="s">
        <v>609</v>
      </c>
      <c r="X2699" s="2" t="s">
        <v>100</v>
      </c>
      <c r="Y2699" s="2" t="s">
        <v>144</v>
      </c>
      <c r="Z2699" s="4">
        <v>173</v>
      </c>
      <c r="AA2699" s="4">
        <f>=ROUNDDOWN(43.25,0)</f>
      </c>
      <c r="AB2699" s="5">
        <v>4</v>
      </c>
      <c r="AC2699" s="2" t="s">
        <v>312</v>
      </c>
      <c r="AD2699" s="4">
        <v>100</v>
      </c>
      <c r="AE2699" s="4">
        <v>200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/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 t="s">
        <v>100</v>
      </c>
      <c r="BJ2699" s="4">
        <v>18</v>
      </c>
      <c r="BK2699" s="8">
        <v>269.55</v>
      </c>
      <c r="BL2699" s="2" t="s">
        <v>9397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1815</v>
      </c>
      <c r="BX2699" s="2" t="s">
        <v>1898</v>
      </c>
      <c r="BY2699" s="2" t="s">
        <v>112</v>
      </c>
      <c r="BZ2699" s="2" t="s">
        <v>100</v>
      </c>
    </row>
    <row r="2700">
      <c r="A2700" s="2" t="s">
        <v>9398</v>
      </c>
      <c r="B2700" s="2" t="s">
        <v>9043</v>
      </c>
      <c r="C2700" s="2" t="s">
        <v>88</v>
      </c>
      <c r="D2700" s="2" t="s">
        <v>9044</v>
      </c>
      <c r="E2700" s="2" t="s">
        <v>9045</v>
      </c>
      <c r="F2700" s="2" t="s">
        <v>9366</v>
      </c>
      <c r="G2700" s="2" t="s">
        <v>9366</v>
      </c>
      <c r="H2700" s="2" t="s">
        <v>9366</v>
      </c>
      <c r="I2700" s="2" t="s">
        <v>9367</v>
      </c>
      <c r="J2700" s="2" t="s">
        <v>490</v>
      </c>
      <c r="K2700" s="2" t="s">
        <v>179</v>
      </c>
      <c r="L2700" s="3">
        <v>16.5</v>
      </c>
      <c r="M2700" s="3">
        <v>17.32</v>
      </c>
      <c r="N2700" s="3">
        <v>32.99</v>
      </c>
      <c r="O2700" s="2" t="s">
        <v>97</v>
      </c>
      <c r="P2700" s="2" t="s">
        <v>98</v>
      </c>
      <c r="Q2700" s="2" t="s">
        <v>99</v>
      </c>
      <c r="R2700" s="2" t="s">
        <v>100</v>
      </c>
      <c r="S2700" s="2" t="s">
        <v>9394</v>
      </c>
      <c r="T2700" s="2" t="s">
        <v>438</v>
      </c>
      <c r="U2700" s="2" t="s">
        <v>100</v>
      </c>
      <c r="V2700" s="2" t="s">
        <v>461</v>
      </c>
      <c r="W2700" s="2" t="s">
        <v>609</v>
      </c>
      <c r="X2700" s="2" t="s">
        <v>100</v>
      </c>
      <c r="Y2700" s="2" t="s">
        <v>144</v>
      </c>
      <c r="Z2700" s="4">
        <v>251</v>
      </c>
      <c r="AA2700" s="4">
        <f>=ROUNDDOWN(25.1,0)</f>
      </c>
      <c r="AB2700" s="5">
        <v>10</v>
      </c>
      <c r="AC2700" s="2" t="s">
        <v>1452</v>
      </c>
      <c r="AD2700" s="4">
        <v>30</v>
      </c>
      <c r="AE2700" s="4">
        <v>50</v>
      </c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1</v>
      </c>
      <c r="AQ2700" s="8">
        <v>17</v>
      </c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0.4615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19</v>
      </c>
      <c r="BK2700" s="8">
        <v>321.49</v>
      </c>
      <c r="BL2700" s="2" t="s">
        <v>9399</v>
      </c>
      <c r="BM2700" s="7">
        <v>0.0526</v>
      </c>
      <c r="BN2700" s="7">
        <v>0.0529</v>
      </c>
      <c r="BO2700" s="4">
        <v>1</v>
      </c>
      <c r="BP2700" s="8">
        <v>17</v>
      </c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159</v>
      </c>
      <c r="BX2700" s="2" t="s">
        <v>1946</v>
      </c>
      <c r="BY2700" s="2" t="s">
        <v>112</v>
      </c>
      <c r="BZ2700" s="2" t="s">
        <v>100</v>
      </c>
    </row>
    <row r="2701">
      <c r="A2701" s="2" t="s">
        <v>9400</v>
      </c>
      <c r="B2701" s="2" t="s">
        <v>9043</v>
      </c>
      <c r="C2701" s="2" t="s">
        <v>88</v>
      </c>
      <c r="D2701" s="2" t="s">
        <v>9044</v>
      </c>
      <c r="E2701" s="2" t="s">
        <v>9045</v>
      </c>
      <c r="F2701" s="2" t="s">
        <v>9366</v>
      </c>
      <c r="G2701" s="2" t="s">
        <v>9366</v>
      </c>
      <c r="H2701" s="2" t="s">
        <v>9366</v>
      </c>
      <c r="I2701" s="2" t="s">
        <v>9367</v>
      </c>
      <c r="J2701" s="2" t="s">
        <v>95</v>
      </c>
      <c r="K2701" s="2" t="s">
        <v>179</v>
      </c>
      <c r="L2701" s="3">
        <v>19</v>
      </c>
      <c r="M2701" s="3">
        <v>19.95</v>
      </c>
      <c r="N2701" s="3">
        <v>37.99</v>
      </c>
      <c r="O2701" s="2" t="s">
        <v>97</v>
      </c>
      <c r="P2701" s="2" t="s">
        <v>98</v>
      </c>
      <c r="Q2701" s="2" t="s">
        <v>99</v>
      </c>
      <c r="R2701" s="2" t="s">
        <v>100</v>
      </c>
      <c r="S2701" s="2" t="s">
        <v>9394</v>
      </c>
      <c r="T2701" s="2" t="s">
        <v>438</v>
      </c>
      <c r="U2701" s="2" t="s">
        <v>100</v>
      </c>
      <c r="V2701" s="2" t="s">
        <v>461</v>
      </c>
      <c r="W2701" s="2" t="s">
        <v>609</v>
      </c>
      <c r="X2701" s="2" t="s">
        <v>100</v>
      </c>
      <c r="Y2701" s="2" t="s">
        <v>144</v>
      </c>
      <c r="Z2701" s="4">
        <v>546</v>
      </c>
      <c r="AA2701" s="4">
        <f>=ROUNDDOWN(30.3333333333333,0)</f>
      </c>
      <c r="AB2701" s="5">
        <v>18</v>
      </c>
      <c r="AC2701" s="2" t="s">
        <v>312</v>
      </c>
      <c r="AD2701" s="4">
        <v>80</v>
      </c>
      <c r="AE2701" s="4">
        <v>152</v>
      </c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1</v>
      </c>
      <c r="AQ2701" s="8">
        <v>19.84</v>
      </c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0.5385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 t="s">
        <v>100</v>
      </c>
      <c r="BJ2701" s="4">
        <v>72</v>
      </c>
      <c r="BK2701" s="8">
        <v>1388.4</v>
      </c>
      <c r="BL2701" s="2" t="s">
        <v>9401</v>
      </c>
      <c r="BM2701" s="7">
        <v>0.0139</v>
      </c>
      <c r="BN2701" s="7">
        <v>0.0143</v>
      </c>
      <c r="BO2701" s="4">
        <v>1</v>
      </c>
      <c r="BP2701" s="8">
        <v>19.84</v>
      </c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159</v>
      </c>
      <c r="BX2701" s="2" t="s">
        <v>9402</v>
      </c>
      <c r="BY2701" s="2" t="s">
        <v>112</v>
      </c>
      <c r="BZ2701" s="2" t="s">
        <v>100</v>
      </c>
    </row>
    <row r="2702">
      <c r="A2702" s="2" t="s">
        <v>9403</v>
      </c>
      <c r="B2702" s="2" t="s">
        <v>9043</v>
      </c>
      <c r="C2702" s="2" t="s">
        <v>88</v>
      </c>
      <c r="D2702" s="2" t="s">
        <v>9044</v>
      </c>
      <c r="E2702" s="2" t="s">
        <v>9045</v>
      </c>
      <c r="F2702" s="2" t="s">
        <v>9366</v>
      </c>
      <c r="G2702" s="2" t="s">
        <v>9366</v>
      </c>
      <c r="H2702" s="2" t="s">
        <v>9366</v>
      </c>
      <c r="I2702" s="2" t="s">
        <v>9367</v>
      </c>
      <c r="J2702" s="2" t="s">
        <v>114</v>
      </c>
      <c r="K2702" s="2" t="s">
        <v>179</v>
      </c>
      <c r="L2702" s="3">
        <v>21.5</v>
      </c>
      <c r="M2702" s="3">
        <v>22.58</v>
      </c>
      <c r="N2702" s="3">
        <v>42.99</v>
      </c>
      <c r="O2702" s="2" t="s">
        <v>97</v>
      </c>
      <c r="P2702" s="2" t="s">
        <v>98</v>
      </c>
      <c r="Q2702" s="2" t="s">
        <v>99</v>
      </c>
      <c r="R2702" s="2" t="s">
        <v>100</v>
      </c>
      <c r="S2702" s="2" t="s">
        <v>9394</v>
      </c>
      <c r="T2702" s="2" t="s">
        <v>438</v>
      </c>
      <c r="U2702" s="2" t="s">
        <v>100</v>
      </c>
      <c r="V2702" s="2" t="s">
        <v>461</v>
      </c>
      <c r="W2702" s="2" t="s">
        <v>609</v>
      </c>
      <c r="X2702" s="2" t="s">
        <v>100</v>
      </c>
      <c r="Y2702" s="2" t="s">
        <v>144</v>
      </c>
      <c r="Z2702" s="4">
        <v>160</v>
      </c>
      <c r="AA2702" s="4">
        <f>=ROUNDDOWN(15.6862745098039,0)</f>
      </c>
      <c r="AB2702" s="5">
        <v>10.2</v>
      </c>
      <c r="AC2702" s="2" t="s">
        <v>312</v>
      </c>
      <c r="AD2702" s="4">
        <v>60</v>
      </c>
      <c r="AE2702" s="4">
        <v>110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/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53</v>
      </c>
      <c r="BK2702" s="8">
        <v>1188.59</v>
      </c>
      <c r="BL2702" s="2" t="s">
        <v>9404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159</v>
      </c>
      <c r="BX2702" s="2" t="s">
        <v>9405</v>
      </c>
      <c r="BY2702" s="2" t="s">
        <v>112</v>
      </c>
      <c r="BZ2702" s="2" t="s">
        <v>100</v>
      </c>
    </row>
    <row r="2703">
      <c r="A2703" s="2" t="s">
        <v>9406</v>
      </c>
      <c r="B2703" s="2" t="s">
        <v>9043</v>
      </c>
      <c r="C2703" s="2" t="s">
        <v>88</v>
      </c>
      <c r="D2703" s="2" t="s">
        <v>9044</v>
      </c>
      <c r="E2703" s="2" t="s">
        <v>9045</v>
      </c>
      <c r="F2703" s="2" t="s">
        <v>9366</v>
      </c>
      <c r="G2703" s="2" t="s">
        <v>9366</v>
      </c>
      <c r="H2703" s="2" t="s">
        <v>9366</v>
      </c>
      <c r="I2703" s="2" t="s">
        <v>9367</v>
      </c>
      <c r="J2703" s="2" t="s">
        <v>118</v>
      </c>
      <c r="K2703" s="2" t="s">
        <v>179</v>
      </c>
      <c r="L2703" s="3">
        <v>21.5</v>
      </c>
      <c r="M2703" s="3">
        <v>22.58</v>
      </c>
      <c r="N2703" s="3">
        <v>42.99</v>
      </c>
      <c r="O2703" s="2" t="s">
        <v>97</v>
      </c>
      <c r="P2703" s="2" t="s">
        <v>98</v>
      </c>
      <c r="Q2703" s="2" t="s">
        <v>99</v>
      </c>
      <c r="R2703" s="2" t="s">
        <v>100</v>
      </c>
      <c r="S2703" s="2" t="s">
        <v>9394</v>
      </c>
      <c r="T2703" s="2" t="s">
        <v>438</v>
      </c>
      <c r="U2703" s="2" t="s">
        <v>100</v>
      </c>
      <c r="V2703" s="2" t="s">
        <v>461</v>
      </c>
      <c r="W2703" s="2" t="s">
        <v>609</v>
      </c>
      <c r="X2703" s="2" t="s">
        <v>100</v>
      </c>
      <c r="Y2703" s="2" t="s">
        <v>144</v>
      </c>
      <c r="Z2703" s="4">
        <v>108</v>
      </c>
      <c r="AA2703" s="4">
        <f>=ROUNDDOWN(18,0)</f>
      </c>
      <c r="AB2703" s="5">
        <v>6</v>
      </c>
      <c r="AC2703" s="2" t="s">
        <v>312</v>
      </c>
      <c r="AD2703" s="4">
        <v>30</v>
      </c>
      <c r="AE2703" s="4">
        <v>110</v>
      </c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/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13</v>
      </c>
      <c r="BK2703" s="8">
        <v>297.66</v>
      </c>
      <c r="BL2703" s="2" t="s">
        <v>9407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159</v>
      </c>
      <c r="BX2703" s="2" t="s">
        <v>776</v>
      </c>
      <c r="BY2703" s="2" t="s">
        <v>112</v>
      </c>
      <c r="BZ2703" s="2" t="s">
        <v>100</v>
      </c>
    </row>
    <row r="2704">
      <c r="A2704" s="2" t="s">
        <v>9408</v>
      </c>
      <c r="B2704" s="2" t="s">
        <v>9043</v>
      </c>
      <c r="C2704" s="2" t="s">
        <v>88</v>
      </c>
      <c r="D2704" s="2" t="s">
        <v>9044</v>
      </c>
      <c r="E2704" s="2" t="s">
        <v>9045</v>
      </c>
      <c r="F2704" s="2" t="s">
        <v>9366</v>
      </c>
      <c r="G2704" s="2" t="s">
        <v>9366</v>
      </c>
      <c r="H2704" s="2" t="s">
        <v>9366</v>
      </c>
      <c r="I2704" s="2" t="s">
        <v>9367</v>
      </c>
      <c r="J2704" s="2" t="s">
        <v>1443</v>
      </c>
      <c r="K2704" s="2" t="s">
        <v>188</v>
      </c>
      <c r="L2704" s="3">
        <v>13.44</v>
      </c>
      <c r="M2704" s="3">
        <v>14.11</v>
      </c>
      <c r="N2704" s="3">
        <v>27.99</v>
      </c>
      <c r="O2704" s="2" t="s">
        <v>97</v>
      </c>
      <c r="P2704" s="2" t="s">
        <v>98</v>
      </c>
      <c r="Q2704" s="2" t="s">
        <v>99</v>
      </c>
      <c r="R2704" s="2" t="s">
        <v>100</v>
      </c>
      <c r="S2704" s="2" t="s">
        <v>9409</v>
      </c>
      <c r="T2704" s="2" t="s">
        <v>438</v>
      </c>
      <c r="U2704" s="2" t="s">
        <v>100</v>
      </c>
      <c r="V2704" s="2" t="s">
        <v>461</v>
      </c>
      <c r="W2704" s="2" t="s">
        <v>609</v>
      </c>
      <c r="X2704" s="2" t="s">
        <v>100</v>
      </c>
      <c r="Y2704" s="2" t="s">
        <v>1662</v>
      </c>
      <c r="Z2704" s="4">
        <v>142</v>
      </c>
      <c r="AA2704" s="4">
        <f>=ROUNDDOWN(28.4,0)</f>
      </c>
      <c r="AB2704" s="5">
        <v>5</v>
      </c>
      <c r="AC2704" s="2" t="s">
        <v>312</v>
      </c>
      <c r="AD2704" s="4">
        <v>50</v>
      </c>
      <c r="AE2704" s="4">
        <v>80</v>
      </c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1</v>
      </c>
      <c r="AQ2704" s="8">
        <v>14.17</v>
      </c>
      <c r="AR2704" s="4"/>
      <c r="AS2704" s="8"/>
      <c r="AT2704" s="7"/>
      <c r="AU2704" s="7"/>
      <c r="AV2704" s="4">
        <v>2</v>
      </c>
      <c r="AW2704" s="8">
        <v>34.01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>
        <v>0.4166</v>
      </c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>
        <v>0.125</v>
      </c>
      <c r="BJ2704" s="4">
        <v>24</v>
      </c>
      <c r="BK2704" s="8">
        <v>344.77</v>
      </c>
      <c r="BL2704" s="2" t="s">
        <v>9410</v>
      </c>
      <c r="BM2704" s="7">
        <v>0.0417</v>
      </c>
      <c r="BN2704" s="7">
        <v>0.0411</v>
      </c>
      <c r="BO2704" s="4">
        <v>1</v>
      </c>
      <c r="BP2704" s="8">
        <v>14.17</v>
      </c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982</v>
      </c>
      <c r="BX2704" s="2" t="s">
        <v>9411</v>
      </c>
      <c r="BY2704" s="2" t="s">
        <v>112</v>
      </c>
      <c r="BZ2704" s="2" t="s">
        <v>100</v>
      </c>
    </row>
    <row r="2705">
      <c r="A2705" s="2" t="s">
        <v>9412</v>
      </c>
      <c r="B2705" s="2" t="s">
        <v>9043</v>
      </c>
      <c r="C2705" s="2" t="s">
        <v>88</v>
      </c>
      <c r="D2705" s="2" t="s">
        <v>9044</v>
      </c>
      <c r="E2705" s="2" t="s">
        <v>9045</v>
      </c>
      <c r="F2705" s="2" t="s">
        <v>9366</v>
      </c>
      <c r="G2705" s="2" t="s">
        <v>9366</v>
      </c>
      <c r="H2705" s="2" t="s">
        <v>9366</v>
      </c>
      <c r="I2705" s="2" t="s">
        <v>9367</v>
      </c>
      <c r="J2705" s="2" t="s">
        <v>1806</v>
      </c>
      <c r="K2705" s="2" t="s">
        <v>188</v>
      </c>
      <c r="L2705" s="3">
        <v>15.19</v>
      </c>
      <c r="M2705" s="3">
        <v>15.95</v>
      </c>
      <c r="N2705" s="3">
        <v>30.99</v>
      </c>
      <c r="O2705" s="2" t="s">
        <v>97</v>
      </c>
      <c r="P2705" s="2" t="s">
        <v>98</v>
      </c>
      <c r="Q2705" s="2" t="s">
        <v>99</v>
      </c>
      <c r="R2705" s="2" t="s">
        <v>100</v>
      </c>
      <c r="S2705" s="2" t="s">
        <v>9409</v>
      </c>
      <c r="T2705" s="2" t="s">
        <v>438</v>
      </c>
      <c r="U2705" s="2" t="s">
        <v>100</v>
      </c>
      <c r="V2705" s="2" t="s">
        <v>461</v>
      </c>
      <c r="W2705" s="2" t="s">
        <v>609</v>
      </c>
      <c r="X2705" s="2" t="s">
        <v>100</v>
      </c>
      <c r="Y2705" s="2" t="s">
        <v>1662</v>
      </c>
      <c r="Z2705" s="4">
        <v>295</v>
      </c>
      <c r="AA2705" s="4">
        <f>=ROUNDDOWN(73.75,0)</f>
      </c>
      <c r="AB2705" s="5">
        <v>4</v>
      </c>
      <c r="AC2705" s="2" t="s">
        <v>312</v>
      </c>
      <c r="AD2705" s="4">
        <v>30</v>
      </c>
      <c r="AE2705" s="4">
        <v>160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/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11</v>
      </c>
      <c r="BK2705" s="8">
        <v>173.75</v>
      </c>
      <c r="BL2705" s="2" t="s">
        <v>9413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982</v>
      </c>
      <c r="BX2705" s="2" t="s">
        <v>4574</v>
      </c>
      <c r="BY2705" s="2" t="s">
        <v>112</v>
      </c>
      <c r="BZ2705" s="2" t="s">
        <v>100</v>
      </c>
    </row>
    <row r="2706">
      <c r="A2706" s="2" t="s">
        <v>9414</v>
      </c>
      <c r="B2706" s="2" t="s">
        <v>9043</v>
      </c>
      <c r="C2706" s="2" t="s">
        <v>88</v>
      </c>
      <c r="D2706" s="2" t="s">
        <v>9044</v>
      </c>
      <c r="E2706" s="2" t="s">
        <v>9045</v>
      </c>
      <c r="F2706" s="2" t="s">
        <v>9366</v>
      </c>
      <c r="G2706" s="2" t="s">
        <v>9366</v>
      </c>
      <c r="H2706" s="2" t="s">
        <v>9366</v>
      </c>
      <c r="I2706" s="2" t="s">
        <v>9367</v>
      </c>
      <c r="J2706" s="2" t="s">
        <v>95</v>
      </c>
      <c r="K2706" s="2" t="s">
        <v>188</v>
      </c>
      <c r="L2706" s="3">
        <v>19</v>
      </c>
      <c r="M2706" s="3">
        <v>19.95</v>
      </c>
      <c r="N2706" s="3">
        <v>37.99</v>
      </c>
      <c r="O2706" s="2" t="s">
        <v>97</v>
      </c>
      <c r="P2706" s="2" t="s">
        <v>98</v>
      </c>
      <c r="Q2706" s="2" t="s">
        <v>99</v>
      </c>
      <c r="R2706" s="2" t="s">
        <v>100</v>
      </c>
      <c r="S2706" s="2" t="s">
        <v>9409</v>
      </c>
      <c r="T2706" s="2" t="s">
        <v>438</v>
      </c>
      <c r="U2706" s="2" t="s">
        <v>100</v>
      </c>
      <c r="V2706" s="2" t="s">
        <v>461</v>
      </c>
      <c r="W2706" s="2" t="s">
        <v>609</v>
      </c>
      <c r="X2706" s="2" t="s">
        <v>100</v>
      </c>
      <c r="Y2706" s="2" t="s">
        <v>1662</v>
      </c>
      <c r="Z2706" s="4">
        <v>689</v>
      </c>
      <c r="AA2706" s="4">
        <f>=ROUNDDOWN(26.5,0)</f>
      </c>
      <c r="AB2706" s="5">
        <v>26</v>
      </c>
      <c r="AC2706" s="2" t="s">
        <v>312</v>
      </c>
      <c r="AD2706" s="4">
        <v>150</v>
      </c>
      <c r="AE2706" s="4">
        <v>150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1</v>
      </c>
      <c r="AQ2706" s="8">
        <v>19.84</v>
      </c>
      <c r="AR2706" s="4"/>
      <c r="AS2706" s="8"/>
      <c r="AT2706" s="7"/>
      <c r="AU2706" s="7"/>
      <c r="AV2706" s="4" t="s">
        <v>100</v>
      </c>
      <c r="AW2706" s="8" t="s">
        <v>100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0.5834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 t="s">
        <v>100</v>
      </c>
      <c r="BJ2706" s="4">
        <v>86</v>
      </c>
      <c r="BK2706" s="8">
        <v>1765</v>
      </c>
      <c r="BL2706" s="2" t="s">
        <v>9415</v>
      </c>
      <c r="BM2706" s="7">
        <v>0.0116</v>
      </c>
      <c r="BN2706" s="7">
        <v>0.0112</v>
      </c>
      <c r="BO2706" s="4">
        <v>1</v>
      </c>
      <c r="BP2706" s="8">
        <v>19.84</v>
      </c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982</v>
      </c>
      <c r="BX2706" s="2" t="s">
        <v>973</v>
      </c>
      <c r="BY2706" s="2" t="s">
        <v>112</v>
      </c>
      <c r="BZ2706" s="2" t="s">
        <v>100</v>
      </c>
    </row>
    <row r="2707">
      <c r="A2707" s="2" t="s">
        <v>9416</v>
      </c>
      <c r="B2707" s="2" t="s">
        <v>9043</v>
      </c>
      <c r="C2707" s="2" t="s">
        <v>88</v>
      </c>
      <c r="D2707" s="2" t="s">
        <v>9044</v>
      </c>
      <c r="E2707" s="2" t="s">
        <v>9045</v>
      </c>
      <c r="F2707" s="2" t="s">
        <v>9366</v>
      </c>
      <c r="G2707" s="2" t="s">
        <v>9366</v>
      </c>
      <c r="H2707" s="2" t="s">
        <v>9366</v>
      </c>
      <c r="I2707" s="2" t="s">
        <v>9367</v>
      </c>
      <c r="J2707" s="2" t="s">
        <v>114</v>
      </c>
      <c r="K2707" s="2" t="s">
        <v>188</v>
      </c>
      <c r="L2707" s="3">
        <v>21.5</v>
      </c>
      <c r="M2707" s="3">
        <v>22.58</v>
      </c>
      <c r="N2707" s="3">
        <v>42.99</v>
      </c>
      <c r="O2707" s="2" t="s">
        <v>97</v>
      </c>
      <c r="P2707" s="2" t="s">
        <v>98</v>
      </c>
      <c r="Q2707" s="2" t="s">
        <v>99</v>
      </c>
      <c r="R2707" s="2" t="s">
        <v>100</v>
      </c>
      <c r="S2707" s="2" t="s">
        <v>9409</v>
      </c>
      <c r="T2707" s="2" t="s">
        <v>438</v>
      </c>
      <c r="U2707" s="2" t="s">
        <v>100</v>
      </c>
      <c r="V2707" s="2" t="s">
        <v>461</v>
      </c>
      <c r="W2707" s="2" t="s">
        <v>609</v>
      </c>
      <c r="X2707" s="2" t="s">
        <v>100</v>
      </c>
      <c r="Y2707" s="2" t="s">
        <v>1662</v>
      </c>
      <c r="Z2707" s="4">
        <v>246</v>
      </c>
      <c r="AA2707" s="4">
        <f>=ROUNDDOWN(16.4,0)</f>
      </c>
      <c r="AB2707" s="5">
        <v>15</v>
      </c>
      <c r="AC2707" s="2" t="s">
        <v>312</v>
      </c>
      <c r="AD2707" s="4">
        <v>60</v>
      </c>
      <c r="AE2707" s="4">
        <v>120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/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58</v>
      </c>
      <c r="BK2707" s="8">
        <v>1301.89</v>
      </c>
      <c r="BL2707" s="2" t="s">
        <v>9417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982</v>
      </c>
      <c r="BX2707" s="2" t="s">
        <v>278</v>
      </c>
      <c r="BY2707" s="2" t="s">
        <v>112</v>
      </c>
      <c r="BZ2707" s="2" t="s">
        <v>100</v>
      </c>
    </row>
    <row r="2708">
      <c r="A2708" s="2" t="s">
        <v>9418</v>
      </c>
      <c r="B2708" s="2" t="s">
        <v>9043</v>
      </c>
      <c r="C2708" s="2" t="s">
        <v>88</v>
      </c>
      <c r="D2708" s="2" t="s">
        <v>9044</v>
      </c>
      <c r="E2708" s="2" t="s">
        <v>9045</v>
      </c>
      <c r="F2708" s="2" t="s">
        <v>9366</v>
      </c>
      <c r="G2708" s="2" t="s">
        <v>9366</v>
      </c>
      <c r="H2708" s="2" t="s">
        <v>9366</v>
      </c>
      <c r="I2708" s="2" t="s">
        <v>9367</v>
      </c>
      <c r="J2708" s="2" t="s">
        <v>118</v>
      </c>
      <c r="K2708" s="2" t="s">
        <v>188</v>
      </c>
      <c r="L2708" s="3">
        <v>21.5</v>
      </c>
      <c r="M2708" s="3">
        <v>22.58</v>
      </c>
      <c r="N2708" s="3">
        <v>42.99</v>
      </c>
      <c r="O2708" s="2" t="s">
        <v>97</v>
      </c>
      <c r="P2708" s="2" t="s">
        <v>98</v>
      </c>
      <c r="Q2708" s="2" t="s">
        <v>99</v>
      </c>
      <c r="R2708" s="2" t="s">
        <v>100</v>
      </c>
      <c r="S2708" s="2" t="s">
        <v>9409</v>
      </c>
      <c r="T2708" s="2" t="s">
        <v>438</v>
      </c>
      <c r="U2708" s="2" t="s">
        <v>100</v>
      </c>
      <c r="V2708" s="2" t="s">
        <v>461</v>
      </c>
      <c r="W2708" s="2" t="s">
        <v>609</v>
      </c>
      <c r="X2708" s="2" t="s">
        <v>100</v>
      </c>
      <c r="Y2708" s="2" t="s">
        <v>1662</v>
      </c>
      <c r="Z2708" s="4">
        <v>26</v>
      </c>
      <c r="AA2708" s="4">
        <f>=ROUNDDOWN(4.33333333333333,0)</f>
      </c>
      <c r="AB2708" s="5">
        <v>6</v>
      </c>
      <c r="AC2708" s="2" t="s">
        <v>312</v>
      </c>
      <c r="AD2708" s="4">
        <v>30</v>
      </c>
      <c r="AE2708" s="4">
        <v>130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100</v>
      </c>
      <c r="AW2708" s="8" t="s">
        <v>100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/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 t="s">
        <v>100</v>
      </c>
      <c r="BJ2708" s="4">
        <v>17</v>
      </c>
      <c r="BK2708" s="8">
        <v>403.48</v>
      </c>
      <c r="BL2708" s="2" t="s">
        <v>5495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982</v>
      </c>
      <c r="BX2708" s="2" t="s">
        <v>281</v>
      </c>
      <c r="BY2708" s="2" t="s">
        <v>112</v>
      </c>
      <c r="BZ2708" s="2" t="s">
        <v>100</v>
      </c>
    </row>
    <row r="2709">
      <c r="A2709" s="2" t="s">
        <v>9419</v>
      </c>
      <c r="B2709" s="2" t="s">
        <v>9043</v>
      </c>
      <c r="C2709" s="2" t="s">
        <v>88</v>
      </c>
      <c r="D2709" s="2" t="s">
        <v>9044</v>
      </c>
      <c r="E2709" s="2" t="s">
        <v>9045</v>
      </c>
      <c r="F2709" s="2" t="s">
        <v>9366</v>
      </c>
      <c r="G2709" s="2" t="s">
        <v>9366</v>
      </c>
      <c r="H2709" s="2" t="s">
        <v>9366</v>
      </c>
      <c r="I2709" s="2" t="s">
        <v>9367</v>
      </c>
      <c r="J2709" s="2" t="s">
        <v>1443</v>
      </c>
      <c r="K2709" s="2" t="s">
        <v>1173</v>
      </c>
      <c r="L2709" s="3">
        <v>13.44</v>
      </c>
      <c r="M2709" s="3">
        <v>14.11</v>
      </c>
      <c r="N2709" s="3">
        <v>27.99</v>
      </c>
      <c r="O2709" s="2" t="s">
        <v>97</v>
      </c>
      <c r="P2709" s="2" t="s">
        <v>98</v>
      </c>
      <c r="Q2709" s="2" t="s">
        <v>99</v>
      </c>
      <c r="R2709" s="2" t="s">
        <v>100</v>
      </c>
      <c r="S2709" s="2" t="s">
        <v>9420</v>
      </c>
      <c r="T2709" s="2" t="s">
        <v>438</v>
      </c>
      <c r="U2709" s="2" t="s">
        <v>100</v>
      </c>
      <c r="V2709" s="2" t="s">
        <v>461</v>
      </c>
      <c r="W2709" s="2" t="s">
        <v>609</v>
      </c>
      <c r="X2709" s="2" t="s">
        <v>100</v>
      </c>
      <c r="Y2709" s="2" t="s">
        <v>144</v>
      </c>
      <c r="Z2709" s="4">
        <v>205</v>
      </c>
      <c r="AA2709" s="4">
        <f>=ROUNDDOWN(29.2857142857143,0)</f>
      </c>
      <c r="AB2709" s="5">
        <v>7</v>
      </c>
      <c r="AC2709" s="2" t="s">
        <v>312</v>
      </c>
      <c r="AD2709" s="4">
        <v>30</v>
      </c>
      <c r="AE2709" s="4">
        <v>30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>
        <v>1</v>
      </c>
      <c r="AW2709" s="8">
        <v>19.84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/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>
        <v>0.0729</v>
      </c>
      <c r="BJ2709" s="4">
        <v>27</v>
      </c>
      <c r="BK2709" s="8">
        <v>385.18</v>
      </c>
      <c r="BL2709" s="2" t="s">
        <v>9421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1815</v>
      </c>
      <c r="BX2709" s="2" t="s">
        <v>5647</v>
      </c>
      <c r="BY2709" s="2" t="s">
        <v>112</v>
      </c>
      <c r="BZ2709" s="2" t="s">
        <v>100</v>
      </c>
    </row>
    <row r="2710">
      <c r="A2710" s="2" t="s">
        <v>9422</v>
      </c>
      <c r="B2710" s="2" t="s">
        <v>9043</v>
      </c>
      <c r="C2710" s="2" t="s">
        <v>88</v>
      </c>
      <c r="D2710" s="2" t="s">
        <v>9044</v>
      </c>
      <c r="E2710" s="2" t="s">
        <v>9045</v>
      </c>
      <c r="F2710" s="2" t="s">
        <v>9366</v>
      </c>
      <c r="G2710" s="2" t="s">
        <v>9366</v>
      </c>
      <c r="H2710" s="2" t="s">
        <v>9366</v>
      </c>
      <c r="I2710" s="2" t="s">
        <v>9367</v>
      </c>
      <c r="J2710" s="2" t="s">
        <v>1806</v>
      </c>
      <c r="K2710" s="2" t="s">
        <v>1173</v>
      </c>
      <c r="L2710" s="3">
        <v>15.19</v>
      </c>
      <c r="M2710" s="3">
        <v>15.95</v>
      </c>
      <c r="N2710" s="3">
        <v>30.99</v>
      </c>
      <c r="O2710" s="2" t="s">
        <v>97</v>
      </c>
      <c r="P2710" s="2" t="s">
        <v>98</v>
      </c>
      <c r="Q2710" s="2" t="s">
        <v>99</v>
      </c>
      <c r="R2710" s="2" t="s">
        <v>100</v>
      </c>
      <c r="S2710" s="2" t="s">
        <v>9420</v>
      </c>
      <c r="T2710" s="2" t="s">
        <v>438</v>
      </c>
      <c r="U2710" s="2" t="s">
        <v>100</v>
      </c>
      <c r="V2710" s="2" t="s">
        <v>461</v>
      </c>
      <c r="W2710" s="2" t="s">
        <v>609</v>
      </c>
      <c r="X2710" s="2" t="s">
        <v>100</v>
      </c>
      <c r="Y2710" s="2" t="s">
        <v>144</v>
      </c>
      <c r="Z2710" s="4">
        <v>352</v>
      </c>
      <c r="AA2710" s="4">
        <f>=ROUNDDOWN(88,0)</f>
      </c>
      <c r="AB2710" s="5">
        <v>4</v>
      </c>
      <c r="AC2710" s="2" t="s">
        <v>312</v>
      </c>
      <c r="AD2710" s="4">
        <v>140</v>
      </c>
      <c r="AE2710" s="4">
        <v>140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/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 t="s">
        <v>100</v>
      </c>
      <c r="BJ2710" s="4">
        <v>22</v>
      </c>
      <c r="BK2710" s="8">
        <v>346.63</v>
      </c>
      <c r="BL2710" s="2" t="s">
        <v>9423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1815</v>
      </c>
      <c r="BX2710" s="2" t="s">
        <v>4793</v>
      </c>
      <c r="BY2710" s="2" t="s">
        <v>112</v>
      </c>
      <c r="BZ2710" s="2" t="s">
        <v>100</v>
      </c>
    </row>
    <row r="2711">
      <c r="A2711" s="2" t="s">
        <v>9424</v>
      </c>
      <c r="B2711" s="2" t="s">
        <v>9043</v>
      </c>
      <c r="C2711" s="2" t="s">
        <v>88</v>
      </c>
      <c r="D2711" s="2" t="s">
        <v>9044</v>
      </c>
      <c r="E2711" s="2" t="s">
        <v>9045</v>
      </c>
      <c r="F2711" s="2" t="s">
        <v>9366</v>
      </c>
      <c r="G2711" s="2" t="s">
        <v>9366</v>
      </c>
      <c r="H2711" s="2" t="s">
        <v>9366</v>
      </c>
      <c r="I2711" s="2" t="s">
        <v>9367</v>
      </c>
      <c r="J2711" s="2" t="s">
        <v>95</v>
      </c>
      <c r="K2711" s="2" t="s">
        <v>1173</v>
      </c>
      <c r="L2711" s="3">
        <v>19</v>
      </c>
      <c r="M2711" s="3">
        <v>19.95</v>
      </c>
      <c r="N2711" s="3">
        <v>37.99</v>
      </c>
      <c r="O2711" s="2" t="s">
        <v>97</v>
      </c>
      <c r="P2711" s="2" t="s">
        <v>156</v>
      </c>
      <c r="Q2711" s="2" t="s">
        <v>99</v>
      </c>
      <c r="R2711" s="2" t="s">
        <v>100</v>
      </c>
      <c r="S2711" s="2" t="s">
        <v>9420</v>
      </c>
      <c r="T2711" s="2" t="s">
        <v>438</v>
      </c>
      <c r="U2711" s="2" t="s">
        <v>100</v>
      </c>
      <c r="V2711" s="2" t="s">
        <v>461</v>
      </c>
      <c r="W2711" s="2" t="s">
        <v>609</v>
      </c>
      <c r="X2711" s="2" t="s">
        <v>100</v>
      </c>
      <c r="Y2711" s="2" t="s">
        <v>144</v>
      </c>
      <c r="Z2711" s="4">
        <v>647</v>
      </c>
      <c r="AA2711" s="4">
        <f>=ROUNDDOWN(20.21875,0)</f>
      </c>
      <c r="AB2711" s="5">
        <v>32</v>
      </c>
      <c r="AC2711" s="2" t="s">
        <v>312</v>
      </c>
      <c r="AD2711" s="4">
        <v>100</v>
      </c>
      <c r="AE2711" s="4">
        <v>200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1</v>
      </c>
      <c r="AQ2711" s="8">
        <v>19.84</v>
      </c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>
        <v>1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 t="s">
        <v>100</v>
      </c>
      <c r="BJ2711" s="4">
        <v>108</v>
      </c>
      <c r="BK2711" s="8">
        <v>2172.16</v>
      </c>
      <c r="BL2711" s="2" t="s">
        <v>9425</v>
      </c>
      <c r="BM2711" s="7">
        <v>0.0093</v>
      </c>
      <c r="BN2711" s="7">
        <v>0.0091</v>
      </c>
      <c r="BO2711" s="4">
        <v>1</v>
      </c>
      <c r="BP2711" s="8">
        <v>19.84</v>
      </c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1815</v>
      </c>
      <c r="BX2711" s="2" t="s">
        <v>1818</v>
      </c>
      <c r="BY2711" s="2" t="s">
        <v>112</v>
      </c>
      <c r="BZ2711" s="2" t="s">
        <v>100</v>
      </c>
    </row>
    <row r="2712">
      <c r="A2712" s="2" t="s">
        <v>9426</v>
      </c>
      <c r="B2712" s="2" t="s">
        <v>9043</v>
      </c>
      <c r="C2712" s="2" t="s">
        <v>88</v>
      </c>
      <c r="D2712" s="2" t="s">
        <v>9044</v>
      </c>
      <c r="E2712" s="2" t="s">
        <v>9045</v>
      </c>
      <c r="F2712" s="2" t="s">
        <v>9366</v>
      </c>
      <c r="G2712" s="2" t="s">
        <v>9366</v>
      </c>
      <c r="H2712" s="2" t="s">
        <v>9366</v>
      </c>
      <c r="I2712" s="2" t="s">
        <v>9367</v>
      </c>
      <c r="J2712" s="2" t="s">
        <v>114</v>
      </c>
      <c r="K2712" s="2" t="s">
        <v>1173</v>
      </c>
      <c r="L2712" s="3">
        <v>21.5</v>
      </c>
      <c r="M2712" s="3">
        <v>22.58</v>
      </c>
      <c r="N2712" s="3">
        <v>42.99</v>
      </c>
      <c r="O2712" s="2" t="s">
        <v>97</v>
      </c>
      <c r="P2712" s="2" t="s">
        <v>98</v>
      </c>
      <c r="Q2712" s="2" t="s">
        <v>99</v>
      </c>
      <c r="R2712" s="2" t="s">
        <v>100</v>
      </c>
      <c r="S2712" s="2" t="s">
        <v>9420</v>
      </c>
      <c r="T2712" s="2" t="s">
        <v>438</v>
      </c>
      <c r="U2712" s="2" t="s">
        <v>100</v>
      </c>
      <c r="V2712" s="2" t="s">
        <v>461</v>
      </c>
      <c r="W2712" s="2" t="s">
        <v>609</v>
      </c>
      <c r="X2712" s="2" t="s">
        <v>100</v>
      </c>
      <c r="Y2712" s="2" t="s">
        <v>144</v>
      </c>
      <c r="Z2712" s="4">
        <v>169</v>
      </c>
      <c r="AA2712" s="4">
        <f>=ROUNDDOWN(9.38888888888889,0)</f>
      </c>
      <c r="AB2712" s="5">
        <v>18</v>
      </c>
      <c r="AC2712" s="2" t="s">
        <v>312</v>
      </c>
      <c r="AD2712" s="4">
        <v>70</v>
      </c>
      <c r="AE2712" s="4">
        <v>290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100</v>
      </c>
      <c r="AW2712" s="8" t="s">
        <v>100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/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 t="s">
        <v>100</v>
      </c>
      <c r="BJ2712" s="4">
        <v>72</v>
      </c>
      <c r="BK2712" s="8">
        <v>1658.72</v>
      </c>
      <c r="BL2712" s="2" t="s">
        <v>9427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1815</v>
      </c>
      <c r="BX2712" s="2" t="s">
        <v>370</v>
      </c>
      <c r="BY2712" s="2" t="s">
        <v>112</v>
      </c>
      <c r="BZ2712" s="2" t="s">
        <v>100</v>
      </c>
    </row>
    <row r="2713">
      <c r="A2713" s="2" t="s">
        <v>9428</v>
      </c>
      <c r="B2713" s="2" t="s">
        <v>9043</v>
      </c>
      <c r="C2713" s="2" t="s">
        <v>88</v>
      </c>
      <c r="D2713" s="2" t="s">
        <v>9044</v>
      </c>
      <c r="E2713" s="2" t="s">
        <v>9045</v>
      </c>
      <c r="F2713" s="2" t="s">
        <v>9366</v>
      </c>
      <c r="G2713" s="2" t="s">
        <v>9366</v>
      </c>
      <c r="H2713" s="2" t="s">
        <v>9366</v>
      </c>
      <c r="I2713" s="2" t="s">
        <v>9367</v>
      </c>
      <c r="J2713" s="2" t="s">
        <v>118</v>
      </c>
      <c r="K2713" s="2" t="s">
        <v>1173</v>
      </c>
      <c r="L2713" s="3">
        <v>21.5</v>
      </c>
      <c r="M2713" s="3">
        <v>22.58</v>
      </c>
      <c r="N2713" s="3">
        <v>42.99</v>
      </c>
      <c r="O2713" s="2" t="s">
        <v>97</v>
      </c>
      <c r="P2713" s="2" t="s">
        <v>98</v>
      </c>
      <c r="Q2713" s="2" t="s">
        <v>99</v>
      </c>
      <c r="R2713" s="2" t="s">
        <v>100</v>
      </c>
      <c r="S2713" s="2" t="s">
        <v>9420</v>
      </c>
      <c r="T2713" s="2" t="s">
        <v>438</v>
      </c>
      <c r="U2713" s="2" t="s">
        <v>100</v>
      </c>
      <c r="V2713" s="2" t="s">
        <v>461</v>
      </c>
      <c r="W2713" s="2" t="s">
        <v>609</v>
      </c>
      <c r="X2713" s="2" t="s">
        <v>100</v>
      </c>
      <c r="Y2713" s="2" t="s">
        <v>144</v>
      </c>
      <c r="Z2713" s="4">
        <v>40</v>
      </c>
      <c r="AA2713" s="4">
        <f>=ROUNDDOWN(5.71428571428571,0)</f>
      </c>
      <c r="AB2713" s="5">
        <v>7</v>
      </c>
      <c r="AC2713" s="2" t="s">
        <v>312</v>
      </c>
      <c r="AD2713" s="4">
        <v>30</v>
      </c>
      <c r="AE2713" s="4">
        <v>150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/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26</v>
      </c>
      <c r="BK2713" s="8">
        <v>603.44</v>
      </c>
      <c r="BL2713" s="2" t="s">
        <v>9429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1815</v>
      </c>
      <c r="BX2713" s="2" t="s">
        <v>993</v>
      </c>
      <c r="BY2713" s="2" t="s">
        <v>112</v>
      </c>
      <c r="BZ2713" s="2" t="s">
        <v>100</v>
      </c>
    </row>
    <row r="2714">
      <c r="A2714" s="2" t="s">
        <v>9430</v>
      </c>
      <c r="B2714" s="2" t="s">
        <v>9043</v>
      </c>
      <c r="C2714" s="2" t="s">
        <v>88</v>
      </c>
      <c r="D2714" s="2" t="s">
        <v>9044</v>
      </c>
      <c r="E2714" s="2" t="s">
        <v>9045</v>
      </c>
      <c r="F2714" s="2" t="s">
        <v>9366</v>
      </c>
      <c r="G2714" s="2" t="s">
        <v>9366</v>
      </c>
      <c r="H2714" s="2" t="s">
        <v>9366</v>
      </c>
      <c r="I2714" s="2" t="s">
        <v>9367</v>
      </c>
      <c r="J2714" s="2" t="s">
        <v>1443</v>
      </c>
      <c r="K2714" s="2" t="s">
        <v>96</v>
      </c>
      <c r="L2714" s="3">
        <v>13.44</v>
      </c>
      <c r="M2714" s="3">
        <v>14.11</v>
      </c>
      <c r="N2714" s="3">
        <v>27.99</v>
      </c>
      <c r="O2714" s="2" t="s">
        <v>97</v>
      </c>
      <c r="P2714" s="2" t="s">
        <v>98</v>
      </c>
      <c r="Q2714" s="2" t="s">
        <v>99</v>
      </c>
      <c r="R2714" s="2" t="s">
        <v>100</v>
      </c>
      <c r="S2714" s="2" t="s">
        <v>9431</v>
      </c>
      <c r="T2714" s="2" t="s">
        <v>438</v>
      </c>
      <c r="U2714" s="2" t="s">
        <v>100</v>
      </c>
      <c r="V2714" s="2" t="s">
        <v>461</v>
      </c>
      <c r="W2714" s="2" t="s">
        <v>609</v>
      </c>
      <c r="X2714" s="2" t="s">
        <v>100</v>
      </c>
      <c r="Y2714" s="2" t="s">
        <v>144</v>
      </c>
      <c r="Z2714" s="4">
        <v>103</v>
      </c>
      <c r="AA2714" s="4">
        <f>=ROUNDDOWN(25.75,0)</f>
      </c>
      <c r="AB2714" s="5">
        <v>4</v>
      </c>
      <c r="AC2714" s="2" t="s">
        <v>312</v>
      </c>
      <c r="AD2714" s="4">
        <v>20</v>
      </c>
      <c r="AE2714" s="4">
        <v>40</v>
      </c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100</v>
      </c>
      <c r="AW2714" s="8" t="s">
        <v>100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/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 t="s">
        <v>100</v>
      </c>
      <c r="BJ2714" s="4">
        <v>14</v>
      </c>
      <c r="BK2714" s="8">
        <v>201.3</v>
      </c>
      <c r="BL2714" s="2" t="s">
        <v>1092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1815</v>
      </c>
      <c r="BX2714" s="2" t="s">
        <v>9432</v>
      </c>
      <c r="BY2714" s="2" t="s">
        <v>112</v>
      </c>
      <c r="BZ2714" s="2" t="s">
        <v>100</v>
      </c>
    </row>
    <row r="2715">
      <c r="A2715" s="2" t="s">
        <v>9433</v>
      </c>
      <c r="B2715" s="2" t="s">
        <v>9043</v>
      </c>
      <c r="C2715" s="2" t="s">
        <v>88</v>
      </c>
      <c r="D2715" s="2" t="s">
        <v>9044</v>
      </c>
      <c r="E2715" s="2" t="s">
        <v>9045</v>
      </c>
      <c r="F2715" s="2" t="s">
        <v>9366</v>
      </c>
      <c r="G2715" s="2" t="s">
        <v>9366</v>
      </c>
      <c r="H2715" s="2" t="s">
        <v>9366</v>
      </c>
      <c r="I2715" s="2" t="s">
        <v>9367</v>
      </c>
      <c r="J2715" s="2" t="s">
        <v>1806</v>
      </c>
      <c r="K2715" s="2" t="s">
        <v>96</v>
      </c>
      <c r="L2715" s="3">
        <v>15.19</v>
      </c>
      <c r="M2715" s="3">
        <v>15.95</v>
      </c>
      <c r="N2715" s="3">
        <v>30.99</v>
      </c>
      <c r="O2715" s="2" t="s">
        <v>97</v>
      </c>
      <c r="P2715" s="2" t="s">
        <v>98</v>
      </c>
      <c r="Q2715" s="2" t="s">
        <v>99</v>
      </c>
      <c r="R2715" s="2" t="s">
        <v>100</v>
      </c>
      <c r="S2715" s="2" t="s">
        <v>9431</v>
      </c>
      <c r="T2715" s="2" t="s">
        <v>438</v>
      </c>
      <c r="U2715" s="2" t="s">
        <v>100</v>
      </c>
      <c r="V2715" s="2" t="s">
        <v>461</v>
      </c>
      <c r="W2715" s="2" t="s">
        <v>609</v>
      </c>
      <c r="X2715" s="2" t="s">
        <v>100</v>
      </c>
      <c r="Y2715" s="2" t="s">
        <v>144</v>
      </c>
      <c r="Z2715" s="4">
        <v>288</v>
      </c>
      <c r="AA2715" s="4">
        <f>=ROUNDDOWN(23.6065573770492,0)</f>
      </c>
      <c r="AB2715" s="5">
        <v>12.2</v>
      </c>
      <c r="AC2715" s="2" t="s">
        <v>312</v>
      </c>
      <c r="AD2715" s="4">
        <v>70</v>
      </c>
      <c r="AE2715" s="4">
        <v>145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/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 t="s">
        <v>100</v>
      </c>
      <c r="BJ2715" s="4">
        <v>25</v>
      </c>
      <c r="BK2715" s="8">
        <v>379.15</v>
      </c>
      <c r="BL2715" s="2" t="s">
        <v>4485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109</v>
      </c>
      <c r="BV2715" s="2" t="s">
        <v>97</v>
      </c>
      <c r="BW2715" s="2" t="s">
        <v>1815</v>
      </c>
      <c r="BX2715" s="2" t="s">
        <v>9432</v>
      </c>
      <c r="BY2715" s="2" t="s">
        <v>112</v>
      </c>
      <c r="BZ2715" s="2" t="s">
        <v>100</v>
      </c>
    </row>
    <row r="2716">
      <c r="A2716" s="2" t="s">
        <v>9434</v>
      </c>
      <c r="B2716" s="2" t="s">
        <v>9043</v>
      </c>
      <c r="C2716" s="2" t="s">
        <v>88</v>
      </c>
      <c r="D2716" s="2" t="s">
        <v>9044</v>
      </c>
      <c r="E2716" s="2" t="s">
        <v>9045</v>
      </c>
      <c r="F2716" s="2" t="s">
        <v>9366</v>
      </c>
      <c r="G2716" s="2" t="s">
        <v>9366</v>
      </c>
      <c r="H2716" s="2" t="s">
        <v>9366</v>
      </c>
      <c r="I2716" s="2" t="s">
        <v>9367</v>
      </c>
      <c r="J2716" s="2" t="s">
        <v>490</v>
      </c>
      <c r="K2716" s="2" t="s">
        <v>96</v>
      </c>
      <c r="L2716" s="3">
        <v>16.5</v>
      </c>
      <c r="M2716" s="3">
        <v>17.32</v>
      </c>
      <c r="N2716" s="3">
        <v>32.99</v>
      </c>
      <c r="O2716" s="2" t="s">
        <v>97</v>
      </c>
      <c r="P2716" s="2" t="s">
        <v>98</v>
      </c>
      <c r="Q2716" s="2" t="s">
        <v>99</v>
      </c>
      <c r="R2716" s="2" t="s">
        <v>100</v>
      </c>
      <c r="S2716" s="2" t="s">
        <v>9431</v>
      </c>
      <c r="T2716" s="2" t="s">
        <v>438</v>
      </c>
      <c r="U2716" s="2" t="s">
        <v>100</v>
      </c>
      <c r="V2716" s="2" t="s">
        <v>461</v>
      </c>
      <c r="W2716" s="2" t="s">
        <v>609</v>
      </c>
      <c r="X2716" s="2" t="s">
        <v>100</v>
      </c>
      <c r="Y2716" s="2" t="s">
        <v>144</v>
      </c>
      <c r="Z2716" s="4">
        <v>73</v>
      </c>
      <c r="AA2716" s="4">
        <f>=ROUNDDOWN(8.11111111111111,0)</f>
      </c>
      <c r="AB2716" s="5">
        <v>9</v>
      </c>
      <c r="AC2716" s="2" t="s">
        <v>312</v>
      </c>
      <c r="AD2716" s="4">
        <v>60</v>
      </c>
      <c r="AE2716" s="4">
        <v>205</v>
      </c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/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 t="s">
        <v>100</v>
      </c>
      <c r="BJ2716" s="4">
        <v>23</v>
      </c>
      <c r="BK2716" s="8">
        <v>383.9</v>
      </c>
      <c r="BL2716" s="2" t="s">
        <v>9435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1815</v>
      </c>
      <c r="BX2716" s="2" t="s">
        <v>9436</v>
      </c>
      <c r="BY2716" s="2" t="s">
        <v>112</v>
      </c>
      <c r="BZ2716" s="2" t="s">
        <v>100</v>
      </c>
    </row>
    <row r="2717">
      <c r="A2717" s="2" t="s">
        <v>9437</v>
      </c>
      <c r="B2717" s="2" t="s">
        <v>9043</v>
      </c>
      <c r="C2717" s="2" t="s">
        <v>88</v>
      </c>
      <c r="D2717" s="2" t="s">
        <v>9044</v>
      </c>
      <c r="E2717" s="2" t="s">
        <v>9045</v>
      </c>
      <c r="F2717" s="2" t="s">
        <v>9366</v>
      </c>
      <c r="G2717" s="2" t="s">
        <v>9366</v>
      </c>
      <c r="H2717" s="2" t="s">
        <v>9366</v>
      </c>
      <c r="I2717" s="2" t="s">
        <v>9367</v>
      </c>
      <c r="J2717" s="2" t="s">
        <v>95</v>
      </c>
      <c r="K2717" s="2" t="s">
        <v>96</v>
      </c>
      <c r="L2717" s="3">
        <v>19</v>
      </c>
      <c r="M2717" s="3">
        <v>19.95</v>
      </c>
      <c r="N2717" s="3">
        <v>37.99</v>
      </c>
      <c r="O2717" s="2" t="s">
        <v>97</v>
      </c>
      <c r="P2717" s="2" t="s">
        <v>98</v>
      </c>
      <c r="Q2717" s="2" t="s">
        <v>99</v>
      </c>
      <c r="R2717" s="2" t="s">
        <v>100</v>
      </c>
      <c r="S2717" s="2" t="s">
        <v>9431</v>
      </c>
      <c r="T2717" s="2" t="s">
        <v>438</v>
      </c>
      <c r="U2717" s="2" t="s">
        <v>100</v>
      </c>
      <c r="V2717" s="2" t="s">
        <v>461</v>
      </c>
      <c r="W2717" s="2" t="s">
        <v>609</v>
      </c>
      <c r="X2717" s="2" t="s">
        <v>100</v>
      </c>
      <c r="Y2717" s="2" t="s">
        <v>144</v>
      </c>
      <c r="Z2717" s="4">
        <v>387</v>
      </c>
      <c r="AA2717" s="4">
        <f>=ROUNDDOWN(13.971119133574,0)</f>
      </c>
      <c r="AB2717" s="5">
        <v>27.7</v>
      </c>
      <c r="AC2717" s="2" t="s">
        <v>312</v>
      </c>
      <c r="AD2717" s="4">
        <v>100</v>
      </c>
      <c r="AE2717" s="4">
        <v>160</v>
      </c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100</v>
      </c>
      <c r="AW2717" s="8" t="s">
        <v>100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/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 t="s">
        <v>100</v>
      </c>
      <c r="BJ2717" s="4">
        <v>81</v>
      </c>
      <c r="BK2717" s="8">
        <v>1601.97</v>
      </c>
      <c r="BL2717" s="2" t="s">
        <v>9438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1815</v>
      </c>
      <c r="BX2717" s="2" t="s">
        <v>5251</v>
      </c>
      <c r="BY2717" s="2" t="s">
        <v>112</v>
      </c>
      <c r="BZ2717" s="2" t="s">
        <v>100</v>
      </c>
    </row>
    <row r="2718">
      <c r="A2718" s="2" t="s">
        <v>9439</v>
      </c>
      <c r="B2718" s="2" t="s">
        <v>9043</v>
      </c>
      <c r="C2718" s="2" t="s">
        <v>88</v>
      </c>
      <c r="D2718" s="2" t="s">
        <v>9044</v>
      </c>
      <c r="E2718" s="2" t="s">
        <v>9045</v>
      </c>
      <c r="F2718" s="2" t="s">
        <v>9366</v>
      </c>
      <c r="G2718" s="2" t="s">
        <v>9366</v>
      </c>
      <c r="H2718" s="2" t="s">
        <v>9366</v>
      </c>
      <c r="I2718" s="2" t="s">
        <v>9367</v>
      </c>
      <c r="J2718" s="2" t="s">
        <v>114</v>
      </c>
      <c r="K2718" s="2" t="s">
        <v>96</v>
      </c>
      <c r="L2718" s="3">
        <v>21.5</v>
      </c>
      <c r="M2718" s="3">
        <v>22.58</v>
      </c>
      <c r="N2718" s="3">
        <v>42.99</v>
      </c>
      <c r="O2718" s="2" t="s">
        <v>97</v>
      </c>
      <c r="P2718" s="2" t="s">
        <v>98</v>
      </c>
      <c r="Q2718" s="2" t="s">
        <v>99</v>
      </c>
      <c r="R2718" s="2" t="s">
        <v>100</v>
      </c>
      <c r="S2718" s="2" t="s">
        <v>9431</v>
      </c>
      <c r="T2718" s="2" t="s">
        <v>438</v>
      </c>
      <c r="U2718" s="2" t="s">
        <v>100</v>
      </c>
      <c r="V2718" s="2" t="s">
        <v>461</v>
      </c>
      <c r="W2718" s="2" t="s">
        <v>609</v>
      </c>
      <c r="X2718" s="2" t="s">
        <v>100</v>
      </c>
      <c r="Y2718" s="2" t="s">
        <v>144</v>
      </c>
      <c r="Z2718" s="4">
        <v>244</v>
      </c>
      <c r="AA2718" s="4">
        <f>=ROUNDDOWN(13.4806629834254,0)</f>
      </c>
      <c r="AB2718" s="5">
        <v>18.1</v>
      </c>
      <c r="AC2718" s="2" t="s">
        <v>312</v>
      </c>
      <c r="AD2718" s="4">
        <v>120</v>
      </c>
      <c r="AE2718" s="4">
        <v>120</v>
      </c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/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 t="s">
        <v>100</v>
      </c>
      <c r="BJ2718" s="4">
        <v>52</v>
      </c>
      <c r="BK2718" s="8">
        <v>1162.27</v>
      </c>
      <c r="BL2718" s="2" t="s">
        <v>9440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1815</v>
      </c>
      <c r="BX2718" s="2" t="s">
        <v>9441</v>
      </c>
      <c r="BY2718" s="2" t="s">
        <v>112</v>
      </c>
      <c r="BZ2718" s="2" t="s">
        <v>100</v>
      </c>
    </row>
    <row r="2719">
      <c r="A2719" s="2" t="s">
        <v>9442</v>
      </c>
      <c r="B2719" s="2" t="s">
        <v>9043</v>
      </c>
      <c r="C2719" s="2" t="s">
        <v>88</v>
      </c>
      <c r="D2719" s="2" t="s">
        <v>9044</v>
      </c>
      <c r="E2719" s="2" t="s">
        <v>9045</v>
      </c>
      <c r="F2719" s="2" t="s">
        <v>9366</v>
      </c>
      <c r="G2719" s="2" t="s">
        <v>9366</v>
      </c>
      <c r="H2719" s="2" t="s">
        <v>9366</v>
      </c>
      <c r="I2719" s="2" t="s">
        <v>9367</v>
      </c>
      <c r="J2719" s="2" t="s">
        <v>118</v>
      </c>
      <c r="K2719" s="2" t="s">
        <v>96</v>
      </c>
      <c r="L2719" s="3">
        <v>21.5</v>
      </c>
      <c r="M2719" s="3">
        <v>22.58</v>
      </c>
      <c r="N2719" s="3">
        <v>42.99</v>
      </c>
      <c r="O2719" s="2" t="s">
        <v>97</v>
      </c>
      <c r="P2719" s="2" t="s">
        <v>98</v>
      </c>
      <c r="Q2719" s="2" t="s">
        <v>99</v>
      </c>
      <c r="R2719" s="2" t="s">
        <v>100</v>
      </c>
      <c r="S2719" s="2" t="s">
        <v>9431</v>
      </c>
      <c r="T2719" s="2" t="s">
        <v>438</v>
      </c>
      <c r="U2719" s="2" t="s">
        <v>100</v>
      </c>
      <c r="V2719" s="2" t="s">
        <v>461</v>
      </c>
      <c r="W2719" s="2" t="s">
        <v>609</v>
      </c>
      <c r="X2719" s="2" t="s">
        <v>100</v>
      </c>
      <c r="Y2719" s="2" t="s">
        <v>144</v>
      </c>
      <c r="Z2719" s="4">
        <v>80</v>
      </c>
      <c r="AA2719" s="4">
        <f>=ROUNDDOWN(13.3333333333333,0)</f>
      </c>
      <c r="AB2719" s="5">
        <v>6</v>
      </c>
      <c r="AC2719" s="2" t="s">
        <v>312</v>
      </c>
      <c r="AD2719" s="4">
        <v>30</v>
      </c>
      <c r="AE2719" s="4">
        <v>140</v>
      </c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 t="s">
        <v>100</v>
      </c>
      <c r="AW2719" s="8" t="s">
        <v>100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/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 t="s">
        <v>100</v>
      </c>
      <c r="BJ2719" s="4">
        <v>18</v>
      </c>
      <c r="BK2719" s="8">
        <v>413.67</v>
      </c>
      <c r="BL2719" s="2" t="s">
        <v>9443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1815</v>
      </c>
      <c r="BX2719" s="2" t="s">
        <v>5637</v>
      </c>
      <c r="BY2719" s="2" t="s">
        <v>112</v>
      </c>
      <c r="BZ2719" s="2" t="s">
        <v>100</v>
      </c>
    </row>
    <row r="2720">
      <c r="A2720" s="2" t="s">
        <v>9444</v>
      </c>
      <c r="B2720" s="2" t="s">
        <v>9043</v>
      </c>
      <c r="C2720" s="2" t="s">
        <v>88</v>
      </c>
      <c r="D2720" s="2" t="s">
        <v>9044</v>
      </c>
      <c r="E2720" s="2" t="s">
        <v>9045</v>
      </c>
      <c r="F2720" s="2" t="s">
        <v>9366</v>
      </c>
      <c r="G2720" s="2" t="s">
        <v>9366</v>
      </c>
      <c r="H2720" s="2" t="s">
        <v>9366</v>
      </c>
      <c r="I2720" s="2" t="s">
        <v>9367</v>
      </c>
      <c r="J2720" s="2" t="s">
        <v>1443</v>
      </c>
      <c r="K2720" s="2" t="s">
        <v>856</v>
      </c>
      <c r="L2720" s="3">
        <v>13.44</v>
      </c>
      <c r="M2720" s="3">
        <v>14.11</v>
      </c>
      <c r="N2720" s="3">
        <v>27.99</v>
      </c>
      <c r="O2720" s="2" t="s">
        <v>97</v>
      </c>
      <c r="P2720" s="2" t="s">
        <v>98</v>
      </c>
      <c r="Q2720" s="2" t="s">
        <v>99</v>
      </c>
      <c r="R2720" s="2" t="s">
        <v>100</v>
      </c>
      <c r="S2720" s="2" t="s">
        <v>9445</v>
      </c>
      <c r="T2720" s="2" t="s">
        <v>438</v>
      </c>
      <c r="U2720" s="2" t="s">
        <v>100</v>
      </c>
      <c r="V2720" s="2" t="s">
        <v>461</v>
      </c>
      <c r="W2720" s="2" t="s">
        <v>609</v>
      </c>
      <c r="X2720" s="2" t="s">
        <v>100</v>
      </c>
      <c r="Y2720" s="2" t="s">
        <v>144</v>
      </c>
      <c r="Z2720" s="4">
        <v>106</v>
      </c>
      <c r="AA2720" s="4">
        <f>=ROUNDDOWN(26.5,0)</f>
      </c>
      <c r="AB2720" s="5">
        <v>4</v>
      </c>
      <c r="AC2720" s="2" t="s">
        <v>312</v>
      </c>
      <c r="AD2720" s="4">
        <v>20</v>
      </c>
      <c r="AE2720" s="4">
        <v>40</v>
      </c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100</v>
      </c>
      <c r="AW2720" s="8" t="s">
        <v>100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/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 t="s">
        <v>100</v>
      </c>
      <c r="BJ2720" s="4">
        <v>7</v>
      </c>
      <c r="BK2720" s="8">
        <v>88.74</v>
      </c>
      <c r="BL2720" s="2" t="s">
        <v>6718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159</v>
      </c>
      <c r="BX2720" s="2" t="s">
        <v>9446</v>
      </c>
      <c r="BY2720" s="2" t="s">
        <v>112</v>
      </c>
      <c r="BZ2720" s="2" t="s">
        <v>100</v>
      </c>
    </row>
    <row r="2721">
      <c r="A2721" s="2" t="s">
        <v>9447</v>
      </c>
      <c r="B2721" s="2" t="s">
        <v>9043</v>
      </c>
      <c r="C2721" s="2" t="s">
        <v>88</v>
      </c>
      <c r="D2721" s="2" t="s">
        <v>9044</v>
      </c>
      <c r="E2721" s="2" t="s">
        <v>9045</v>
      </c>
      <c r="F2721" s="2" t="s">
        <v>9366</v>
      </c>
      <c r="G2721" s="2" t="s">
        <v>9366</v>
      </c>
      <c r="H2721" s="2" t="s">
        <v>9366</v>
      </c>
      <c r="I2721" s="2" t="s">
        <v>9367</v>
      </c>
      <c r="J2721" s="2" t="s">
        <v>490</v>
      </c>
      <c r="K2721" s="2" t="s">
        <v>856</v>
      </c>
      <c r="L2721" s="3">
        <v>16.5</v>
      </c>
      <c r="M2721" s="3">
        <v>17.32</v>
      </c>
      <c r="N2721" s="3">
        <v>32.99</v>
      </c>
      <c r="O2721" s="2" t="s">
        <v>97</v>
      </c>
      <c r="P2721" s="2" t="s">
        <v>98</v>
      </c>
      <c r="Q2721" s="2" t="s">
        <v>99</v>
      </c>
      <c r="R2721" s="2" t="s">
        <v>100</v>
      </c>
      <c r="S2721" s="2" t="s">
        <v>9445</v>
      </c>
      <c r="T2721" s="2" t="s">
        <v>438</v>
      </c>
      <c r="U2721" s="2" t="s">
        <v>100</v>
      </c>
      <c r="V2721" s="2" t="s">
        <v>461</v>
      </c>
      <c r="W2721" s="2" t="s">
        <v>609</v>
      </c>
      <c r="X2721" s="2" t="s">
        <v>100</v>
      </c>
      <c r="Y2721" s="2" t="s">
        <v>144</v>
      </c>
      <c r="Z2721" s="4">
        <v>55</v>
      </c>
      <c r="AA2721" s="4">
        <f>=ROUNDDOWN(13.75,0)</f>
      </c>
      <c r="AB2721" s="5">
        <v>4</v>
      </c>
      <c r="AC2721" s="2" t="s">
        <v>312</v>
      </c>
      <c r="AD2721" s="4">
        <v>20</v>
      </c>
      <c r="AE2721" s="4">
        <v>60</v>
      </c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/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 t="s">
        <v>100</v>
      </c>
      <c r="BJ2721" s="4">
        <v>14</v>
      </c>
      <c r="BK2721" s="8">
        <v>238.27</v>
      </c>
      <c r="BL2721" s="2" t="s">
        <v>6265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159</v>
      </c>
      <c r="BX2721" s="2" t="s">
        <v>5487</v>
      </c>
      <c r="BY2721" s="2" t="s">
        <v>112</v>
      </c>
      <c r="BZ2721" s="2" t="s">
        <v>100</v>
      </c>
    </row>
    <row r="2722">
      <c r="A2722" s="2" t="s">
        <v>9448</v>
      </c>
      <c r="B2722" s="2" t="s">
        <v>9043</v>
      </c>
      <c r="C2722" s="2" t="s">
        <v>88</v>
      </c>
      <c r="D2722" s="2" t="s">
        <v>9044</v>
      </c>
      <c r="E2722" s="2" t="s">
        <v>9045</v>
      </c>
      <c r="F2722" s="2" t="s">
        <v>9366</v>
      </c>
      <c r="G2722" s="2" t="s">
        <v>9366</v>
      </c>
      <c r="H2722" s="2" t="s">
        <v>9366</v>
      </c>
      <c r="I2722" s="2" t="s">
        <v>9367</v>
      </c>
      <c r="J2722" s="2" t="s">
        <v>95</v>
      </c>
      <c r="K2722" s="2" t="s">
        <v>856</v>
      </c>
      <c r="L2722" s="3">
        <v>19</v>
      </c>
      <c r="M2722" s="3">
        <v>19.95</v>
      </c>
      <c r="N2722" s="3">
        <v>37.99</v>
      </c>
      <c r="O2722" s="2" t="s">
        <v>97</v>
      </c>
      <c r="P2722" s="2" t="s">
        <v>98</v>
      </c>
      <c r="Q2722" s="2" t="s">
        <v>99</v>
      </c>
      <c r="R2722" s="2" t="s">
        <v>100</v>
      </c>
      <c r="S2722" s="2" t="s">
        <v>9445</v>
      </c>
      <c r="T2722" s="2" t="s">
        <v>438</v>
      </c>
      <c r="U2722" s="2" t="s">
        <v>100</v>
      </c>
      <c r="V2722" s="2" t="s">
        <v>461</v>
      </c>
      <c r="W2722" s="2" t="s">
        <v>609</v>
      </c>
      <c r="X2722" s="2" t="s">
        <v>100</v>
      </c>
      <c r="Y2722" s="2" t="s">
        <v>144</v>
      </c>
      <c r="Z2722" s="4">
        <v>313</v>
      </c>
      <c r="AA2722" s="4">
        <f>=ROUNDDOWN(22.3571428571429,0)</f>
      </c>
      <c r="AB2722" s="5">
        <v>14</v>
      </c>
      <c r="AC2722" s="2" t="s">
        <v>312</v>
      </c>
      <c r="AD2722" s="4">
        <v>100</v>
      </c>
      <c r="AE2722" s="4">
        <v>140</v>
      </c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/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41</v>
      </c>
      <c r="BK2722" s="8">
        <v>808.49</v>
      </c>
      <c r="BL2722" s="2" t="s">
        <v>9449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159</v>
      </c>
      <c r="BX2722" s="2" t="s">
        <v>9450</v>
      </c>
      <c r="BY2722" s="2" t="s">
        <v>112</v>
      </c>
      <c r="BZ2722" s="2" t="s">
        <v>100</v>
      </c>
    </row>
    <row r="2723">
      <c r="A2723" s="2" t="s">
        <v>9451</v>
      </c>
      <c r="B2723" s="2" t="s">
        <v>9043</v>
      </c>
      <c r="C2723" s="2" t="s">
        <v>88</v>
      </c>
      <c r="D2723" s="2" t="s">
        <v>9044</v>
      </c>
      <c r="E2723" s="2" t="s">
        <v>9045</v>
      </c>
      <c r="F2723" s="2" t="s">
        <v>9366</v>
      </c>
      <c r="G2723" s="2" t="s">
        <v>9366</v>
      </c>
      <c r="H2723" s="2" t="s">
        <v>9366</v>
      </c>
      <c r="I2723" s="2" t="s">
        <v>9367</v>
      </c>
      <c r="J2723" s="2" t="s">
        <v>114</v>
      </c>
      <c r="K2723" s="2" t="s">
        <v>856</v>
      </c>
      <c r="L2723" s="3">
        <v>21.5</v>
      </c>
      <c r="M2723" s="3">
        <v>22.58</v>
      </c>
      <c r="N2723" s="3">
        <v>42.99</v>
      </c>
      <c r="O2723" s="2" t="s">
        <v>97</v>
      </c>
      <c r="P2723" s="2" t="s">
        <v>98</v>
      </c>
      <c r="Q2723" s="2" t="s">
        <v>99</v>
      </c>
      <c r="R2723" s="2" t="s">
        <v>100</v>
      </c>
      <c r="S2723" s="2" t="s">
        <v>9445</v>
      </c>
      <c r="T2723" s="2" t="s">
        <v>438</v>
      </c>
      <c r="U2723" s="2" t="s">
        <v>100</v>
      </c>
      <c r="V2723" s="2" t="s">
        <v>461</v>
      </c>
      <c r="W2723" s="2" t="s">
        <v>609</v>
      </c>
      <c r="X2723" s="2" t="s">
        <v>100</v>
      </c>
      <c r="Y2723" s="2" t="s">
        <v>144</v>
      </c>
      <c r="Z2723" s="4">
        <v>78</v>
      </c>
      <c r="AA2723" s="4">
        <f>=ROUNDDOWN(6.5,0)</f>
      </c>
      <c r="AB2723" s="5">
        <v>12</v>
      </c>
      <c r="AC2723" s="2" t="s">
        <v>312</v>
      </c>
      <c r="AD2723" s="4">
        <v>120</v>
      </c>
      <c r="AE2723" s="4">
        <v>240</v>
      </c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100</v>
      </c>
      <c r="AW2723" s="8" t="s">
        <v>100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/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 t="s">
        <v>100</v>
      </c>
      <c r="BJ2723" s="4">
        <v>33</v>
      </c>
      <c r="BK2723" s="8">
        <v>722.19</v>
      </c>
      <c r="BL2723" s="2" t="s">
        <v>9452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109</v>
      </c>
      <c r="BV2723" s="2" t="s">
        <v>97</v>
      </c>
      <c r="BW2723" s="2" t="s">
        <v>159</v>
      </c>
      <c r="BX2723" s="2" t="s">
        <v>9453</v>
      </c>
      <c r="BY2723" s="2" t="s">
        <v>112</v>
      </c>
      <c r="BZ2723" s="2" t="s">
        <v>100</v>
      </c>
    </row>
    <row r="2724">
      <c r="A2724" s="2" t="s">
        <v>9454</v>
      </c>
      <c r="B2724" s="2" t="s">
        <v>9043</v>
      </c>
      <c r="C2724" s="2" t="s">
        <v>88</v>
      </c>
      <c r="D2724" s="2" t="s">
        <v>9044</v>
      </c>
      <c r="E2724" s="2" t="s">
        <v>9045</v>
      </c>
      <c r="F2724" s="2" t="s">
        <v>9366</v>
      </c>
      <c r="G2724" s="2" t="s">
        <v>9366</v>
      </c>
      <c r="H2724" s="2" t="s">
        <v>9366</v>
      </c>
      <c r="I2724" s="2" t="s">
        <v>9367</v>
      </c>
      <c r="J2724" s="2" t="s">
        <v>118</v>
      </c>
      <c r="K2724" s="2" t="s">
        <v>856</v>
      </c>
      <c r="L2724" s="3">
        <v>21.5</v>
      </c>
      <c r="M2724" s="3">
        <v>22.58</v>
      </c>
      <c r="N2724" s="3">
        <v>42.99</v>
      </c>
      <c r="O2724" s="2" t="s">
        <v>97</v>
      </c>
      <c r="P2724" s="2" t="s">
        <v>98</v>
      </c>
      <c r="Q2724" s="2" t="s">
        <v>99</v>
      </c>
      <c r="R2724" s="2" t="s">
        <v>100</v>
      </c>
      <c r="S2724" s="2" t="s">
        <v>9445</v>
      </c>
      <c r="T2724" s="2" t="s">
        <v>438</v>
      </c>
      <c r="U2724" s="2" t="s">
        <v>100</v>
      </c>
      <c r="V2724" s="2" t="s">
        <v>461</v>
      </c>
      <c r="W2724" s="2" t="s">
        <v>609</v>
      </c>
      <c r="X2724" s="2" t="s">
        <v>100</v>
      </c>
      <c r="Y2724" s="2" t="s">
        <v>144</v>
      </c>
      <c r="Z2724" s="4">
        <v>12</v>
      </c>
      <c r="AA2724" s="4">
        <f>=ROUNDDOWN(2.4,0)</f>
      </c>
      <c r="AB2724" s="5">
        <v>5</v>
      </c>
      <c r="AC2724" s="2" t="s">
        <v>312</v>
      </c>
      <c r="AD2724" s="4">
        <v>40</v>
      </c>
      <c r="AE2724" s="4">
        <v>125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/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 t="s">
        <v>100</v>
      </c>
      <c r="BJ2724" s="4">
        <v>18</v>
      </c>
      <c r="BK2724" s="8">
        <v>387.51</v>
      </c>
      <c r="BL2724" s="2" t="s">
        <v>9455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159</v>
      </c>
      <c r="BX2724" s="2" t="s">
        <v>9456</v>
      </c>
      <c r="BY2724" s="2" t="s">
        <v>112</v>
      </c>
      <c r="BZ2724" s="2" t="s">
        <v>100</v>
      </c>
    </row>
    <row r="2725">
      <c r="A2725" s="2" t="s">
        <v>9457</v>
      </c>
      <c r="B2725" s="2" t="s">
        <v>9043</v>
      </c>
      <c r="C2725" s="2" t="s">
        <v>88</v>
      </c>
      <c r="D2725" s="2" t="s">
        <v>9044</v>
      </c>
      <c r="E2725" s="2" t="s">
        <v>9045</v>
      </c>
      <c r="F2725" s="2" t="s">
        <v>9458</v>
      </c>
      <c r="G2725" s="2" t="s">
        <v>9458</v>
      </c>
      <c r="H2725" s="2" t="s">
        <v>9458</v>
      </c>
      <c r="I2725" s="2" t="s">
        <v>9459</v>
      </c>
      <c r="J2725" s="2" t="s">
        <v>95</v>
      </c>
      <c r="K2725" s="2" t="s">
        <v>458</v>
      </c>
      <c r="L2725" s="3">
        <v>41.4</v>
      </c>
      <c r="M2725" s="3">
        <v>43.47</v>
      </c>
      <c r="N2725" s="3">
        <v>89.99</v>
      </c>
      <c r="O2725" s="2" t="s">
        <v>97</v>
      </c>
      <c r="P2725" s="2" t="s">
        <v>139</v>
      </c>
      <c r="Q2725" s="2" t="s">
        <v>99</v>
      </c>
      <c r="R2725" s="2" t="s">
        <v>100</v>
      </c>
      <c r="S2725" s="2" t="s">
        <v>9460</v>
      </c>
      <c r="T2725" s="2" t="s">
        <v>4529</v>
      </c>
      <c r="U2725" s="2" t="s">
        <v>100</v>
      </c>
      <c r="V2725" s="2" t="s">
        <v>461</v>
      </c>
      <c r="W2725" s="2" t="s">
        <v>609</v>
      </c>
      <c r="X2725" s="2" t="s">
        <v>100</v>
      </c>
      <c r="Y2725" s="2" t="s">
        <v>9461</v>
      </c>
      <c r="Z2725" s="4">
        <v>168</v>
      </c>
      <c r="AA2725" s="4">
        <f>=ROUNDDOWN(6.13138686131387,0)</f>
      </c>
      <c r="AB2725" s="5">
        <v>27.4</v>
      </c>
      <c r="AC2725" s="2" t="s">
        <v>130</v>
      </c>
      <c r="AD2725" s="4">
        <v>330</v>
      </c>
      <c r="AE2725" s="4">
        <v>500</v>
      </c>
      <c r="AF2725" s="6">
        <v>70</v>
      </c>
      <c r="AG2725" s="6"/>
      <c r="AH2725" s="7">
        <v>0.9355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1</v>
      </c>
      <c r="AQ2725" s="8">
        <v>42.53</v>
      </c>
      <c r="AR2725" s="4"/>
      <c r="AS2725" s="8"/>
      <c r="AT2725" s="7"/>
      <c r="AU2725" s="7"/>
      <c r="AV2725" s="4">
        <v>1</v>
      </c>
      <c r="AW2725" s="8">
        <v>42.53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>
        <v>1</v>
      </c>
      <c r="BC2725" s="4">
        <v>1</v>
      </c>
      <c r="BD2725" s="8">
        <v>42.53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>
        <v>1</v>
      </c>
      <c r="BJ2725" s="4">
        <v>67</v>
      </c>
      <c r="BK2725" s="8">
        <v>2963.9</v>
      </c>
      <c r="BL2725" s="2" t="s">
        <v>9462</v>
      </c>
      <c r="BM2725" s="7">
        <v>0.0149</v>
      </c>
      <c r="BN2725" s="7">
        <v>0.0143</v>
      </c>
      <c r="BO2725" s="4">
        <v>1</v>
      </c>
      <c r="BP2725" s="8">
        <v>42.53</v>
      </c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5840</v>
      </c>
      <c r="BX2725" s="2" t="s">
        <v>9463</v>
      </c>
      <c r="BY2725" s="2" t="s">
        <v>112</v>
      </c>
      <c r="BZ2725" s="2" t="s">
        <v>100</v>
      </c>
    </row>
    <row r="2726">
      <c r="A2726" s="2" t="s">
        <v>9464</v>
      </c>
      <c r="B2726" s="2" t="s">
        <v>9043</v>
      </c>
      <c r="C2726" s="2" t="s">
        <v>88</v>
      </c>
      <c r="D2726" s="2" t="s">
        <v>9044</v>
      </c>
      <c r="E2726" s="2" t="s">
        <v>9045</v>
      </c>
      <c r="F2726" s="2" t="s">
        <v>9458</v>
      </c>
      <c r="G2726" s="2" t="s">
        <v>9458</v>
      </c>
      <c r="H2726" s="2" t="s">
        <v>9458</v>
      </c>
      <c r="I2726" s="2" t="s">
        <v>9459</v>
      </c>
      <c r="J2726" s="2" t="s">
        <v>114</v>
      </c>
      <c r="K2726" s="2" t="s">
        <v>458</v>
      </c>
      <c r="L2726" s="3">
        <v>46</v>
      </c>
      <c r="M2726" s="3">
        <v>48.3</v>
      </c>
      <c r="N2726" s="3">
        <v>99.99</v>
      </c>
      <c r="O2726" s="2" t="s">
        <v>97</v>
      </c>
      <c r="P2726" s="2" t="s">
        <v>139</v>
      </c>
      <c r="Q2726" s="2" t="s">
        <v>99</v>
      </c>
      <c r="R2726" s="2" t="s">
        <v>100</v>
      </c>
      <c r="S2726" s="2" t="s">
        <v>9460</v>
      </c>
      <c r="T2726" s="2" t="s">
        <v>4529</v>
      </c>
      <c r="U2726" s="2" t="s">
        <v>100</v>
      </c>
      <c r="V2726" s="2" t="s">
        <v>461</v>
      </c>
      <c r="W2726" s="2" t="s">
        <v>609</v>
      </c>
      <c r="X2726" s="2" t="s">
        <v>100</v>
      </c>
      <c r="Y2726" s="2" t="s">
        <v>9461</v>
      </c>
      <c r="Z2726" s="4">
        <v>563</v>
      </c>
      <c r="AA2726" s="4">
        <f>=ROUNDDOWN(23.4583333333333,0)</f>
      </c>
      <c r="AB2726" s="5">
        <v>24</v>
      </c>
      <c r="AC2726" s="2" t="s">
        <v>130</v>
      </c>
      <c r="AD2726" s="4">
        <v>148</v>
      </c>
      <c r="AE2726" s="4">
        <v>378</v>
      </c>
      <c r="AF2726" s="6">
        <v>70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/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 t="s">
        <v>100</v>
      </c>
      <c r="BJ2726" s="4">
        <v>68</v>
      </c>
      <c r="BK2726" s="8">
        <v>3379.24</v>
      </c>
      <c r="BL2726" s="2" t="s">
        <v>4971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5840</v>
      </c>
      <c r="BX2726" s="2" t="s">
        <v>9465</v>
      </c>
      <c r="BY2726" s="2" t="s">
        <v>112</v>
      </c>
      <c r="BZ2726" s="2" t="s">
        <v>100</v>
      </c>
    </row>
    <row r="2727">
      <c r="A2727" s="2" t="s">
        <v>9466</v>
      </c>
      <c r="B2727" s="2" t="s">
        <v>9043</v>
      </c>
      <c r="C2727" s="2" t="s">
        <v>88</v>
      </c>
      <c r="D2727" s="2" t="s">
        <v>9044</v>
      </c>
      <c r="E2727" s="2" t="s">
        <v>9045</v>
      </c>
      <c r="F2727" s="2" t="s">
        <v>9458</v>
      </c>
      <c r="G2727" s="2" t="s">
        <v>9458</v>
      </c>
      <c r="H2727" s="2" t="s">
        <v>9458</v>
      </c>
      <c r="I2727" s="2" t="s">
        <v>9459</v>
      </c>
      <c r="J2727" s="2" t="s">
        <v>118</v>
      </c>
      <c r="K2727" s="2" t="s">
        <v>458</v>
      </c>
      <c r="L2727" s="3">
        <v>46</v>
      </c>
      <c r="M2727" s="3">
        <v>48.3</v>
      </c>
      <c r="N2727" s="3">
        <v>99.99</v>
      </c>
      <c r="O2727" s="2" t="s">
        <v>97</v>
      </c>
      <c r="P2727" s="2" t="s">
        <v>98</v>
      </c>
      <c r="Q2727" s="2" t="s">
        <v>99</v>
      </c>
      <c r="R2727" s="2" t="s">
        <v>100</v>
      </c>
      <c r="S2727" s="2" t="s">
        <v>9460</v>
      </c>
      <c r="T2727" s="2" t="s">
        <v>4529</v>
      </c>
      <c r="U2727" s="2" t="s">
        <v>100</v>
      </c>
      <c r="V2727" s="2" t="s">
        <v>461</v>
      </c>
      <c r="W2727" s="2" t="s">
        <v>609</v>
      </c>
      <c r="X2727" s="2" t="s">
        <v>100</v>
      </c>
      <c r="Y2727" s="2" t="s">
        <v>9461</v>
      </c>
      <c r="Z2727" s="4">
        <v>201</v>
      </c>
      <c r="AA2727" s="4">
        <f>=ROUNDDOWN(20.1,0)</f>
      </c>
      <c r="AB2727" s="5">
        <v>10</v>
      </c>
      <c r="AC2727" s="2" t="s">
        <v>130</v>
      </c>
      <c r="AD2727" s="4">
        <v>76</v>
      </c>
      <c r="AE2727" s="4">
        <v>186</v>
      </c>
      <c r="AF2727" s="6">
        <v>70</v>
      </c>
      <c r="AG2727" s="6"/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/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 t="s">
        <v>100</v>
      </c>
      <c r="BJ2727" s="4">
        <v>34</v>
      </c>
      <c r="BK2727" s="8">
        <v>1688.23</v>
      </c>
      <c r="BL2727" s="2" t="s">
        <v>1598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109</v>
      </c>
      <c r="BV2727" s="2" t="s">
        <v>97</v>
      </c>
      <c r="BW2727" s="2" t="s">
        <v>5840</v>
      </c>
      <c r="BX2727" s="2" t="s">
        <v>3547</v>
      </c>
      <c r="BY2727" s="2" t="s">
        <v>112</v>
      </c>
      <c r="BZ2727" s="2" t="s">
        <v>100</v>
      </c>
    </row>
    <row r="2728">
      <c r="A2728" s="2" t="s">
        <v>9467</v>
      </c>
      <c r="B2728" s="2" t="s">
        <v>9043</v>
      </c>
      <c r="C2728" s="2" t="s">
        <v>88</v>
      </c>
      <c r="D2728" s="2" t="s">
        <v>9044</v>
      </c>
      <c r="E2728" s="2" t="s">
        <v>9045</v>
      </c>
      <c r="F2728" s="2" t="s">
        <v>9458</v>
      </c>
      <c r="G2728" s="2" t="s">
        <v>9458</v>
      </c>
      <c r="H2728" s="2" t="s">
        <v>9458</v>
      </c>
      <c r="I2728" s="2" t="s">
        <v>9459</v>
      </c>
      <c r="J2728" s="2" t="s">
        <v>95</v>
      </c>
      <c r="K2728" s="2" t="s">
        <v>179</v>
      </c>
      <c r="L2728" s="3">
        <v>41.4</v>
      </c>
      <c r="M2728" s="3">
        <v>43.47</v>
      </c>
      <c r="N2728" s="3">
        <v>89.99</v>
      </c>
      <c r="O2728" s="2" t="s">
        <v>97</v>
      </c>
      <c r="P2728" s="2" t="s">
        <v>123</v>
      </c>
      <c r="Q2728" s="2" t="s">
        <v>99</v>
      </c>
      <c r="R2728" s="2" t="s">
        <v>100</v>
      </c>
      <c r="S2728" s="2" t="s">
        <v>9468</v>
      </c>
      <c r="T2728" s="2" t="s">
        <v>4529</v>
      </c>
      <c r="U2728" s="2" t="s">
        <v>1228</v>
      </c>
      <c r="V2728" s="2" t="s">
        <v>461</v>
      </c>
      <c r="W2728" s="2" t="s">
        <v>609</v>
      </c>
      <c r="X2728" s="2" t="s">
        <v>1136</v>
      </c>
      <c r="Y2728" s="2" t="s">
        <v>1033</v>
      </c>
      <c r="Z2728" s="4">
        <v>242</v>
      </c>
      <c r="AA2728" s="4">
        <f>=ROUNDDOWN(10.9502262443439,0)</f>
      </c>
      <c r="AB2728" s="5">
        <v>22.1</v>
      </c>
      <c r="AC2728" s="2" t="s">
        <v>130</v>
      </c>
      <c r="AD2728" s="4">
        <v>289</v>
      </c>
      <c r="AE2728" s="4">
        <v>520</v>
      </c>
      <c r="AF2728" s="6">
        <v>70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/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52</v>
      </c>
      <c r="BK2728" s="8">
        <v>2247.33</v>
      </c>
      <c r="BL2728" s="2" t="s">
        <v>788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109</v>
      </c>
      <c r="BV2728" s="2" t="s">
        <v>97</v>
      </c>
      <c r="BW2728" s="2" t="s">
        <v>1051</v>
      </c>
      <c r="BX2728" s="2" t="s">
        <v>9138</v>
      </c>
      <c r="BY2728" s="2" t="s">
        <v>112</v>
      </c>
      <c r="BZ2728" s="2" t="s">
        <v>100</v>
      </c>
    </row>
    <row r="2729">
      <c r="A2729" s="2" t="s">
        <v>9469</v>
      </c>
      <c r="B2729" s="2" t="s">
        <v>9043</v>
      </c>
      <c r="C2729" s="2" t="s">
        <v>88</v>
      </c>
      <c r="D2729" s="2" t="s">
        <v>9044</v>
      </c>
      <c r="E2729" s="2" t="s">
        <v>9045</v>
      </c>
      <c r="F2729" s="2" t="s">
        <v>9458</v>
      </c>
      <c r="G2729" s="2" t="s">
        <v>9458</v>
      </c>
      <c r="H2729" s="2" t="s">
        <v>9458</v>
      </c>
      <c r="I2729" s="2" t="s">
        <v>9459</v>
      </c>
      <c r="J2729" s="2" t="s">
        <v>114</v>
      </c>
      <c r="K2729" s="2" t="s">
        <v>179</v>
      </c>
      <c r="L2729" s="3">
        <v>46</v>
      </c>
      <c r="M2729" s="3">
        <v>48.3</v>
      </c>
      <c r="N2729" s="3">
        <v>99.99</v>
      </c>
      <c r="O2729" s="2" t="s">
        <v>97</v>
      </c>
      <c r="P2729" s="2" t="s">
        <v>123</v>
      </c>
      <c r="Q2729" s="2" t="s">
        <v>99</v>
      </c>
      <c r="R2729" s="2" t="s">
        <v>100</v>
      </c>
      <c r="S2729" s="2" t="s">
        <v>9468</v>
      </c>
      <c r="T2729" s="2" t="s">
        <v>4529</v>
      </c>
      <c r="U2729" s="2" t="s">
        <v>1228</v>
      </c>
      <c r="V2729" s="2" t="s">
        <v>461</v>
      </c>
      <c r="W2729" s="2" t="s">
        <v>609</v>
      </c>
      <c r="X2729" s="2" t="s">
        <v>1136</v>
      </c>
      <c r="Y2729" s="2" t="s">
        <v>1033</v>
      </c>
      <c r="Z2729" s="4">
        <v>252</v>
      </c>
      <c r="AA2729" s="4">
        <f>=ROUNDDOWN(19.3846153846154,0)</f>
      </c>
      <c r="AB2729" s="5">
        <v>13</v>
      </c>
      <c r="AC2729" s="2" t="s">
        <v>130</v>
      </c>
      <c r="AD2729" s="4">
        <v>109</v>
      </c>
      <c r="AE2729" s="4">
        <v>329</v>
      </c>
      <c r="AF2729" s="6">
        <v>70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100</v>
      </c>
      <c r="AW2729" s="8" t="s">
        <v>100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/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 t="s">
        <v>100</v>
      </c>
      <c r="BJ2729" s="4">
        <v>38</v>
      </c>
      <c r="BK2729" s="8">
        <v>1863.39</v>
      </c>
      <c r="BL2729" s="2" t="s">
        <v>2098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1051</v>
      </c>
      <c r="BX2729" s="2" t="s">
        <v>4477</v>
      </c>
      <c r="BY2729" s="2" t="s">
        <v>112</v>
      </c>
      <c r="BZ2729" s="2" t="s">
        <v>100</v>
      </c>
    </row>
    <row r="2730">
      <c r="A2730" s="2" t="s">
        <v>9470</v>
      </c>
      <c r="B2730" s="2" t="s">
        <v>9043</v>
      </c>
      <c r="C2730" s="2" t="s">
        <v>88</v>
      </c>
      <c r="D2730" s="2" t="s">
        <v>9044</v>
      </c>
      <c r="E2730" s="2" t="s">
        <v>9045</v>
      </c>
      <c r="F2730" s="2" t="s">
        <v>9458</v>
      </c>
      <c r="G2730" s="2" t="s">
        <v>9458</v>
      </c>
      <c r="H2730" s="2" t="s">
        <v>9458</v>
      </c>
      <c r="I2730" s="2" t="s">
        <v>9459</v>
      </c>
      <c r="J2730" s="2" t="s">
        <v>118</v>
      </c>
      <c r="K2730" s="2" t="s">
        <v>179</v>
      </c>
      <c r="L2730" s="3">
        <v>46</v>
      </c>
      <c r="M2730" s="3">
        <v>48.3</v>
      </c>
      <c r="N2730" s="3">
        <v>99.99</v>
      </c>
      <c r="O2730" s="2" t="s">
        <v>97</v>
      </c>
      <c r="P2730" s="2" t="s">
        <v>98</v>
      </c>
      <c r="Q2730" s="2" t="s">
        <v>99</v>
      </c>
      <c r="R2730" s="2" t="s">
        <v>100</v>
      </c>
      <c r="S2730" s="2" t="s">
        <v>9468</v>
      </c>
      <c r="T2730" s="2" t="s">
        <v>4529</v>
      </c>
      <c r="U2730" s="2" t="s">
        <v>1228</v>
      </c>
      <c r="V2730" s="2" t="s">
        <v>461</v>
      </c>
      <c r="W2730" s="2" t="s">
        <v>609</v>
      </c>
      <c r="X2730" s="2" t="s">
        <v>1136</v>
      </c>
      <c r="Y2730" s="2" t="s">
        <v>1033</v>
      </c>
      <c r="Z2730" s="4">
        <v>72</v>
      </c>
      <c r="AA2730" s="4">
        <f>=ROUNDDOWN(12,0)</f>
      </c>
      <c r="AB2730" s="5">
        <v>6</v>
      </c>
      <c r="AC2730" s="2" t="s">
        <v>130</v>
      </c>
      <c r="AD2730" s="4">
        <v>99</v>
      </c>
      <c r="AE2730" s="4">
        <v>169</v>
      </c>
      <c r="AF2730" s="6">
        <v>70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100</v>
      </c>
      <c r="AW2730" s="8" t="s">
        <v>100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/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 t="s">
        <v>100</v>
      </c>
      <c r="BJ2730" s="4">
        <v>24</v>
      </c>
      <c r="BK2730" s="8">
        <v>1141.07</v>
      </c>
      <c r="BL2730" s="2" t="s">
        <v>9471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1051</v>
      </c>
      <c r="BX2730" s="2" t="s">
        <v>1526</v>
      </c>
      <c r="BY2730" s="2" t="s">
        <v>112</v>
      </c>
      <c r="BZ2730" s="2" t="s">
        <v>100</v>
      </c>
    </row>
    <row r="2731">
      <c r="A2731" s="2" t="s">
        <v>9472</v>
      </c>
      <c r="B2731" s="2" t="s">
        <v>9043</v>
      </c>
      <c r="C2731" s="2" t="s">
        <v>88</v>
      </c>
      <c r="D2731" s="2" t="s">
        <v>9044</v>
      </c>
      <c r="E2731" s="2" t="s">
        <v>9045</v>
      </c>
      <c r="F2731" s="2" t="s">
        <v>9458</v>
      </c>
      <c r="G2731" s="2" t="s">
        <v>9458</v>
      </c>
      <c r="H2731" s="2" t="s">
        <v>9458</v>
      </c>
      <c r="I2731" s="2" t="s">
        <v>9459</v>
      </c>
      <c r="J2731" s="2" t="s">
        <v>95</v>
      </c>
      <c r="K2731" s="2" t="s">
        <v>4362</v>
      </c>
      <c r="L2731" s="3">
        <v>41.4</v>
      </c>
      <c r="M2731" s="3">
        <v>43.47</v>
      </c>
      <c r="N2731" s="3">
        <v>89.99</v>
      </c>
      <c r="O2731" s="2" t="s">
        <v>97</v>
      </c>
      <c r="P2731" s="2" t="s">
        <v>123</v>
      </c>
      <c r="Q2731" s="2" t="s">
        <v>99</v>
      </c>
      <c r="R2731" s="2" t="s">
        <v>100</v>
      </c>
      <c r="S2731" s="2" t="s">
        <v>9473</v>
      </c>
      <c r="T2731" s="2" t="s">
        <v>4529</v>
      </c>
      <c r="U2731" s="2" t="s">
        <v>1228</v>
      </c>
      <c r="V2731" s="2" t="s">
        <v>461</v>
      </c>
      <c r="W2731" s="2" t="s">
        <v>609</v>
      </c>
      <c r="X2731" s="2" t="s">
        <v>1136</v>
      </c>
      <c r="Y2731" s="2" t="s">
        <v>4970</v>
      </c>
      <c r="Z2731" s="4">
        <v>98</v>
      </c>
      <c r="AA2731" s="4">
        <f>=ROUNDDOWN(4.26086956521739,0)</f>
      </c>
      <c r="AB2731" s="5">
        <v>23</v>
      </c>
      <c r="AC2731" s="2" t="s">
        <v>130</v>
      </c>
      <c r="AD2731" s="4">
        <v>250</v>
      </c>
      <c r="AE2731" s="4">
        <v>500</v>
      </c>
      <c r="AF2731" s="6">
        <v>70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/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48</v>
      </c>
      <c r="BK2731" s="8">
        <v>2118.72</v>
      </c>
      <c r="BL2731" s="2" t="s">
        <v>9474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1051</v>
      </c>
      <c r="BX2731" s="2" t="s">
        <v>2102</v>
      </c>
      <c r="BY2731" s="2" t="s">
        <v>112</v>
      </c>
      <c r="BZ2731" s="2" t="s">
        <v>100</v>
      </c>
    </row>
    <row r="2732">
      <c r="A2732" s="2" t="s">
        <v>9475</v>
      </c>
      <c r="B2732" s="2" t="s">
        <v>9043</v>
      </c>
      <c r="C2732" s="2" t="s">
        <v>88</v>
      </c>
      <c r="D2732" s="2" t="s">
        <v>9044</v>
      </c>
      <c r="E2732" s="2" t="s">
        <v>9045</v>
      </c>
      <c r="F2732" s="2" t="s">
        <v>9458</v>
      </c>
      <c r="G2732" s="2" t="s">
        <v>9458</v>
      </c>
      <c r="H2732" s="2" t="s">
        <v>9458</v>
      </c>
      <c r="I2732" s="2" t="s">
        <v>9459</v>
      </c>
      <c r="J2732" s="2" t="s">
        <v>114</v>
      </c>
      <c r="K2732" s="2" t="s">
        <v>4362</v>
      </c>
      <c r="L2732" s="3">
        <v>46</v>
      </c>
      <c r="M2732" s="3">
        <v>48.3</v>
      </c>
      <c r="N2732" s="3">
        <v>99.99</v>
      </c>
      <c r="O2732" s="2" t="s">
        <v>97</v>
      </c>
      <c r="P2732" s="2" t="s">
        <v>123</v>
      </c>
      <c r="Q2732" s="2" t="s">
        <v>99</v>
      </c>
      <c r="R2732" s="2" t="s">
        <v>100</v>
      </c>
      <c r="S2732" s="2" t="s">
        <v>9473</v>
      </c>
      <c r="T2732" s="2" t="s">
        <v>4529</v>
      </c>
      <c r="U2732" s="2" t="s">
        <v>1228</v>
      </c>
      <c r="V2732" s="2" t="s">
        <v>461</v>
      </c>
      <c r="W2732" s="2" t="s">
        <v>609</v>
      </c>
      <c r="X2732" s="2" t="s">
        <v>1136</v>
      </c>
      <c r="Y2732" s="2" t="s">
        <v>4970</v>
      </c>
      <c r="Z2732" s="4">
        <v>133</v>
      </c>
      <c r="AA2732" s="4">
        <f>=ROUNDDOWN(10.2307692307692,0)</f>
      </c>
      <c r="AB2732" s="5">
        <v>13</v>
      </c>
      <c r="AC2732" s="2" t="s">
        <v>130</v>
      </c>
      <c r="AD2732" s="4">
        <v>323</v>
      </c>
      <c r="AE2732" s="4">
        <v>623</v>
      </c>
      <c r="AF2732" s="6">
        <v>70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100</v>
      </c>
      <c r="AW2732" s="8" t="s">
        <v>100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/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 t="s">
        <v>100</v>
      </c>
      <c r="BJ2732" s="4">
        <v>47</v>
      </c>
      <c r="BK2732" s="8">
        <v>2329.76</v>
      </c>
      <c r="BL2732" s="2" t="s">
        <v>3052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1051</v>
      </c>
      <c r="BX2732" s="2" t="s">
        <v>2914</v>
      </c>
      <c r="BY2732" s="2" t="s">
        <v>112</v>
      </c>
      <c r="BZ2732" s="2" t="s">
        <v>100</v>
      </c>
    </row>
    <row r="2733">
      <c r="A2733" s="2" t="s">
        <v>9476</v>
      </c>
      <c r="B2733" s="2" t="s">
        <v>9043</v>
      </c>
      <c r="C2733" s="2" t="s">
        <v>88</v>
      </c>
      <c r="D2733" s="2" t="s">
        <v>9044</v>
      </c>
      <c r="E2733" s="2" t="s">
        <v>9045</v>
      </c>
      <c r="F2733" s="2" t="s">
        <v>9458</v>
      </c>
      <c r="G2733" s="2" t="s">
        <v>9458</v>
      </c>
      <c r="H2733" s="2" t="s">
        <v>9458</v>
      </c>
      <c r="I2733" s="2" t="s">
        <v>9459</v>
      </c>
      <c r="J2733" s="2" t="s">
        <v>95</v>
      </c>
      <c r="K2733" s="2" t="s">
        <v>96</v>
      </c>
      <c r="L2733" s="3">
        <v>41.4</v>
      </c>
      <c r="M2733" s="3">
        <v>43.47</v>
      </c>
      <c r="N2733" s="3">
        <v>89.99</v>
      </c>
      <c r="O2733" s="2" t="s">
        <v>97</v>
      </c>
      <c r="P2733" s="2" t="s">
        <v>139</v>
      </c>
      <c r="Q2733" s="2" t="s">
        <v>99</v>
      </c>
      <c r="R2733" s="2" t="s">
        <v>100</v>
      </c>
      <c r="S2733" s="2" t="s">
        <v>9477</v>
      </c>
      <c r="T2733" s="2" t="s">
        <v>4529</v>
      </c>
      <c r="U2733" s="2" t="s">
        <v>100</v>
      </c>
      <c r="V2733" s="2" t="s">
        <v>461</v>
      </c>
      <c r="W2733" s="2" t="s">
        <v>609</v>
      </c>
      <c r="X2733" s="2" t="s">
        <v>100</v>
      </c>
      <c r="Y2733" s="2" t="s">
        <v>9461</v>
      </c>
      <c r="Z2733" s="4">
        <v>145</v>
      </c>
      <c r="AA2733" s="4">
        <f>=ROUNDDOWN(5.37037037037037,0)</f>
      </c>
      <c r="AB2733" s="5">
        <v>27</v>
      </c>
      <c r="AC2733" s="2" t="s">
        <v>130</v>
      </c>
      <c r="AD2733" s="4">
        <v>376</v>
      </c>
      <c r="AE2733" s="4">
        <v>576</v>
      </c>
      <c r="AF2733" s="6">
        <v>70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100</v>
      </c>
      <c r="AW2733" s="8" t="s">
        <v>100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/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 t="s">
        <v>100</v>
      </c>
      <c r="BJ2733" s="4">
        <v>56</v>
      </c>
      <c r="BK2733" s="8">
        <v>2445.11</v>
      </c>
      <c r="BL2733" s="2" t="s">
        <v>9478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5840</v>
      </c>
      <c r="BX2733" s="2" t="s">
        <v>1118</v>
      </c>
      <c r="BY2733" s="2" t="s">
        <v>112</v>
      </c>
      <c r="BZ2733" s="2" t="s">
        <v>100</v>
      </c>
    </row>
    <row r="2734">
      <c r="A2734" s="2" t="s">
        <v>9479</v>
      </c>
      <c r="B2734" s="2" t="s">
        <v>9043</v>
      </c>
      <c r="C2734" s="2" t="s">
        <v>88</v>
      </c>
      <c r="D2734" s="2" t="s">
        <v>9044</v>
      </c>
      <c r="E2734" s="2" t="s">
        <v>9045</v>
      </c>
      <c r="F2734" s="2" t="s">
        <v>9458</v>
      </c>
      <c r="G2734" s="2" t="s">
        <v>9458</v>
      </c>
      <c r="H2734" s="2" t="s">
        <v>9458</v>
      </c>
      <c r="I2734" s="2" t="s">
        <v>9459</v>
      </c>
      <c r="J2734" s="2" t="s">
        <v>114</v>
      </c>
      <c r="K2734" s="2" t="s">
        <v>96</v>
      </c>
      <c r="L2734" s="3">
        <v>46</v>
      </c>
      <c r="M2734" s="3">
        <v>48.3</v>
      </c>
      <c r="N2734" s="3">
        <v>99.99</v>
      </c>
      <c r="O2734" s="2" t="s">
        <v>97</v>
      </c>
      <c r="P2734" s="2" t="s">
        <v>139</v>
      </c>
      <c r="Q2734" s="2" t="s">
        <v>99</v>
      </c>
      <c r="R2734" s="2" t="s">
        <v>100</v>
      </c>
      <c r="S2734" s="2" t="s">
        <v>9477</v>
      </c>
      <c r="T2734" s="2" t="s">
        <v>4529</v>
      </c>
      <c r="U2734" s="2" t="s">
        <v>100</v>
      </c>
      <c r="V2734" s="2" t="s">
        <v>461</v>
      </c>
      <c r="W2734" s="2" t="s">
        <v>609</v>
      </c>
      <c r="X2734" s="2" t="s">
        <v>100</v>
      </c>
      <c r="Y2734" s="2" t="s">
        <v>9461</v>
      </c>
      <c r="Z2734" s="4">
        <v>328</v>
      </c>
      <c r="AA2734" s="4">
        <f>=ROUNDDOWN(16.4,0)</f>
      </c>
      <c r="AB2734" s="5">
        <v>20</v>
      </c>
      <c r="AC2734" s="2" t="s">
        <v>130</v>
      </c>
      <c r="AD2734" s="4">
        <v>225</v>
      </c>
      <c r="AE2734" s="4">
        <v>525</v>
      </c>
      <c r="AF2734" s="6">
        <v>70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/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 t="s">
        <v>100</v>
      </c>
      <c r="BJ2734" s="4">
        <v>50</v>
      </c>
      <c r="BK2734" s="8">
        <v>2459.65</v>
      </c>
      <c r="BL2734" s="2" t="s">
        <v>1181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5840</v>
      </c>
      <c r="BX2734" s="2" t="s">
        <v>5093</v>
      </c>
      <c r="BY2734" s="2" t="s">
        <v>112</v>
      </c>
      <c r="BZ2734" s="2" t="s">
        <v>100</v>
      </c>
    </row>
    <row r="2735">
      <c r="A2735" s="2" t="s">
        <v>9480</v>
      </c>
      <c r="B2735" s="2" t="s">
        <v>9043</v>
      </c>
      <c r="C2735" s="2" t="s">
        <v>88</v>
      </c>
      <c r="D2735" s="2" t="s">
        <v>9044</v>
      </c>
      <c r="E2735" s="2" t="s">
        <v>9045</v>
      </c>
      <c r="F2735" s="2" t="s">
        <v>9458</v>
      </c>
      <c r="G2735" s="2" t="s">
        <v>9458</v>
      </c>
      <c r="H2735" s="2" t="s">
        <v>9458</v>
      </c>
      <c r="I2735" s="2" t="s">
        <v>9459</v>
      </c>
      <c r="J2735" s="2" t="s">
        <v>118</v>
      </c>
      <c r="K2735" s="2" t="s">
        <v>96</v>
      </c>
      <c r="L2735" s="3">
        <v>46</v>
      </c>
      <c r="M2735" s="3">
        <v>48.3</v>
      </c>
      <c r="N2735" s="3">
        <v>99.99</v>
      </c>
      <c r="O2735" s="2" t="s">
        <v>97</v>
      </c>
      <c r="P2735" s="2" t="s">
        <v>156</v>
      </c>
      <c r="Q2735" s="2" t="s">
        <v>99</v>
      </c>
      <c r="R2735" s="2" t="s">
        <v>100</v>
      </c>
      <c r="S2735" s="2" t="s">
        <v>9477</v>
      </c>
      <c r="T2735" s="2" t="s">
        <v>4529</v>
      </c>
      <c r="U2735" s="2" t="s">
        <v>100</v>
      </c>
      <c r="V2735" s="2" t="s">
        <v>461</v>
      </c>
      <c r="W2735" s="2" t="s">
        <v>609</v>
      </c>
      <c r="X2735" s="2" t="s">
        <v>100</v>
      </c>
      <c r="Y2735" s="2" t="s">
        <v>9461</v>
      </c>
      <c r="Z2735" s="4">
        <v>144</v>
      </c>
      <c r="AA2735" s="4">
        <f>=ROUNDDOWN(16,0)</f>
      </c>
      <c r="AB2735" s="5">
        <v>9</v>
      </c>
      <c r="AC2735" s="2" t="s">
        <v>130</v>
      </c>
      <c r="AD2735" s="4">
        <v>203</v>
      </c>
      <c r="AE2735" s="4">
        <v>223</v>
      </c>
      <c r="AF2735" s="6">
        <v>70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/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 t="s">
        <v>100</v>
      </c>
      <c r="BJ2735" s="4">
        <v>24</v>
      </c>
      <c r="BK2735" s="8">
        <v>1183.24</v>
      </c>
      <c r="BL2735" s="2" t="s">
        <v>9481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5840</v>
      </c>
      <c r="BX2735" s="2" t="s">
        <v>4891</v>
      </c>
      <c r="BY2735" s="2" t="s">
        <v>112</v>
      </c>
      <c r="BZ2735" s="2" t="s">
        <v>100</v>
      </c>
    </row>
    <row r="2736">
      <c r="A2736" s="2" t="s">
        <v>9482</v>
      </c>
      <c r="B2736" s="2" t="s">
        <v>9043</v>
      </c>
      <c r="C2736" s="2" t="s">
        <v>88</v>
      </c>
      <c r="D2736" s="2" t="s">
        <v>9044</v>
      </c>
      <c r="E2736" s="2" t="s">
        <v>9045</v>
      </c>
      <c r="F2736" s="2" t="s">
        <v>9458</v>
      </c>
      <c r="G2736" s="2" t="s">
        <v>9458</v>
      </c>
      <c r="H2736" s="2" t="s">
        <v>9458</v>
      </c>
      <c r="I2736" s="2" t="s">
        <v>9459</v>
      </c>
      <c r="J2736" s="2" t="s">
        <v>95</v>
      </c>
      <c r="K2736" s="2" t="s">
        <v>1373</v>
      </c>
      <c r="L2736" s="3">
        <v>41.4</v>
      </c>
      <c r="M2736" s="3">
        <v>43.47</v>
      </c>
      <c r="N2736" s="3">
        <v>89.99</v>
      </c>
      <c r="O2736" s="2" t="s">
        <v>97</v>
      </c>
      <c r="P2736" s="2" t="s">
        <v>123</v>
      </c>
      <c r="Q2736" s="2" t="s">
        <v>99</v>
      </c>
      <c r="R2736" s="2" t="s">
        <v>100</v>
      </c>
      <c r="S2736" s="2" t="s">
        <v>9483</v>
      </c>
      <c r="T2736" s="2" t="s">
        <v>4529</v>
      </c>
      <c r="U2736" s="2" t="s">
        <v>100</v>
      </c>
      <c r="V2736" s="2" t="s">
        <v>461</v>
      </c>
      <c r="W2736" s="2" t="s">
        <v>609</v>
      </c>
      <c r="X2736" s="2" t="s">
        <v>100</v>
      </c>
      <c r="Y2736" s="2" t="s">
        <v>9461</v>
      </c>
      <c r="Z2736" s="4">
        <v>357</v>
      </c>
      <c r="AA2736" s="4">
        <f>=ROUNDDOWN(15.5217391304348,0)</f>
      </c>
      <c r="AB2736" s="5">
        <v>23</v>
      </c>
      <c r="AC2736" s="2" t="s">
        <v>130</v>
      </c>
      <c r="AD2736" s="4">
        <v>230</v>
      </c>
      <c r="AE2736" s="4">
        <v>540</v>
      </c>
      <c r="AF2736" s="6">
        <v>70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100</v>
      </c>
      <c r="AW2736" s="8" t="s">
        <v>100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/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 t="s">
        <v>100</v>
      </c>
      <c r="BJ2736" s="4">
        <v>51</v>
      </c>
      <c r="BK2736" s="8">
        <v>2256.26</v>
      </c>
      <c r="BL2736" s="2" t="s">
        <v>1598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5840</v>
      </c>
      <c r="BX2736" s="2" t="s">
        <v>5849</v>
      </c>
      <c r="BY2736" s="2" t="s">
        <v>112</v>
      </c>
      <c r="BZ2736" s="2" t="s">
        <v>100</v>
      </c>
    </row>
    <row r="2737">
      <c r="A2737" s="2" t="s">
        <v>9484</v>
      </c>
      <c r="B2737" s="2" t="s">
        <v>9043</v>
      </c>
      <c r="C2737" s="2" t="s">
        <v>88</v>
      </c>
      <c r="D2737" s="2" t="s">
        <v>9044</v>
      </c>
      <c r="E2737" s="2" t="s">
        <v>9045</v>
      </c>
      <c r="F2737" s="2" t="s">
        <v>9458</v>
      </c>
      <c r="G2737" s="2" t="s">
        <v>9458</v>
      </c>
      <c r="H2737" s="2" t="s">
        <v>9458</v>
      </c>
      <c r="I2737" s="2" t="s">
        <v>9459</v>
      </c>
      <c r="J2737" s="2" t="s">
        <v>114</v>
      </c>
      <c r="K2737" s="2" t="s">
        <v>1373</v>
      </c>
      <c r="L2737" s="3">
        <v>46</v>
      </c>
      <c r="M2737" s="3">
        <v>48.3</v>
      </c>
      <c r="N2737" s="3">
        <v>99.99</v>
      </c>
      <c r="O2737" s="2" t="s">
        <v>97</v>
      </c>
      <c r="P2737" s="2" t="s">
        <v>123</v>
      </c>
      <c r="Q2737" s="2" t="s">
        <v>99</v>
      </c>
      <c r="R2737" s="2" t="s">
        <v>100</v>
      </c>
      <c r="S2737" s="2" t="s">
        <v>9483</v>
      </c>
      <c r="T2737" s="2" t="s">
        <v>4529</v>
      </c>
      <c r="U2737" s="2" t="s">
        <v>100</v>
      </c>
      <c r="V2737" s="2" t="s">
        <v>461</v>
      </c>
      <c r="W2737" s="2" t="s">
        <v>609</v>
      </c>
      <c r="X2737" s="2" t="s">
        <v>100</v>
      </c>
      <c r="Y2737" s="2" t="s">
        <v>9461</v>
      </c>
      <c r="Z2737" s="4">
        <v>196</v>
      </c>
      <c r="AA2737" s="4">
        <f>=ROUNDDOWN(11.5294117647059,0)</f>
      </c>
      <c r="AB2737" s="5">
        <v>17</v>
      </c>
      <c r="AC2737" s="2" t="s">
        <v>130</v>
      </c>
      <c r="AD2737" s="4">
        <v>290</v>
      </c>
      <c r="AE2737" s="4">
        <v>420</v>
      </c>
      <c r="AF2737" s="6">
        <v>70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/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 t="s">
        <v>100</v>
      </c>
      <c r="BJ2737" s="4">
        <v>49</v>
      </c>
      <c r="BK2737" s="8">
        <v>2419.37</v>
      </c>
      <c r="BL2737" s="2" t="s">
        <v>1598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5840</v>
      </c>
      <c r="BX2737" s="2" t="s">
        <v>5077</v>
      </c>
      <c r="BY2737" s="2" t="s">
        <v>112</v>
      </c>
      <c r="BZ2737" s="2" t="s">
        <v>100</v>
      </c>
    </row>
    <row r="2738">
      <c r="A2738" s="2" t="s">
        <v>9485</v>
      </c>
      <c r="B2738" s="2" t="s">
        <v>9043</v>
      </c>
      <c r="C2738" s="2" t="s">
        <v>88</v>
      </c>
      <c r="D2738" s="2" t="s">
        <v>9044</v>
      </c>
      <c r="E2738" s="2" t="s">
        <v>9045</v>
      </c>
      <c r="F2738" s="2" t="s">
        <v>9458</v>
      </c>
      <c r="G2738" s="2" t="s">
        <v>9458</v>
      </c>
      <c r="H2738" s="2" t="s">
        <v>9458</v>
      </c>
      <c r="I2738" s="2" t="s">
        <v>9459</v>
      </c>
      <c r="J2738" s="2" t="s">
        <v>118</v>
      </c>
      <c r="K2738" s="2" t="s">
        <v>1373</v>
      </c>
      <c r="L2738" s="3">
        <v>46</v>
      </c>
      <c r="M2738" s="3">
        <v>48.3</v>
      </c>
      <c r="N2738" s="3">
        <v>99.99</v>
      </c>
      <c r="O2738" s="2" t="s">
        <v>97</v>
      </c>
      <c r="P2738" s="2" t="s">
        <v>98</v>
      </c>
      <c r="Q2738" s="2" t="s">
        <v>99</v>
      </c>
      <c r="R2738" s="2" t="s">
        <v>100</v>
      </c>
      <c r="S2738" s="2" t="s">
        <v>9483</v>
      </c>
      <c r="T2738" s="2" t="s">
        <v>4529</v>
      </c>
      <c r="U2738" s="2" t="s">
        <v>100</v>
      </c>
      <c r="V2738" s="2" t="s">
        <v>461</v>
      </c>
      <c r="W2738" s="2" t="s">
        <v>609</v>
      </c>
      <c r="X2738" s="2" t="s">
        <v>100</v>
      </c>
      <c r="Y2738" s="2" t="s">
        <v>9461</v>
      </c>
      <c r="Z2738" s="4">
        <v>142</v>
      </c>
      <c r="AA2738" s="4">
        <f>=ROUNDDOWN(17.75,0)</f>
      </c>
      <c r="AB2738" s="5">
        <v>8</v>
      </c>
      <c r="AC2738" s="2" t="s">
        <v>130</v>
      </c>
      <c r="AD2738" s="4">
        <v>80</v>
      </c>
      <c r="AE2738" s="4">
        <v>170</v>
      </c>
      <c r="AF2738" s="6">
        <v>70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100</v>
      </c>
      <c r="AW2738" s="8" t="s">
        <v>100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/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 t="s">
        <v>100</v>
      </c>
      <c r="BJ2738" s="4">
        <v>19</v>
      </c>
      <c r="BK2738" s="8">
        <v>944.94</v>
      </c>
      <c r="BL2738" s="2" t="s">
        <v>788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5840</v>
      </c>
      <c r="BX2738" s="2" t="s">
        <v>7835</v>
      </c>
      <c r="BY2738" s="2" t="s">
        <v>112</v>
      </c>
      <c r="BZ2738" s="2" t="s">
        <v>100</v>
      </c>
    </row>
    <row r="2739">
      <c r="A2739" s="2" t="s">
        <v>9486</v>
      </c>
      <c r="B2739" s="2" t="s">
        <v>9043</v>
      </c>
      <c r="C2739" s="2" t="s">
        <v>88</v>
      </c>
      <c r="D2739" s="2" t="s">
        <v>9044</v>
      </c>
      <c r="E2739" s="2" t="s">
        <v>9045</v>
      </c>
      <c r="F2739" s="2" t="s">
        <v>9458</v>
      </c>
      <c r="G2739" s="2" t="s">
        <v>9458</v>
      </c>
      <c r="H2739" s="2" t="s">
        <v>9458</v>
      </c>
      <c r="I2739" s="2" t="s">
        <v>9459</v>
      </c>
      <c r="J2739" s="2" t="s">
        <v>95</v>
      </c>
      <c r="K2739" s="2" t="s">
        <v>1173</v>
      </c>
      <c r="L2739" s="3">
        <v>41.4</v>
      </c>
      <c r="M2739" s="3">
        <v>43.47</v>
      </c>
      <c r="N2739" s="3">
        <v>89.99</v>
      </c>
      <c r="O2739" s="2" t="s">
        <v>97</v>
      </c>
      <c r="P2739" s="2" t="s">
        <v>123</v>
      </c>
      <c r="Q2739" s="2" t="s">
        <v>99</v>
      </c>
      <c r="R2739" s="2" t="s">
        <v>100</v>
      </c>
      <c r="S2739" s="2" t="s">
        <v>9487</v>
      </c>
      <c r="T2739" s="2" t="s">
        <v>4529</v>
      </c>
      <c r="U2739" s="2" t="s">
        <v>100</v>
      </c>
      <c r="V2739" s="2" t="s">
        <v>461</v>
      </c>
      <c r="W2739" s="2" t="s">
        <v>609</v>
      </c>
      <c r="X2739" s="2" t="s">
        <v>100</v>
      </c>
      <c r="Y2739" s="2" t="s">
        <v>9461</v>
      </c>
      <c r="Z2739" s="4">
        <v>311</v>
      </c>
      <c r="AA2739" s="4">
        <f>=ROUNDDOWN(13.5217391304348,0)</f>
      </c>
      <c r="AB2739" s="5">
        <v>23</v>
      </c>
      <c r="AC2739" s="2" t="s">
        <v>130</v>
      </c>
      <c r="AD2739" s="4">
        <v>258</v>
      </c>
      <c r="AE2739" s="4">
        <v>378</v>
      </c>
      <c r="AF2739" s="6">
        <v>70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100</v>
      </c>
      <c r="AW2739" s="8" t="s">
        <v>100</v>
      </c>
      <c r="AX2739" s="4" t="s">
        <v>100</v>
      </c>
      <c r="AY2739" s="8" t="s">
        <v>100</v>
      </c>
      <c r="AZ2739" s="7" t="s">
        <v>100</v>
      </c>
      <c r="BA2739" s="7" t="s">
        <v>100</v>
      </c>
      <c r="BB2739" s="7"/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 t="s">
        <v>100</v>
      </c>
      <c r="BJ2739" s="4">
        <v>59</v>
      </c>
      <c r="BK2739" s="8">
        <v>2577.39</v>
      </c>
      <c r="BL2739" s="2" t="s">
        <v>788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5840</v>
      </c>
      <c r="BX2739" s="2" t="s">
        <v>9325</v>
      </c>
      <c r="BY2739" s="2" t="s">
        <v>112</v>
      </c>
      <c r="BZ2739" s="2" t="s">
        <v>100</v>
      </c>
    </row>
    <row r="2740">
      <c r="A2740" s="2" t="s">
        <v>9488</v>
      </c>
      <c r="B2740" s="2" t="s">
        <v>9043</v>
      </c>
      <c r="C2740" s="2" t="s">
        <v>88</v>
      </c>
      <c r="D2740" s="2" t="s">
        <v>9044</v>
      </c>
      <c r="E2740" s="2" t="s">
        <v>9045</v>
      </c>
      <c r="F2740" s="2" t="s">
        <v>9458</v>
      </c>
      <c r="G2740" s="2" t="s">
        <v>9458</v>
      </c>
      <c r="H2740" s="2" t="s">
        <v>9458</v>
      </c>
      <c r="I2740" s="2" t="s">
        <v>9459</v>
      </c>
      <c r="J2740" s="2" t="s">
        <v>114</v>
      </c>
      <c r="K2740" s="2" t="s">
        <v>1173</v>
      </c>
      <c r="L2740" s="3">
        <v>46</v>
      </c>
      <c r="M2740" s="3">
        <v>48.3</v>
      </c>
      <c r="N2740" s="3">
        <v>99.99</v>
      </c>
      <c r="O2740" s="2" t="s">
        <v>97</v>
      </c>
      <c r="P2740" s="2" t="s">
        <v>123</v>
      </c>
      <c r="Q2740" s="2" t="s">
        <v>99</v>
      </c>
      <c r="R2740" s="2" t="s">
        <v>100</v>
      </c>
      <c r="S2740" s="2" t="s">
        <v>9487</v>
      </c>
      <c r="T2740" s="2" t="s">
        <v>4529</v>
      </c>
      <c r="U2740" s="2" t="s">
        <v>100</v>
      </c>
      <c r="V2740" s="2" t="s">
        <v>461</v>
      </c>
      <c r="W2740" s="2" t="s">
        <v>609</v>
      </c>
      <c r="X2740" s="2" t="s">
        <v>100</v>
      </c>
      <c r="Y2740" s="2" t="s">
        <v>9461</v>
      </c>
      <c r="Z2740" s="4">
        <v>279</v>
      </c>
      <c r="AA2740" s="4">
        <f>=ROUNDDOWN(15.5,0)</f>
      </c>
      <c r="AB2740" s="5">
        <v>18</v>
      </c>
      <c r="AC2740" s="2" t="s">
        <v>130</v>
      </c>
      <c r="AD2740" s="4">
        <v>163</v>
      </c>
      <c r="AE2740" s="4">
        <v>413</v>
      </c>
      <c r="AF2740" s="6">
        <v>70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100</v>
      </c>
      <c r="AW2740" s="8" t="s">
        <v>100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/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 t="s">
        <v>100</v>
      </c>
      <c r="BJ2740" s="4">
        <v>54</v>
      </c>
      <c r="BK2740" s="8">
        <v>2638.11</v>
      </c>
      <c r="BL2740" s="2" t="s">
        <v>2192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5840</v>
      </c>
      <c r="BX2740" s="2" t="s">
        <v>1391</v>
      </c>
      <c r="BY2740" s="2" t="s">
        <v>112</v>
      </c>
      <c r="BZ2740" s="2" t="s">
        <v>100</v>
      </c>
    </row>
    <row r="2741">
      <c r="A2741" s="2" t="s">
        <v>9489</v>
      </c>
      <c r="B2741" s="2" t="s">
        <v>9043</v>
      </c>
      <c r="C2741" s="2" t="s">
        <v>88</v>
      </c>
      <c r="D2741" s="2" t="s">
        <v>9044</v>
      </c>
      <c r="E2741" s="2" t="s">
        <v>9045</v>
      </c>
      <c r="F2741" s="2" t="s">
        <v>9458</v>
      </c>
      <c r="G2741" s="2" t="s">
        <v>9458</v>
      </c>
      <c r="H2741" s="2" t="s">
        <v>9458</v>
      </c>
      <c r="I2741" s="2" t="s">
        <v>9459</v>
      </c>
      <c r="J2741" s="2" t="s">
        <v>118</v>
      </c>
      <c r="K2741" s="2" t="s">
        <v>1173</v>
      </c>
      <c r="L2741" s="3">
        <v>46</v>
      </c>
      <c r="M2741" s="3">
        <v>48.3</v>
      </c>
      <c r="N2741" s="3">
        <v>99.99</v>
      </c>
      <c r="O2741" s="2" t="s">
        <v>97</v>
      </c>
      <c r="P2741" s="2" t="s">
        <v>98</v>
      </c>
      <c r="Q2741" s="2" t="s">
        <v>99</v>
      </c>
      <c r="R2741" s="2" t="s">
        <v>100</v>
      </c>
      <c r="S2741" s="2" t="s">
        <v>9487</v>
      </c>
      <c r="T2741" s="2" t="s">
        <v>4529</v>
      </c>
      <c r="U2741" s="2" t="s">
        <v>100</v>
      </c>
      <c r="V2741" s="2" t="s">
        <v>461</v>
      </c>
      <c r="W2741" s="2" t="s">
        <v>609</v>
      </c>
      <c r="X2741" s="2" t="s">
        <v>100</v>
      </c>
      <c r="Y2741" s="2" t="s">
        <v>9461</v>
      </c>
      <c r="Z2741" s="4">
        <v>46</v>
      </c>
      <c r="AA2741" s="4">
        <f>=ROUNDDOWN(6.57142857142857,0)</f>
      </c>
      <c r="AB2741" s="5">
        <v>7</v>
      </c>
      <c r="AC2741" s="2" t="s">
        <v>130</v>
      </c>
      <c r="AD2741" s="4">
        <v>107</v>
      </c>
      <c r="AE2741" s="4">
        <v>227</v>
      </c>
      <c r="AF2741" s="6">
        <v>70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100</v>
      </c>
      <c r="AW2741" s="8" t="s">
        <v>100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/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 t="s">
        <v>100</v>
      </c>
      <c r="BJ2741" s="4">
        <v>22</v>
      </c>
      <c r="BK2741" s="8">
        <v>1092.51</v>
      </c>
      <c r="BL2741" s="2" t="s">
        <v>9490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109</v>
      </c>
      <c r="BV2741" s="2" t="s">
        <v>97</v>
      </c>
      <c r="BW2741" s="2" t="s">
        <v>5840</v>
      </c>
      <c r="BX2741" s="2" t="s">
        <v>2283</v>
      </c>
      <c r="BY2741" s="2" t="s">
        <v>112</v>
      </c>
      <c r="BZ2741" s="2" t="s">
        <v>100</v>
      </c>
    </row>
    <row r="2742">
      <c r="A2742" s="2" t="s">
        <v>9491</v>
      </c>
      <c r="B2742" s="2" t="s">
        <v>9043</v>
      </c>
      <c r="C2742" s="2" t="s">
        <v>88</v>
      </c>
      <c r="D2742" s="2" t="s">
        <v>9044</v>
      </c>
      <c r="E2742" s="2" t="s">
        <v>9045</v>
      </c>
      <c r="F2742" s="2" t="s">
        <v>9492</v>
      </c>
      <c r="G2742" s="2" t="s">
        <v>9492</v>
      </c>
      <c r="H2742" s="2" t="s">
        <v>9492</v>
      </c>
      <c r="I2742" s="2" t="s">
        <v>9493</v>
      </c>
      <c r="J2742" s="2" t="s">
        <v>95</v>
      </c>
      <c r="K2742" s="2" t="s">
        <v>471</v>
      </c>
      <c r="L2742" s="3">
        <v>28.5</v>
      </c>
      <c r="M2742" s="3">
        <v>29.93</v>
      </c>
      <c r="N2742" s="3">
        <v>59.99</v>
      </c>
      <c r="O2742" s="2" t="s">
        <v>97</v>
      </c>
      <c r="P2742" s="2" t="s">
        <v>98</v>
      </c>
      <c r="Q2742" s="2" t="s">
        <v>99</v>
      </c>
      <c r="R2742" s="2" t="s">
        <v>100</v>
      </c>
      <c r="S2742" s="2" t="s">
        <v>9494</v>
      </c>
      <c r="T2742" s="2" t="s">
        <v>190</v>
      </c>
      <c r="U2742" s="2" t="s">
        <v>1228</v>
      </c>
      <c r="V2742" s="2" t="s">
        <v>461</v>
      </c>
      <c r="W2742" s="2" t="s">
        <v>609</v>
      </c>
      <c r="X2742" s="2" t="s">
        <v>100</v>
      </c>
      <c r="Y2742" s="2" t="s">
        <v>9495</v>
      </c>
      <c r="Z2742" s="4">
        <v>226</v>
      </c>
      <c r="AA2742" s="4">
        <f>=ROUNDDOWN(25.1111111111111,0)</f>
      </c>
      <c r="AB2742" s="5">
        <v>9</v>
      </c>
      <c r="AC2742" s="2" t="s">
        <v>990</v>
      </c>
      <c r="AD2742" s="4">
        <v>89</v>
      </c>
      <c r="AE2742" s="4">
        <v>89</v>
      </c>
      <c r="AF2742" s="6">
        <v>70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100</v>
      </c>
      <c r="AW2742" s="8" t="s">
        <v>100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/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/>
      <c r="BJ2742" s="4">
        <v>33</v>
      </c>
      <c r="BK2742" s="8">
        <v>1053.53</v>
      </c>
      <c r="BL2742" s="2" t="s">
        <v>3011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171</v>
      </c>
      <c r="BV2742" s="2" t="s">
        <v>97</v>
      </c>
      <c r="BW2742" s="2" t="s">
        <v>100</v>
      </c>
      <c r="BX2742" s="2" t="s">
        <v>100</v>
      </c>
      <c r="BY2742" s="2" t="s">
        <v>112</v>
      </c>
      <c r="BZ2742" s="2" t="s">
        <v>100</v>
      </c>
    </row>
    <row r="2743">
      <c r="A2743" s="2" t="s">
        <v>9496</v>
      </c>
      <c r="B2743" s="2" t="s">
        <v>9043</v>
      </c>
      <c r="C2743" s="2" t="s">
        <v>88</v>
      </c>
      <c r="D2743" s="2" t="s">
        <v>9044</v>
      </c>
      <c r="E2743" s="2" t="s">
        <v>9045</v>
      </c>
      <c r="F2743" s="2" t="s">
        <v>9492</v>
      </c>
      <c r="G2743" s="2" t="s">
        <v>9492</v>
      </c>
      <c r="H2743" s="2" t="s">
        <v>9492</v>
      </c>
      <c r="I2743" s="2" t="s">
        <v>9493</v>
      </c>
      <c r="J2743" s="2" t="s">
        <v>114</v>
      </c>
      <c r="K2743" s="2" t="s">
        <v>471</v>
      </c>
      <c r="L2743" s="3">
        <v>33</v>
      </c>
      <c r="M2743" s="3">
        <v>34.65</v>
      </c>
      <c r="N2743" s="3">
        <v>69.99</v>
      </c>
      <c r="O2743" s="2" t="s">
        <v>97</v>
      </c>
      <c r="P2743" s="2" t="s">
        <v>98</v>
      </c>
      <c r="Q2743" s="2" t="s">
        <v>99</v>
      </c>
      <c r="R2743" s="2" t="s">
        <v>100</v>
      </c>
      <c r="S2743" s="2" t="s">
        <v>9494</v>
      </c>
      <c r="T2743" s="2" t="s">
        <v>190</v>
      </c>
      <c r="U2743" s="2" t="s">
        <v>1228</v>
      </c>
      <c r="V2743" s="2" t="s">
        <v>461</v>
      </c>
      <c r="W2743" s="2" t="s">
        <v>609</v>
      </c>
      <c r="X2743" s="2" t="s">
        <v>100</v>
      </c>
      <c r="Y2743" s="2" t="s">
        <v>9495</v>
      </c>
      <c r="Z2743" s="4">
        <v>209</v>
      </c>
      <c r="AA2743" s="4">
        <f>=ROUNDDOWN(41.8,0)</f>
      </c>
      <c r="AB2743" s="5">
        <v>5</v>
      </c>
      <c r="AC2743" s="2" t="s">
        <v>990</v>
      </c>
      <c r="AD2743" s="4">
        <v>79</v>
      </c>
      <c r="AE2743" s="4">
        <v>79</v>
      </c>
      <c r="AF2743" s="6">
        <v>70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/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/>
      <c r="BJ2743" s="4">
        <v>15</v>
      </c>
      <c r="BK2743" s="8">
        <v>562.34</v>
      </c>
      <c r="BL2743" s="2" t="s">
        <v>9497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171</v>
      </c>
      <c r="BV2743" s="2" t="s">
        <v>97</v>
      </c>
      <c r="BW2743" s="2" t="s">
        <v>100</v>
      </c>
      <c r="BX2743" s="2" t="s">
        <v>100</v>
      </c>
      <c r="BY2743" s="2" t="s">
        <v>112</v>
      </c>
      <c r="BZ2743" s="2" t="s">
        <v>100</v>
      </c>
    </row>
    <row r="2744">
      <c r="A2744" s="2" t="s">
        <v>9498</v>
      </c>
      <c r="B2744" s="2" t="s">
        <v>9043</v>
      </c>
      <c r="C2744" s="2" t="s">
        <v>88</v>
      </c>
      <c r="D2744" s="2" t="s">
        <v>9044</v>
      </c>
      <c r="E2744" s="2" t="s">
        <v>9045</v>
      </c>
      <c r="F2744" s="2" t="s">
        <v>9492</v>
      </c>
      <c r="G2744" s="2" t="s">
        <v>9492</v>
      </c>
      <c r="H2744" s="2" t="s">
        <v>9492</v>
      </c>
      <c r="I2744" s="2" t="s">
        <v>9493</v>
      </c>
      <c r="J2744" s="2" t="s">
        <v>95</v>
      </c>
      <c r="K2744" s="2" t="s">
        <v>96</v>
      </c>
      <c r="L2744" s="3">
        <v>28.5</v>
      </c>
      <c r="M2744" s="3">
        <v>29.93</v>
      </c>
      <c r="N2744" s="3">
        <v>59.99</v>
      </c>
      <c r="O2744" s="2" t="s">
        <v>97</v>
      </c>
      <c r="P2744" s="2" t="s">
        <v>98</v>
      </c>
      <c r="Q2744" s="2" t="s">
        <v>99</v>
      </c>
      <c r="R2744" s="2" t="s">
        <v>100</v>
      </c>
      <c r="S2744" s="2" t="s">
        <v>9499</v>
      </c>
      <c r="T2744" s="2" t="s">
        <v>190</v>
      </c>
      <c r="U2744" s="2" t="s">
        <v>1228</v>
      </c>
      <c r="V2744" s="2" t="s">
        <v>461</v>
      </c>
      <c r="W2744" s="2" t="s">
        <v>609</v>
      </c>
      <c r="X2744" s="2" t="s">
        <v>100</v>
      </c>
      <c r="Y2744" s="2" t="s">
        <v>9495</v>
      </c>
      <c r="Z2744" s="4">
        <v>114</v>
      </c>
      <c r="AA2744" s="4">
        <f>=ROUNDDOWN(12.6666666666667,0)</f>
      </c>
      <c r="AB2744" s="5">
        <v>9</v>
      </c>
      <c r="AC2744" s="2" t="s">
        <v>990</v>
      </c>
      <c r="AD2744" s="4">
        <v>158</v>
      </c>
      <c r="AE2744" s="4">
        <v>158</v>
      </c>
      <c r="AF2744" s="6">
        <v>70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100</v>
      </c>
      <c r="AW2744" s="8" t="s">
        <v>100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/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/>
      <c r="BJ2744" s="4">
        <v>42</v>
      </c>
      <c r="BK2744" s="8">
        <v>1359.14</v>
      </c>
      <c r="BL2744" s="2" t="s">
        <v>2206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171</v>
      </c>
      <c r="BV2744" s="2" t="s">
        <v>97</v>
      </c>
      <c r="BW2744" s="2" t="s">
        <v>100</v>
      </c>
      <c r="BX2744" s="2" t="s">
        <v>100</v>
      </c>
      <c r="BY2744" s="2" t="s">
        <v>112</v>
      </c>
      <c r="BZ2744" s="2" t="s">
        <v>100</v>
      </c>
    </row>
    <row r="2745">
      <c r="A2745" s="2" t="s">
        <v>9500</v>
      </c>
      <c r="B2745" s="2" t="s">
        <v>9043</v>
      </c>
      <c r="C2745" s="2" t="s">
        <v>88</v>
      </c>
      <c r="D2745" s="2" t="s">
        <v>9044</v>
      </c>
      <c r="E2745" s="2" t="s">
        <v>9045</v>
      </c>
      <c r="F2745" s="2" t="s">
        <v>9492</v>
      </c>
      <c r="G2745" s="2" t="s">
        <v>9492</v>
      </c>
      <c r="H2745" s="2" t="s">
        <v>9492</v>
      </c>
      <c r="I2745" s="2" t="s">
        <v>9493</v>
      </c>
      <c r="J2745" s="2" t="s">
        <v>114</v>
      </c>
      <c r="K2745" s="2" t="s">
        <v>96</v>
      </c>
      <c r="L2745" s="3">
        <v>33</v>
      </c>
      <c r="M2745" s="3">
        <v>34.65</v>
      </c>
      <c r="N2745" s="3">
        <v>69.99</v>
      </c>
      <c r="O2745" s="2" t="s">
        <v>97</v>
      </c>
      <c r="P2745" s="2" t="s">
        <v>98</v>
      </c>
      <c r="Q2745" s="2" t="s">
        <v>99</v>
      </c>
      <c r="R2745" s="2" t="s">
        <v>100</v>
      </c>
      <c r="S2745" s="2" t="s">
        <v>9499</v>
      </c>
      <c r="T2745" s="2" t="s">
        <v>190</v>
      </c>
      <c r="U2745" s="2" t="s">
        <v>1228</v>
      </c>
      <c r="V2745" s="2" t="s">
        <v>461</v>
      </c>
      <c r="W2745" s="2" t="s">
        <v>609</v>
      </c>
      <c r="X2745" s="2" t="s">
        <v>100</v>
      </c>
      <c r="Y2745" s="2" t="s">
        <v>9495</v>
      </c>
      <c r="Z2745" s="4">
        <v>119</v>
      </c>
      <c r="AA2745" s="4">
        <f>=ROUNDDOWN(23.8,0)</f>
      </c>
      <c r="AB2745" s="5">
        <v>5</v>
      </c>
      <c r="AC2745" s="2" t="s">
        <v>990</v>
      </c>
      <c r="AD2745" s="4">
        <v>147</v>
      </c>
      <c r="AE2745" s="4">
        <v>147</v>
      </c>
      <c r="AF2745" s="6">
        <v>70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/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/>
      <c r="BJ2745" s="4">
        <v>13</v>
      </c>
      <c r="BK2745" s="8">
        <v>498.86</v>
      </c>
      <c r="BL2745" s="2" t="s">
        <v>9345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171</v>
      </c>
      <c r="BV2745" s="2" t="s">
        <v>97</v>
      </c>
      <c r="BW2745" s="2" t="s">
        <v>100</v>
      </c>
      <c r="BX2745" s="2" t="s">
        <v>100</v>
      </c>
      <c r="BY2745" s="2" t="s">
        <v>112</v>
      </c>
      <c r="BZ2745" s="2" t="s">
        <v>100</v>
      </c>
    </row>
    <row r="2746">
      <c r="A2746" s="2" t="s">
        <v>9501</v>
      </c>
      <c r="B2746" s="2" t="s">
        <v>9043</v>
      </c>
      <c r="C2746" s="2" t="s">
        <v>88</v>
      </c>
      <c r="D2746" s="2" t="s">
        <v>9044</v>
      </c>
      <c r="E2746" s="2" t="s">
        <v>9045</v>
      </c>
      <c r="F2746" s="2" t="s">
        <v>9492</v>
      </c>
      <c r="G2746" s="2" t="s">
        <v>9492</v>
      </c>
      <c r="H2746" s="2" t="s">
        <v>9492</v>
      </c>
      <c r="I2746" s="2" t="s">
        <v>9493</v>
      </c>
      <c r="J2746" s="2" t="s">
        <v>95</v>
      </c>
      <c r="K2746" s="2" t="s">
        <v>1373</v>
      </c>
      <c r="L2746" s="3">
        <v>28.5</v>
      </c>
      <c r="M2746" s="3">
        <v>29.93</v>
      </c>
      <c r="N2746" s="3">
        <v>59.99</v>
      </c>
      <c r="O2746" s="2" t="s">
        <v>97</v>
      </c>
      <c r="P2746" s="2" t="s">
        <v>98</v>
      </c>
      <c r="Q2746" s="2" t="s">
        <v>99</v>
      </c>
      <c r="R2746" s="2" t="s">
        <v>100</v>
      </c>
      <c r="S2746" s="2" t="s">
        <v>9502</v>
      </c>
      <c r="T2746" s="2" t="s">
        <v>190</v>
      </c>
      <c r="U2746" s="2" t="s">
        <v>1228</v>
      </c>
      <c r="V2746" s="2" t="s">
        <v>461</v>
      </c>
      <c r="W2746" s="2" t="s">
        <v>609</v>
      </c>
      <c r="X2746" s="2" t="s">
        <v>100</v>
      </c>
      <c r="Y2746" s="2" t="s">
        <v>9495</v>
      </c>
      <c r="Z2746" s="4">
        <v>208</v>
      </c>
      <c r="AA2746" s="4">
        <f>=ROUNDDOWN(16,0)</f>
      </c>
      <c r="AB2746" s="5">
        <v>13</v>
      </c>
      <c r="AC2746" s="2" t="s">
        <v>990</v>
      </c>
      <c r="AD2746" s="4">
        <v>229</v>
      </c>
      <c r="AE2746" s="4">
        <v>229</v>
      </c>
      <c r="AF2746" s="6">
        <v>70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100</v>
      </c>
      <c r="AW2746" s="8" t="s">
        <v>100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/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/>
      <c r="BJ2746" s="4">
        <v>36</v>
      </c>
      <c r="BK2746" s="8">
        <v>1133.21</v>
      </c>
      <c r="BL2746" s="2" t="s">
        <v>2206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171</v>
      </c>
      <c r="BV2746" s="2" t="s">
        <v>97</v>
      </c>
      <c r="BW2746" s="2" t="s">
        <v>100</v>
      </c>
      <c r="BX2746" s="2" t="s">
        <v>100</v>
      </c>
      <c r="BY2746" s="2" t="s">
        <v>112</v>
      </c>
      <c r="BZ2746" s="2" t="s">
        <v>100</v>
      </c>
    </row>
    <row r="2747">
      <c r="A2747" s="2" t="s">
        <v>9503</v>
      </c>
      <c r="B2747" s="2" t="s">
        <v>9043</v>
      </c>
      <c r="C2747" s="2" t="s">
        <v>88</v>
      </c>
      <c r="D2747" s="2" t="s">
        <v>9044</v>
      </c>
      <c r="E2747" s="2" t="s">
        <v>9045</v>
      </c>
      <c r="F2747" s="2" t="s">
        <v>9492</v>
      </c>
      <c r="G2747" s="2" t="s">
        <v>9492</v>
      </c>
      <c r="H2747" s="2" t="s">
        <v>9492</v>
      </c>
      <c r="I2747" s="2" t="s">
        <v>9493</v>
      </c>
      <c r="J2747" s="2" t="s">
        <v>114</v>
      </c>
      <c r="K2747" s="2" t="s">
        <v>1373</v>
      </c>
      <c r="L2747" s="3">
        <v>33</v>
      </c>
      <c r="M2747" s="3">
        <v>34.65</v>
      </c>
      <c r="N2747" s="3">
        <v>69.99</v>
      </c>
      <c r="O2747" s="2" t="s">
        <v>97</v>
      </c>
      <c r="P2747" s="2" t="s">
        <v>98</v>
      </c>
      <c r="Q2747" s="2" t="s">
        <v>99</v>
      </c>
      <c r="R2747" s="2" t="s">
        <v>100</v>
      </c>
      <c r="S2747" s="2" t="s">
        <v>9502</v>
      </c>
      <c r="T2747" s="2" t="s">
        <v>190</v>
      </c>
      <c r="U2747" s="2" t="s">
        <v>1228</v>
      </c>
      <c r="V2747" s="2" t="s">
        <v>461</v>
      </c>
      <c r="W2747" s="2" t="s">
        <v>609</v>
      </c>
      <c r="X2747" s="2" t="s">
        <v>100</v>
      </c>
      <c r="Y2747" s="2" t="s">
        <v>9495</v>
      </c>
      <c r="Z2747" s="4">
        <v>42</v>
      </c>
      <c r="AA2747" s="4">
        <f>=ROUNDDOWN(6,0)</f>
      </c>
      <c r="AB2747" s="5">
        <v>7</v>
      </c>
      <c r="AC2747" s="2" t="s">
        <v>990</v>
      </c>
      <c r="AD2747" s="4">
        <v>96</v>
      </c>
      <c r="AE2747" s="4">
        <v>96</v>
      </c>
      <c r="AF2747" s="6">
        <v>70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/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/>
      <c r="BJ2747" s="4">
        <v>29</v>
      </c>
      <c r="BK2747" s="8">
        <v>1093.93</v>
      </c>
      <c r="BL2747" s="2" t="s">
        <v>1404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171</v>
      </c>
      <c r="BV2747" s="2" t="s">
        <v>97</v>
      </c>
      <c r="BW2747" s="2" t="s">
        <v>100</v>
      </c>
      <c r="BX2747" s="2" t="s">
        <v>100</v>
      </c>
      <c r="BY2747" s="2" t="s">
        <v>112</v>
      </c>
      <c r="BZ2747" s="2" t="s">
        <v>100</v>
      </c>
    </row>
    <row r="2748">
      <c r="A2748" s="2" t="s">
        <v>9504</v>
      </c>
      <c r="B2748" s="2" t="s">
        <v>9043</v>
      </c>
      <c r="C2748" s="2" t="s">
        <v>88</v>
      </c>
      <c r="D2748" s="2" t="s">
        <v>9044</v>
      </c>
      <c r="E2748" s="2" t="s">
        <v>9045</v>
      </c>
      <c r="F2748" s="2" t="s">
        <v>9492</v>
      </c>
      <c r="G2748" s="2" t="s">
        <v>9492</v>
      </c>
      <c r="H2748" s="2" t="s">
        <v>9492</v>
      </c>
      <c r="I2748" s="2" t="s">
        <v>9493</v>
      </c>
      <c r="J2748" s="2" t="s">
        <v>95</v>
      </c>
      <c r="K2748" s="2" t="s">
        <v>673</v>
      </c>
      <c r="L2748" s="3">
        <v>28.5</v>
      </c>
      <c r="M2748" s="3">
        <v>29.93</v>
      </c>
      <c r="N2748" s="3">
        <v>59.99</v>
      </c>
      <c r="O2748" s="2" t="s">
        <v>97</v>
      </c>
      <c r="P2748" s="2" t="s">
        <v>98</v>
      </c>
      <c r="Q2748" s="2" t="s">
        <v>99</v>
      </c>
      <c r="R2748" s="2" t="s">
        <v>100</v>
      </c>
      <c r="S2748" s="2" t="s">
        <v>9505</v>
      </c>
      <c r="T2748" s="2" t="s">
        <v>190</v>
      </c>
      <c r="U2748" s="2" t="s">
        <v>1228</v>
      </c>
      <c r="V2748" s="2" t="s">
        <v>461</v>
      </c>
      <c r="W2748" s="2" t="s">
        <v>609</v>
      </c>
      <c r="X2748" s="2" t="s">
        <v>100</v>
      </c>
      <c r="Y2748" s="2" t="s">
        <v>9495</v>
      </c>
      <c r="Z2748" s="4">
        <v>223</v>
      </c>
      <c r="AA2748" s="4">
        <f>=ROUNDDOWN(24.7777777777778,0)</f>
      </c>
      <c r="AB2748" s="5">
        <v>9</v>
      </c>
      <c r="AC2748" s="2" t="s">
        <v>990</v>
      </c>
      <c r="AD2748" s="4">
        <v>147</v>
      </c>
      <c r="AE2748" s="4">
        <v>147</v>
      </c>
      <c r="AF2748" s="6">
        <v>70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/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/>
      <c r="BJ2748" s="4">
        <v>55</v>
      </c>
      <c r="BK2748" s="8">
        <v>1778.96</v>
      </c>
      <c r="BL2748" s="2" t="s">
        <v>2206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171</v>
      </c>
      <c r="BV2748" s="2" t="s">
        <v>97</v>
      </c>
      <c r="BW2748" s="2" t="s">
        <v>100</v>
      </c>
      <c r="BX2748" s="2" t="s">
        <v>100</v>
      </c>
      <c r="BY2748" s="2" t="s">
        <v>112</v>
      </c>
      <c r="BZ2748" s="2" t="s">
        <v>100</v>
      </c>
    </row>
    <row r="2749">
      <c r="A2749" s="2" t="s">
        <v>9506</v>
      </c>
      <c r="B2749" s="2" t="s">
        <v>9043</v>
      </c>
      <c r="C2749" s="2" t="s">
        <v>88</v>
      </c>
      <c r="D2749" s="2" t="s">
        <v>9044</v>
      </c>
      <c r="E2749" s="2" t="s">
        <v>9045</v>
      </c>
      <c r="F2749" s="2" t="s">
        <v>9492</v>
      </c>
      <c r="G2749" s="2" t="s">
        <v>9492</v>
      </c>
      <c r="H2749" s="2" t="s">
        <v>9492</v>
      </c>
      <c r="I2749" s="2" t="s">
        <v>9493</v>
      </c>
      <c r="J2749" s="2" t="s">
        <v>114</v>
      </c>
      <c r="K2749" s="2" t="s">
        <v>673</v>
      </c>
      <c r="L2749" s="3">
        <v>33</v>
      </c>
      <c r="M2749" s="3">
        <v>34.65</v>
      </c>
      <c r="N2749" s="3">
        <v>69.99</v>
      </c>
      <c r="O2749" s="2" t="s">
        <v>97</v>
      </c>
      <c r="P2749" s="2" t="s">
        <v>98</v>
      </c>
      <c r="Q2749" s="2" t="s">
        <v>99</v>
      </c>
      <c r="R2749" s="2" t="s">
        <v>100</v>
      </c>
      <c r="S2749" s="2" t="s">
        <v>9505</v>
      </c>
      <c r="T2749" s="2" t="s">
        <v>190</v>
      </c>
      <c r="U2749" s="2" t="s">
        <v>1228</v>
      </c>
      <c r="V2749" s="2" t="s">
        <v>461</v>
      </c>
      <c r="W2749" s="2" t="s">
        <v>609</v>
      </c>
      <c r="X2749" s="2" t="s">
        <v>100</v>
      </c>
      <c r="Y2749" s="2" t="s">
        <v>9495</v>
      </c>
      <c r="Z2749" s="4">
        <v>174</v>
      </c>
      <c r="AA2749" s="4">
        <f>=ROUNDDOWN(34.8,0)</f>
      </c>
      <c r="AB2749" s="5">
        <v>5</v>
      </c>
      <c r="AC2749" s="2" t="s">
        <v>990</v>
      </c>
      <c r="AD2749" s="4">
        <v>100</v>
      </c>
      <c r="AE2749" s="4">
        <v>100</v>
      </c>
      <c r="AF2749" s="6">
        <v>70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100</v>
      </c>
      <c r="AW2749" s="8" t="s">
        <v>100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/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/>
      <c r="BJ2749" s="4">
        <v>10</v>
      </c>
      <c r="BK2749" s="8">
        <v>366.6</v>
      </c>
      <c r="BL2749" s="2" t="s">
        <v>1404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171</v>
      </c>
      <c r="BV2749" s="2" t="s">
        <v>97</v>
      </c>
      <c r="BW2749" s="2" t="s">
        <v>100</v>
      </c>
      <c r="BX2749" s="2" t="s">
        <v>100</v>
      </c>
      <c r="BY2749" s="2" t="s">
        <v>112</v>
      </c>
      <c r="BZ2749" s="2" t="s">
        <v>100</v>
      </c>
    </row>
    <row r="2750">
      <c r="A2750" s="2" t="s">
        <v>9507</v>
      </c>
      <c r="B2750" s="2" t="s">
        <v>9043</v>
      </c>
      <c r="C2750" s="2" t="s">
        <v>88</v>
      </c>
      <c r="D2750" s="2" t="s">
        <v>9044</v>
      </c>
      <c r="E2750" s="2" t="s">
        <v>9045</v>
      </c>
      <c r="F2750" s="2" t="s">
        <v>9508</v>
      </c>
      <c r="G2750" s="2" t="s">
        <v>9508</v>
      </c>
      <c r="H2750" s="2" t="s">
        <v>9508</v>
      </c>
      <c r="I2750" s="2" t="s">
        <v>9493</v>
      </c>
      <c r="J2750" s="2" t="s">
        <v>95</v>
      </c>
      <c r="K2750" s="2" t="s">
        <v>179</v>
      </c>
      <c r="L2750" s="3">
        <v>40.25</v>
      </c>
      <c r="M2750" s="3">
        <v>42.26</v>
      </c>
      <c r="N2750" s="3">
        <v>89.99</v>
      </c>
      <c r="O2750" s="2" t="s">
        <v>97</v>
      </c>
      <c r="P2750" s="2" t="s">
        <v>156</v>
      </c>
      <c r="Q2750" s="2" t="s">
        <v>99</v>
      </c>
      <c r="R2750" s="2" t="s">
        <v>100</v>
      </c>
      <c r="S2750" s="2" t="s">
        <v>9509</v>
      </c>
      <c r="T2750" s="2" t="s">
        <v>190</v>
      </c>
      <c r="U2750" s="2" t="s">
        <v>1228</v>
      </c>
      <c r="V2750" s="2" t="s">
        <v>461</v>
      </c>
      <c r="W2750" s="2" t="s">
        <v>1136</v>
      </c>
      <c r="X2750" s="2" t="s">
        <v>609</v>
      </c>
      <c r="Y2750" s="2" t="s">
        <v>9495</v>
      </c>
      <c r="Z2750" s="4">
        <v>71</v>
      </c>
      <c r="AA2750" s="4">
        <f>=ROUNDDOWN(7.88888888888889,0)</f>
      </c>
      <c r="AB2750" s="5">
        <v>9</v>
      </c>
      <c r="AC2750" s="2" t="s">
        <v>832</v>
      </c>
      <c r="AD2750" s="4">
        <v>170</v>
      </c>
      <c r="AE2750" s="4">
        <v>170</v>
      </c>
      <c r="AF2750" s="6">
        <v>73</v>
      </c>
      <c r="AG2750" s="6"/>
      <c r="AH2750" s="7">
        <v>0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/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/>
      <c r="BJ2750" s="4">
        <v>1</v>
      </c>
      <c r="BK2750" s="8">
        <v>62.68</v>
      </c>
      <c r="BL2750" s="2" t="s">
        <v>3477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171</v>
      </c>
      <c r="BV2750" s="2" t="s">
        <v>97</v>
      </c>
      <c r="BW2750" s="2" t="s">
        <v>100</v>
      </c>
      <c r="BX2750" s="2" t="s">
        <v>100</v>
      </c>
      <c r="BY2750" s="2" t="s">
        <v>112</v>
      </c>
      <c r="BZ2750" s="2" t="s">
        <v>100</v>
      </c>
    </row>
    <row r="2751">
      <c r="A2751" s="2" t="s">
        <v>9510</v>
      </c>
      <c r="B2751" s="2" t="s">
        <v>9043</v>
      </c>
      <c r="C2751" s="2" t="s">
        <v>88</v>
      </c>
      <c r="D2751" s="2" t="s">
        <v>9044</v>
      </c>
      <c r="E2751" s="2" t="s">
        <v>9045</v>
      </c>
      <c r="F2751" s="2" t="s">
        <v>9508</v>
      </c>
      <c r="G2751" s="2" t="s">
        <v>9508</v>
      </c>
      <c r="H2751" s="2" t="s">
        <v>9508</v>
      </c>
      <c r="I2751" s="2" t="s">
        <v>9493</v>
      </c>
      <c r="J2751" s="2" t="s">
        <v>114</v>
      </c>
      <c r="K2751" s="2" t="s">
        <v>179</v>
      </c>
      <c r="L2751" s="3">
        <v>45.5</v>
      </c>
      <c r="M2751" s="3">
        <v>47.78</v>
      </c>
      <c r="N2751" s="3">
        <v>99.99</v>
      </c>
      <c r="O2751" s="2" t="s">
        <v>97</v>
      </c>
      <c r="P2751" s="2" t="s">
        <v>98</v>
      </c>
      <c r="Q2751" s="2" t="s">
        <v>99</v>
      </c>
      <c r="R2751" s="2" t="s">
        <v>100</v>
      </c>
      <c r="S2751" s="2" t="s">
        <v>9509</v>
      </c>
      <c r="T2751" s="2" t="s">
        <v>190</v>
      </c>
      <c r="U2751" s="2" t="s">
        <v>1228</v>
      </c>
      <c r="V2751" s="2" t="s">
        <v>461</v>
      </c>
      <c r="W2751" s="2" t="s">
        <v>1136</v>
      </c>
      <c r="X2751" s="2" t="s">
        <v>609</v>
      </c>
      <c r="Y2751" s="2" t="s">
        <v>9495</v>
      </c>
      <c r="Z2751" s="4">
        <v>52</v>
      </c>
      <c r="AA2751" s="4">
        <f>=ROUNDDOWN(8.66666666666667,0)</f>
      </c>
      <c r="AB2751" s="5">
        <v>6</v>
      </c>
      <c r="AC2751" s="2" t="s">
        <v>832</v>
      </c>
      <c r="AD2751" s="4">
        <v>110</v>
      </c>
      <c r="AE2751" s="4">
        <v>110</v>
      </c>
      <c r="AF2751" s="6">
        <v>73</v>
      </c>
      <c r="AG2751" s="6"/>
      <c r="AH2751" s="7">
        <v>0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100</v>
      </c>
      <c r="AW2751" s="8" t="s">
        <v>100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/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/>
      <c r="BJ2751" s="4"/>
      <c r="BK2751" s="8"/>
      <c r="BL2751" s="2" t="s">
        <v>100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171</v>
      </c>
      <c r="BV2751" s="2" t="s">
        <v>97</v>
      </c>
      <c r="BW2751" s="2" t="s">
        <v>100</v>
      </c>
      <c r="BX2751" s="2" t="s">
        <v>100</v>
      </c>
      <c r="BY2751" s="2" t="s">
        <v>112</v>
      </c>
      <c r="BZ2751" s="2" t="s">
        <v>100</v>
      </c>
    </row>
    <row r="2752">
      <c r="A2752" s="2" t="s">
        <v>9511</v>
      </c>
      <c r="B2752" s="2" t="s">
        <v>9043</v>
      </c>
      <c r="C2752" s="2" t="s">
        <v>88</v>
      </c>
      <c r="D2752" s="2" t="s">
        <v>9044</v>
      </c>
      <c r="E2752" s="2" t="s">
        <v>9045</v>
      </c>
      <c r="F2752" s="2" t="s">
        <v>9508</v>
      </c>
      <c r="G2752" s="2" t="s">
        <v>9508</v>
      </c>
      <c r="H2752" s="2" t="s">
        <v>9508</v>
      </c>
      <c r="I2752" s="2" t="s">
        <v>9493</v>
      </c>
      <c r="J2752" s="2" t="s">
        <v>95</v>
      </c>
      <c r="K2752" s="2" t="s">
        <v>96</v>
      </c>
      <c r="L2752" s="3">
        <v>40.25</v>
      </c>
      <c r="M2752" s="3">
        <v>42.26</v>
      </c>
      <c r="N2752" s="3">
        <v>89.99</v>
      </c>
      <c r="O2752" s="2" t="s">
        <v>97</v>
      </c>
      <c r="P2752" s="2" t="s">
        <v>156</v>
      </c>
      <c r="Q2752" s="2" t="s">
        <v>99</v>
      </c>
      <c r="R2752" s="2" t="s">
        <v>100</v>
      </c>
      <c r="S2752" s="2" t="s">
        <v>9512</v>
      </c>
      <c r="T2752" s="2" t="s">
        <v>190</v>
      </c>
      <c r="U2752" s="2" t="s">
        <v>1228</v>
      </c>
      <c r="V2752" s="2" t="s">
        <v>461</v>
      </c>
      <c r="W2752" s="2" t="s">
        <v>1136</v>
      </c>
      <c r="X2752" s="2" t="s">
        <v>609</v>
      </c>
      <c r="Y2752" s="2" t="s">
        <v>9495</v>
      </c>
      <c r="Z2752" s="4">
        <v>107</v>
      </c>
      <c r="AA2752" s="4">
        <f>=ROUNDDOWN(5.35,0)</f>
      </c>
      <c r="AB2752" s="5">
        <v>20</v>
      </c>
      <c r="AC2752" s="2" t="s">
        <v>832</v>
      </c>
      <c r="AD2752" s="4">
        <v>198</v>
      </c>
      <c r="AE2752" s="4">
        <v>548</v>
      </c>
      <c r="AF2752" s="6">
        <v>73</v>
      </c>
      <c r="AG2752" s="6"/>
      <c r="AH2752" s="7">
        <v>0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/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/>
      <c r="BJ2752" s="4"/>
      <c r="BK2752" s="8"/>
      <c r="BL2752" s="2" t="s">
        <v>100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171</v>
      </c>
      <c r="BV2752" s="2" t="s">
        <v>97</v>
      </c>
      <c r="BW2752" s="2" t="s">
        <v>100</v>
      </c>
      <c r="BX2752" s="2" t="s">
        <v>100</v>
      </c>
      <c r="BY2752" s="2" t="s">
        <v>112</v>
      </c>
      <c r="BZ2752" s="2" t="s">
        <v>100</v>
      </c>
    </row>
    <row r="2753">
      <c r="A2753" s="2" t="s">
        <v>9513</v>
      </c>
      <c r="B2753" s="2" t="s">
        <v>9043</v>
      </c>
      <c r="C2753" s="2" t="s">
        <v>88</v>
      </c>
      <c r="D2753" s="2" t="s">
        <v>9044</v>
      </c>
      <c r="E2753" s="2" t="s">
        <v>9045</v>
      </c>
      <c r="F2753" s="2" t="s">
        <v>9508</v>
      </c>
      <c r="G2753" s="2" t="s">
        <v>9508</v>
      </c>
      <c r="H2753" s="2" t="s">
        <v>9508</v>
      </c>
      <c r="I2753" s="2" t="s">
        <v>9493</v>
      </c>
      <c r="J2753" s="2" t="s">
        <v>114</v>
      </c>
      <c r="K2753" s="2" t="s">
        <v>96</v>
      </c>
      <c r="L2753" s="3">
        <v>45.5</v>
      </c>
      <c r="M2753" s="3">
        <v>47.78</v>
      </c>
      <c r="N2753" s="3">
        <v>99.99</v>
      </c>
      <c r="O2753" s="2" t="s">
        <v>97</v>
      </c>
      <c r="P2753" s="2" t="s">
        <v>156</v>
      </c>
      <c r="Q2753" s="2" t="s">
        <v>99</v>
      </c>
      <c r="R2753" s="2" t="s">
        <v>100</v>
      </c>
      <c r="S2753" s="2" t="s">
        <v>9512</v>
      </c>
      <c r="T2753" s="2" t="s">
        <v>190</v>
      </c>
      <c r="U2753" s="2" t="s">
        <v>1228</v>
      </c>
      <c r="V2753" s="2" t="s">
        <v>461</v>
      </c>
      <c r="W2753" s="2" t="s">
        <v>1136</v>
      </c>
      <c r="X2753" s="2" t="s">
        <v>609</v>
      </c>
      <c r="Y2753" s="2" t="s">
        <v>9495</v>
      </c>
      <c r="Z2753" s="4">
        <v>76</v>
      </c>
      <c r="AA2753" s="4">
        <f>=ROUNDDOWN(5.06666666666667,0)</f>
      </c>
      <c r="AB2753" s="5">
        <v>15</v>
      </c>
      <c r="AC2753" s="2" t="s">
        <v>832</v>
      </c>
      <c r="AD2753" s="4">
        <v>110</v>
      </c>
      <c r="AE2753" s="4">
        <v>360</v>
      </c>
      <c r="AF2753" s="6">
        <v>73</v>
      </c>
      <c r="AG2753" s="6"/>
      <c r="AH2753" s="7">
        <v>0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100</v>
      </c>
      <c r="AW2753" s="8" t="s">
        <v>100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/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/>
      <c r="BJ2753" s="4"/>
      <c r="BK2753" s="8"/>
      <c r="BL2753" s="2" t="s">
        <v>100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171</v>
      </c>
      <c r="BV2753" s="2" t="s">
        <v>97</v>
      </c>
      <c r="BW2753" s="2" t="s">
        <v>100</v>
      </c>
      <c r="BX2753" s="2" t="s">
        <v>100</v>
      </c>
      <c r="BY2753" s="2" t="s">
        <v>112</v>
      </c>
      <c r="BZ2753" s="2" t="s">
        <v>100</v>
      </c>
    </row>
    <row r="2754">
      <c r="A2754" s="2" t="s">
        <v>9514</v>
      </c>
      <c r="B2754" s="2" t="s">
        <v>9043</v>
      </c>
      <c r="C2754" s="2" t="s">
        <v>88</v>
      </c>
      <c r="D2754" s="2" t="s">
        <v>9044</v>
      </c>
      <c r="E2754" s="2" t="s">
        <v>9045</v>
      </c>
      <c r="F2754" s="2" t="s">
        <v>9508</v>
      </c>
      <c r="G2754" s="2" t="s">
        <v>9508</v>
      </c>
      <c r="H2754" s="2" t="s">
        <v>9508</v>
      </c>
      <c r="I2754" s="2" t="s">
        <v>9493</v>
      </c>
      <c r="J2754" s="2" t="s">
        <v>95</v>
      </c>
      <c r="K2754" s="2" t="s">
        <v>3340</v>
      </c>
      <c r="L2754" s="3">
        <v>40.25</v>
      </c>
      <c r="M2754" s="3">
        <v>42.26</v>
      </c>
      <c r="N2754" s="3">
        <v>89.99</v>
      </c>
      <c r="O2754" s="2" t="s">
        <v>97</v>
      </c>
      <c r="P2754" s="2" t="s">
        <v>156</v>
      </c>
      <c r="Q2754" s="2" t="s">
        <v>99</v>
      </c>
      <c r="R2754" s="2" t="s">
        <v>100</v>
      </c>
      <c r="S2754" s="2" t="s">
        <v>9515</v>
      </c>
      <c r="T2754" s="2" t="s">
        <v>190</v>
      </c>
      <c r="U2754" s="2" t="s">
        <v>1228</v>
      </c>
      <c r="V2754" s="2" t="s">
        <v>461</v>
      </c>
      <c r="W2754" s="2" t="s">
        <v>1136</v>
      </c>
      <c r="X2754" s="2" t="s">
        <v>609</v>
      </c>
      <c r="Y2754" s="2" t="s">
        <v>9495</v>
      </c>
      <c r="Z2754" s="4">
        <v>77</v>
      </c>
      <c r="AA2754" s="4">
        <f>=ROUNDDOWN(7,0)</f>
      </c>
      <c r="AB2754" s="5">
        <v>11</v>
      </c>
      <c r="AC2754" s="2" t="s">
        <v>832</v>
      </c>
      <c r="AD2754" s="4">
        <v>200</v>
      </c>
      <c r="AE2754" s="4">
        <v>200</v>
      </c>
      <c r="AF2754" s="6">
        <v>73</v>
      </c>
      <c r="AG2754" s="6"/>
      <c r="AH2754" s="7">
        <v>0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100</v>
      </c>
      <c r="AW2754" s="8" t="s">
        <v>100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/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/>
      <c r="BJ2754" s="4"/>
      <c r="BK2754" s="8"/>
      <c r="BL2754" s="2" t="s">
        <v>100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171</v>
      </c>
      <c r="BV2754" s="2" t="s">
        <v>97</v>
      </c>
      <c r="BW2754" s="2" t="s">
        <v>100</v>
      </c>
      <c r="BX2754" s="2" t="s">
        <v>100</v>
      </c>
      <c r="BY2754" s="2" t="s">
        <v>112</v>
      </c>
      <c r="BZ2754" s="2" t="s">
        <v>100</v>
      </c>
    </row>
    <row r="2755">
      <c r="A2755" s="2" t="s">
        <v>9516</v>
      </c>
      <c r="B2755" s="2" t="s">
        <v>9043</v>
      </c>
      <c r="C2755" s="2" t="s">
        <v>88</v>
      </c>
      <c r="D2755" s="2" t="s">
        <v>9044</v>
      </c>
      <c r="E2755" s="2" t="s">
        <v>9045</v>
      </c>
      <c r="F2755" s="2" t="s">
        <v>9508</v>
      </c>
      <c r="G2755" s="2" t="s">
        <v>9508</v>
      </c>
      <c r="H2755" s="2" t="s">
        <v>9508</v>
      </c>
      <c r="I2755" s="2" t="s">
        <v>9493</v>
      </c>
      <c r="J2755" s="2" t="s">
        <v>114</v>
      </c>
      <c r="K2755" s="2" t="s">
        <v>3340</v>
      </c>
      <c r="L2755" s="3">
        <v>45.5</v>
      </c>
      <c r="M2755" s="3">
        <v>47.78</v>
      </c>
      <c r="N2755" s="3">
        <v>99.99</v>
      </c>
      <c r="O2755" s="2" t="s">
        <v>97</v>
      </c>
      <c r="P2755" s="2" t="s">
        <v>98</v>
      </c>
      <c r="Q2755" s="2" t="s">
        <v>99</v>
      </c>
      <c r="R2755" s="2" t="s">
        <v>100</v>
      </c>
      <c r="S2755" s="2" t="s">
        <v>9515</v>
      </c>
      <c r="T2755" s="2" t="s">
        <v>190</v>
      </c>
      <c r="U2755" s="2" t="s">
        <v>1228</v>
      </c>
      <c r="V2755" s="2" t="s">
        <v>461</v>
      </c>
      <c r="W2755" s="2" t="s">
        <v>1136</v>
      </c>
      <c r="X2755" s="2" t="s">
        <v>609</v>
      </c>
      <c r="Y2755" s="2" t="s">
        <v>9495</v>
      </c>
      <c r="Z2755" s="4">
        <v>85</v>
      </c>
      <c r="AA2755" s="4">
        <f>=ROUNDDOWN(21.25,0)</f>
      </c>
      <c r="AB2755" s="5">
        <v>4</v>
      </c>
      <c r="AC2755" s="2" t="s">
        <v>832</v>
      </c>
      <c r="AD2755" s="4">
        <v>130</v>
      </c>
      <c r="AE2755" s="4">
        <v>130</v>
      </c>
      <c r="AF2755" s="6">
        <v>73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/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/>
      <c r="BJ2755" s="4">
        <v>17</v>
      </c>
      <c r="BK2755" s="8">
        <v>852.78</v>
      </c>
      <c r="BL2755" s="2" t="s">
        <v>5948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171</v>
      </c>
      <c r="BV2755" s="2" t="s">
        <v>97</v>
      </c>
      <c r="BW2755" s="2" t="s">
        <v>100</v>
      </c>
      <c r="BX2755" s="2" t="s">
        <v>100</v>
      </c>
      <c r="BY2755" s="2" t="s">
        <v>112</v>
      </c>
      <c r="BZ2755" s="2" t="s">
        <v>100</v>
      </c>
    </row>
    <row r="2756">
      <c r="A2756" s="2" t="s">
        <v>9517</v>
      </c>
      <c r="B2756" s="2" t="s">
        <v>9043</v>
      </c>
      <c r="C2756" s="2" t="s">
        <v>88</v>
      </c>
      <c r="D2756" s="2" t="s">
        <v>9044</v>
      </c>
      <c r="E2756" s="2" t="s">
        <v>9045</v>
      </c>
      <c r="F2756" s="2" t="s">
        <v>9508</v>
      </c>
      <c r="G2756" s="2" t="s">
        <v>9508</v>
      </c>
      <c r="H2756" s="2" t="s">
        <v>9508</v>
      </c>
      <c r="I2756" s="2" t="s">
        <v>9493</v>
      </c>
      <c r="J2756" s="2" t="s">
        <v>95</v>
      </c>
      <c r="K2756" s="2" t="s">
        <v>458</v>
      </c>
      <c r="L2756" s="3">
        <v>40.25</v>
      </c>
      <c r="M2756" s="3">
        <v>42.26</v>
      </c>
      <c r="N2756" s="3">
        <v>89.99</v>
      </c>
      <c r="O2756" s="2" t="s">
        <v>97</v>
      </c>
      <c r="P2756" s="2" t="s">
        <v>123</v>
      </c>
      <c r="Q2756" s="2" t="s">
        <v>99</v>
      </c>
      <c r="R2756" s="2" t="s">
        <v>100</v>
      </c>
      <c r="S2756" s="2" t="s">
        <v>9518</v>
      </c>
      <c r="T2756" s="2" t="s">
        <v>190</v>
      </c>
      <c r="U2756" s="2" t="s">
        <v>1228</v>
      </c>
      <c r="V2756" s="2" t="s">
        <v>461</v>
      </c>
      <c r="W2756" s="2" t="s">
        <v>1136</v>
      </c>
      <c r="X2756" s="2" t="s">
        <v>609</v>
      </c>
      <c r="Y2756" s="2" t="s">
        <v>9495</v>
      </c>
      <c r="Z2756" s="4">
        <v>135</v>
      </c>
      <c r="AA2756" s="4">
        <f>=ROUNDDOWN(6.13636363636364,0)</f>
      </c>
      <c r="AB2756" s="5">
        <v>22</v>
      </c>
      <c r="AC2756" s="2" t="s">
        <v>832</v>
      </c>
      <c r="AD2756" s="4">
        <v>156</v>
      </c>
      <c r="AE2756" s="4">
        <v>556</v>
      </c>
      <c r="AF2756" s="6">
        <v>73</v>
      </c>
      <c r="AG2756" s="6"/>
      <c r="AH2756" s="7">
        <v>0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100</v>
      </c>
      <c r="AW2756" s="8" t="s">
        <v>100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/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/>
      <c r="BJ2756" s="4"/>
      <c r="BK2756" s="8"/>
      <c r="BL2756" s="2" t="s">
        <v>100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171</v>
      </c>
      <c r="BV2756" s="2" t="s">
        <v>97</v>
      </c>
      <c r="BW2756" s="2" t="s">
        <v>100</v>
      </c>
      <c r="BX2756" s="2" t="s">
        <v>100</v>
      </c>
      <c r="BY2756" s="2" t="s">
        <v>112</v>
      </c>
      <c r="BZ2756" s="2" t="s">
        <v>100</v>
      </c>
    </row>
    <row r="2757">
      <c r="A2757" s="2" t="s">
        <v>9519</v>
      </c>
      <c r="B2757" s="2" t="s">
        <v>9043</v>
      </c>
      <c r="C2757" s="2" t="s">
        <v>88</v>
      </c>
      <c r="D2757" s="2" t="s">
        <v>9044</v>
      </c>
      <c r="E2757" s="2" t="s">
        <v>9045</v>
      </c>
      <c r="F2757" s="2" t="s">
        <v>9508</v>
      </c>
      <c r="G2757" s="2" t="s">
        <v>9508</v>
      </c>
      <c r="H2757" s="2" t="s">
        <v>9508</v>
      </c>
      <c r="I2757" s="2" t="s">
        <v>9493</v>
      </c>
      <c r="J2757" s="2" t="s">
        <v>114</v>
      </c>
      <c r="K2757" s="2" t="s">
        <v>458</v>
      </c>
      <c r="L2757" s="3">
        <v>45.5</v>
      </c>
      <c r="M2757" s="3">
        <v>47.78</v>
      </c>
      <c r="N2757" s="3">
        <v>99.99</v>
      </c>
      <c r="O2757" s="2" t="s">
        <v>97</v>
      </c>
      <c r="P2757" s="2" t="s">
        <v>156</v>
      </c>
      <c r="Q2757" s="2" t="s">
        <v>99</v>
      </c>
      <c r="R2757" s="2" t="s">
        <v>100</v>
      </c>
      <c r="S2757" s="2" t="s">
        <v>9518</v>
      </c>
      <c r="T2757" s="2" t="s">
        <v>190</v>
      </c>
      <c r="U2757" s="2" t="s">
        <v>1228</v>
      </c>
      <c r="V2757" s="2" t="s">
        <v>461</v>
      </c>
      <c r="W2757" s="2" t="s">
        <v>1136</v>
      </c>
      <c r="X2757" s="2" t="s">
        <v>609</v>
      </c>
      <c r="Y2757" s="2" t="s">
        <v>9495</v>
      </c>
      <c r="Z2757" s="4">
        <v>71</v>
      </c>
      <c r="AA2757" s="4">
        <f>=ROUNDDOWN(3.67875647668394,0)</f>
      </c>
      <c r="AB2757" s="5">
        <v>19.3</v>
      </c>
      <c r="AC2757" s="2" t="s">
        <v>832</v>
      </c>
      <c r="AD2757" s="4">
        <v>107</v>
      </c>
      <c r="AE2757" s="4">
        <v>307</v>
      </c>
      <c r="AF2757" s="6">
        <v>73</v>
      </c>
      <c r="AG2757" s="6"/>
      <c r="AH2757" s="7">
        <v>0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100</v>
      </c>
      <c r="AW2757" s="8" t="s">
        <v>100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/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/>
      <c r="BJ2757" s="4">
        <v>1</v>
      </c>
      <c r="BK2757" s="8">
        <v>51.6</v>
      </c>
      <c r="BL2757" s="2" t="s">
        <v>9520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171</v>
      </c>
      <c r="BV2757" s="2" t="s">
        <v>97</v>
      </c>
      <c r="BW2757" s="2" t="s">
        <v>100</v>
      </c>
      <c r="BX2757" s="2" t="s">
        <v>100</v>
      </c>
      <c r="BY2757" s="2" t="s">
        <v>112</v>
      </c>
      <c r="BZ2757" s="2" t="s">
        <v>100</v>
      </c>
    </row>
    <row r="2758">
      <c r="A2758" s="2" t="s">
        <v>9521</v>
      </c>
      <c r="B2758" s="2" t="s">
        <v>9043</v>
      </c>
      <c r="C2758" s="2" t="s">
        <v>88</v>
      </c>
      <c r="D2758" s="2" t="s">
        <v>9044</v>
      </c>
      <c r="E2758" s="2" t="s">
        <v>9045</v>
      </c>
      <c r="F2758" s="2" t="s">
        <v>9046</v>
      </c>
      <c r="G2758" s="2" t="s">
        <v>9046</v>
      </c>
      <c r="H2758" s="2" t="s">
        <v>9046</v>
      </c>
      <c r="I2758" s="2" t="s">
        <v>9522</v>
      </c>
      <c r="J2758" s="2" t="s">
        <v>9268</v>
      </c>
      <c r="K2758" s="2" t="s">
        <v>3475</v>
      </c>
      <c r="L2758" s="3">
        <v>72.03</v>
      </c>
      <c r="M2758" s="3">
        <v>75.63</v>
      </c>
      <c r="N2758" s="3">
        <v>139.99</v>
      </c>
      <c r="O2758" s="2" t="s">
        <v>97</v>
      </c>
      <c r="P2758" s="2" t="s">
        <v>98</v>
      </c>
      <c r="Q2758" s="2" t="s">
        <v>99</v>
      </c>
      <c r="R2758" s="2" t="s">
        <v>100</v>
      </c>
      <c r="S2758" s="2" t="s">
        <v>9523</v>
      </c>
      <c r="T2758" s="2" t="s">
        <v>190</v>
      </c>
      <c r="U2758" s="2" t="s">
        <v>102</v>
      </c>
      <c r="V2758" s="2" t="s">
        <v>461</v>
      </c>
      <c r="W2758" s="2" t="s">
        <v>609</v>
      </c>
      <c r="X2758" s="2" t="s">
        <v>493</v>
      </c>
      <c r="Y2758" s="2" t="s">
        <v>9524</v>
      </c>
      <c r="Z2758" s="4">
        <v>59</v>
      </c>
      <c r="AA2758" s="4">
        <f>=ROUNDDOWN(11.8,0)</f>
      </c>
      <c r="AB2758" s="5">
        <v>5</v>
      </c>
      <c r="AC2758" s="2" t="s">
        <v>990</v>
      </c>
      <c r="AD2758" s="4">
        <v>47</v>
      </c>
      <c r="AE2758" s="4">
        <v>147</v>
      </c>
      <c r="AF2758" s="6">
        <v>69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/>
      <c r="AW2758" s="8"/>
      <c r="AX2758" s="4"/>
      <c r="AY2758" s="8"/>
      <c r="AZ2758" s="7"/>
      <c r="BA2758" s="7"/>
      <c r="BB2758" s="7"/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/>
      <c r="BJ2758" s="4">
        <v>12</v>
      </c>
      <c r="BK2758" s="8">
        <v>1016.3</v>
      </c>
      <c r="BL2758" s="2" t="s">
        <v>1382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171</v>
      </c>
      <c r="BV2758" s="2" t="s">
        <v>97</v>
      </c>
      <c r="BW2758" s="2" t="s">
        <v>100</v>
      </c>
      <c r="BX2758" s="2" t="s">
        <v>100</v>
      </c>
      <c r="BY2758" s="2" t="s">
        <v>112</v>
      </c>
      <c r="BZ2758" s="2" t="s">
        <v>100</v>
      </c>
    </row>
    <row r="2759">
      <c r="A2759" s="2" t="s">
        <v>9525</v>
      </c>
      <c r="B2759" s="2" t="s">
        <v>9043</v>
      </c>
      <c r="C2759" s="2" t="s">
        <v>88</v>
      </c>
      <c r="D2759" s="2" t="s">
        <v>9044</v>
      </c>
      <c r="E2759" s="2" t="s">
        <v>9045</v>
      </c>
      <c r="F2759" s="2" t="s">
        <v>9046</v>
      </c>
      <c r="G2759" s="2" t="s">
        <v>9046</v>
      </c>
      <c r="H2759" s="2" t="s">
        <v>9046</v>
      </c>
      <c r="I2759" s="2" t="s">
        <v>9522</v>
      </c>
      <c r="J2759" s="2" t="s">
        <v>9268</v>
      </c>
      <c r="K2759" s="2" t="s">
        <v>4488</v>
      </c>
      <c r="L2759" s="3">
        <v>72.03</v>
      </c>
      <c r="M2759" s="3">
        <v>75.63</v>
      </c>
      <c r="N2759" s="3">
        <v>139.99</v>
      </c>
      <c r="O2759" s="2" t="s">
        <v>97</v>
      </c>
      <c r="P2759" s="2" t="s">
        <v>156</v>
      </c>
      <c r="Q2759" s="2" t="s">
        <v>99</v>
      </c>
      <c r="R2759" s="2" t="s">
        <v>100</v>
      </c>
      <c r="S2759" s="2" t="s">
        <v>9526</v>
      </c>
      <c r="T2759" s="2" t="s">
        <v>190</v>
      </c>
      <c r="U2759" s="2" t="s">
        <v>102</v>
      </c>
      <c r="V2759" s="2" t="s">
        <v>461</v>
      </c>
      <c r="W2759" s="2" t="s">
        <v>609</v>
      </c>
      <c r="X2759" s="2" t="s">
        <v>493</v>
      </c>
      <c r="Y2759" s="2" t="s">
        <v>1523</v>
      </c>
      <c r="Z2759" s="4">
        <v>123</v>
      </c>
      <c r="AA2759" s="4">
        <f>=ROUNDDOWN(15.375,0)</f>
      </c>
      <c r="AB2759" s="5">
        <v>8</v>
      </c>
      <c r="AC2759" s="2" t="s">
        <v>173</v>
      </c>
      <c r="AD2759" s="4">
        <v>160</v>
      </c>
      <c r="AE2759" s="4">
        <v>230</v>
      </c>
      <c r="AF2759" s="6">
        <v>69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/>
      <c r="AW2759" s="8"/>
      <c r="AX2759" s="4"/>
      <c r="AY2759" s="8"/>
      <c r="AZ2759" s="7"/>
      <c r="BA2759" s="7"/>
      <c r="BB2759" s="7"/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/>
      <c r="BJ2759" s="4">
        <v>20</v>
      </c>
      <c r="BK2759" s="8">
        <v>1685.25</v>
      </c>
      <c r="BL2759" s="2" t="s">
        <v>9471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171</v>
      </c>
      <c r="BV2759" s="2" t="s">
        <v>97</v>
      </c>
      <c r="BW2759" s="2" t="s">
        <v>100</v>
      </c>
      <c r="BX2759" s="2" t="s">
        <v>100</v>
      </c>
      <c r="BY2759" s="2" t="s">
        <v>112</v>
      </c>
      <c r="BZ2759" s="2" t="s">
        <v>100</v>
      </c>
    </row>
    <row r="2760">
      <c r="A2760" s="2" t="s">
        <v>9527</v>
      </c>
      <c r="B2760" s="2" t="s">
        <v>9043</v>
      </c>
      <c r="C2760" s="2" t="s">
        <v>88</v>
      </c>
      <c r="D2760" s="2" t="s">
        <v>9044</v>
      </c>
      <c r="E2760" s="2" t="s">
        <v>9045</v>
      </c>
      <c r="F2760" s="2" t="s">
        <v>9046</v>
      </c>
      <c r="G2760" s="2" t="s">
        <v>9046</v>
      </c>
      <c r="H2760" s="2" t="s">
        <v>9046</v>
      </c>
      <c r="I2760" s="2" t="s">
        <v>9522</v>
      </c>
      <c r="J2760" s="2" t="s">
        <v>95</v>
      </c>
      <c r="K2760" s="2" t="s">
        <v>223</v>
      </c>
      <c r="L2760" s="3">
        <v>51.82</v>
      </c>
      <c r="M2760" s="3">
        <v>54.41</v>
      </c>
      <c r="N2760" s="3">
        <v>104.99</v>
      </c>
      <c r="O2760" s="2" t="s">
        <v>97</v>
      </c>
      <c r="P2760" s="2" t="s">
        <v>98</v>
      </c>
      <c r="Q2760" s="2" t="s">
        <v>99</v>
      </c>
      <c r="R2760" s="2" t="s">
        <v>100</v>
      </c>
      <c r="S2760" s="2" t="s">
        <v>9528</v>
      </c>
      <c r="T2760" s="2" t="s">
        <v>190</v>
      </c>
      <c r="U2760" s="2" t="s">
        <v>1228</v>
      </c>
      <c r="V2760" s="2" t="s">
        <v>461</v>
      </c>
      <c r="W2760" s="2" t="s">
        <v>609</v>
      </c>
      <c r="X2760" s="2" t="s">
        <v>104</v>
      </c>
      <c r="Y2760" s="2" t="s">
        <v>9529</v>
      </c>
      <c r="Z2760" s="4">
        <v>230</v>
      </c>
      <c r="AA2760" s="4">
        <f>=ROUNDDOWN(20.9090909090909,0)</f>
      </c>
      <c r="AB2760" s="5">
        <v>11</v>
      </c>
      <c r="AC2760" s="2" t="s">
        <v>173</v>
      </c>
      <c r="AD2760" s="4">
        <v>110</v>
      </c>
      <c r="AE2760" s="4">
        <v>250</v>
      </c>
      <c r="AF2760" s="6">
        <v>69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100</v>
      </c>
      <c r="AW2760" s="8" t="s">
        <v>100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/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/>
      <c r="BJ2760" s="4">
        <v>36</v>
      </c>
      <c r="BK2760" s="8">
        <v>2069.47</v>
      </c>
      <c r="BL2760" s="2" t="s">
        <v>3052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171</v>
      </c>
      <c r="BV2760" s="2" t="s">
        <v>97</v>
      </c>
      <c r="BW2760" s="2" t="s">
        <v>100</v>
      </c>
      <c r="BX2760" s="2" t="s">
        <v>100</v>
      </c>
      <c r="BY2760" s="2" t="s">
        <v>112</v>
      </c>
      <c r="BZ2760" s="2" t="s">
        <v>100</v>
      </c>
    </row>
    <row r="2761">
      <c r="A2761" s="2" t="s">
        <v>9530</v>
      </c>
      <c r="B2761" s="2" t="s">
        <v>9043</v>
      </c>
      <c r="C2761" s="2" t="s">
        <v>88</v>
      </c>
      <c r="D2761" s="2" t="s">
        <v>9044</v>
      </c>
      <c r="E2761" s="2" t="s">
        <v>9045</v>
      </c>
      <c r="F2761" s="2" t="s">
        <v>9046</v>
      </c>
      <c r="G2761" s="2" t="s">
        <v>9046</v>
      </c>
      <c r="H2761" s="2" t="s">
        <v>9046</v>
      </c>
      <c r="I2761" s="2" t="s">
        <v>9522</v>
      </c>
      <c r="J2761" s="2" t="s">
        <v>114</v>
      </c>
      <c r="K2761" s="2" t="s">
        <v>223</v>
      </c>
      <c r="L2761" s="3">
        <v>63</v>
      </c>
      <c r="M2761" s="3">
        <v>66.15</v>
      </c>
      <c r="N2761" s="3">
        <v>124.99</v>
      </c>
      <c r="O2761" s="2" t="s">
        <v>97</v>
      </c>
      <c r="P2761" s="2" t="s">
        <v>98</v>
      </c>
      <c r="Q2761" s="2" t="s">
        <v>99</v>
      </c>
      <c r="R2761" s="2" t="s">
        <v>100</v>
      </c>
      <c r="S2761" s="2" t="s">
        <v>9528</v>
      </c>
      <c r="T2761" s="2" t="s">
        <v>190</v>
      </c>
      <c r="U2761" s="2" t="s">
        <v>1228</v>
      </c>
      <c r="V2761" s="2" t="s">
        <v>461</v>
      </c>
      <c r="W2761" s="2" t="s">
        <v>609</v>
      </c>
      <c r="X2761" s="2" t="s">
        <v>104</v>
      </c>
      <c r="Y2761" s="2" t="s">
        <v>9529</v>
      </c>
      <c r="Z2761" s="4">
        <v>165</v>
      </c>
      <c r="AA2761" s="4">
        <f>=ROUNDDOWN(23.5714285714286,0)</f>
      </c>
      <c r="AB2761" s="5">
        <v>7</v>
      </c>
      <c r="AC2761" s="2" t="s">
        <v>173</v>
      </c>
      <c r="AD2761" s="4">
        <v>10</v>
      </c>
      <c r="AE2761" s="4">
        <v>90</v>
      </c>
      <c r="AF2761" s="6">
        <v>69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100</v>
      </c>
      <c r="AW2761" s="8" t="s">
        <v>100</v>
      </c>
      <c r="AX2761" s="4" t="s">
        <v>100</v>
      </c>
      <c r="AY2761" s="8" t="s">
        <v>100</v>
      </c>
      <c r="AZ2761" s="7" t="s">
        <v>100</v>
      </c>
      <c r="BA2761" s="7" t="s">
        <v>100</v>
      </c>
      <c r="BB2761" s="7"/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/>
      <c r="BJ2761" s="4">
        <v>23</v>
      </c>
      <c r="BK2761" s="8">
        <v>1627.76</v>
      </c>
      <c r="BL2761" s="2" t="s">
        <v>3052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171</v>
      </c>
      <c r="BV2761" s="2" t="s">
        <v>97</v>
      </c>
      <c r="BW2761" s="2" t="s">
        <v>100</v>
      </c>
      <c r="BX2761" s="2" t="s">
        <v>100</v>
      </c>
      <c r="BY2761" s="2" t="s">
        <v>112</v>
      </c>
      <c r="BZ2761" s="2" t="s">
        <v>100</v>
      </c>
    </row>
    <row r="2762">
      <c r="A2762" s="2" t="s">
        <v>9531</v>
      </c>
      <c r="B2762" s="2" t="s">
        <v>9043</v>
      </c>
      <c r="C2762" s="2" t="s">
        <v>88</v>
      </c>
      <c r="D2762" s="2" t="s">
        <v>9044</v>
      </c>
      <c r="E2762" s="2" t="s">
        <v>9045</v>
      </c>
      <c r="F2762" s="2" t="s">
        <v>9046</v>
      </c>
      <c r="G2762" s="2" t="s">
        <v>9046</v>
      </c>
      <c r="H2762" s="2" t="s">
        <v>9046</v>
      </c>
      <c r="I2762" s="2" t="s">
        <v>9522</v>
      </c>
      <c r="J2762" s="2" t="s">
        <v>118</v>
      </c>
      <c r="K2762" s="2" t="s">
        <v>223</v>
      </c>
      <c r="L2762" s="3">
        <v>63</v>
      </c>
      <c r="M2762" s="3">
        <v>66.15</v>
      </c>
      <c r="N2762" s="3">
        <v>124.99</v>
      </c>
      <c r="O2762" s="2" t="s">
        <v>97</v>
      </c>
      <c r="P2762" s="2" t="s">
        <v>98</v>
      </c>
      <c r="Q2762" s="2" t="s">
        <v>99</v>
      </c>
      <c r="R2762" s="2" t="s">
        <v>100</v>
      </c>
      <c r="S2762" s="2" t="s">
        <v>9528</v>
      </c>
      <c r="T2762" s="2" t="s">
        <v>190</v>
      </c>
      <c r="U2762" s="2" t="s">
        <v>1228</v>
      </c>
      <c r="V2762" s="2" t="s">
        <v>461</v>
      </c>
      <c r="W2762" s="2" t="s">
        <v>609</v>
      </c>
      <c r="X2762" s="2" t="s">
        <v>104</v>
      </c>
      <c r="Y2762" s="2" t="s">
        <v>9529</v>
      </c>
      <c r="Z2762" s="4">
        <v>39</v>
      </c>
      <c r="AA2762" s="4">
        <f>=ROUNDDOWN(13,0)</f>
      </c>
      <c r="AB2762" s="5">
        <v>3</v>
      </c>
      <c r="AC2762" s="2" t="s">
        <v>990</v>
      </c>
      <c r="AD2762" s="4">
        <v>55</v>
      </c>
      <c r="AE2762" s="4">
        <v>95</v>
      </c>
      <c r="AF2762" s="6">
        <v>69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100</v>
      </c>
      <c r="AW2762" s="8" t="s">
        <v>100</v>
      </c>
      <c r="AX2762" s="4" t="s">
        <v>100</v>
      </c>
      <c r="AY2762" s="8" t="s">
        <v>100</v>
      </c>
      <c r="AZ2762" s="7" t="s">
        <v>100</v>
      </c>
      <c r="BA2762" s="7" t="s">
        <v>100</v>
      </c>
      <c r="BB2762" s="7"/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/>
      <c r="BJ2762" s="4">
        <v>8</v>
      </c>
      <c r="BK2762" s="8">
        <v>566.33</v>
      </c>
      <c r="BL2762" s="2" t="s">
        <v>4412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171</v>
      </c>
      <c r="BV2762" s="2" t="s">
        <v>97</v>
      </c>
      <c r="BW2762" s="2" t="s">
        <v>100</v>
      </c>
      <c r="BX2762" s="2" t="s">
        <v>100</v>
      </c>
      <c r="BY2762" s="2" t="s">
        <v>112</v>
      </c>
      <c r="BZ2762" s="2" t="s">
        <v>100</v>
      </c>
    </row>
    <row r="2763">
      <c r="A2763" s="2" t="s">
        <v>9532</v>
      </c>
      <c r="B2763" s="2" t="s">
        <v>9043</v>
      </c>
      <c r="C2763" s="2" t="s">
        <v>88</v>
      </c>
      <c r="D2763" s="2" t="s">
        <v>9044</v>
      </c>
      <c r="E2763" s="2" t="s">
        <v>9045</v>
      </c>
      <c r="F2763" s="2" t="s">
        <v>9046</v>
      </c>
      <c r="G2763" s="2" t="s">
        <v>9046</v>
      </c>
      <c r="H2763" s="2" t="s">
        <v>9046</v>
      </c>
      <c r="I2763" s="2" t="s">
        <v>9522</v>
      </c>
      <c r="J2763" s="2" t="s">
        <v>9268</v>
      </c>
      <c r="K2763" s="2" t="s">
        <v>223</v>
      </c>
      <c r="L2763" s="3">
        <v>72.03</v>
      </c>
      <c r="M2763" s="3">
        <v>75.63</v>
      </c>
      <c r="N2763" s="3">
        <v>139.99</v>
      </c>
      <c r="O2763" s="2" t="s">
        <v>97</v>
      </c>
      <c r="P2763" s="2" t="s">
        <v>98</v>
      </c>
      <c r="Q2763" s="2" t="s">
        <v>99</v>
      </c>
      <c r="R2763" s="2" t="s">
        <v>100</v>
      </c>
      <c r="S2763" s="2" t="s">
        <v>9528</v>
      </c>
      <c r="T2763" s="2" t="s">
        <v>190</v>
      </c>
      <c r="U2763" s="2" t="s">
        <v>102</v>
      </c>
      <c r="V2763" s="2" t="s">
        <v>461</v>
      </c>
      <c r="W2763" s="2" t="s">
        <v>609</v>
      </c>
      <c r="X2763" s="2" t="s">
        <v>104</v>
      </c>
      <c r="Y2763" s="2" t="s">
        <v>9529</v>
      </c>
      <c r="Z2763" s="4">
        <v>104</v>
      </c>
      <c r="AA2763" s="4">
        <f>=ROUNDDOWN(20.8,0)</f>
      </c>
      <c r="AB2763" s="5">
        <v>5</v>
      </c>
      <c r="AC2763" s="2" t="s">
        <v>173</v>
      </c>
      <c r="AD2763" s="4">
        <v>60</v>
      </c>
      <c r="AE2763" s="4">
        <v>120</v>
      </c>
      <c r="AF2763" s="6">
        <v>69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100</v>
      </c>
      <c r="AW2763" s="8" t="s">
        <v>100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/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/>
      <c r="BJ2763" s="4">
        <v>7</v>
      </c>
      <c r="BK2763" s="8">
        <v>585.71</v>
      </c>
      <c r="BL2763" s="2" t="s">
        <v>1382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171</v>
      </c>
      <c r="BV2763" s="2" t="s">
        <v>97</v>
      </c>
      <c r="BW2763" s="2" t="s">
        <v>100</v>
      </c>
      <c r="BX2763" s="2" t="s">
        <v>100</v>
      </c>
      <c r="BY2763" s="2" t="s">
        <v>112</v>
      </c>
      <c r="BZ2763" s="2" t="s">
        <v>100</v>
      </c>
    </row>
    <row r="2764">
      <c r="A2764" s="2" t="s">
        <v>9533</v>
      </c>
      <c r="B2764" s="2" t="s">
        <v>9043</v>
      </c>
      <c r="C2764" s="2" t="s">
        <v>88</v>
      </c>
      <c r="D2764" s="2" t="s">
        <v>9044</v>
      </c>
      <c r="E2764" s="2" t="s">
        <v>9045</v>
      </c>
      <c r="F2764" s="2" t="s">
        <v>9046</v>
      </c>
      <c r="G2764" s="2" t="s">
        <v>9046</v>
      </c>
      <c r="H2764" s="2" t="s">
        <v>9046</v>
      </c>
      <c r="I2764" s="2" t="s">
        <v>9522</v>
      </c>
      <c r="J2764" s="2" t="s">
        <v>95</v>
      </c>
      <c r="K2764" s="2" t="s">
        <v>9534</v>
      </c>
      <c r="L2764" s="3">
        <v>51.82</v>
      </c>
      <c r="M2764" s="3">
        <v>54.41</v>
      </c>
      <c r="N2764" s="3">
        <v>104.99</v>
      </c>
      <c r="O2764" s="2" t="s">
        <v>97</v>
      </c>
      <c r="P2764" s="2" t="s">
        <v>98</v>
      </c>
      <c r="Q2764" s="2" t="s">
        <v>99</v>
      </c>
      <c r="R2764" s="2" t="s">
        <v>100</v>
      </c>
      <c r="S2764" s="2" t="s">
        <v>9535</v>
      </c>
      <c r="T2764" s="2" t="s">
        <v>190</v>
      </c>
      <c r="U2764" s="2" t="s">
        <v>1228</v>
      </c>
      <c r="V2764" s="2" t="s">
        <v>461</v>
      </c>
      <c r="W2764" s="2" t="s">
        <v>609</v>
      </c>
      <c r="X2764" s="2" t="s">
        <v>104</v>
      </c>
      <c r="Y2764" s="2" t="s">
        <v>9529</v>
      </c>
      <c r="Z2764" s="4">
        <v>105</v>
      </c>
      <c r="AA2764" s="4">
        <f>=ROUNDDOWN(15,0)</f>
      </c>
      <c r="AB2764" s="5">
        <v>7</v>
      </c>
      <c r="AC2764" s="2" t="s">
        <v>990</v>
      </c>
      <c r="AD2764" s="4">
        <v>51</v>
      </c>
      <c r="AE2764" s="4">
        <v>391</v>
      </c>
      <c r="AF2764" s="6">
        <v>69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100</v>
      </c>
      <c r="AW2764" s="8" t="s">
        <v>100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/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/>
      <c r="BJ2764" s="4">
        <v>20</v>
      </c>
      <c r="BK2764" s="8">
        <v>1201.57</v>
      </c>
      <c r="BL2764" s="2" t="s">
        <v>2532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171</v>
      </c>
      <c r="BV2764" s="2" t="s">
        <v>97</v>
      </c>
      <c r="BW2764" s="2" t="s">
        <v>100</v>
      </c>
      <c r="BX2764" s="2" t="s">
        <v>100</v>
      </c>
      <c r="BY2764" s="2" t="s">
        <v>112</v>
      </c>
      <c r="BZ2764" s="2" t="s">
        <v>100</v>
      </c>
    </row>
    <row r="2765">
      <c r="A2765" s="2" t="s">
        <v>9536</v>
      </c>
      <c r="B2765" s="2" t="s">
        <v>9043</v>
      </c>
      <c r="C2765" s="2" t="s">
        <v>88</v>
      </c>
      <c r="D2765" s="2" t="s">
        <v>9044</v>
      </c>
      <c r="E2765" s="2" t="s">
        <v>9045</v>
      </c>
      <c r="F2765" s="2" t="s">
        <v>9046</v>
      </c>
      <c r="G2765" s="2" t="s">
        <v>9046</v>
      </c>
      <c r="H2765" s="2" t="s">
        <v>9046</v>
      </c>
      <c r="I2765" s="2" t="s">
        <v>9522</v>
      </c>
      <c r="J2765" s="2" t="s">
        <v>114</v>
      </c>
      <c r="K2765" s="2" t="s">
        <v>9534</v>
      </c>
      <c r="L2765" s="3">
        <v>63</v>
      </c>
      <c r="M2765" s="3">
        <v>66.15</v>
      </c>
      <c r="N2765" s="3">
        <v>124.99</v>
      </c>
      <c r="O2765" s="2" t="s">
        <v>97</v>
      </c>
      <c r="P2765" s="2" t="s">
        <v>98</v>
      </c>
      <c r="Q2765" s="2" t="s">
        <v>99</v>
      </c>
      <c r="R2765" s="2" t="s">
        <v>100</v>
      </c>
      <c r="S2765" s="2" t="s">
        <v>9535</v>
      </c>
      <c r="T2765" s="2" t="s">
        <v>190</v>
      </c>
      <c r="U2765" s="2" t="s">
        <v>1228</v>
      </c>
      <c r="V2765" s="2" t="s">
        <v>461</v>
      </c>
      <c r="W2765" s="2" t="s">
        <v>609</v>
      </c>
      <c r="X2765" s="2" t="s">
        <v>104</v>
      </c>
      <c r="Y2765" s="2" t="s">
        <v>9529</v>
      </c>
      <c r="Z2765" s="4">
        <v>92</v>
      </c>
      <c r="AA2765" s="4">
        <f>=ROUNDDOWN(18.4,0)</f>
      </c>
      <c r="AB2765" s="5">
        <v>5</v>
      </c>
      <c r="AC2765" s="2" t="s">
        <v>990</v>
      </c>
      <c r="AD2765" s="4">
        <v>184</v>
      </c>
      <c r="AE2765" s="4">
        <v>244</v>
      </c>
      <c r="AF2765" s="6">
        <v>69</v>
      </c>
      <c r="AG2765" s="6"/>
      <c r="AH2765" s="7">
        <v>0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100</v>
      </c>
      <c r="AW2765" s="8" t="s">
        <v>100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/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/>
      <c r="BJ2765" s="4"/>
      <c r="BK2765" s="8"/>
      <c r="BL2765" s="2" t="s">
        <v>100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171</v>
      </c>
      <c r="BV2765" s="2" t="s">
        <v>97</v>
      </c>
      <c r="BW2765" s="2" t="s">
        <v>100</v>
      </c>
      <c r="BX2765" s="2" t="s">
        <v>100</v>
      </c>
      <c r="BY2765" s="2" t="s">
        <v>112</v>
      </c>
      <c r="BZ2765" s="2" t="s">
        <v>100</v>
      </c>
    </row>
    <row r="2766">
      <c r="A2766" s="2" t="s">
        <v>9537</v>
      </c>
      <c r="B2766" s="2" t="s">
        <v>9043</v>
      </c>
      <c r="C2766" s="2" t="s">
        <v>88</v>
      </c>
      <c r="D2766" s="2" t="s">
        <v>9044</v>
      </c>
      <c r="E2766" s="2" t="s">
        <v>9045</v>
      </c>
      <c r="F2766" s="2" t="s">
        <v>9046</v>
      </c>
      <c r="G2766" s="2" t="s">
        <v>9046</v>
      </c>
      <c r="H2766" s="2" t="s">
        <v>9046</v>
      </c>
      <c r="I2766" s="2" t="s">
        <v>9522</v>
      </c>
      <c r="J2766" s="2" t="s">
        <v>118</v>
      </c>
      <c r="K2766" s="2" t="s">
        <v>9534</v>
      </c>
      <c r="L2766" s="3">
        <v>63</v>
      </c>
      <c r="M2766" s="3">
        <v>66.15</v>
      </c>
      <c r="N2766" s="3">
        <v>124.99</v>
      </c>
      <c r="O2766" s="2" t="s">
        <v>97</v>
      </c>
      <c r="P2766" s="2" t="s">
        <v>98</v>
      </c>
      <c r="Q2766" s="2" t="s">
        <v>99</v>
      </c>
      <c r="R2766" s="2" t="s">
        <v>100</v>
      </c>
      <c r="S2766" s="2" t="s">
        <v>9535</v>
      </c>
      <c r="T2766" s="2" t="s">
        <v>190</v>
      </c>
      <c r="U2766" s="2" t="s">
        <v>1228</v>
      </c>
      <c r="V2766" s="2" t="s">
        <v>461</v>
      </c>
      <c r="W2766" s="2" t="s">
        <v>609</v>
      </c>
      <c r="X2766" s="2" t="s">
        <v>104</v>
      </c>
      <c r="Y2766" s="2" t="s">
        <v>9529</v>
      </c>
      <c r="Z2766" s="4">
        <v>46</v>
      </c>
      <c r="AA2766" s="4">
        <f>=ROUNDDOWN(23,0)</f>
      </c>
      <c r="AB2766" s="5">
        <v>2</v>
      </c>
      <c r="AC2766" s="2" t="s">
        <v>5044</v>
      </c>
      <c r="AD2766" s="4">
        <v>80</v>
      </c>
      <c r="AE2766" s="4">
        <v>80</v>
      </c>
      <c r="AF2766" s="6">
        <v>69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100</v>
      </c>
      <c r="AW2766" s="8" t="s">
        <v>100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/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/>
      <c r="BJ2766" s="4">
        <v>6</v>
      </c>
      <c r="BK2766" s="8">
        <v>407.76</v>
      </c>
      <c r="BL2766" s="2" t="s">
        <v>9538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171</v>
      </c>
      <c r="BV2766" s="2" t="s">
        <v>97</v>
      </c>
      <c r="BW2766" s="2" t="s">
        <v>100</v>
      </c>
      <c r="BX2766" s="2" t="s">
        <v>100</v>
      </c>
      <c r="BY2766" s="2" t="s">
        <v>112</v>
      </c>
      <c r="BZ2766" s="2" t="s">
        <v>100</v>
      </c>
    </row>
    <row r="2767">
      <c r="A2767" s="2" t="s">
        <v>9539</v>
      </c>
      <c r="B2767" s="2" t="s">
        <v>9043</v>
      </c>
      <c r="C2767" s="2" t="s">
        <v>88</v>
      </c>
      <c r="D2767" s="2" t="s">
        <v>9044</v>
      </c>
      <c r="E2767" s="2" t="s">
        <v>9045</v>
      </c>
      <c r="F2767" s="2" t="s">
        <v>9046</v>
      </c>
      <c r="G2767" s="2" t="s">
        <v>9046</v>
      </c>
      <c r="H2767" s="2" t="s">
        <v>9046</v>
      </c>
      <c r="I2767" s="2" t="s">
        <v>9522</v>
      </c>
      <c r="J2767" s="2" t="s">
        <v>9268</v>
      </c>
      <c r="K2767" s="2" t="s">
        <v>9534</v>
      </c>
      <c r="L2767" s="3">
        <v>72.03</v>
      </c>
      <c r="M2767" s="3">
        <v>75.63</v>
      </c>
      <c r="N2767" s="3">
        <v>139.99</v>
      </c>
      <c r="O2767" s="2" t="s">
        <v>97</v>
      </c>
      <c r="P2767" s="2" t="s">
        <v>98</v>
      </c>
      <c r="Q2767" s="2" t="s">
        <v>99</v>
      </c>
      <c r="R2767" s="2" t="s">
        <v>100</v>
      </c>
      <c r="S2767" s="2" t="s">
        <v>9535</v>
      </c>
      <c r="T2767" s="2" t="s">
        <v>190</v>
      </c>
      <c r="U2767" s="2" t="s">
        <v>102</v>
      </c>
      <c r="V2767" s="2" t="s">
        <v>461</v>
      </c>
      <c r="W2767" s="2" t="s">
        <v>609</v>
      </c>
      <c r="X2767" s="2" t="s">
        <v>104</v>
      </c>
      <c r="Y2767" s="2" t="s">
        <v>9529</v>
      </c>
      <c r="Z2767" s="4">
        <v>85</v>
      </c>
      <c r="AA2767" s="4">
        <f>=ROUNDDOWN(28.3333333333333,0)</f>
      </c>
      <c r="AB2767" s="5">
        <v>3</v>
      </c>
      <c r="AC2767" s="2" t="s">
        <v>990</v>
      </c>
      <c r="AD2767" s="4">
        <v>123</v>
      </c>
      <c r="AE2767" s="4">
        <v>123</v>
      </c>
      <c r="AF2767" s="6">
        <v>69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100</v>
      </c>
      <c r="AW2767" s="8" t="s">
        <v>100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/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/>
      <c r="BJ2767" s="4">
        <v>7</v>
      </c>
      <c r="BK2767" s="8">
        <v>622.79</v>
      </c>
      <c r="BL2767" s="2" t="s">
        <v>2263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171</v>
      </c>
      <c r="BV2767" s="2" t="s">
        <v>97</v>
      </c>
      <c r="BW2767" s="2" t="s">
        <v>100</v>
      </c>
      <c r="BX2767" s="2" t="s">
        <v>100</v>
      </c>
      <c r="BY2767" s="2" t="s">
        <v>112</v>
      </c>
      <c r="BZ2767" s="2" t="s">
        <v>100</v>
      </c>
    </row>
    <row r="2768">
      <c r="A2768" s="2" t="s">
        <v>9540</v>
      </c>
      <c r="B2768" s="2" t="s">
        <v>9043</v>
      </c>
      <c r="C2768" s="2" t="s">
        <v>88</v>
      </c>
      <c r="D2768" s="2" t="s">
        <v>9044</v>
      </c>
      <c r="E2768" s="2" t="s">
        <v>9045</v>
      </c>
      <c r="F2768" s="2" t="s">
        <v>9046</v>
      </c>
      <c r="G2768" s="2" t="s">
        <v>9046</v>
      </c>
      <c r="H2768" s="2" t="s">
        <v>9046</v>
      </c>
      <c r="I2768" s="2" t="s">
        <v>9522</v>
      </c>
      <c r="J2768" s="2" t="s">
        <v>95</v>
      </c>
      <c r="K2768" s="2" t="s">
        <v>4743</v>
      </c>
      <c r="L2768" s="3">
        <v>51.82</v>
      </c>
      <c r="M2768" s="3">
        <v>54.41</v>
      </c>
      <c r="N2768" s="3">
        <v>104.99</v>
      </c>
      <c r="O2768" s="2" t="s">
        <v>97</v>
      </c>
      <c r="P2768" s="2" t="s">
        <v>98</v>
      </c>
      <c r="Q2768" s="2" t="s">
        <v>99</v>
      </c>
      <c r="R2768" s="2" t="s">
        <v>100</v>
      </c>
      <c r="S2768" s="2" t="s">
        <v>9541</v>
      </c>
      <c r="T2768" s="2" t="s">
        <v>190</v>
      </c>
      <c r="U2768" s="2" t="s">
        <v>1228</v>
      </c>
      <c r="V2768" s="2" t="s">
        <v>461</v>
      </c>
      <c r="W2768" s="2" t="s">
        <v>609</v>
      </c>
      <c r="X2768" s="2" t="s">
        <v>104</v>
      </c>
      <c r="Y2768" s="2" t="s">
        <v>9529</v>
      </c>
      <c r="Z2768" s="4">
        <v>89</v>
      </c>
      <c r="AA2768" s="4">
        <f>=ROUNDDOWN(6.84615384615385,0)</f>
      </c>
      <c r="AB2768" s="5">
        <v>13</v>
      </c>
      <c r="AC2768" s="2" t="s">
        <v>990</v>
      </c>
      <c r="AD2768" s="4">
        <v>186</v>
      </c>
      <c r="AE2768" s="4">
        <v>376</v>
      </c>
      <c r="AF2768" s="6">
        <v>69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100</v>
      </c>
      <c r="AW2768" s="8" t="s">
        <v>100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/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/>
      <c r="BJ2768" s="4">
        <v>50</v>
      </c>
      <c r="BK2768" s="8">
        <v>2911.16</v>
      </c>
      <c r="BL2768" s="2" t="s">
        <v>3052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171</v>
      </c>
      <c r="BV2768" s="2" t="s">
        <v>97</v>
      </c>
      <c r="BW2768" s="2" t="s">
        <v>100</v>
      </c>
      <c r="BX2768" s="2" t="s">
        <v>100</v>
      </c>
      <c r="BY2768" s="2" t="s">
        <v>112</v>
      </c>
      <c r="BZ2768" s="2" t="s">
        <v>100</v>
      </c>
    </row>
    <row r="2769">
      <c r="A2769" s="2" t="s">
        <v>9542</v>
      </c>
      <c r="B2769" s="2" t="s">
        <v>9043</v>
      </c>
      <c r="C2769" s="2" t="s">
        <v>88</v>
      </c>
      <c r="D2769" s="2" t="s">
        <v>9044</v>
      </c>
      <c r="E2769" s="2" t="s">
        <v>9045</v>
      </c>
      <c r="F2769" s="2" t="s">
        <v>9046</v>
      </c>
      <c r="G2769" s="2" t="s">
        <v>9046</v>
      </c>
      <c r="H2769" s="2" t="s">
        <v>9046</v>
      </c>
      <c r="I2769" s="2" t="s">
        <v>9522</v>
      </c>
      <c r="J2769" s="2" t="s">
        <v>114</v>
      </c>
      <c r="K2769" s="2" t="s">
        <v>4743</v>
      </c>
      <c r="L2769" s="3">
        <v>63</v>
      </c>
      <c r="M2769" s="3">
        <v>66.15</v>
      </c>
      <c r="N2769" s="3">
        <v>124.99</v>
      </c>
      <c r="O2769" s="2" t="s">
        <v>97</v>
      </c>
      <c r="P2769" s="2" t="s">
        <v>98</v>
      </c>
      <c r="Q2769" s="2" t="s">
        <v>99</v>
      </c>
      <c r="R2769" s="2" t="s">
        <v>100</v>
      </c>
      <c r="S2769" s="2" t="s">
        <v>9541</v>
      </c>
      <c r="T2769" s="2" t="s">
        <v>190</v>
      </c>
      <c r="U2769" s="2" t="s">
        <v>1228</v>
      </c>
      <c r="V2769" s="2" t="s">
        <v>461</v>
      </c>
      <c r="W2769" s="2" t="s">
        <v>609</v>
      </c>
      <c r="X2769" s="2" t="s">
        <v>104</v>
      </c>
      <c r="Y2769" s="2" t="s">
        <v>9529</v>
      </c>
      <c r="Z2769" s="4">
        <v>130</v>
      </c>
      <c r="AA2769" s="4">
        <f>=ROUNDDOWN(16.25,0)</f>
      </c>
      <c r="AB2769" s="5">
        <v>8</v>
      </c>
      <c r="AC2769" s="2" t="s">
        <v>990</v>
      </c>
      <c r="AD2769" s="4">
        <v>153</v>
      </c>
      <c r="AE2769" s="4">
        <v>153</v>
      </c>
      <c r="AF2769" s="6">
        <v>69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/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/>
      <c r="BJ2769" s="4">
        <v>25</v>
      </c>
      <c r="BK2769" s="8">
        <v>1760.75</v>
      </c>
      <c r="BL2769" s="2" t="s">
        <v>3052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171</v>
      </c>
      <c r="BV2769" s="2" t="s">
        <v>97</v>
      </c>
      <c r="BW2769" s="2" t="s">
        <v>100</v>
      </c>
      <c r="BX2769" s="2" t="s">
        <v>100</v>
      </c>
      <c r="BY2769" s="2" t="s">
        <v>112</v>
      </c>
      <c r="BZ2769" s="2" t="s">
        <v>100</v>
      </c>
    </row>
    <row r="2770">
      <c r="A2770" s="2" t="s">
        <v>9543</v>
      </c>
      <c r="B2770" s="2" t="s">
        <v>9043</v>
      </c>
      <c r="C2770" s="2" t="s">
        <v>88</v>
      </c>
      <c r="D2770" s="2" t="s">
        <v>9044</v>
      </c>
      <c r="E2770" s="2" t="s">
        <v>9045</v>
      </c>
      <c r="F2770" s="2" t="s">
        <v>9046</v>
      </c>
      <c r="G2770" s="2" t="s">
        <v>9046</v>
      </c>
      <c r="H2770" s="2" t="s">
        <v>9046</v>
      </c>
      <c r="I2770" s="2" t="s">
        <v>9522</v>
      </c>
      <c r="J2770" s="2" t="s">
        <v>118</v>
      </c>
      <c r="K2770" s="2" t="s">
        <v>4743</v>
      </c>
      <c r="L2770" s="3">
        <v>63</v>
      </c>
      <c r="M2770" s="3">
        <v>66.15</v>
      </c>
      <c r="N2770" s="3">
        <v>124.99</v>
      </c>
      <c r="O2770" s="2" t="s">
        <v>97</v>
      </c>
      <c r="P2770" s="2" t="s">
        <v>98</v>
      </c>
      <c r="Q2770" s="2" t="s">
        <v>99</v>
      </c>
      <c r="R2770" s="2" t="s">
        <v>100</v>
      </c>
      <c r="S2770" s="2" t="s">
        <v>9541</v>
      </c>
      <c r="T2770" s="2" t="s">
        <v>190</v>
      </c>
      <c r="U2770" s="2" t="s">
        <v>1228</v>
      </c>
      <c r="V2770" s="2" t="s">
        <v>461</v>
      </c>
      <c r="W2770" s="2" t="s">
        <v>609</v>
      </c>
      <c r="X2770" s="2" t="s">
        <v>104</v>
      </c>
      <c r="Y2770" s="2" t="s">
        <v>9529</v>
      </c>
      <c r="Z2770" s="4">
        <v>69</v>
      </c>
      <c r="AA2770" s="4">
        <f>=ROUNDDOWN(25.5555555555556,0)</f>
      </c>
      <c r="AB2770" s="5">
        <v>2.7</v>
      </c>
      <c r="AC2770" s="2" t="s">
        <v>173</v>
      </c>
      <c r="AD2770" s="4">
        <v>70</v>
      </c>
      <c r="AE2770" s="4">
        <v>110</v>
      </c>
      <c r="AF2770" s="6">
        <v>69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100</v>
      </c>
      <c r="AW2770" s="8" t="s">
        <v>100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/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/>
      <c r="BJ2770" s="4">
        <v>11</v>
      </c>
      <c r="BK2770" s="8">
        <v>766.58</v>
      </c>
      <c r="BL2770" s="2" t="s">
        <v>4252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171</v>
      </c>
      <c r="BV2770" s="2" t="s">
        <v>97</v>
      </c>
      <c r="BW2770" s="2" t="s">
        <v>100</v>
      </c>
      <c r="BX2770" s="2" t="s">
        <v>100</v>
      </c>
      <c r="BY2770" s="2" t="s">
        <v>112</v>
      </c>
      <c r="BZ2770" s="2" t="s">
        <v>100</v>
      </c>
    </row>
    <row r="2771">
      <c r="A2771" s="2" t="s">
        <v>9544</v>
      </c>
      <c r="B2771" s="2" t="s">
        <v>9043</v>
      </c>
      <c r="C2771" s="2" t="s">
        <v>88</v>
      </c>
      <c r="D2771" s="2" t="s">
        <v>9044</v>
      </c>
      <c r="E2771" s="2" t="s">
        <v>9045</v>
      </c>
      <c r="F2771" s="2" t="s">
        <v>9046</v>
      </c>
      <c r="G2771" s="2" t="s">
        <v>9046</v>
      </c>
      <c r="H2771" s="2" t="s">
        <v>9046</v>
      </c>
      <c r="I2771" s="2" t="s">
        <v>9522</v>
      </c>
      <c r="J2771" s="2" t="s">
        <v>9268</v>
      </c>
      <c r="K2771" s="2" t="s">
        <v>4743</v>
      </c>
      <c r="L2771" s="3">
        <v>72.03</v>
      </c>
      <c r="M2771" s="3">
        <v>75.63</v>
      </c>
      <c r="N2771" s="3">
        <v>139.99</v>
      </c>
      <c r="O2771" s="2" t="s">
        <v>97</v>
      </c>
      <c r="P2771" s="2" t="s">
        <v>98</v>
      </c>
      <c r="Q2771" s="2" t="s">
        <v>99</v>
      </c>
      <c r="R2771" s="2" t="s">
        <v>100</v>
      </c>
      <c r="S2771" s="2" t="s">
        <v>9541</v>
      </c>
      <c r="T2771" s="2" t="s">
        <v>190</v>
      </c>
      <c r="U2771" s="2" t="s">
        <v>102</v>
      </c>
      <c r="V2771" s="2" t="s">
        <v>461</v>
      </c>
      <c r="W2771" s="2" t="s">
        <v>609</v>
      </c>
      <c r="X2771" s="2" t="s">
        <v>104</v>
      </c>
      <c r="Y2771" s="2" t="s">
        <v>9529</v>
      </c>
      <c r="Z2771" s="4">
        <v>8</v>
      </c>
      <c r="AA2771" s="4">
        <f>=ROUNDDOWN(1,0)</f>
      </c>
      <c r="AB2771" s="5">
        <v>8</v>
      </c>
      <c r="AC2771" s="2" t="s">
        <v>173</v>
      </c>
      <c r="AD2771" s="4">
        <v>110</v>
      </c>
      <c r="AE2771" s="4">
        <v>220</v>
      </c>
      <c r="AF2771" s="6">
        <v>69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100</v>
      </c>
      <c r="AW2771" s="8" t="s">
        <v>100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/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/>
      <c r="BJ2771" s="4">
        <v>30</v>
      </c>
      <c r="BK2771" s="8">
        <v>2453.79</v>
      </c>
      <c r="BL2771" s="2" t="s">
        <v>1382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171</v>
      </c>
      <c r="BV2771" s="2" t="s">
        <v>97</v>
      </c>
      <c r="BW2771" s="2" t="s">
        <v>100</v>
      </c>
      <c r="BX2771" s="2" t="s">
        <v>100</v>
      </c>
      <c r="BY2771" s="2" t="s">
        <v>112</v>
      </c>
      <c r="BZ2771" s="2" t="s">
        <v>100</v>
      </c>
    </row>
    <row r="2772">
      <c r="A2772" s="2" t="s">
        <v>9545</v>
      </c>
      <c r="B2772" s="2" t="s">
        <v>9043</v>
      </c>
      <c r="C2772" s="2" t="s">
        <v>88</v>
      </c>
      <c r="D2772" s="2" t="s">
        <v>9044</v>
      </c>
      <c r="E2772" s="2" t="s">
        <v>9045</v>
      </c>
      <c r="F2772" s="2" t="s">
        <v>9046</v>
      </c>
      <c r="G2772" s="2" t="s">
        <v>9046</v>
      </c>
      <c r="H2772" s="2" t="s">
        <v>9046</v>
      </c>
      <c r="I2772" s="2" t="s">
        <v>9522</v>
      </c>
      <c r="J2772" s="2" t="s">
        <v>9268</v>
      </c>
      <c r="K2772" s="2" t="s">
        <v>458</v>
      </c>
      <c r="L2772" s="3">
        <v>72.03</v>
      </c>
      <c r="M2772" s="3">
        <v>75.63</v>
      </c>
      <c r="N2772" s="3">
        <v>139.99</v>
      </c>
      <c r="O2772" s="2" t="s">
        <v>97</v>
      </c>
      <c r="P2772" s="2" t="s">
        <v>98</v>
      </c>
      <c r="Q2772" s="2" t="s">
        <v>99</v>
      </c>
      <c r="R2772" s="2" t="s">
        <v>100</v>
      </c>
      <c r="S2772" s="2" t="s">
        <v>9546</v>
      </c>
      <c r="T2772" s="2" t="s">
        <v>190</v>
      </c>
      <c r="U2772" s="2" t="s">
        <v>102</v>
      </c>
      <c r="V2772" s="2" t="s">
        <v>461</v>
      </c>
      <c r="W2772" s="2" t="s">
        <v>609</v>
      </c>
      <c r="X2772" s="2" t="s">
        <v>493</v>
      </c>
      <c r="Y2772" s="2" t="s">
        <v>1523</v>
      </c>
      <c r="Z2772" s="4">
        <v>57</v>
      </c>
      <c r="AA2772" s="4">
        <f>=ROUNDDOWN(6.33333333333333,0)</f>
      </c>
      <c r="AB2772" s="5">
        <v>9</v>
      </c>
      <c r="AC2772" s="2" t="s">
        <v>832</v>
      </c>
      <c r="AD2772" s="4">
        <v>30</v>
      </c>
      <c r="AE2772" s="4">
        <v>230</v>
      </c>
      <c r="AF2772" s="6">
        <v>69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/>
      <c r="BJ2772" s="4">
        <v>36</v>
      </c>
      <c r="BK2772" s="8">
        <v>3010.59</v>
      </c>
      <c r="BL2772" s="2" t="s">
        <v>9547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171</v>
      </c>
      <c r="BV2772" s="2" t="s">
        <v>97</v>
      </c>
      <c r="BW2772" s="2" t="s">
        <v>100</v>
      </c>
      <c r="BX2772" s="2" t="s">
        <v>100</v>
      </c>
      <c r="BY2772" s="2" t="s">
        <v>112</v>
      </c>
      <c r="BZ2772" s="2" t="s">
        <v>100</v>
      </c>
    </row>
    <row r="2773">
      <c r="A2773" s="2" t="s">
        <v>9548</v>
      </c>
      <c r="B2773" s="2" t="s">
        <v>9043</v>
      </c>
      <c r="C2773" s="2" t="s">
        <v>88</v>
      </c>
      <c r="D2773" s="2" t="s">
        <v>4459</v>
      </c>
      <c r="E2773" s="2" t="s">
        <v>6681</v>
      </c>
      <c r="F2773" s="2" t="s">
        <v>9549</v>
      </c>
      <c r="G2773" s="2" t="s">
        <v>9549</v>
      </c>
      <c r="H2773" s="2" t="s">
        <v>9549</v>
      </c>
      <c r="I2773" s="2" t="s">
        <v>9550</v>
      </c>
      <c r="J2773" s="2" t="s">
        <v>95</v>
      </c>
      <c r="K2773" s="2" t="s">
        <v>96</v>
      </c>
      <c r="L2773" s="3">
        <v>24.36</v>
      </c>
      <c r="M2773" s="3">
        <v>25.58</v>
      </c>
      <c r="N2773" s="3">
        <v>57.99</v>
      </c>
      <c r="O2773" s="2" t="s">
        <v>97</v>
      </c>
      <c r="P2773" s="2" t="s">
        <v>139</v>
      </c>
      <c r="Q2773" s="2" t="s">
        <v>99</v>
      </c>
      <c r="R2773" s="2" t="s">
        <v>100</v>
      </c>
      <c r="S2773" s="2" t="s">
        <v>9551</v>
      </c>
      <c r="T2773" s="2" t="s">
        <v>9549</v>
      </c>
      <c r="U2773" s="2" t="s">
        <v>1776</v>
      </c>
      <c r="V2773" s="2" t="s">
        <v>461</v>
      </c>
      <c r="W2773" s="2" t="s">
        <v>609</v>
      </c>
      <c r="X2773" s="2" t="s">
        <v>493</v>
      </c>
      <c r="Y2773" s="2" t="s">
        <v>9552</v>
      </c>
      <c r="Z2773" s="4">
        <v>404</v>
      </c>
      <c r="AA2773" s="4">
        <f>=ROUNDDOWN(11.5428571428571,0)</f>
      </c>
      <c r="AB2773" s="5">
        <v>35</v>
      </c>
      <c r="AC2773" s="2" t="s">
        <v>676</v>
      </c>
      <c r="AD2773" s="4">
        <v>400</v>
      </c>
      <c r="AE2773" s="4">
        <v>520</v>
      </c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1</v>
      </c>
      <c r="AQ2773" s="8">
        <v>23.68</v>
      </c>
      <c r="AR2773" s="4"/>
      <c r="AS2773" s="8"/>
      <c r="AT2773" s="7"/>
      <c r="AU2773" s="7"/>
      <c r="AV2773" s="4">
        <v>1</v>
      </c>
      <c r="AW2773" s="8">
        <v>23.68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>
        <v>1</v>
      </c>
      <c r="BC2773" s="4">
        <v>1</v>
      </c>
      <c r="BD2773" s="8">
        <v>23.68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>
        <v>1</v>
      </c>
      <c r="BJ2773" s="4">
        <v>114</v>
      </c>
      <c r="BK2773" s="8">
        <v>3088.38</v>
      </c>
      <c r="BL2773" s="2" t="s">
        <v>2189</v>
      </c>
      <c r="BM2773" s="7">
        <v>0.0088</v>
      </c>
      <c r="BN2773" s="7">
        <v>0.0077</v>
      </c>
      <c r="BO2773" s="4">
        <v>1</v>
      </c>
      <c r="BP2773" s="8">
        <v>23.68</v>
      </c>
      <c r="BQ2773" s="4"/>
      <c r="BR2773" s="8"/>
      <c r="BS2773" s="7"/>
      <c r="BT2773" s="7"/>
      <c r="BU2773" s="2" t="s">
        <v>109</v>
      </c>
      <c r="BV2773" s="2" t="s">
        <v>97</v>
      </c>
      <c r="BW2773" s="2" t="s">
        <v>1526</v>
      </c>
      <c r="BX2773" s="2" t="s">
        <v>6167</v>
      </c>
      <c r="BY2773" s="2" t="s">
        <v>112</v>
      </c>
      <c r="BZ2773" s="2" t="s">
        <v>100</v>
      </c>
    </row>
    <row r="2774">
      <c r="A2774" s="2" t="s">
        <v>9553</v>
      </c>
      <c r="B2774" s="2" t="s">
        <v>9043</v>
      </c>
      <c r="C2774" s="2" t="s">
        <v>88</v>
      </c>
      <c r="D2774" s="2" t="s">
        <v>4459</v>
      </c>
      <c r="E2774" s="2" t="s">
        <v>6681</v>
      </c>
      <c r="F2774" s="2" t="s">
        <v>9549</v>
      </c>
      <c r="G2774" s="2" t="s">
        <v>9549</v>
      </c>
      <c r="H2774" s="2" t="s">
        <v>9549</v>
      </c>
      <c r="I2774" s="2" t="s">
        <v>9550</v>
      </c>
      <c r="J2774" s="2" t="s">
        <v>114</v>
      </c>
      <c r="K2774" s="2" t="s">
        <v>96</v>
      </c>
      <c r="L2774" s="3">
        <v>28.56</v>
      </c>
      <c r="M2774" s="3">
        <v>29.99</v>
      </c>
      <c r="N2774" s="3">
        <v>67.99</v>
      </c>
      <c r="O2774" s="2" t="s">
        <v>97</v>
      </c>
      <c r="P2774" s="2" t="s">
        <v>123</v>
      </c>
      <c r="Q2774" s="2" t="s">
        <v>99</v>
      </c>
      <c r="R2774" s="2" t="s">
        <v>100</v>
      </c>
      <c r="S2774" s="2" t="s">
        <v>9551</v>
      </c>
      <c r="T2774" s="2" t="s">
        <v>9549</v>
      </c>
      <c r="U2774" s="2" t="s">
        <v>1776</v>
      </c>
      <c r="V2774" s="2" t="s">
        <v>461</v>
      </c>
      <c r="W2774" s="2" t="s">
        <v>609</v>
      </c>
      <c r="X2774" s="2" t="s">
        <v>493</v>
      </c>
      <c r="Y2774" s="2" t="s">
        <v>9554</v>
      </c>
      <c r="Z2774" s="4">
        <v>424</v>
      </c>
      <c r="AA2774" s="4">
        <f>=ROUNDDOWN(17.2357723577236,0)</f>
      </c>
      <c r="AB2774" s="5">
        <v>24.6</v>
      </c>
      <c r="AC2774" s="2" t="s">
        <v>676</v>
      </c>
      <c r="AD2774" s="4">
        <v>160</v>
      </c>
      <c r="AE2774" s="4">
        <v>200</v>
      </c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100</v>
      </c>
      <c r="AW2774" s="8" t="s">
        <v>100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/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 t="s">
        <v>100</v>
      </c>
      <c r="BJ2774" s="4">
        <v>64</v>
      </c>
      <c r="BK2774" s="8">
        <v>2022.12</v>
      </c>
      <c r="BL2774" s="2" t="s">
        <v>9555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171</v>
      </c>
      <c r="BV2774" s="2" t="s">
        <v>97</v>
      </c>
      <c r="BW2774" s="2" t="s">
        <v>100</v>
      </c>
      <c r="BX2774" s="2" t="s">
        <v>100</v>
      </c>
      <c r="BY2774" s="2" t="s">
        <v>112</v>
      </c>
      <c r="BZ2774" s="2" t="s">
        <v>100</v>
      </c>
    </row>
    <row r="2775">
      <c r="A2775" s="2" t="s">
        <v>9556</v>
      </c>
      <c r="B2775" s="2" t="s">
        <v>9043</v>
      </c>
      <c r="C2775" s="2" t="s">
        <v>88</v>
      </c>
      <c r="D2775" s="2" t="s">
        <v>4459</v>
      </c>
      <c r="E2775" s="2" t="s">
        <v>6681</v>
      </c>
      <c r="F2775" s="2" t="s">
        <v>9549</v>
      </c>
      <c r="G2775" s="2" t="s">
        <v>9549</v>
      </c>
      <c r="H2775" s="2" t="s">
        <v>9549</v>
      </c>
      <c r="I2775" s="2" t="s">
        <v>9550</v>
      </c>
      <c r="J2775" s="2" t="s">
        <v>4199</v>
      </c>
      <c r="K2775" s="2" t="s">
        <v>96</v>
      </c>
      <c r="L2775" s="3">
        <v>22.26</v>
      </c>
      <c r="M2775" s="3">
        <v>23.37</v>
      </c>
      <c r="N2775" s="3">
        <v>52.99</v>
      </c>
      <c r="O2775" s="2" t="s">
        <v>97</v>
      </c>
      <c r="P2775" s="2" t="s">
        <v>139</v>
      </c>
      <c r="Q2775" s="2" t="s">
        <v>99</v>
      </c>
      <c r="R2775" s="2" t="s">
        <v>100</v>
      </c>
      <c r="S2775" s="2" t="s">
        <v>9551</v>
      </c>
      <c r="T2775" s="2" t="s">
        <v>9549</v>
      </c>
      <c r="U2775" s="2" t="s">
        <v>1776</v>
      </c>
      <c r="V2775" s="2" t="s">
        <v>461</v>
      </c>
      <c r="W2775" s="2" t="s">
        <v>609</v>
      </c>
      <c r="X2775" s="2" t="s">
        <v>493</v>
      </c>
      <c r="Y2775" s="2" t="s">
        <v>9554</v>
      </c>
      <c r="Z2775" s="4">
        <v>1112</v>
      </c>
      <c r="AA2775" s="4">
        <f>=ROUNDDOWN(19.4746059544658,0)</f>
      </c>
      <c r="AB2775" s="5">
        <v>57.1</v>
      </c>
      <c r="AC2775" s="2" t="s">
        <v>100</v>
      </c>
      <c r="AD2775" s="4"/>
      <c r="AE2775" s="4"/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100</v>
      </c>
      <c r="AW2775" s="8" t="s">
        <v>100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/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 t="s">
        <v>100</v>
      </c>
      <c r="BJ2775" s="4">
        <v>112</v>
      </c>
      <c r="BK2775" s="8">
        <v>2730</v>
      </c>
      <c r="BL2775" s="2" t="s">
        <v>1181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171</v>
      </c>
      <c r="BV2775" s="2" t="s">
        <v>97</v>
      </c>
      <c r="BW2775" s="2" t="s">
        <v>100</v>
      </c>
      <c r="BX2775" s="2" t="s">
        <v>100</v>
      </c>
      <c r="BY2775" s="2" t="s">
        <v>112</v>
      </c>
      <c r="BZ2775" s="2" t="s">
        <v>100</v>
      </c>
    </row>
    <row r="2776">
      <c r="A2776" s="2" t="s">
        <v>9557</v>
      </c>
      <c r="B2776" s="2" t="s">
        <v>9043</v>
      </c>
      <c r="C2776" s="2" t="s">
        <v>88</v>
      </c>
      <c r="D2776" s="2" t="s">
        <v>4459</v>
      </c>
      <c r="E2776" s="2" t="s">
        <v>6681</v>
      </c>
      <c r="F2776" s="2" t="s">
        <v>9549</v>
      </c>
      <c r="G2776" s="2" t="s">
        <v>9549</v>
      </c>
      <c r="H2776" s="2" t="s">
        <v>9549</v>
      </c>
      <c r="I2776" s="2" t="s">
        <v>9550</v>
      </c>
      <c r="J2776" s="2" t="s">
        <v>95</v>
      </c>
      <c r="K2776" s="2" t="s">
        <v>165</v>
      </c>
      <c r="L2776" s="3">
        <v>24.36</v>
      </c>
      <c r="M2776" s="3">
        <v>25.58</v>
      </c>
      <c r="N2776" s="3">
        <v>57.99</v>
      </c>
      <c r="O2776" s="2" t="s">
        <v>97</v>
      </c>
      <c r="P2776" s="2" t="s">
        <v>156</v>
      </c>
      <c r="Q2776" s="2" t="s">
        <v>99</v>
      </c>
      <c r="R2776" s="2" t="s">
        <v>100</v>
      </c>
      <c r="S2776" s="2" t="s">
        <v>9558</v>
      </c>
      <c r="T2776" s="2" t="s">
        <v>9549</v>
      </c>
      <c r="U2776" s="2" t="s">
        <v>1776</v>
      </c>
      <c r="V2776" s="2" t="s">
        <v>461</v>
      </c>
      <c r="W2776" s="2" t="s">
        <v>1136</v>
      </c>
      <c r="X2776" s="2" t="s">
        <v>609</v>
      </c>
      <c r="Y2776" s="2" t="s">
        <v>9559</v>
      </c>
      <c r="Z2776" s="4">
        <v>299</v>
      </c>
      <c r="AA2776" s="4">
        <f>=ROUNDDOWN(10.6785714285714,0)</f>
      </c>
      <c r="AB2776" s="5">
        <v>28</v>
      </c>
      <c r="AC2776" s="2" t="s">
        <v>676</v>
      </c>
      <c r="AD2776" s="4">
        <v>360</v>
      </c>
      <c r="AE2776" s="4">
        <v>480</v>
      </c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100</v>
      </c>
      <c r="AW2776" s="8" t="s">
        <v>100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/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 t="s">
        <v>100</v>
      </c>
      <c r="BJ2776" s="4">
        <v>72</v>
      </c>
      <c r="BK2776" s="8">
        <v>1970.17</v>
      </c>
      <c r="BL2776" s="2" t="s">
        <v>710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171</v>
      </c>
      <c r="BV2776" s="2" t="s">
        <v>97</v>
      </c>
      <c r="BW2776" s="2" t="s">
        <v>100</v>
      </c>
      <c r="BX2776" s="2" t="s">
        <v>100</v>
      </c>
      <c r="BY2776" s="2" t="s">
        <v>112</v>
      </c>
      <c r="BZ2776" s="2" t="s">
        <v>100</v>
      </c>
    </row>
    <row r="2777">
      <c r="A2777" s="2" t="s">
        <v>9560</v>
      </c>
      <c r="B2777" s="2" t="s">
        <v>9043</v>
      </c>
      <c r="C2777" s="2" t="s">
        <v>88</v>
      </c>
      <c r="D2777" s="2" t="s">
        <v>4459</v>
      </c>
      <c r="E2777" s="2" t="s">
        <v>6681</v>
      </c>
      <c r="F2777" s="2" t="s">
        <v>9549</v>
      </c>
      <c r="G2777" s="2" t="s">
        <v>9549</v>
      </c>
      <c r="H2777" s="2" t="s">
        <v>9549</v>
      </c>
      <c r="I2777" s="2" t="s">
        <v>9550</v>
      </c>
      <c r="J2777" s="2" t="s">
        <v>114</v>
      </c>
      <c r="K2777" s="2" t="s">
        <v>165</v>
      </c>
      <c r="L2777" s="3">
        <v>28.56</v>
      </c>
      <c r="M2777" s="3">
        <v>29.99</v>
      </c>
      <c r="N2777" s="3">
        <v>67.99</v>
      </c>
      <c r="O2777" s="2" t="s">
        <v>97</v>
      </c>
      <c r="P2777" s="2" t="s">
        <v>98</v>
      </c>
      <c r="Q2777" s="2" t="s">
        <v>99</v>
      </c>
      <c r="R2777" s="2" t="s">
        <v>100</v>
      </c>
      <c r="S2777" s="2" t="s">
        <v>9558</v>
      </c>
      <c r="T2777" s="2" t="s">
        <v>9549</v>
      </c>
      <c r="U2777" s="2" t="s">
        <v>1776</v>
      </c>
      <c r="V2777" s="2" t="s">
        <v>461</v>
      </c>
      <c r="W2777" s="2" t="s">
        <v>1136</v>
      </c>
      <c r="X2777" s="2" t="s">
        <v>609</v>
      </c>
      <c r="Y2777" s="2" t="s">
        <v>9559</v>
      </c>
      <c r="Z2777" s="4">
        <v>330</v>
      </c>
      <c r="AA2777" s="4">
        <f>=ROUNDDOWN(16.5,0)</f>
      </c>
      <c r="AB2777" s="5">
        <v>20</v>
      </c>
      <c r="AC2777" s="2" t="s">
        <v>676</v>
      </c>
      <c r="AD2777" s="4">
        <v>160</v>
      </c>
      <c r="AE2777" s="4">
        <v>160</v>
      </c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100</v>
      </c>
      <c r="AW2777" s="8" t="s">
        <v>100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/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 t="s">
        <v>100</v>
      </c>
      <c r="BJ2777" s="4">
        <v>60</v>
      </c>
      <c r="BK2777" s="8">
        <v>1916.85</v>
      </c>
      <c r="BL2777" s="2" t="s">
        <v>1690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171</v>
      </c>
      <c r="BV2777" s="2" t="s">
        <v>97</v>
      </c>
      <c r="BW2777" s="2" t="s">
        <v>100</v>
      </c>
      <c r="BX2777" s="2" t="s">
        <v>100</v>
      </c>
      <c r="BY2777" s="2" t="s">
        <v>112</v>
      </c>
      <c r="BZ2777" s="2" t="s">
        <v>100</v>
      </c>
    </row>
    <row r="2778">
      <c r="A2778" s="2" t="s">
        <v>9561</v>
      </c>
      <c r="B2778" s="2" t="s">
        <v>9043</v>
      </c>
      <c r="C2778" s="2" t="s">
        <v>88</v>
      </c>
      <c r="D2778" s="2" t="s">
        <v>4459</v>
      </c>
      <c r="E2778" s="2" t="s">
        <v>6681</v>
      </c>
      <c r="F2778" s="2" t="s">
        <v>9549</v>
      </c>
      <c r="G2778" s="2" t="s">
        <v>9549</v>
      </c>
      <c r="H2778" s="2" t="s">
        <v>9549</v>
      </c>
      <c r="I2778" s="2" t="s">
        <v>9550</v>
      </c>
      <c r="J2778" s="2" t="s">
        <v>4199</v>
      </c>
      <c r="K2778" s="2" t="s">
        <v>165</v>
      </c>
      <c r="L2778" s="3">
        <v>22.26</v>
      </c>
      <c r="M2778" s="3">
        <v>23.37</v>
      </c>
      <c r="N2778" s="3">
        <v>52.99</v>
      </c>
      <c r="O2778" s="2" t="s">
        <v>97</v>
      </c>
      <c r="P2778" s="2" t="s">
        <v>98</v>
      </c>
      <c r="Q2778" s="2" t="s">
        <v>99</v>
      </c>
      <c r="R2778" s="2" t="s">
        <v>100</v>
      </c>
      <c r="S2778" s="2" t="s">
        <v>9558</v>
      </c>
      <c r="T2778" s="2" t="s">
        <v>9549</v>
      </c>
      <c r="U2778" s="2" t="s">
        <v>1776</v>
      </c>
      <c r="V2778" s="2" t="s">
        <v>461</v>
      </c>
      <c r="W2778" s="2" t="s">
        <v>1136</v>
      </c>
      <c r="X2778" s="2" t="s">
        <v>609</v>
      </c>
      <c r="Y2778" s="2" t="s">
        <v>9562</v>
      </c>
      <c r="Z2778" s="4">
        <v>570</v>
      </c>
      <c r="AA2778" s="4">
        <f>=ROUNDDOWN(22.8,0)</f>
      </c>
      <c r="AB2778" s="5">
        <v>25</v>
      </c>
      <c r="AC2778" s="2" t="s">
        <v>100</v>
      </c>
      <c r="AD2778" s="4"/>
      <c r="AE2778" s="4"/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100</v>
      </c>
      <c r="AW2778" s="8" t="s">
        <v>100</v>
      </c>
      <c r="AX2778" s="4" t="s">
        <v>100</v>
      </c>
      <c r="AY2778" s="8" t="s">
        <v>100</v>
      </c>
      <c r="AZ2778" s="7" t="s">
        <v>100</v>
      </c>
      <c r="BA2778" s="7" t="s">
        <v>100</v>
      </c>
      <c r="BB2778" s="7"/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 t="s">
        <v>100</v>
      </c>
      <c r="BJ2778" s="4">
        <v>35</v>
      </c>
      <c r="BK2778" s="8">
        <v>855.81</v>
      </c>
      <c r="BL2778" s="2" t="s">
        <v>1612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171</v>
      </c>
      <c r="BV2778" s="2" t="s">
        <v>97</v>
      </c>
      <c r="BW2778" s="2" t="s">
        <v>100</v>
      </c>
      <c r="BX2778" s="2" t="s">
        <v>100</v>
      </c>
      <c r="BY2778" s="2" t="s">
        <v>112</v>
      </c>
      <c r="BZ2778" s="2" t="s">
        <v>100</v>
      </c>
    </row>
    <row r="2779">
      <c r="A2779" s="2" t="s">
        <v>9563</v>
      </c>
      <c r="B2779" s="2" t="s">
        <v>9043</v>
      </c>
      <c r="C2779" s="2" t="s">
        <v>88</v>
      </c>
      <c r="D2779" s="2" t="s">
        <v>4459</v>
      </c>
      <c r="E2779" s="2" t="s">
        <v>6681</v>
      </c>
      <c r="F2779" s="2" t="s">
        <v>9549</v>
      </c>
      <c r="G2779" s="2" t="s">
        <v>9549</v>
      </c>
      <c r="H2779" s="2" t="s">
        <v>9549</v>
      </c>
      <c r="I2779" s="2" t="s">
        <v>9550</v>
      </c>
      <c r="J2779" s="2" t="s">
        <v>95</v>
      </c>
      <c r="K2779" s="2" t="s">
        <v>1373</v>
      </c>
      <c r="L2779" s="3">
        <v>24.36</v>
      </c>
      <c r="M2779" s="3">
        <v>25.58</v>
      </c>
      <c r="N2779" s="3">
        <v>57.99</v>
      </c>
      <c r="O2779" s="2" t="s">
        <v>97</v>
      </c>
      <c r="P2779" s="2" t="s">
        <v>139</v>
      </c>
      <c r="Q2779" s="2" t="s">
        <v>99</v>
      </c>
      <c r="R2779" s="2" t="s">
        <v>100</v>
      </c>
      <c r="S2779" s="2" t="s">
        <v>9564</v>
      </c>
      <c r="T2779" s="2" t="s">
        <v>9549</v>
      </c>
      <c r="U2779" s="2" t="s">
        <v>1776</v>
      </c>
      <c r="V2779" s="2" t="s">
        <v>461</v>
      </c>
      <c r="W2779" s="2" t="s">
        <v>609</v>
      </c>
      <c r="X2779" s="2" t="s">
        <v>493</v>
      </c>
      <c r="Y2779" s="2" t="s">
        <v>9552</v>
      </c>
      <c r="Z2779" s="4">
        <v>886</v>
      </c>
      <c r="AA2779" s="4">
        <f>=ROUNDDOWN(22.15,0)</f>
      </c>
      <c r="AB2779" s="5">
        <v>40</v>
      </c>
      <c r="AC2779" s="2" t="s">
        <v>676</v>
      </c>
      <c r="AD2779" s="4">
        <v>160</v>
      </c>
      <c r="AE2779" s="4">
        <v>160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 t="s">
        <v>100</v>
      </c>
      <c r="AW2779" s="8" t="s">
        <v>100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/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 t="s">
        <v>100</v>
      </c>
      <c r="BJ2779" s="4">
        <v>114</v>
      </c>
      <c r="BK2779" s="8">
        <v>3095.83</v>
      </c>
      <c r="BL2779" s="2" t="s">
        <v>1181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109</v>
      </c>
      <c r="BV2779" s="2" t="s">
        <v>97</v>
      </c>
      <c r="BW2779" s="2" t="s">
        <v>9565</v>
      </c>
      <c r="BX2779" s="2" t="s">
        <v>9566</v>
      </c>
      <c r="BY2779" s="2" t="s">
        <v>112</v>
      </c>
      <c r="BZ2779" s="2" t="s">
        <v>100</v>
      </c>
    </row>
    <row r="2780">
      <c r="A2780" s="2" t="s">
        <v>9567</v>
      </c>
      <c r="B2780" s="2" t="s">
        <v>9043</v>
      </c>
      <c r="C2780" s="2" t="s">
        <v>88</v>
      </c>
      <c r="D2780" s="2" t="s">
        <v>4459</v>
      </c>
      <c r="E2780" s="2" t="s">
        <v>6681</v>
      </c>
      <c r="F2780" s="2" t="s">
        <v>9549</v>
      </c>
      <c r="G2780" s="2" t="s">
        <v>9549</v>
      </c>
      <c r="H2780" s="2" t="s">
        <v>9549</v>
      </c>
      <c r="I2780" s="2" t="s">
        <v>9550</v>
      </c>
      <c r="J2780" s="2" t="s">
        <v>114</v>
      </c>
      <c r="K2780" s="2" t="s">
        <v>1373</v>
      </c>
      <c r="L2780" s="3">
        <v>28.56</v>
      </c>
      <c r="M2780" s="3">
        <v>29.99</v>
      </c>
      <c r="N2780" s="3">
        <v>67.99</v>
      </c>
      <c r="O2780" s="2" t="s">
        <v>97</v>
      </c>
      <c r="P2780" s="2" t="s">
        <v>123</v>
      </c>
      <c r="Q2780" s="2" t="s">
        <v>99</v>
      </c>
      <c r="R2780" s="2" t="s">
        <v>100</v>
      </c>
      <c r="S2780" s="2" t="s">
        <v>9564</v>
      </c>
      <c r="T2780" s="2" t="s">
        <v>9549</v>
      </c>
      <c r="U2780" s="2" t="s">
        <v>1776</v>
      </c>
      <c r="V2780" s="2" t="s">
        <v>461</v>
      </c>
      <c r="W2780" s="2" t="s">
        <v>609</v>
      </c>
      <c r="X2780" s="2" t="s">
        <v>493</v>
      </c>
      <c r="Y2780" s="2" t="s">
        <v>9554</v>
      </c>
      <c r="Z2780" s="4">
        <v>354</v>
      </c>
      <c r="AA2780" s="4">
        <f>=ROUNDDOWN(14.16,0)</f>
      </c>
      <c r="AB2780" s="5">
        <v>25</v>
      </c>
      <c r="AC2780" s="2" t="s">
        <v>676</v>
      </c>
      <c r="AD2780" s="4">
        <v>240</v>
      </c>
      <c r="AE2780" s="4">
        <v>240</v>
      </c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100</v>
      </c>
      <c r="AW2780" s="8" t="s">
        <v>100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/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 t="s">
        <v>100</v>
      </c>
      <c r="BJ2780" s="4">
        <v>53</v>
      </c>
      <c r="BK2780" s="8">
        <v>1665.17</v>
      </c>
      <c r="BL2780" s="2" t="s">
        <v>1612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171</v>
      </c>
      <c r="BV2780" s="2" t="s">
        <v>97</v>
      </c>
      <c r="BW2780" s="2" t="s">
        <v>100</v>
      </c>
      <c r="BX2780" s="2" t="s">
        <v>100</v>
      </c>
      <c r="BY2780" s="2" t="s">
        <v>112</v>
      </c>
      <c r="BZ2780" s="2" t="s">
        <v>100</v>
      </c>
    </row>
    <row r="2781">
      <c r="A2781" s="2" t="s">
        <v>9568</v>
      </c>
      <c r="B2781" s="2" t="s">
        <v>9043</v>
      </c>
      <c r="C2781" s="2" t="s">
        <v>88</v>
      </c>
      <c r="D2781" s="2" t="s">
        <v>4459</v>
      </c>
      <c r="E2781" s="2" t="s">
        <v>6681</v>
      </c>
      <c r="F2781" s="2" t="s">
        <v>9549</v>
      </c>
      <c r="G2781" s="2" t="s">
        <v>9549</v>
      </c>
      <c r="H2781" s="2" t="s">
        <v>9549</v>
      </c>
      <c r="I2781" s="2" t="s">
        <v>9550</v>
      </c>
      <c r="J2781" s="2" t="s">
        <v>4199</v>
      </c>
      <c r="K2781" s="2" t="s">
        <v>1373</v>
      </c>
      <c r="L2781" s="3">
        <v>22.26</v>
      </c>
      <c r="M2781" s="3">
        <v>23.37</v>
      </c>
      <c r="N2781" s="3">
        <v>52.99</v>
      </c>
      <c r="O2781" s="2" t="s">
        <v>97</v>
      </c>
      <c r="P2781" s="2" t="s">
        <v>139</v>
      </c>
      <c r="Q2781" s="2" t="s">
        <v>99</v>
      </c>
      <c r="R2781" s="2" t="s">
        <v>100</v>
      </c>
      <c r="S2781" s="2" t="s">
        <v>9564</v>
      </c>
      <c r="T2781" s="2" t="s">
        <v>9549</v>
      </c>
      <c r="U2781" s="2" t="s">
        <v>1776</v>
      </c>
      <c r="V2781" s="2" t="s">
        <v>461</v>
      </c>
      <c r="W2781" s="2" t="s">
        <v>609</v>
      </c>
      <c r="X2781" s="2" t="s">
        <v>493</v>
      </c>
      <c r="Y2781" s="2" t="s">
        <v>9554</v>
      </c>
      <c r="Z2781" s="4">
        <v>886</v>
      </c>
      <c r="AA2781" s="4">
        <f>=ROUNDDOWN(15.709219858156,0)</f>
      </c>
      <c r="AB2781" s="5">
        <v>56.4</v>
      </c>
      <c r="AC2781" s="2" t="s">
        <v>100</v>
      </c>
      <c r="AD2781" s="4"/>
      <c r="AE2781" s="4"/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100</v>
      </c>
      <c r="AW2781" s="8" t="s">
        <v>100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/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 t="s">
        <v>100</v>
      </c>
      <c r="BJ2781" s="4">
        <v>102</v>
      </c>
      <c r="BK2781" s="8">
        <v>2485.86</v>
      </c>
      <c r="BL2781" s="2" t="s">
        <v>9569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171</v>
      </c>
      <c r="BV2781" s="2" t="s">
        <v>97</v>
      </c>
      <c r="BW2781" s="2" t="s">
        <v>100</v>
      </c>
      <c r="BX2781" s="2" t="s">
        <v>100</v>
      </c>
      <c r="BY2781" s="2" t="s">
        <v>112</v>
      </c>
      <c r="BZ2781" s="2" t="s">
        <v>100</v>
      </c>
    </row>
    <row r="2782">
      <c r="A2782" s="2" t="s">
        <v>9570</v>
      </c>
      <c r="B2782" s="2" t="s">
        <v>9043</v>
      </c>
      <c r="C2782" s="2" t="s">
        <v>88</v>
      </c>
      <c r="D2782" s="2" t="s">
        <v>4459</v>
      </c>
      <c r="E2782" s="2" t="s">
        <v>6681</v>
      </c>
      <c r="F2782" s="2" t="s">
        <v>9549</v>
      </c>
      <c r="G2782" s="2" t="s">
        <v>9549</v>
      </c>
      <c r="H2782" s="2" t="s">
        <v>9549</v>
      </c>
      <c r="I2782" s="2" t="s">
        <v>9550</v>
      </c>
      <c r="J2782" s="2" t="s">
        <v>95</v>
      </c>
      <c r="K2782" s="2" t="s">
        <v>4816</v>
      </c>
      <c r="L2782" s="3">
        <v>24.36</v>
      </c>
      <c r="M2782" s="3">
        <v>25.58</v>
      </c>
      <c r="N2782" s="3">
        <v>57.99</v>
      </c>
      <c r="O2782" s="2" t="s">
        <v>97</v>
      </c>
      <c r="P2782" s="2" t="s">
        <v>156</v>
      </c>
      <c r="Q2782" s="2" t="s">
        <v>99</v>
      </c>
      <c r="R2782" s="2" t="s">
        <v>100</v>
      </c>
      <c r="S2782" s="2" t="s">
        <v>9571</v>
      </c>
      <c r="T2782" s="2" t="s">
        <v>9549</v>
      </c>
      <c r="U2782" s="2" t="s">
        <v>1776</v>
      </c>
      <c r="V2782" s="2" t="s">
        <v>461</v>
      </c>
      <c r="W2782" s="2" t="s">
        <v>609</v>
      </c>
      <c r="X2782" s="2" t="s">
        <v>493</v>
      </c>
      <c r="Y2782" s="2" t="s">
        <v>9552</v>
      </c>
      <c r="Z2782" s="4">
        <v>204</v>
      </c>
      <c r="AA2782" s="4">
        <f>=ROUNDDOWN(13.6912751677852,0)</f>
      </c>
      <c r="AB2782" s="5">
        <v>14.9</v>
      </c>
      <c r="AC2782" s="2" t="s">
        <v>173</v>
      </c>
      <c r="AD2782" s="4">
        <v>200</v>
      </c>
      <c r="AE2782" s="4">
        <v>200</v>
      </c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100</v>
      </c>
      <c r="AW2782" s="8" t="s">
        <v>100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/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 t="s">
        <v>100</v>
      </c>
      <c r="BJ2782" s="4">
        <v>55</v>
      </c>
      <c r="BK2782" s="8">
        <v>1484.28</v>
      </c>
      <c r="BL2782" s="2" t="s">
        <v>1612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1526</v>
      </c>
      <c r="BX2782" s="2" t="s">
        <v>3960</v>
      </c>
      <c r="BY2782" s="2" t="s">
        <v>112</v>
      </c>
      <c r="BZ2782" s="2" t="s">
        <v>100</v>
      </c>
    </row>
    <row r="2783">
      <c r="A2783" s="2" t="s">
        <v>9572</v>
      </c>
      <c r="B2783" s="2" t="s">
        <v>9043</v>
      </c>
      <c r="C2783" s="2" t="s">
        <v>88</v>
      </c>
      <c r="D2783" s="2" t="s">
        <v>4459</v>
      </c>
      <c r="E2783" s="2" t="s">
        <v>6681</v>
      </c>
      <c r="F2783" s="2" t="s">
        <v>9549</v>
      </c>
      <c r="G2783" s="2" t="s">
        <v>9549</v>
      </c>
      <c r="H2783" s="2" t="s">
        <v>9549</v>
      </c>
      <c r="I2783" s="2" t="s">
        <v>9550</v>
      </c>
      <c r="J2783" s="2" t="s">
        <v>114</v>
      </c>
      <c r="K2783" s="2" t="s">
        <v>4816</v>
      </c>
      <c r="L2783" s="3">
        <v>28.56</v>
      </c>
      <c r="M2783" s="3">
        <v>29.99</v>
      </c>
      <c r="N2783" s="3">
        <v>67.99</v>
      </c>
      <c r="O2783" s="2" t="s">
        <v>97</v>
      </c>
      <c r="P2783" s="2" t="s">
        <v>98</v>
      </c>
      <c r="Q2783" s="2" t="s">
        <v>99</v>
      </c>
      <c r="R2783" s="2" t="s">
        <v>100</v>
      </c>
      <c r="S2783" s="2" t="s">
        <v>9571</v>
      </c>
      <c r="T2783" s="2" t="s">
        <v>9549</v>
      </c>
      <c r="U2783" s="2" t="s">
        <v>1776</v>
      </c>
      <c r="V2783" s="2" t="s">
        <v>461</v>
      </c>
      <c r="W2783" s="2" t="s">
        <v>609</v>
      </c>
      <c r="X2783" s="2" t="s">
        <v>493</v>
      </c>
      <c r="Y2783" s="2" t="s">
        <v>9554</v>
      </c>
      <c r="Z2783" s="4">
        <v>168</v>
      </c>
      <c r="AA2783" s="4">
        <f>=ROUNDDOWN(12.2627737226277,0)</f>
      </c>
      <c r="AB2783" s="5">
        <v>13.7</v>
      </c>
      <c r="AC2783" s="2" t="s">
        <v>173</v>
      </c>
      <c r="AD2783" s="4">
        <v>120</v>
      </c>
      <c r="AE2783" s="4">
        <v>120</v>
      </c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/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 t="s">
        <v>100</v>
      </c>
      <c r="BJ2783" s="4">
        <v>22</v>
      </c>
      <c r="BK2783" s="8">
        <v>691.83</v>
      </c>
      <c r="BL2783" s="2" t="s">
        <v>788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171</v>
      </c>
      <c r="BV2783" s="2" t="s">
        <v>97</v>
      </c>
      <c r="BW2783" s="2" t="s">
        <v>100</v>
      </c>
      <c r="BX2783" s="2" t="s">
        <v>100</v>
      </c>
      <c r="BY2783" s="2" t="s">
        <v>112</v>
      </c>
      <c r="BZ2783" s="2" t="s">
        <v>100</v>
      </c>
    </row>
    <row r="2784">
      <c r="A2784" s="2" t="s">
        <v>9573</v>
      </c>
      <c r="B2784" s="2" t="s">
        <v>9043</v>
      </c>
      <c r="C2784" s="2" t="s">
        <v>88</v>
      </c>
      <c r="D2784" s="2" t="s">
        <v>4459</v>
      </c>
      <c r="E2784" s="2" t="s">
        <v>6681</v>
      </c>
      <c r="F2784" s="2" t="s">
        <v>9549</v>
      </c>
      <c r="G2784" s="2" t="s">
        <v>9549</v>
      </c>
      <c r="H2784" s="2" t="s">
        <v>9549</v>
      </c>
      <c r="I2784" s="2" t="s">
        <v>9550</v>
      </c>
      <c r="J2784" s="2" t="s">
        <v>4199</v>
      </c>
      <c r="K2784" s="2" t="s">
        <v>4816</v>
      </c>
      <c r="L2784" s="3">
        <v>22.26</v>
      </c>
      <c r="M2784" s="3">
        <v>23.37</v>
      </c>
      <c r="N2784" s="3">
        <v>52.99</v>
      </c>
      <c r="O2784" s="2" t="s">
        <v>97</v>
      </c>
      <c r="P2784" s="2" t="s">
        <v>123</v>
      </c>
      <c r="Q2784" s="2" t="s">
        <v>99</v>
      </c>
      <c r="R2784" s="2" t="s">
        <v>100</v>
      </c>
      <c r="S2784" s="2" t="s">
        <v>9571</v>
      </c>
      <c r="T2784" s="2" t="s">
        <v>9549</v>
      </c>
      <c r="U2784" s="2" t="s">
        <v>1776</v>
      </c>
      <c r="V2784" s="2" t="s">
        <v>461</v>
      </c>
      <c r="W2784" s="2" t="s">
        <v>609</v>
      </c>
      <c r="X2784" s="2" t="s">
        <v>493</v>
      </c>
      <c r="Y2784" s="2" t="s">
        <v>9554</v>
      </c>
      <c r="Z2784" s="4">
        <v>355</v>
      </c>
      <c r="AA2784" s="4">
        <f>=ROUNDDOWN(12.9090909090909,0)</f>
      </c>
      <c r="AB2784" s="5">
        <v>27.5</v>
      </c>
      <c r="AC2784" s="2" t="s">
        <v>100</v>
      </c>
      <c r="AD2784" s="4"/>
      <c r="AE2784" s="4"/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100</v>
      </c>
      <c r="AW2784" s="8" t="s">
        <v>100</v>
      </c>
      <c r="AX2784" s="4" t="s">
        <v>100</v>
      </c>
      <c r="AY2784" s="8" t="s">
        <v>100</v>
      </c>
      <c r="AZ2784" s="7" t="s">
        <v>100</v>
      </c>
      <c r="BA2784" s="7" t="s">
        <v>100</v>
      </c>
      <c r="BB2784" s="7"/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 t="s">
        <v>100</v>
      </c>
      <c r="BJ2784" s="4">
        <v>51</v>
      </c>
      <c r="BK2784" s="8">
        <v>1233.32</v>
      </c>
      <c r="BL2784" s="2" t="s">
        <v>1181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171</v>
      </c>
      <c r="BV2784" s="2" t="s">
        <v>97</v>
      </c>
      <c r="BW2784" s="2" t="s">
        <v>100</v>
      </c>
      <c r="BX2784" s="2" t="s">
        <v>100</v>
      </c>
      <c r="BY2784" s="2" t="s">
        <v>112</v>
      </c>
      <c r="BZ2784" s="2" t="s">
        <v>100</v>
      </c>
    </row>
    <row r="2785">
      <c r="A2785" s="2" t="s">
        <v>9574</v>
      </c>
      <c r="B2785" s="2" t="s">
        <v>9043</v>
      </c>
      <c r="C2785" s="2" t="s">
        <v>88</v>
      </c>
      <c r="D2785" s="2" t="s">
        <v>4459</v>
      </c>
      <c r="E2785" s="2" t="s">
        <v>6681</v>
      </c>
      <c r="F2785" s="2" t="s">
        <v>9549</v>
      </c>
      <c r="G2785" s="2" t="s">
        <v>9549</v>
      </c>
      <c r="H2785" s="2" t="s">
        <v>9549</v>
      </c>
      <c r="I2785" s="2" t="s">
        <v>9550</v>
      </c>
      <c r="J2785" s="2" t="s">
        <v>95</v>
      </c>
      <c r="K2785" s="2" t="s">
        <v>458</v>
      </c>
      <c r="L2785" s="3">
        <v>24.36</v>
      </c>
      <c r="M2785" s="3">
        <v>25.58</v>
      </c>
      <c r="N2785" s="3">
        <v>57.99</v>
      </c>
      <c r="O2785" s="2" t="s">
        <v>97</v>
      </c>
      <c r="P2785" s="2" t="s">
        <v>123</v>
      </c>
      <c r="Q2785" s="2" t="s">
        <v>99</v>
      </c>
      <c r="R2785" s="2" t="s">
        <v>100</v>
      </c>
      <c r="S2785" s="2" t="s">
        <v>9575</v>
      </c>
      <c r="T2785" s="2" t="s">
        <v>9549</v>
      </c>
      <c r="U2785" s="2" t="s">
        <v>1776</v>
      </c>
      <c r="V2785" s="2" t="s">
        <v>461</v>
      </c>
      <c r="W2785" s="2" t="s">
        <v>609</v>
      </c>
      <c r="X2785" s="2" t="s">
        <v>493</v>
      </c>
      <c r="Y2785" s="2" t="s">
        <v>9552</v>
      </c>
      <c r="Z2785" s="4">
        <v>276</v>
      </c>
      <c r="AA2785" s="4">
        <f>=ROUNDDOWN(7.58241758241758,0)</f>
      </c>
      <c r="AB2785" s="5">
        <v>36.4</v>
      </c>
      <c r="AC2785" s="2" t="s">
        <v>676</v>
      </c>
      <c r="AD2785" s="4">
        <v>360</v>
      </c>
      <c r="AE2785" s="4">
        <v>560</v>
      </c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100</v>
      </c>
      <c r="AW2785" s="8" t="s">
        <v>100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/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 t="s">
        <v>100</v>
      </c>
      <c r="BJ2785" s="4">
        <v>114</v>
      </c>
      <c r="BK2785" s="8">
        <v>3107.38</v>
      </c>
      <c r="BL2785" s="2" t="s">
        <v>9576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9577</v>
      </c>
      <c r="BX2785" s="2" t="s">
        <v>9578</v>
      </c>
      <c r="BY2785" s="2" t="s">
        <v>112</v>
      </c>
      <c r="BZ2785" s="2" t="s">
        <v>100</v>
      </c>
    </row>
    <row r="2786">
      <c r="A2786" s="2" t="s">
        <v>9579</v>
      </c>
      <c r="B2786" s="2" t="s">
        <v>9043</v>
      </c>
      <c r="C2786" s="2" t="s">
        <v>88</v>
      </c>
      <c r="D2786" s="2" t="s">
        <v>4459</v>
      </c>
      <c r="E2786" s="2" t="s">
        <v>6681</v>
      </c>
      <c r="F2786" s="2" t="s">
        <v>9549</v>
      </c>
      <c r="G2786" s="2" t="s">
        <v>9549</v>
      </c>
      <c r="H2786" s="2" t="s">
        <v>9549</v>
      </c>
      <c r="I2786" s="2" t="s">
        <v>9550</v>
      </c>
      <c r="J2786" s="2" t="s">
        <v>114</v>
      </c>
      <c r="K2786" s="2" t="s">
        <v>458</v>
      </c>
      <c r="L2786" s="3">
        <v>28.56</v>
      </c>
      <c r="M2786" s="3">
        <v>29.99</v>
      </c>
      <c r="N2786" s="3">
        <v>67.99</v>
      </c>
      <c r="O2786" s="2" t="s">
        <v>97</v>
      </c>
      <c r="P2786" s="2" t="s">
        <v>123</v>
      </c>
      <c r="Q2786" s="2" t="s">
        <v>99</v>
      </c>
      <c r="R2786" s="2" t="s">
        <v>100</v>
      </c>
      <c r="S2786" s="2" t="s">
        <v>9575</v>
      </c>
      <c r="T2786" s="2" t="s">
        <v>9549</v>
      </c>
      <c r="U2786" s="2" t="s">
        <v>1776</v>
      </c>
      <c r="V2786" s="2" t="s">
        <v>461</v>
      </c>
      <c r="W2786" s="2" t="s">
        <v>609</v>
      </c>
      <c r="X2786" s="2" t="s">
        <v>493</v>
      </c>
      <c r="Y2786" s="2" t="s">
        <v>9554</v>
      </c>
      <c r="Z2786" s="4">
        <v>311</v>
      </c>
      <c r="AA2786" s="4">
        <f>=ROUNDDOWN(8.42818428184282,0)</f>
      </c>
      <c r="AB2786" s="5">
        <v>36.9</v>
      </c>
      <c r="AC2786" s="2" t="s">
        <v>676</v>
      </c>
      <c r="AD2786" s="4">
        <v>200</v>
      </c>
      <c r="AE2786" s="4">
        <v>320</v>
      </c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/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 t="s">
        <v>100</v>
      </c>
      <c r="BJ2786" s="4">
        <v>102</v>
      </c>
      <c r="BK2786" s="8">
        <v>3212.04</v>
      </c>
      <c r="BL2786" s="2" t="s">
        <v>1181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171</v>
      </c>
      <c r="BV2786" s="2" t="s">
        <v>97</v>
      </c>
      <c r="BW2786" s="2" t="s">
        <v>100</v>
      </c>
      <c r="BX2786" s="2" t="s">
        <v>100</v>
      </c>
      <c r="BY2786" s="2" t="s">
        <v>112</v>
      </c>
      <c r="BZ2786" s="2" t="s">
        <v>100</v>
      </c>
    </row>
    <row r="2787">
      <c r="A2787" s="2" t="s">
        <v>9580</v>
      </c>
      <c r="B2787" s="2" t="s">
        <v>9043</v>
      </c>
      <c r="C2787" s="2" t="s">
        <v>88</v>
      </c>
      <c r="D2787" s="2" t="s">
        <v>4459</v>
      </c>
      <c r="E2787" s="2" t="s">
        <v>6681</v>
      </c>
      <c r="F2787" s="2" t="s">
        <v>9549</v>
      </c>
      <c r="G2787" s="2" t="s">
        <v>9549</v>
      </c>
      <c r="H2787" s="2" t="s">
        <v>9549</v>
      </c>
      <c r="I2787" s="2" t="s">
        <v>9550</v>
      </c>
      <c r="J2787" s="2" t="s">
        <v>4199</v>
      </c>
      <c r="K2787" s="2" t="s">
        <v>458</v>
      </c>
      <c r="L2787" s="3">
        <v>22.26</v>
      </c>
      <c r="M2787" s="3">
        <v>23.37</v>
      </c>
      <c r="N2787" s="3">
        <v>52.99</v>
      </c>
      <c r="O2787" s="2" t="s">
        <v>97</v>
      </c>
      <c r="P2787" s="2" t="s">
        <v>139</v>
      </c>
      <c r="Q2787" s="2" t="s">
        <v>99</v>
      </c>
      <c r="R2787" s="2" t="s">
        <v>100</v>
      </c>
      <c r="S2787" s="2" t="s">
        <v>9575</v>
      </c>
      <c r="T2787" s="2" t="s">
        <v>9549</v>
      </c>
      <c r="U2787" s="2" t="s">
        <v>1776</v>
      </c>
      <c r="V2787" s="2" t="s">
        <v>461</v>
      </c>
      <c r="W2787" s="2" t="s">
        <v>609</v>
      </c>
      <c r="X2787" s="2" t="s">
        <v>493</v>
      </c>
      <c r="Y2787" s="2" t="s">
        <v>9554</v>
      </c>
      <c r="Z2787" s="4">
        <v>890</v>
      </c>
      <c r="AA2787" s="4">
        <f>=ROUNDDOWN(12.4475524475524,0)</f>
      </c>
      <c r="AB2787" s="5">
        <v>71.5</v>
      </c>
      <c r="AC2787" s="2" t="s">
        <v>100</v>
      </c>
      <c r="AD2787" s="4"/>
      <c r="AE2787" s="4"/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100</v>
      </c>
      <c r="AW2787" s="8" t="s">
        <v>100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/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 t="s">
        <v>100</v>
      </c>
      <c r="BJ2787" s="4">
        <v>92</v>
      </c>
      <c r="BK2787" s="8">
        <v>2249.96</v>
      </c>
      <c r="BL2787" s="2" t="s">
        <v>1181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171</v>
      </c>
      <c r="BV2787" s="2" t="s">
        <v>97</v>
      </c>
      <c r="BW2787" s="2" t="s">
        <v>100</v>
      </c>
      <c r="BX2787" s="2" t="s">
        <v>100</v>
      </c>
      <c r="BY2787" s="2" t="s">
        <v>112</v>
      </c>
      <c r="BZ2787" s="2" t="s">
        <v>100</v>
      </c>
    </row>
    <row r="2788">
      <c r="A2788" s="2" t="s">
        <v>9581</v>
      </c>
      <c r="B2788" s="2" t="s">
        <v>9043</v>
      </c>
      <c r="C2788" s="2" t="s">
        <v>1797</v>
      </c>
      <c r="D2788" s="2" t="s">
        <v>9044</v>
      </c>
      <c r="E2788" s="2" t="s">
        <v>9045</v>
      </c>
      <c r="F2788" s="2" t="s">
        <v>9582</v>
      </c>
      <c r="G2788" s="2" t="s">
        <v>9582</v>
      </c>
      <c r="H2788" s="2" t="s">
        <v>9582</v>
      </c>
      <c r="I2788" s="2" t="s">
        <v>9583</v>
      </c>
      <c r="J2788" s="2" t="s">
        <v>95</v>
      </c>
      <c r="K2788" s="2" t="s">
        <v>165</v>
      </c>
      <c r="L2788" s="3">
        <v>19</v>
      </c>
      <c r="M2788" s="3">
        <v>19.95</v>
      </c>
      <c r="N2788" s="3">
        <v>37.99</v>
      </c>
      <c r="O2788" s="2" t="s">
        <v>97</v>
      </c>
      <c r="P2788" s="2" t="s">
        <v>317</v>
      </c>
      <c r="Q2788" s="2" t="s">
        <v>99</v>
      </c>
      <c r="R2788" s="2" t="s">
        <v>100</v>
      </c>
      <c r="S2788" s="2" t="s">
        <v>9584</v>
      </c>
      <c r="T2788" s="2" t="s">
        <v>9582</v>
      </c>
      <c r="U2788" s="2" t="s">
        <v>100</v>
      </c>
      <c r="V2788" s="2" t="s">
        <v>461</v>
      </c>
      <c r="W2788" s="2" t="s">
        <v>609</v>
      </c>
      <c r="X2788" s="2" t="s">
        <v>100</v>
      </c>
      <c r="Y2788" s="2" t="s">
        <v>144</v>
      </c>
      <c r="Z2788" s="4">
        <v>576</v>
      </c>
      <c r="AA2788" s="4">
        <f>=ROUNDDOWN(0.732824427480916,0)</f>
      </c>
      <c r="AB2788" s="5">
        <v>786</v>
      </c>
      <c r="AC2788" s="2" t="s">
        <v>9585</v>
      </c>
      <c r="AD2788" s="4">
        <v>2500</v>
      </c>
      <c r="AE2788" s="4">
        <v>26500</v>
      </c>
      <c r="AF2788" s="6">
        <v>65</v>
      </c>
      <c r="AG2788" s="6"/>
      <c r="AH2788" s="7">
        <v>0.5484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19</v>
      </c>
      <c r="AQ2788" s="8">
        <v>377.15</v>
      </c>
      <c r="AR2788" s="4"/>
      <c r="AS2788" s="8"/>
      <c r="AT2788" s="7"/>
      <c r="AU2788" s="7"/>
      <c r="AV2788" s="4">
        <v>23</v>
      </c>
      <c r="AW2788" s="8">
        <v>467.87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>
        <v>0.8061</v>
      </c>
      <c r="BC2788" s="4">
        <v>42</v>
      </c>
      <c r="BD2788" s="8">
        <v>883.15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>
        <v>0.5298</v>
      </c>
      <c r="BJ2788" s="4">
        <v>1327</v>
      </c>
      <c r="BK2788" s="8">
        <v>37790.83</v>
      </c>
      <c r="BL2788" s="2" t="s">
        <v>9586</v>
      </c>
      <c r="BM2788" s="7">
        <v>0.0143</v>
      </c>
      <c r="BN2788" s="7">
        <v>0.01</v>
      </c>
      <c r="BO2788" s="4">
        <v>19</v>
      </c>
      <c r="BP2788" s="8">
        <v>377.15</v>
      </c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5163</v>
      </c>
      <c r="BX2788" s="2" t="s">
        <v>9587</v>
      </c>
      <c r="BY2788" s="2" t="s">
        <v>112</v>
      </c>
      <c r="BZ2788" s="2" t="s">
        <v>100</v>
      </c>
    </row>
    <row r="2789">
      <c r="A2789" s="2" t="s">
        <v>9588</v>
      </c>
      <c r="B2789" s="2" t="s">
        <v>9043</v>
      </c>
      <c r="C2789" s="2" t="s">
        <v>1797</v>
      </c>
      <c r="D2789" s="2" t="s">
        <v>9044</v>
      </c>
      <c r="E2789" s="2" t="s">
        <v>9045</v>
      </c>
      <c r="F2789" s="2" t="s">
        <v>9582</v>
      </c>
      <c r="G2789" s="2" t="s">
        <v>9582</v>
      </c>
      <c r="H2789" s="2" t="s">
        <v>9582</v>
      </c>
      <c r="I2789" s="2" t="s">
        <v>9583</v>
      </c>
      <c r="J2789" s="2" t="s">
        <v>114</v>
      </c>
      <c r="K2789" s="2" t="s">
        <v>165</v>
      </c>
      <c r="L2789" s="3">
        <v>21.5</v>
      </c>
      <c r="M2789" s="3">
        <v>22.58</v>
      </c>
      <c r="N2789" s="3">
        <v>42.99</v>
      </c>
      <c r="O2789" s="2" t="s">
        <v>97</v>
      </c>
      <c r="P2789" s="2" t="s">
        <v>139</v>
      </c>
      <c r="Q2789" s="2" t="s">
        <v>99</v>
      </c>
      <c r="R2789" s="2" t="s">
        <v>100</v>
      </c>
      <c r="S2789" s="2" t="s">
        <v>9584</v>
      </c>
      <c r="T2789" s="2" t="s">
        <v>9582</v>
      </c>
      <c r="U2789" s="2" t="s">
        <v>100</v>
      </c>
      <c r="V2789" s="2" t="s">
        <v>461</v>
      </c>
      <c r="W2789" s="2" t="s">
        <v>609</v>
      </c>
      <c r="X2789" s="2" t="s">
        <v>100</v>
      </c>
      <c r="Y2789" s="2" t="s">
        <v>144</v>
      </c>
      <c r="Z2789" s="4">
        <v>224</v>
      </c>
      <c r="AA2789" s="4">
        <f>=ROUNDDOWN(0.647398843930636,0)</f>
      </c>
      <c r="AB2789" s="5">
        <v>346</v>
      </c>
      <c r="AC2789" s="2" t="s">
        <v>9585</v>
      </c>
      <c r="AD2789" s="4">
        <v>352</v>
      </c>
      <c r="AE2789" s="4">
        <v>11340</v>
      </c>
      <c r="AF2789" s="6">
        <v>65</v>
      </c>
      <c r="AG2789" s="6"/>
      <c r="AH2789" s="7">
        <v>0.2903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4</v>
      </c>
      <c r="AQ2789" s="8">
        <v>90.72</v>
      </c>
      <c r="AR2789" s="4"/>
      <c r="AS2789" s="8"/>
      <c r="AT2789" s="7"/>
      <c r="AU2789" s="7"/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>
        <v>0.1939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 t="s">
        <v>100</v>
      </c>
      <c r="BJ2789" s="4">
        <v>577</v>
      </c>
      <c r="BK2789" s="8">
        <v>18188.07</v>
      </c>
      <c r="BL2789" s="2" t="s">
        <v>4302</v>
      </c>
      <c r="BM2789" s="7">
        <v>0.0069</v>
      </c>
      <c r="BN2789" s="7">
        <v>0.005</v>
      </c>
      <c r="BO2789" s="4">
        <v>4</v>
      </c>
      <c r="BP2789" s="8">
        <v>90.72</v>
      </c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5163</v>
      </c>
      <c r="BX2789" s="2" t="s">
        <v>8109</v>
      </c>
      <c r="BY2789" s="2" t="s">
        <v>112</v>
      </c>
      <c r="BZ2789" s="2" t="s">
        <v>100</v>
      </c>
    </row>
    <row r="2790">
      <c r="A2790" s="2" t="s">
        <v>9589</v>
      </c>
      <c r="B2790" s="2" t="s">
        <v>9043</v>
      </c>
      <c r="C2790" s="2" t="s">
        <v>1797</v>
      </c>
      <c r="D2790" s="2" t="s">
        <v>9044</v>
      </c>
      <c r="E2790" s="2" t="s">
        <v>9045</v>
      </c>
      <c r="F2790" s="2" t="s">
        <v>9582</v>
      </c>
      <c r="G2790" s="2" t="s">
        <v>9582</v>
      </c>
      <c r="H2790" s="2" t="s">
        <v>9582</v>
      </c>
      <c r="I2790" s="2" t="s">
        <v>9583</v>
      </c>
      <c r="J2790" s="2" t="s">
        <v>95</v>
      </c>
      <c r="K2790" s="2" t="s">
        <v>96</v>
      </c>
      <c r="L2790" s="3">
        <v>19</v>
      </c>
      <c r="M2790" s="3">
        <v>19.95</v>
      </c>
      <c r="N2790" s="3">
        <v>37.99</v>
      </c>
      <c r="O2790" s="2" t="s">
        <v>97</v>
      </c>
      <c r="P2790" s="2" t="s">
        <v>317</v>
      </c>
      <c r="Q2790" s="2" t="s">
        <v>99</v>
      </c>
      <c r="R2790" s="2" t="s">
        <v>100</v>
      </c>
      <c r="S2790" s="2" t="s">
        <v>9590</v>
      </c>
      <c r="T2790" s="2" t="s">
        <v>9582</v>
      </c>
      <c r="U2790" s="2" t="s">
        <v>355</v>
      </c>
      <c r="V2790" s="2" t="s">
        <v>461</v>
      </c>
      <c r="W2790" s="2" t="s">
        <v>1136</v>
      </c>
      <c r="X2790" s="2" t="s">
        <v>609</v>
      </c>
      <c r="Y2790" s="2" t="s">
        <v>9591</v>
      </c>
      <c r="Z2790" s="4">
        <v>1201</v>
      </c>
      <c r="AA2790" s="4">
        <f>=ROUNDDOWN(2.92214111922141,0)</f>
      </c>
      <c r="AB2790" s="5">
        <v>411</v>
      </c>
      <c r="AC2790" s="2" t="s">
        <v>9585</v>
      </c>
      <c r="AD2790" s="4">
        <v>992</v>
      </c>
      <c r="AE2790" s="4">
        <v>14150</v>
      </c>
      <c r="AF2790" s="6">
        <v>65</v>
      </c>
      <c r="AG2790" s="6"/>
      <c r="AH2790" s="7">
        <v>0.4194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>
        <v>8</v>
      </c>
      <c r="AW2790" s="8">
        <v>181.44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/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>
        <v>0.2054</v>
      </c>
      <c r="BJ2790" s="4">
        <v>393</v>
      </c>
      <c r="BK2790" s="8">
        <v>10912.87</v>
      </c>
      <c r="BL2790" s="2" t="s">
        <v>4756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109</v>
      </c>
      <c r="BV2790" s="2" t="s">
        <v>97</v>
      </c>
      <c r="BW2790" s="2" t="s">
        <v>1441</v>
      </c>
      <c r="BX2790" s="2" t="s">
        <v>9592</v>
      </c>
      <c r="BY2790" s="2" t="s">
        <v>112</v>
      </c>
      <c r="BZ2790" s="2" t="s">
        <v>100</v>
      </c>
    </row>
    <row r="2791">
      <c r="A2791" s="2" t="s">
        <v>9593</v>
      </c>
      <c r="B2791" s="2" t="s">
        <v>9043</v>
      </c>
      <c r="C2791" s="2" t="s">
        <v>1797</v>
      </c>
      <c r="D2791" s="2" t="s">
        <v>9044</v>
      </c>
      <c r="E2791" s="2" t="s">
        <v>9045</v>
      </c>
      <c r="F2791" s="2" t="s">
        <v>9582</v>
      </c>
      <c r="G2791" s="2" t="s">
        <v>9582</v>
      </c>
      <c r="H2791" s="2" t="s">
        <v>9582</v>
      </c>
      <c r="I2791" s="2" t="s">
        <v>9583</v>
      </c>
      <c r="J2791" s="2" t="s">
        <v>118</v>
      </c>
      <c r="K2791" s="2" t="s">
        <v>96</v>
      </c>
      <c r="L2791" s="3">
        <v>21.5</v>
      </c>
      <c r="M2791" s="3">
        <v>22.58</v>
      </c>
      <c r="N2791" s="3">
        <v>42.99</v>
      </c>
      <c r="O2791" s="2" t="s">
        <v>97</v>
      </c>
      <c r="P2791" s="2" t="s">
        <v>98</v>
      </c>
      <c r="Q2791" s="2" t="s">
        <v>99</v>
      </c>
      <c r="R2791" s="2" t="s">
        <v>100</v>
      </c>
      <c r="S2791" s="2" t="s">
        <v>9590</v>
      </c>
      <c r="T2791" s="2" t="s">
        <v>9582</v>
      </c>
      <c r="U2791" s="2" t="s">
        <v>355</v>
      </c>
      <c r="V2791" s="2" t="s">
        <v>461</v>
      </c>
      <c r="W2791" s="2" t="s">
        <v>1136</v>
      </c>
      <c r="X2791" s="2" t="s">
        <v>609</v>
      </c>
      <c r="Y2791" s="2" t="s">
        <v>9591</v>
      </c>
      <c r="Z2791" s="4">
        <v>13</v>
      </c>
      <c r="AA2791" s="4">
        <f>=ROUNDDOWN(0.317073170731707,0)</f>
      </c>
      <c r="AB2791" s="5">
        <v>41</v>
      </c>
      <c r="AC2791" s="2" t="s">
        <v>9585</v>
      </c>
      <c r="AD2791" s="4">
        <v>100</v>
      </c>
      <c r="AE2791" s="4">
        <v>1780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8</v>
      </c>
      <c r="AQ2791" s="8">
        <v>181.44</v>
      </c>
      <c r="AR2791" s="4"/>
      <c r="AS2791" s="8"/>
      <c r="AT2791" s="7"/>
      <c r="AU2791" s="7"/>
      <c r="AV2791" s="4" t="s">
        <v>100</v>
      </c>
      <c r="AW2791" s="8" t="s">
        <v>100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>
        <v>1</v>
      </c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 t="s">
        <v>100</v>
      </c>
      <c r="BJ2791" s="4">
        <v>195</v>
      </c>
      <c r="BK2791" s="8">
        <v>6274.74</v>
      </c>
      <c r="BL2791" s="2" t="s">
        <v>9594</v>
      </c>
      <c r="BM2791" s="7">
        <v>0.041</v>
      </c>
      <c r="BN2791" s="7">
        <v>0.0289</v>
      </c>
      <c r="BO2791" s="4">
        <v>8</v>
      </c>
      <c r="BP2791" s="8">
        <v>181.44</v>
      </c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1441</v>
      </c>
      <c r="BX2791" s="2" t="s">
        <v>9595</v>
      </c>
      <c r="BY2791" s="2" t="s">
        <v>112</v>
      </c>
      <c r="BZ2791" s="2" t="s">
        <v>100</v>
      </c>
    </row>
    <row r="2792">
      <c r="A2792" s="2" t="s">
        <v>9596</v>
      </c>
      <c r="B2792" s="2" t="s">
        <v>9043</v>
      </c>
      <c r="C2792" s="2" t="s">
        <v>1797</v>
      </c>
      <c r="D2792" s="2" t="s">
        <v>9044</v>
      </c>
      <c r="E2792" s="2" t="s">
        <v>9045</v>
      </c>
      <c r="F2792" s="2" t="s">
        <v>9582</v>
      </c>
      <c r="G2792" s="2" t="s">
        <v>9582</v>
      </c>
      <c r="H2792" s="2" t="s">
        <v>9582</v>
      </c>
      <c r="I2792" s="2" t="s">
        <v>9583</v>
      </c>
      <c r="J2792" s="2" t="s">
        <v>118</v>
      </c>
      <c r="K2792" s="2" t="s">
        <v>188</v>
      </c>
      <c r="L2792" s="3">
        <v>21.5</v>
      </c>
      <c r="M2792" s="3">
        <v>22.58</v>
      </c>
      <c r="N2792" s="3">
        <v>42.99</v>
      </c>
      <c r="O2792" s="2" t="s">
        <v>97</v>
      </c>
      <c r="P2792" s="2" t="s">
        <v>98</v>
      </c>
      <c r="Q2792" s="2" t="s">
        <v>99</v>
      </c>
      <c r="R2792" s="2" t="s">
        <v>100</v>
      </c>
      <c r="S2792" s="2" t="s">
        <v>9597</v>
      </c>
      <c r="T2792" s="2" t="s">
        <v>9582</v>
      </c>
      <c r="U2792" s="2" t="s">
        <v>355</v>
      </c>
      <c r="V2792" s="2" t="s">
        <v>461</v>
      </c>
      <c r="W2792" s="2" t="s">
        <v>1136</v>
      </c>
      <c r="X2792" s="2" t="s">
        <v>609</v>
      </c>
      <c r="Y2792" s="2" t="s">
        <v>9591</v>
      </c>
      <c r="Z2792" s="4">
        <v>232</v>
      </c>
      <c r="AA2792" s="4">
        <f>=ROUNDDOWN(13.6470588235294,0)</f>
      </c>
      <c r="AB2792" s="5">
        <v>17</v>
      </c>
      <c r="AC2792" s="2" t="s">
        <v>655</v>
      </c>
      <c r="AD2792" s="4">
        <v>150</v>
      </c>
      <c r="AE2792" s="4">
        <v>430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6</v>
      </c>
      <c r="AQ2792" s="8">
        <v>136.08</v>
      </c>
      <c r="AR2792" s="4"/>
      <c r="AS2792" s="8"/>
      <c r="AT2792" s="7"/>
      <c r="AU2792" s="7"/>
      <c r="AV2792" s="4">
        <v>6</v>
      </c>
      <c r="AW2792" s="8">
        <v>136.08</v>
      </c>
      <c r="AX2792" s="4"/>
      <c r="AY2792" s="8"/>
      <c r="AZ2792" s="7"/>
      <c r="BA2792" s="7"/>
      <c r="BB2792" s="7">
        <v>1</v>
      </c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>
        <v>0.1541</v>
      </c>
      <c r="BJ2792" s="4">
        <v>46</v>
      </c>
      <c r="BK2792" s="8">
        <v>1294.72</v>
      </c>
      <c r="BL2792" s="2" t="s">
        <v>9598</v>
      </c>
      <c r="BM2792" s="7">
        <v>0.1304</v>
      </c>
      <c r="BN2792" s="7">
        <v>0.1051</v>
      </c>
      <c r="BO2792" s="4">
        <v>6</v>
      </c>
      <c r="BP2792" s="8">
        <v>136.08</v>
      </c>
      <c r="BQ2792" s="4"/>
      <c r="BR2792" s="8"/>
      <c r="BS2792" s="7"/>
      <c r="BT2792" s="7"/>
      <c r="BU2792" s="2" t="s">
        <v>109</v>
      </c>
      <c r="BV2792" s="2" t="s">
        <v>97</v>
      </c>
      <c r="BW2792" s="2" t="s">
        <v>1441</v>
      </c>
      <c r="BX2792" s="2" t="s">
        <v>9599</v>
      </c>
      <c r="BY2792" s="2" t="s">
        <v>112</v>
      </c>
      <c r="BZ2792" s="2" t="s">
        <v>100</v>
      </c>
    </row>
    <row r="2793">
      <c r="A2793" s="2" t="s">
        <v>9600</v>
      </c>
      <c r="B2793" s="2" t="s">
        <v>9043</v>
      </c>
      <c r="C2793" s="2" t="s">
        <v>1797</v>
      </c>
      <c r="D2793" s="2" t="s">
        <v>9044</v>
      </c>
      <c r="E2793" s="2" t="s">
        <v>9045</v>
      </c>
      <c r="F2793" s="2" t="s">
        <v>9582</v>
      </c>
      <c r="G2793" s="2" t="s">
        <v>9582</v>
      </c>
      <c r="H2793" s="2" t="s">
        <v>9582</v>
      </c>
      <c r="I2793" s="2" t="s">
        <v>9583</v>
      </c>
      <c r="J2793" s="2" t="s">
        <v>490</v>
      </c>
      <c r="K2793" s="2" t="s">
        <v>458</v>
      </c>
      <c r="L2793" s="3">
        <v>16.5</v>
      </c>
      <c r="M2793" s="3">
        <v>17.32</v>
      </c>
      <c r="N2793" s="3">
        <v>32.99</v>
      </c>
      <c r="O2793" s="2" t="s">
        <v>97</v>
      </c>
      <c r="P2793" s="2" t="s">
        <v>156</v>
      </c>
      <c r="Q2793" s="2" t="s">
        <v>99</v>
      </c>
      <c r="R2793" s="2" t="s">
        <v>100</v>
      </c>
      <c r="S2793" s="2" t="s">
        <v>9601</v>
      </c>
      <c r="T2793" s="2" t="s">
        <v>9582</v>
      </c>
      <c r="U2793" s="2" t="s">
        <v>355</v>
      </c>
      <c r="V2793" s="2" t="s">
        <v>461</v>
      </c>
      <c r="W2793" s="2" t="s">
        <v>609</v>
      </c>
      <c r="X2793" s="2" t="s">
        <v>493</v>
      </c>
      <c r="Y2793" s="2" t="s">
        <v>8455</v>
      </c>
      <c r="Z2793" s="4">
        <v>303</v>
      </c>
      <c r="AA2793" s="4">
        <f>=ROUNDDOWN(7.575,0)</f>
      </c>
      <c r="AB2793" s="5">
        <v>40</v>
      </c>
      <c r="AC2793" s="2" t="s">
        <v>9602</v>
      </c>
      <c r="AD2793" s="4">
        <v>190</v>
      </c>
      <c r="AE2793" s="4">
        <v>1340</v>
      </c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1</v>
      </c>
      <c r="AQ2793" s="8">
        <v>16.38</v>
      </c>
      <c r="AR2793" s="4"/>
      <c r="AS2793" s="8"/>
      <c r="AT2793" s="7"/>
      <c r="AU2793" s="7"/>
      <c r="AV2793" s="4">
        <v>3</v>
      </c>
      <c r="AW2793" s="8">
        <v>58.38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>
        <v>0.2806</v>
      </c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>
        <v>0.0661</v>
      </c>
      <c r="BJ2793" s="4">
        <v>116</v>
      </c>
      <c r="BK2793" s="8">
        <v>2498.37</v>
      </c>
      <c r="BL2793" s="2" t="s">
        <v>9603</v>
      </c>
      <c r="BM2793" s="7">
        <v>0.0086</v>
      </c>
      <c r="BN2793" s="7">
        <v>0.0066</v>
      </c>
      <c r="BO2793" s="4">
        <v>1</v>
      </c>
      <c r="BP2793" s="8">
        <v>16.38</v>
      </c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9604</v>
      </c>
      <c r="BX2793" s="2" t="s">
        <v>8632</v>
      </c>
      <c r="BY2793" s="2" t="s">
        <v>112</v>
      </c>
      <c r="BZ2793" s="2" t="s">
        <v>100</v>
      </c>
    </row>
    <row r="2794">
      <c r="A2794" s="2" t="s">
        <v>9605</v>
      </c>
      <c r="B2794" s="2" t="s">
        <v>9043</v>
      </c>
      <c r="C2794" s="2" t="s">
        <v>1797</v>
      </c>
      <c r="D2794" s="2" t="s">
        <v>9044</v>
      </c>
      <c r="E2794" s="2" t="s">
        <v>9045</v>
      </c>
      <c r="F2794" s="2" t="s">
        <v>9582</v>
      </c>
      <c r="G2794" s="2" t="s">
        <v>9582</v>
      </c>
      <c r="H2794" s="2" t="s">
        <v>9582</v>
      </c>
      <c r="I2794" s="2" t="s">
        <v>9583</v>
      </c>
      <c r="J2794" s="2" t="s">
        <v>114</v>
      </c>
      <c r="K2794" s="2" t="s">
        <v>458</v>
      </c>
      <c r="L2794" s="3">
        <v>21.5</v>
      </c>
      <c r="M2794" s="3">
        <v>22.58</v>
      </c>
      <c r="N2794" s="3">
        <v>42.99</v>
      </c>
      <c r="O2794" s="2" t="s">
        <v>97</v>
      </c>
      <c r="P2794" s="2" t="s">
        <v>98</v>
      </c>
      <c r="Q2794" s="2" t="s">
        <v>99</v>
      </c>
      <c r="R2794" s="2" t="s">
        <v>100</v>
      </c>
      <c r="S2794" s="2" t="s">
        <v>9601</v>
      </c>
      <c r="T2794" s="2" t="s">
        <v>9582</v>
      </c>
      <c r="U2794" s="2" t="s">
        <v>355</v>
      </c>
      <c r="V2794" s="2" t="s">
        <v>461</v>
      </c>
      <c r="W2794" s="2" t="s">
        <v>609</v>
      </c>
      <c r="X2794" s="2" t="s">
        <v>493</v>
      </c>
      <c r="Y2794" s="2" t="s">
        <v>8455</v>
      </c>
      <c r="Z2794" s="4">
        <v>259</v>
      </c>
      <c r="AA2794" s="4">
        <f>=ROUNDDOWN(5.51063829787234,0)</f>
      </c>
      <c r="AB2794" s="5">
        <v>47</v>
      </c>
      <c r="AC2794" s="2" t="s">
        <v>9585</v>
      </c>
      <c r="AD2794" s="4">
        <v>40</v>
      </c>
      <c r="AE2794" s="4">
        <v>1360</v>
      </c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>
        <v>2</v>
      </c>
      <c r="AQ2794" s="8">
        <v>42</v>
      </c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>
        <v>0.7194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 t="s">
        <v>100</v>
      </c>
      <c r="BJ2794" s="4">
        <v>173</v>
      </c>
      <c r="BK2794" s="8">
        <v>5075.42</v>
      </c>
      <c r="BL2794" s="2" t="s">
        <v>9606</v>
      </c>
      <c r="BM2794" s="7">
        <v>0.0116</v>
      </c>
      <c r="BN2794" s="7">
        <v>0.0083</v>
      </c>
      <c r="BO2794" s="4">
        <v>2</v>
      </c>
      <c r="BP2794" s="8">
        <v>42</v>
      </c>
      <c r="BQ2794" s="4"/>
      <c r="BR2794" s="8"/>
      <c r="BS2794" s="7"/>
      <c r="BT2794" s="7"/>
      <c r="BU2794" s="2" t="s">
        <v>109</v>
      </c>
      <c r="BV2794" s="2" t="s">
        <v>97</v>
      </c>
      <c r="BW2794" s="2" t="s">
        <v>9100</v>
      </c>
      <c r="BX2794" s="2" t="s">
        <v>9607</v>
      </c>
      <c r="BY2794" s="2" t="s">
        <v>112</v>
      </c>
      <c r="BZ2794" s="2" t="s">
        <v>100</v>
      </c>
    </row>
    <row r="2795">
      <c r="A2795" s="2" t="s">
        <v>9608</v>
      </c>
      <c r="B2795" s="2" t="s">
        <v>9043</v>
      </c>
      <c r="C2795" s="2" t="s">
        <v>1797</v>
      </c>
      <c r="D2795" s="2" t="s">
        <v>9044</v>
      </c>
      <c r="E2795" s="2" t="s">
        <v>9045</v>
      </c>
      <c r="F2795" s="2" t="s">
        <v>9582</v>
      </c>
      <c r="G2795" s="2" t="s">
        <v>9582</v>
      </c>
      <c r="H2795" s="2" t="s">
        <v>9582</v>
      </c>
      <c r="I2795" s="2" t="s">
        <v>9583</v>
      </c>
      <c r="J2795" s="2" t="s">
        <v>118</v>
      </c>
      <c r="K2795" s="2" t="s">
        <v>458</v>
      </c>
      <c r="L2795" s="3">
        <v>21.5</v>
      </c>
      <c r="M2795" s="3">
        <v>22.58</v>
      </c>
      <c r="N2795" s="3">
        <v>42.99</v>
      </c>
      <c r="O2795" s="2" t="s">
        <v>97</v>
      </c>
      <c r="P2795" s="2" t="s">
        <v>98</v>
      </c>
      <c r="Q2795" s="2" t="s">
        <v>99</v>
      </c>
      <c r="R2795" s="2" t="s">
        <v>100</v>
      </c>
      <c r="S2795" s="2" t="s">
        <v>9601</v>
      </c>
      <c r="T2795" s="2" t="s">
        <v>9582</v>
      </c>
      <c r="U2795" s="2" t="s">
        <v>355</v>
      </c>
      <c r="V2795" s="2" t="s">
        <v>461</v>
      </c>
      <c r="W2795" s="2" t="s">
        <v>717</v>
      </c>
      <c r="X2795" s="2" t="s">
        <v>493</v>
      </c>
      <c r="Y2795" s="2" t="s">
        <v>8455</v>
      </c>
      <c r="Z2795" s="4">
        <v>204</v>
      </c>
      <c r="AA2795" s="4">
        <f>=ROUNDDOWN(15.6923076923077,0)</f>
      </c>
      <c r="AB2795" s="5">
        <v>13</v>
      </c>
      <c r="AC2795" s="2" t="s">
        <v>9585</v>
      </c>
      <c r="AD2795" s="4">
        <v>40</v>
      </c>
      <c r="AE2795" s="4">
        <v>360</v>
      </c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/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 t="s">
        <v>100</v>
      </c>
      <c r="BJ2795" s="4">
        <v>41</v>
      </c>
      <c r="BK2795" s="8">
        <v>1294.88</v>
      </c>
      <c r="BL2795" s="2" t="s">
        <v>9609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109</v>
      </c>
      <c r="BV2795" s="2" t="s">
        <v>97</v>
      </c>
      <c r="BW2795" s="2" t="s">
        <v>4607</v>
      </c>
      <c r="BX2795" s="2" t="s">
        <v>6226</v>
      </c>
      <c r="BY2795" s="2" t="s">
        <v>112</v>
      </c>
      <c r="BZ2795" s="2" t="s">
        <v>100</v>
      </c>
    </row>
    <row r="2796">
      <c r="A2796" s="2" t="s">
        <v>9610</v>
      </c>
      <c r="B2796" s="2" t="s">
        <v>9043</v>
      </c>
      <c r="C2796" s="2" t="s">
        <v>1797</v>
      </c>
      <c r="D2796" s="2" t="s">
        <v>9044</v>
      </c>
      <c r="E2796" s="2" t="s">
        <v>9045</v>
      </c>
      <c r="F2796" s="2" t="s">
        <v>9582</v>
      </c>
      <c r="G2796" s="2" t="s">
        <v>9582</v>
      </c>
      <c r="H2796" s="2" t="s">
        <v>9582</v>
      </c>
      <c r="I2796" s="2" t="s">
        <v>9583</v>
      </c>
      <c r="J2796" s="2" t="s">
        <v>95</v>
      </c>
      <c r="K2796" s="2" t="s">
        <v>1373</v>
      </c>
      <c r="L2796" s="3">
        <v>19</v>
      </c>
      <c r="M2796" s="3">
        <v>19.95</v>
      </c>
      <c r="N2796" s="3">
        <v>37.99</v>
      </c>
      <c r="O2796" s="2" t="s">
        <v>97</v>
      </c>
      <c r="P2796" s="2" t="s">
        <v>139</v>
      </c>
      <c r="Q2796" s="2" t="s">
        <v>99</v>
      </c>
      <c r="R2796" s="2" t="s">
        <v>100</v>
      </c>
      <c r="S2796" s="2" t="s">
        <v>9611</v>
      </c>
      <c r="T2796" s="2" t="s">
        <v>9582</v>
      </c>
      <c r="U2796" s="2" t="s">
        <v>355</v>
      </c>
      <c r="V2796" s="2" t="s">
        <v>461</v>
      </c>
      <c r="W2796" s="2" t="s">
        <v>609</v>
      </c>
      <c r="X2796" s="2" t="s">
        <v>493</v>
      </c>
      <c r="Y2796" s="2" t="s">
        <v>8455</v>
      </c>
      <c r="Z2796" s="4">
        <v>123</v>
      </c>
      <c r="AA2796" s="4">
        <f>=ROUNDDOWN(0.842465753424658,0)</f>
      </c>
      <c r="AB2796" s="5">
        <v>146</v>
      </c>
      <c r="AC2796" s="2" t="s">
        <v>9585</v>
      </c>
      <c r="AD2796" s="4">
        <v>250</v>
      </c>
      <c r="AE2796" s="4">
        <v>4400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1</v>
      </c>
      <c r="AQ2796" s="8">
        <v>18.38</v>
      </c>
      <c r="AR2796" s="4"/>
      <c r="AS2796" s="8"/>
      <c r="AT2796" s="7"/>
      <c r="AU2796" s="7"/>
      <c r="AV2796" s="4">
        <v>2</v>
      </c>
      <c r="AW2796" s="8">
        <v>39.38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>
        <v>0.4667</v>
      </c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>
        <v>0.0446</v>
      </c>
      <c r="BJ2796" s="4">
        <v>540</v>
      </c>
      <c r="BK2796" s="8">
        <v>14141.82</v>
      </c>
      <c r="BL2796" s="2" t="s">
        <v>9612</v>
      </c>
      <c r="BM2796" s="7">
        <v>0.0019</v>
      </c>
      <c r="BN2796" s="7">
        <v>0.0013</v>
      </c>
      <c r="BO2796" s="4">
        <v>1</v>
      </c>
      <c r="BP2796" s="8">
        <v>18.38</v>
      </c>
      <c r="BQ2796" s="4"/>
      <c r="BR2796" s="8"/>
      <c r="BS2796" s="7"/>
      <c r="BT2796" s="7"/>
      <c r="BU2796" s="2" t="s">
        <v>109</v>
      </c>
      <c r="BV2796" s="2" t="s">
        <v>97</v>
      </c>
      <c r="BW2796" s="2" t="s">
        <v>9100</v>
      </c>
      <c r="BX2796" s="2" t="s">
        <v>8452</v>
      </c>
      <c r="BY2796" s="2" t="s">
        <v>112</v>
      </c>
      <c r="BZ2796" s="2" t="s">
        <v>100</v>
      </c>
    </row>
    <row r="2797">
      <c r="A2797" s="2" t="s">
        <v>9613</v>
      </c>
      <c r="B2797" s="2" t="s">
        <v>9043</v>
      </c>
      <c r="C2797" s="2" t="s">
        <v>1797</v>
      </c>
      <c r="D2797" s="2" t="s">
        <v>9044</v>
      </c>
      <c r="E2797" s="2" t="s">
        <v>9045</v>
      </c>
      <c r="F2797" s="2" t="s">
        <v>9582</v>
      </c>
      <c r="G2797" s="2" t="s">
        <v>9582</v>
      </c>
      <c r="H2797" s="2" t="s">
        <v>9582</v>
      </c>
      <c r="I2797" s="2" t="s">
        <v>9583</v>
      </c>
      <c r="J2797" s="2" t="s">
        <v>114</v>
      </c>
      <c r="K2797" s="2" t="s">
        <v>1373</v>
      </c>
      <c r="L2797" s="3">
        <v>21.5</v>
      </c>
      <c r="M2797" s="3">
        <v>22.58</v>
      </c>
      <c r="N2797" s="3">
        <v>42.99</v>
      </c>
      <c r="O2797" s="2" t="s">
        <v>97</v>
      </c>
      <c r="P2797" s="2" t="s">
        <v>156</v>
      </c>
      <c r="Q2797" s="2" t="s">
        <v>99</v>
      </c>
      <c r="R2797" s="2" t="s">
        <v>100</v>
      </c>
      <c r="S2797" s="2" t="s">
        <v>9611</v>
      </c>
      <c r="T2797" s="2" t="s">
        <v>9582</v>
      </c>
      <c r="U2797" s="2" t="s">
        <v>355</v>
      </c>
      <c r="V2797" s="2" t="s">
        <v>461</v>
      </c>
      <c r="W2797" s="2" t="s">
        <v>609</v>
      </c>
      <c r="X2797" s="2" t="s">
        <v>493</v>
      </c>
      <c r="Y2797" s="2" t="s">
        <v>8455</v>
      </c>
      <c r="Z2797" s="4">
        <v>93</v>
      </c>
      <c r="AA2797" s="4">
        <f>=ROUNDDOWN(1.32857142857143,0)</f>
      </c>
      <c r="AB2797" s="5">
        <v>70</v>
      </c>
      <c r="AC2797" s="2" t="s">
        <v>262</v>
      </c>
      <c r="AD2797" s="4">
        <v>50</v>
      </c>
      <c r="AE2797" s="4">
        <v>1960</v>
      </c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1</v>
      </c>
      <c r="AQ2797" s="8">
        <v>21</v>
      </c>
      <c r="AR2797" s="4"/>
      <c r="AS2797" s="8"/>
      <c r="AT2797" s="7"/>
      <c r="AU2797" s="7"/>
      <c r="AV2797" s="4" t="s">
        <v>100</v>
      </c>
      <c r="AW2797" s="8" t="s">
        <v>100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>
        <v>0.5333</v>
      </c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 t="s">
        <v>100</v>
      </c>
      <c r="BJ2797" s="4">
        <v>308</v>
      </c>
      <c r="BK2797" s="8">
        <v>8933.68</v>
      </c>
      <c r="BL2797" s="2" t="s">
        <v>9614</v>
      </c>
      <c r="BM2797" s="7">
        <v>0.0032</v>
      </c>
      <c r="BN2797" s="7">
        <v>0.0024</v>
      </c>
      <c r="BO2797" s="4">
        <v>1</v>
      </c>
      <c r="BP2797" s="8">
        <v>21</v>
      </c>
      <c r="BQ2797" s="4"/>
      <c r="BR2797" s="8"/>
      <c r="BS2797" s="7"/>
      <c r="BT2797" s="7"/>
      <c r="BU2797" s="2" t="s">
        <v>109</v>
      </c>
      <c r="BV2797" s="2" t="s">
        <v>97</v>
      </c>
      <c r="BW2797" s="2" t="s">
        <v>9615</v>
      </c>
      <c r="BX2797" s="2" t="s">
        <v>6438</v>
      </c>
      <c r="BY2797" s="2" t="s">
        <v>112</v>
      </c>
      <c r="BZ2797" s="2" t="s">
        <v>100</v>
      </c>
    </row>
    <row r="2798">
      <c r="A2798" s="2" t="s">
        <v>9616</v>
      </c>
      <c r="B2798" s="2" t="s">
        <v>9043</v>
      </c>
      <c r="C2798" s="2" t="s">
        <v>1797</v>
      </c>
      <c r="D2798" s="2" t="s">
        <v>9044</v>
      </c>
      <c r="E2798" s="2" t="s">
        <v>9045</v>
      </c>
      <c r="F2798" s="2" t="s">
        <v>9582</v>
      </c>
      <c r="G2798" s="2" t="s">
        <v>9582</v>
      </c>
      <c r="H2798" s="2" t="s">
        <v>9582</v>
      </c>
      <c r="I2798" s="2" t="s">
        <v>9583</v>
      </c>
      <c r="J2798" s="2" t="s">
        <v>118</v>
      </c>
      <c r="K2798" s="2" t="s">
        <v>1373</v>
      </c>
      <c r="L2798" s="3">
        <v>21.5</v>
      </c>
      <c r="M2798" s="3">
        <v>22.58</v>
      </c>
      <c r="N2798" s="3">
        <v>42.99</v>
      </c>
      <c r="O2798" s="2" t="s">
        <v>97</v>
      </c>
      <c r="P2798" s="2" t="s">
        <v>98</v>
      </c>
      <c r="Q2798" s="2" t="s">
        <v>99</v>
      </c>
      <c r="R2798" s="2" t="s">
        <v>100</v>
      </c>
      <c r="S2798" s="2" t="s">
        <v>9611</v>
      </c>
      <c r="T2798" s="2" t="s">
        <v>9582</v>
      </c>
      <c r="U2798" s="2" t="s">
        <v>355</v>
      </c>
      <c r="V2798" s="2" t="s">
        <v>461</v>
      </c>
      <c r="W2798" s="2" t="s">
        <v>609</v>
      </c>
      <c r="X2798" s="2" t="s">
        <v>493</v>
      </c>
      <c r="Y2798" s="2" t="s">
        <v>8455</v>
      </c>
      <c r="Z2798" s="4">
        <v>145</v>
      </c>
      <c r="AA2798" s="4">
        <f>=ROUNDDOWN(9.0625,0)</f>
      </c>
      <c r="AB2798" s="5">
        <v>16</v>
      </c>
      <c r="AC2798" s="2" t="s">
        <v>107</v>
      </c>
      <c r="AD2798" s="4">
        <v>20</v>
      </c>
      <c r="AE2798" s="4">
        <v>480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100</v>
      </c>
      <c r="AW2798" s="8" t="s">
        <v>100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/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 t="s">
        <v>100</v>
      </c>
      <c r="BJ2798" s="4">
        <v>57</v>
      </c>
      <c r="BK2798" s="8">
        <v>1730.52</v>
      </c>
      <c r="BL2798" s="2" t="s">
        <v>9617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109</v>
      </c>
      <c r="BV2798" s="2" t="s">
        <v>97</v>
      </c>
      <c r="BW2798" s="2" t="s">
        <v>4607</v>
      </c>
      <c r="BX2798" s="2" t="s">
        <v>9618</v>
      </c>
      <c r="BY2798" s="2" t="s">
        <v>112</v>
      </c>
      <c r="BZ2798" s="2" t="s">
        <v>100</v>
      </c>
    </row>
    <row r="2799">
      <c r="A2799" s="2" t="s">
        <v>9619</v>
      </c>
      <c r="B2799" s="2" t="s">
        <v>9043</v>
      </c>
      <c r="C2799" s="2" t="s">
        <v>1797</v>
      </c>
      <c r="D2799" s="2" t="s">
        <v>9044</v>
      </c>
      <c r="E2799" s="2" t="s">
        <v>9045</v>
      </c>
      <c r="F2799" s="2" t="s">
        <v>9582</v>
      </c>
      <c r="G2799" s="2" t="s">
        <v>9582</v>
      </c>
      <c r="H2799" s="2" t="s">
        <v>9582</v>
      </c>
      <c r="I2799" s="2" t="s">
        <v>9583</v>
      </c>
      <c r="J2799" s="2" t="s">
        <v>490</v>
      </c>
      <c r="K2799" s="2" t="s">
        <v>4488</v>
      </c>
      <c r="L2799" s="3">
        <v>16.5</v>
      </c>
      <c r="M2799" s="3">
        <v>17.32</v>
      </c>
      <c r="N2799" s="3">
        <v>32.99</v>
      </c>
      <c r="O2799" s="2" t="s">
        <v>97</v>
      </c>
      <c r="P2799" s="2" t="s">
        <v>156</v>
      </c>
      <c r="Q2799" s="2" t="s">
        <v>99</v>
      </c>
      <c r="R2799" s="2" t="s">
        <v>100</v>
      </c>
      <c r="S2799" s="2" t="s">
        <v>9620</v>
      </c>
      <c r="T2799" s="2" t="s">
        <v>9582</v>
      </c>
      <c r="U2799" s="2" t="s">
        <v>355</v>
      </c>
      <c r="V2799" s="2" t="s">
        <v>461</v>
      </c>
      <c r="W2799" s="2" t="s">
        <v>609</v>
      </c>
      <c r="X2799" s="2" t="s">
        <v>493</v>
      </c>
      <c r="Y2799" s="2" t="s">
        <v>8455</v>
      </c>
      <c r="Z2799" s="4">
        <v>74</v>
      </c>
      <c r="AA2799" s="4">
        <f>=ROUNDDOWN(0.840909090909091,0)</f>
      </c>
      <c r="AB2799" s="5">
        <v>88</v>
      </c>
      <c r="AC2799" s="2" t="s">
        <v>9585</v>
      </c>
      <c r="AD2799" s="4">
        <v>180</v>
      </c>
      <c r="AE2799" s="4">
        <v>2610</v>
      </c>
      <c r="AF2799" s="6">
        <v>65</v>
      </c>
      <c r="AG2799" s="6"/>
      <c r="AH2799" s="7">
        <v>0.4194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100</v>
      </c>
      <c r="AW2799" s="8" t="s">
        <v>100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/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 t="s">
        <v>100</v>
      </c>
      <c r="BJ2799" s="4">
        <v>45</v>
      </c>
      <c r="BK2799" s="8">
        <v>975.85</v>
      </c>
      <c r="BL2799" s="2" t="s">
        <v>4374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109</v>
      </c>
      <c r="BV2799" s="2" t="s">
        <v>97</v>
      </c>
      <c r="BW2799" s="2" t="s">
        <v>4202</v>
      </c>
      <c r="BX2799" s="2" t="s">
        <v>9621</v>
      </c>
      <c r="BY2799" s="2" t="s">
        <v>112</v>
      </c>
      <c r="BZ2799" s="2" t="s">
        <v>100</v>
      </c>
    </row>
    <row r="2800">
      <c r="A2800" s="2" t="s">
        <v>9622</v>
      </c>
      <c r="B2800" s="2" t="s">
        <v>9043</v>
      </c>
      <c r="C2800" s="2" t="s">
        <v>1797</v>
      </c>
      <c r="D2800" s="2" t="s">
        <v>9044</v>
      </c>
      <c r="E2800" s="2" t="s">
        <v>9045</v>
      </c>
      <c r="F2800" s="2" t="s">
        <v>9582</v>
      </c>
      <c r="G2800" s="2" t="s">
        <v>9582</v>
      </c>
      <c r="H2800" s="2" t="s">
        <v>9582</v>
      </c>
      <c r="I2800" s="2" t="s">
        <v>9583</v>
      </c>
      <c r="J2800" s="2" t="s">
        <v>114</v>
      </c>
      <c r="K2800" s="2" t="s">
        <v>4488</v>
      </c>
      <c r="L2800" s="3">
        <v>21.5</v>
      </c>
      <c r="M2800" s="3">
        <v>22.58</v>
      </c>
      <c r="N2800" s="3">
        <v>42.99</v>
      </c>
      <c r="O2800" s="2" t="s">
        <v>97</v>
      </c>
      <c r="P2800" s="2" t="s">
        <v>156</v>
      </c>
      <c r="Q2800" s="2" t="s">
        <v>99</v>
      </c>
      <c r="R2800" s="2" t="s">
        <v>100</v>
      </c>
      <c r="S2800" s="2" t="s">
        <v>9620</v>
      </c>
      <c r="T2800" s="2" t="s">
        <v>9582</v>
      </c>
      <c r="U2800" s="2" t="s">
        <v>355</v>
      </c>
      <c r="V2800" s="2" t="s">
        <v>461</v>
      </c>
      <c r="W2800" s="2" t="s">
        <v>609</v>
      </c>
      <c r="X2800" s="2" t="s">
        <v>493</v>
      </c>
      <c r="Y2800" s="2" t="s">
        <v>8455</v>
      </c>
      <c r="Z2800" s="4">
        <v>29</v>
      </c>
      <c r="AA2800" s="4">
        <f>=ROUNDDOWN(0.349397590361446,0)</f>
      </c>
      <c r="AB2800" s="5">
        <v>83</v>
      </c>
      <c r="AC2800" s="2" t="s">
        <v>9585</v>
      </c>
      <c r="AD2800" s="4">
        <v>150</v>
      </c>
      <c r="AE2800" s="4">
        <v>2450</v>
      </c>
      <c r="AF2800" s="6">
        <v>65</v>
      </c>
      <c r="AG2800" s="6"/>
      <c r="AH2800" s="7">
        <v>0.4194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/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160</v>
      </c>
      <c r="BK2800" s="8">
        <v>4948.99</v>
      </c>
      <c r="BL2800" s="2" t="s">
        <v>9623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109</v>
      </c>
      <c r="BV2800" s="2" t="s">
        <v>97</v>
      </c>
      <c r="BW2800" s="2" t="s">
        <v>9624</v>
      </c>
      <c r="BX2800" s="2" t="s">
        <v>4339</v>
      </c>
      <c r="BY2800" s="2" t="s">
        <v>112</v>
      </c>
      <c r="BZ2800" s="2" t="s">
        <v>100</v>
      </c>
    </row>
    <row r="2801">
      <c r="A2801" s="2" t="s">
        <v>9625</v>
      </c>
      <c r="B2801" s="2" t="s">
        <v>9043</v>
      </c>
      <c r="C2801" s="2" t="s">
        <v>1797</v>
      </c>
      <c r="D2801" s="2" t="s">
        <v>9044</v>
      </c>
      <c r="E2801" s="2" t="s">
        <v>9045</v>
      </c>
      <c r="F2801" s="2" t="s">
        <v>9626</v>
      </c>
      <c r="G2801" s="2" t="s">
        <v>9626</v>
      </c>
      <c r="H2801" s="2" t="s">
        <v>9626</v>
      </c>
      <c r="I2801" s="2" t="s">
        <v>9627</v>
      </c>
      <c r="J2801" s="2" t="s">
        <v>490</v>
      </c>
      <c r="K2801" s="2" t="s">
        <v>9628</v>
      </c>
      <c r="L2801" s="3">
        <v>23.75</v>
      </c>
      <c r="M2801" s="3">
        <v>24.94</v>
      </c>
      <c r="N2801" s="3">
        <v>49.99</v>
      </c>
      <c r="O2801" s="2" t="s">
        <v>97</v>
      </c>
      <c r="P2801" s="2" t="s">
        <v>98</v>
      </c>
      <c r="Q2801" s="2" t="s">
        <v>99</v>
      </c>
      <c r="R2801" s="2" t="s">
        <v>100</v>
      </c>
      <c r="S2801" s="2" t="s">
        <v>9629</v>
      </c>
      <c r="T2801" s="2" t="s">
        <v>190</v>
      </c>
      <c r="U2801" s="2" t="s">
        <v>1228</v>
      </c>
      <c r="V2801" s="2" t="s">
        <v>367</v>
      </c>
      <c r="W2801" s="2" t="s">
        <v>609</v>
      </c>
      <c r="X2801" s="2" t="s">
        <v>100</v>
      </c>
      <c r="Y2801" s="2" t="s">
        <v>9630</v>
      </c>
      <c r="Z2801" s="4">
        <v>17</v>
      </c>
      <c r="AA2801" s="4">
        <f>=ROUNDDOWN(5.66666666666667,0)</f>
      </c>
      <c r="AB2801" s="5">
        <v>3</v>
      </c>
      <c r="AC2801" s="2" t="s">
        <v>206</v>
      </c>
      <c r="AD2801" s="4">
        <v>30</v>
      </c>
      <c r="AE2801" s="4">
        <v>60</v>
      </c>
      <c r="AF2801" s="6">
        <v>70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 t="s">
        <v>100</v>
      </c>
      <c r="AW2801" s="8" t="s">
        <v>100</v>
      </c>
      <c r="AX2801" s="4" t="s">
        <v>100</v>
      </c>
      <c r="AY2801" s="8" t="s">
        <v>100</v>
      </c>
      <c r="AZ2801" s="7" t="s">
        <v>100</v>
      </c>
      <c r="BA2801" s="7" t="s">
        <v>100</v>
      </c>
      <c r="BB2801" s="7"/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/>
      <c r="BJ2801" s="4">
        <v>9</v>
      </c>
      <c r="BK2801" s="8">
        <v>223.91</v>
      </c>
      <c r="BL2801" s="2" t="s">
        <v>788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171</v>
      </c>
      <c r="BV2801" s="2" t="s">
        <v>97</v>
      </c>
      <c r="BW2801" s="2" t="s">
        <v>100</v>
      </c>
      <c r="BX2801" s="2" t="s">
        <v>100</v>
      </c>
      <c r="BY2801" s="2" t="s">
        <v>112</v>
      </c>
      <c r="BZ2801" s="2" t="s">
        <v>100</v>
      </c>
    </row>
    <row r="2802">
      <c r="A2802" s="2" t="s">
        <v>9631</v>
      </c>
      <c r="B2802" s="2" t="s">
        <v>9043</v>
      </c>
      <c r="C2802" s="2" t="s">
        <v>1797</v>
      </c>
      <c r="D2802" s="2" t="s">
        <v>9044</v>
      </c>
      <c r="E2802" s="2" t="s">
        <v>9045</v>
      </c>
      <c r="F2802" s="2" t="s">
        <v>9626</v>
      </c>
      <c r="G2802" s="2" t="s">
        <v>9626</v>
      </c>
      <c r="H2802" s="2" t="s">
        <v>9626</v>
      </c>
      <c r="I2802" s="2" t="s">
        <v>9627</v>
      </c>
      <c r="J2802" s="2" t="s">
        <v>95</v>
      </c>
      <c r="K2802" s="2" t="s">
        <v>9628</v>
      </c>
      <c r="L2802" s="3">
        <v>25</v>
      </c>
      <c r="M2802" s="3">
        <v>26.25</v>
      </c>
      <c r="N2802" s="3">
        <v>54.99</v>
      </c>
      <c r="O2802" s="2" t="s">
        <v>97</v>
      </c>
      <c r="P2802" s="2" t="s">
        <v>98</v>
      </c>
      <c r="Q2802" s="2" t="s">
        <v>99</v>
      </c>
      <c r="R2802" s="2" t="s">
        <v>100</v>
      </c>
      <c r="S2802" s="2" t="s">
        <v>9629</v>
      </c>
      <c r="T2802" s="2" t="s">
        <v>190</v>
      </c>
      <c r="U2802" s="2" t="s">
        <v>1228</v>
      </c>
      <c r="V2802" s="2" t="s">
        <v>367</v>
      </c>
      <c r="W2802" s="2" t="s">
        <v>609</v>
      </c>
      <c r="X2802" s="2" t="s">
        <v>100</v>
      </c>
      <c r="Y2802" s="2" t="s">
        <v>9630</v>
      </c>
      <c r="Z2802" s="4">
        <v>41</v>
      </c>
      <c r="AA2802" s="4">
        <f>=ROUNDDOWN(4.1,0)</f>
      </c>
      <c r="AB2802" s="5">
        <v>10</v>
      </c>
      <c r="AC2802" s="2" t="s">
        <v>206</v>
      </c>
      <c r="AD2802" s="4">
        <v>160</v>
      </c>
      <c r="AE2802" s="4">
        <v>340</v>
      </c>
      <c r="AF2802" s="6">
        <v>70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 t="s">
        <v>100</v>
      </c>
      <c r="AW2802" s="8" t="s">
        <v>100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/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/>
      <c r="BJ2802" s="4">
        <v>29</v>
      </c>
      <c r="BK2802" s="8">
        <v>817.54</v>
      </c>
      <c r="BL2802" s="2" t="s">
        <v>9632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171</v>
      </c>
      <c r="BV2802" s="2" t="s">
        <v>97</v>
      </c>
      <c r="BW2802" s="2" t="s">
        <v>100</v>
      </c>
      <c r="BX2802" s="2" t="s">
        <v>100</v>
      </c>
      <c r="BY2802" s="2" t="s">
        <v>112</v>
      </c>
      <c r="BZ2802" s="2" t="s">
        <v>100</v>
      </c>
    </row>
    <row r="2803">
      <c r="A2803" s="2" t="s">
        <v>9633</v>
      </c>
      <c r="B2803" s="2" t="s">
        <v>9043</v>
      </c>
      <c r="C2803" s="2" t="s">
        <v>1797</v>
      </c>
      <c r="D2803" s="2" t="s">
        <v>9044</v>
      </c>
      <c r="E2803" s="2" t="s">
        <v>9045</v>
      </c>
      <c r="F2803" s="2" t="s">
        <v>9626</v>
      </c>
      <c r="G2803" s="2" t="s">
        <v>9626</v>
      </c>
      <c r="H2803" s="2" t="s">
        <v>9626</v>
      </c>
      <c r="I2803" s="2" t="s">
        <v>9627</v>
      </c>
      <c r="J2803" s="2" t="s">
        <v>114</v>
      </c>
      <c r="K2803" s="2" t="s">
        <v>9628</v>
      </c>
      <c r="L2803" s="3">
        <v>28.5</v>
      </c>
      <c r="M2803" s="3">
        <v>29.93</v>
      </c>
      <c r="N2803" s="3">
        <v>59.99</v>
      </c>
      <c r="O2803" s="2" t="s">
        <v>97</v>
      </c>
      <c r="P2803" s="2" t="s">
        <v>98</v>
      </c>
      <c r="Q2803" s="2" t="s">
        <v>99</v>
      </c>
      <c r="R2803" s="2" t="s">
        <v>100</v>
      </c>
      <c r="S2803" s="2" t="s">
        <v>9629</v>
      </c>
      <c r="T2803" s="2" t="s">
        <v>190</v>
      </c>
      <c r="U2803" s="2" t="s">
        <v>1228</v>
      </c>
      <c r="V2803" s="2" t="s">
        <v>367</v>
      </c>
      <c r="W2803" s="2" t="s">
        <v>609</v>
      </c>
      <c r="X2803" s="2" t="s">
        <v>100</v>
      </c>
      <c r="Y2803" s="2" t="s">
        <v>9630</v>
      </c>
      <c r="Z2803" s="4">
        <v>38</v>
      </c>
      <c r="AA2803" s="4">
        <f>=ROUNDDOWN(9.5,0)</f>
      </c>
      <c r="AB2803" s="5">
        <v>4</v>
      </c>
      <c r="AC2803" s="2" t="s">
        <v>206</v>
      </c>
      <c r="AD2803" s="4">
        <v>90</v>
      </c>
      <c r="AE2803" s="4">
        <v>200</v>
      </c>
      <c r="AF2803" s="6">
        <v>70</v>
      </c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 t="s">
        <v>100</v>
      </c>
      <c r="AW2803" s="8" t="s">
        <v>100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/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/>
      <c r="BJ2803" s="4">
        <v>17</v>
      </c>
      <c r="BK2803" s="8">
        <v>556.38</v>
      </c>
      <c r="BL2803" s="2" t="s">
        <v>9634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171</v>
      </c>
      <c r="BV2803" s="2" t="s">
        <v>97</v>
      </c>
      <c r="BW2803" s="2" t="s">
        <v>100</v>
      </c>
      <c r="BX2803" s="2" t="s">
        <v>100</v>
      </c>
      <c r="BY2803" s="2" t="s">
        <v>112</v>
      </c>
      <c r="BZ2803" s="2" t="s">
        <v>100</v>
      </c>
    </row>
    <row r="2804">
      <c r="A2804" s="2" t="s">
        <v>9635</v>
      </c>
      <c r="B2804" s="2" t="s">
        <v>9043</v>
      </c>
      <c r="C2804" s="2" t="s">
        <v>1797</v>
      </c>
      <c r="D2804" s="2" t="s">
        <v>9044</v>
      </c>
      <c r="E2804" s="2" t="s">
        <v>9045</v>
      </c>
      <c r="F2804" s="2" t="s">
        <v>9626</v>
      </c>
      <c r="G2804" s="2" t="s">
        <v>9626</v>
      </c>
      <c r="H2804" s="2" t="s">
        <v>9626</v>
      </c>
      <c r="I2804" s="2" t="s">
        <v>9627</v>
      </c>
      <c r="J2804" s="2" t="s">
        <v>490</v>
      </c>
      <c r="K2804" s="2" t="s">
        <v>9636</v>
      </c>
      <c r="L2804" s="3">
        <v>23.75</v>
      </c>
      <c r="M2804" s="3">
        <v>24.94</v>
      </c>
      <c r="N2804" s="3">
        <v>49.99</v>
      </c>
      <c r="O2804" s="2" t="s">
        <v>97</v>
      </c>
      <c r="P2804" s="2" t="s">
        <v>98</v>
      </c>
      <c r="Q2804" s="2" t="s">
        <v>99</v>
      </c>
      <c r="R2804" s="2" t="s">
        <v>100</v>
      </c>
      <c r="S2804" s="2" t="s">
        <v>9637</v>
      </c>
      <c r="T2804" s="2" t="s">
        <v>190</v>
      </c>
      <c r="U2804" s="2" t="s">
        <v>1228</v>
      </c>
      <c r="V2804" s="2" t="s">
        <v>733</v>
      </c>
      <c r="W2804" s="2" t="s">
        <v>609</v>
      </c>
      <c r="X2804" s="2" t="s">
        <v>100</v>
      </c>
      <c r="Y2804" s="2" t="s">
        <v>9630</v>
      </c>
      <c r="Z2804" s="4">
        <v>58</v>
      </c>
      <c r="AA2804" s="4">
        <f>=ROUNDDOWN(19.3333333333333,0)</f>
      </c>
      <c r="AB2804" s="5">
        <v>3</v>
      </c>
      <c r="AC2804" s="2" t="s">
        <v>206</v>
      </c>
      <c r="AD2804" s="4">
        <v>61</v>
      </c>
      <c r="AE2804" s="4">
        <v>61</v>
      </c>
      <c r="AF2804" s="6">
        <v>70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 t="s">
        <v>100</v>
      </c>
      <c r="AW2804" s="8" t="s">
        <v>100</v>
      </c>
      <c r="AX2804" s="4" t="s">
        <v>100</v>
      </c>
      <c r="AY2804" s="8" t="s">
        <v>100</v>
      </c>
      <c r="AZ2804" s="7" t="s">
        <v>100</v>
      </c>
      <c r="BA2804" s="7" t="s">
        <v>100</v>
      </c>
      <c r="BB2804" s="7"/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/>
      <c r="BJ2804" s="4">
        <v>16</v>
      </c>
      <c r="BK2804" s="8">
        <v>445.48</v>
      </c>
      <c r="BL2804" s="2" t="s">
        <v>2063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171</v>
      </c>
      <c r="BV2804" s="2" t="s">
        <v>97</v>
      </c>
      <c r="BW2804" s="2" t="s">
        <v>100</v>
      </c>
      <c r="BX2804" s="2" t="s">
        <v>100</v>
      </c>
      <c r="BY2804" s="2" t="s">
        <v>112</v>
      </c>
      <c r="BZ2804" s="2" t="s">
        <v>100</v>
      </c>
    </row>
    <row r="2805">
      <c r="A2805" s="2" t="s">
        <v>9638</v>
      </c>
      <c r="B2805" s="2" t="s">
        <v>9043</v>
      </c>
      <c r="C2805" s="2" t="s">
        <v>1797</v>
      </c>
      <c r="D2805" s="2" t="s">
        <v>9044</v>
      </c>
      <c r="E2805" s="2" t="s">
        <v>9045</v>
      </c>
      <c r="F2805" s="2" t="s">
        <v>9626</v>
      </c>
      <c r="G2805" s="2" t="s">
        <v>9626</v>
      </c>
      <c r="H2805" s="2" t="s">
        <v>9626</v>
      </c>
      <c r="I2805" s="2" t="s">
        <v>9627</v>
      </c>
      <c r="J2805" s="2" t="s">
        <v>95</v>
      </c>
      <c r="K2805" s="2" t="s">
        <v>9636</v>
      </c>
      <c r="L2805" s="3">
        <v>25</v>
      </c>
      <c r="M2805" s="3">
        <v>26.25</v>
      </c>
      <c r="N2805" s="3">
        <v>54.99</v>
      </c>
      <c r="O2805" s="2" t="s">
        <v>97</v>
      </c>
      <c r="P2805" s="2" t="s">
        <v>98</v>
      </c>
      <c r="Q2805" s="2" t="s">
        <v>99</v>
      </c>
      <c r="R2805" s="2" t="s">
        <v>100</v>
      </c>
      <c r="S2805" s="2" t="s">
        <v>9637</v>
      </c>
      <c r="T2805" s="2" t="s">
        <v>190</v>
      </c>
      <c r="U2805" s="2" t="s">
        <v>1228</v>
      </c>
      <c r="V2805" s="2" t="s">
        <v>733</v>
      </c>
      <c r="W2805" s="2" t="s">
        <v>609</v>
      </c>
      <c r="X2805" s="2" t="s">
        <v>100</v>
      </c>
      <c r="Y2805" s="2" t="s">
        <v>9630</v>
      </c>
      <c r="Z2805" s="4">
        <v>115</v>
      </c>
      <c r="AA2805" s="4">
        <f>=ROUNDDOWN(17.6923076923077,0)</f>
      </c>
      <c r="AB2805" s="5">
        <v>6.5</v>
      </c>
      <c r="AC2805" s="2" t="s">
        <v>206</v>
      </c>
      <c r="AD2805" s="4">
        <v>137</v>
      </c>
      <c r="AE2805" s="4">
        <v>137</v>
      </c>
      <c r="AF2805" s="6">
        <v>70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 t="s">
        <v>100</v>
      </c>
      <c r="AW2805" s="8" t="s">
        <v>100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/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/>
      <c r="BJ2805" s="4">
        <v>34</v>
      </c>
      <c r="BK2805" s="8">
        <v>912.13</v>
      </c>
      <c r="BL2805" s="2" t="s">
        <v>1181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171</v>
      </c>
      <c r="BV2805" s="2" t="s">
        <v>97</v>
      </c>
      <c r="BW2805" s="2" t="s">
        <v>100</v>
      </c>
      <c r="BX2805" s="2" t="s">
        <v>100</v>
      </c>
      <c r="BY2805" s="2" t="s">
        <v>112</v>
      </c>
      <c r="BZ2805" s="2" t="s">
        <v>100</v>
      </c>
    </row>
    <row r="2806">
      <c r="A2806" s="2" t="s">
        <v>9639</v>
      </c>
      <c r="B2806" s="2" t="s">
        <v>9043</v>
      </c>
      <c r="C2806" s="2" t="s">
        <v>1797</v>
      </c>
      <c r="D2806" s="2" t="s">
        <v>9044</v>
      </c>
      <c r="E2806" s="2" t="s">
        <v>9045</v>
      </c>
      <c r="F2806" s="2" t="s">
        <v>9626</v>
      </c>
      <c r="G2806" s="2" t="s">
        <v>9626</v>
      </c>
      <c r="H2806" s="2" t="s">
        <v>9626</v>
      </c>
      <c r="I2806" s="2" t="s">
        <v>9627</v>
      </c>
      <c r="J2806" s="2" t="s">
        <v>114</v>
      </c>
      <c r="K2806" s="2" t="s">
        <v>9636</v>
      </c>
      <c r="L2806" s="3">
        <v>28.5</v>
      </c>
      <c r="M2806" s="3">
        <v>29.93</v>
      </c>
      <c r="N2806" s="3">
        <v>59.99</v>
      </c>
      <c r="O2806" s="2" t="s">
        <v>97</v>
      </c>
      <c r="P2806" s="2" t="s">
        <v>98</v>
      </c>
      <c r="Q2806" s="2" t="s">
        <v>99</v>
      </c>
      <c r="R2806" s="2" t="s">
        <v>100</v>
      </c>
      <c r="S2806" s="2" t="s">
        <v>9637</v>
      </c>
      <c r="T2806" s="2" t="s">
        <v>190</v>
      </c>
      <c r="U2806" s="2" t="s">
        <v>1228</v>
      </c>
      <c r="V2806" s="2" t="s">
        <v>733</v>
      </c>
      <c r="W2806" s="2" t="s">
        <v>609</v>
      </c>
      <c r="X2806" s="2" t="s">
        <v>100</v>
      </c>
      <c r="Y2806" s="2" t="s">
        <v>9630</v>
      </c>
      <c r="Z2806" s="4">
        <v>52</v>
      </c>
      <c r="AA2806" s="4">
        <f>=ROUNDDOWN(8.66666666666667,0)</f>
      </c>
      <c r="AB2806" s="5">
        <v>6</v>
      </c>
      <c r="AC2806" s="2" t="s">
        <v>206</v>
      </c>
      <c r="AD2806" s="4">
        <v>90</v>
      </c>
      <c r="AE2806" s="4">
        <v>90</v>
      </c>
      <c r="AF2806" s="6">
        <v>70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 t="s">
        <v>100</v>
      </c>
      <c r="AW2806" s="8" t="s">
        <v>100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/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/>
      <c r="BJ2806" s="4">
        <v>25</v>
      </c>
      <c r="BK2806" s="8">
        <v>767.19</v>
      </c>
      <c r="BL2806" s="2" t="s">
        <v>9640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171</v>
      </c>
      <c r="BV2806" s="2" t="s">
        <v>97</v>
      </c>
      <c r="BW2806" s="2" t="s">
        <v>100</v>
      </c>
      <c r="BX2806" s="2" t="s">
        <v>100</v>
      </c>
      <c r="BY2806" s="2" t="s">
        <v>112</v>
      </c>
      <c r="BZ2806" s="2" t="s">
        <v>100</v>
      </c>
    </row>
    <row r="2807">
      <c r="A2807" s="2" t="s">
        <v>9641</v>
      </c>
      <c r="B2807" s="2" t="s">
        <v>9043</v>
      </c>
      <c r="C2807" s="2" t="s">
        <v>1797</v>
      </c>
      <c r="D2807" s="2" t="s">
        <v>9044</v>
      </c>
      <c r="E2807" s="2" t="s">
        <v>9045</v>
      </c>
      <c r="F2807" s="2" t="s">
        <v>9626</v>
      </c>
      <c r="G2807" s="2" t="s">
        <v>9626</v>
      </c>
      <c r="H2807" s="2" t="s">
        <v>9626</v>
      </c>
      <c r="I2807" s="2" t="s">
        <v>9627</v>
      </c>
      <c r="J2807" s="2" t="s">
        <v>490</v>
      </c>
      <c r="K2807" s="2" t="s">
        <v>9642</v>
      </c>
      <c r="L2807" s="3">
        <v>23.75</v>
      </c>
      <c r="M2807" s="3">
        <v>24.94</v>
      </c>
      <c r="N2807" s="3">
        <v>49.99</v>
      </c>
      <c r="O2807" s="2" t="s">
        <v>97</v>
      </c>
      <c r="P2807" s="2" t="s">
        <v>98</v>
      </c>
      <c r="Q2807" s="2" t="s">
        <v>99</v>
      </c>
      <c r="R2807" s="2" t="s">
        <v>100</v>
      </c>
      <c r="S2807" s="2" t="s">
        <v>9643</v>
      </c>
      <c r="T2807" s="2" t="s">
        <v>190</v>
      </c>
      <c r="U2807" s="2" t="s">
        <v>1228</v>
      </c>
      <c r="V2807" s="2" t="s">
        <v>367</v>
      </c>
      <c r="W2807" s="2" t="s">
        <v>609</v>
      </c>
      <c r="X2807" s="2" t="s">
        <v>100</v>
      </c>
      <c r="Y2807" s="2" t="s">
        <v>9630</v>
      </c>
      <c r="Z2807" s="4">
        <v>3</v>
      </c>
      <c r="AA2807" s="4">
        <f>=ROUNDDOWN(0.75,0)</f>
      </c>
      <c r="AB2807" s="5">
        <v>4</v>
      </c>
      <c r="AC2807" s="2" t="s">
        <v>206</v>
      </c>
      <c r="AD2807" s="4">
        <v>30</v>
      </c>
      <c r="AE2807" s="4">
        <v>110</v>
      </c>
      <c r="AF2807" s="6">
        <v>70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 t="s">
        <v>100</v>
      </c>
      <c r="AW2807" s="8" t="s">
        <v>100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/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/>
      <c r="BJ2807" s="4">
        <v>15</v>
      </c>
      <c r="BK2807" s="8">
        <v>394.2</v>
      </c>
      <c r="BL2807" s="2" t="s">
        <v>4137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171</v>
      </c>
      <c r="BV2807" s="2" t="s">
        <v>97</v>
      </c>
      <c r="BW2807" s="2" t="s">
        <v>100</v>
      </c>
      <c r="BX2807" s="2" t="s">
        <v>100</v>
      </c>
      <c r="BY2807" s="2" t="s">
        <v>112</v>
      </c>
      <c r="BZ2807" s="2" t="s">
        <v>100</v>
      </c>
    </row>
    <row r="2808">
      <c r="A2808" s="2" t="s">
        <v>9644</v>
      </c>
      <c r="B2808" s="2" t="s">
        <v>9043</v>
      </c>
      <c r="C2808" s="2" t="s">
        <v>1797</v>
      </c>
      <c r="D2808" s="2" t="s">
        <v>9044</v>
      </c>
      <c r="E2808" s="2" t="s">
        <v>9045</v>
      </c>
      <c r="F2808" s="2" t="s">
        <v>9626</v>
      </c>
      <c r="G2808" s="2" t="s">
        <v>9626</v>
      </c>
      <c r="H2808" s="2" t="s">
        <v>9626</v>
      </c>
      <c r="I2808" s="2" t="s">
        <v>9627</v>
      </c>
      <c r="J2808" s="2" t="s">
        <v>95</v>
      </c>
      <c r="K2808" s="2" t="s">
        <v>9642</v>
      </c>
      <c r="L2808" s="3">
        <v>25</v>
      </c>
      <c r="M2808" s="3">
        <v>26.25</v>
      </c>
      <c r="N2808" s="3">
        <v>54.99</v>
      </c>
      <c r="O2808" s="2" t="s">
        <v>97</v>
      </c>
      <c r="P2808" s="2" t="s">
        <v>98</v>
      </c>
      <c r="Q2808" s="2" t="s">
        <v>99</v>
      </c>
      <c r="R2808" s="2" t="s">
        <v>100</v>
      </c>
      <c r="S2808" s="2" t="s">
        <v>9643</v>
      </c>
      <c r="T2808" s="2" t="s">
        <v>190</v>
      </c>
      <c r="U2808" s="2" t="s">
        <v>1228</v>
      </c>
      <c r="V2808" s="2" t="s">
        <v>367</v>
      </c>
      <c r="W2808" s="2" t="s">
        <v>609</v>
      </c>
      <c r="X2808" s="2" t="s">
        <v>100</v>
      </c>
      <c r="Y2808" s="2" t="s">
        <v>9630</v>
      </c>
      <c r="Z2808" s="4">
        <v>82</v>
      </c>
      <c r="AA2808" s="4">
        <f>=ROUNDDOWN(13.6666666666667,0)</f>
      </c>
      <c r="AB2808" s="5">
        <v>6</v>
      </c>
      <c r="AC2808" s="2" t="s">
        <v>206</v>
      </c>
      <c r="AD2808" s="4">
        <v>68</v>
      </c>
      <c r="AE2808" s="4">
        <v>258</v>
      </c>
      <c r="AF2808" s="6">
        <v>70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 t="s">
        <v>100</v>
      </c>
      <c r="AW2808" s="8" t="s">
        <v>100</v>
      </c>
      <c r="AX2808" s="4" t="s">
        <v>100</v>
      </c>
      <c r="AY2808" s="8" t="s">
        <v>100</v>
      </c>
      <c r="AZ2808" s="7" t="s">
        <v>100</v>
      </c>
      <c r="BA2808" s="7" t="s">
        <v>100</v>
      </c>
      <c r="BB2808" s="7"/>
      <c r="BC2808" s="4" t="s">
        <v>100</v>
      </c>
      <c r="BD2808" s="8" t="s">
        <v>100</v>
      </c>
      <c r="BE2808" s="4" t="s">
        <v>100</v>
      </c>
      <c r="BF2808" s="8" t="s">
        <v>100</v>
      </c>
      <c r="BG2808" s="7" t="s">
        <v>100</v>
      </c>
      <c r="BH2808" s="7" t="s">
        <v>100</v>
      </c>
      <c r="BI2808" s="7"/>
      <c r="BJ2808" s="4">
        <v>19</v>
      </c>
      <c r="BK2808" s="8">
        <v>517.62</v>
      </c>
      <c r="BL2808" s="2" t="s">
        <v>4262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171</v>
      </c>
      <c r="BV2808" s="2" t="s">
        <v>97</v>
      </c>
      <c r="BW2808" s="2" t="s">
        <v>100</v>
      </c>
      <c r="BX2808" s="2" t="s">
        <v>100</v>
      </c>
      <c r="BY2808" s="2" t="s">
        <v>112</v>
      </c>
      <c r="BZ2808" s="2" t="s">
        <v>100</v>
      </c>
    </row>
    <row r="2809">
      <c r="A2809" s="2" t="s">
        <v>9645</v>
      </c>
      <c r="B2809" s="2" t="s">
        <v>9043</v>
      </c>
      <c r="C2809" s="2" t="s">
        <v>1797</v>
      </c>
      <c r="D2809" s="2" t="s">
        <v>9044</v>
      </c>
      <c r="E2809" s="2" t="s">
        <v>9045</v>
      </c>
      <c r="F2809" s="2" t="s">
        <v>9626</v>
      </c>
      <c r="G2809" s="2" t="s">
        <v>9626</v>
      </c>
      <c r="H2809" s="2" t="s">
        <v>9626</v>
      </c>
      <c r="I2809" s="2" t="s">
        <v>9627</v>
      </c>
      <c r="J2809" s="2" t="s">
        <v>114</v>
      </c>
      <c r="K2809" s="2" t="s">
        <v>9642</v>
      </c>
      <c r="L2809" s="3">
        <v>28.5</v>
      </c>
      <c r="M2809" s="3">
        <v>29.93</v>
      </c>
      <c r="N2809" s="3">
        <v>59.99</v>
      </c>
      <c r="O2809" s="2" t="s">
        <v>97</v>
      </c>
      <c r="P2809" s="2" t="s">
        <v>98</v>
      </c>
      <c r="Q2809" s="2" t="s">
        <v>99</v>
      </c>
      <c r="R2809" s="2" t="s">
        <v>100</v>
      </c>
      <c r="S2809" s="2" t="s">
        <v>9643</v>
      </c>
      <c r="T2809" s="2" t="s">
        <v>190</v>
      </c>
      <c r="U2809" s="2" t="s">
        <v>1228</v>
      </c>
      <c r="V2809" s="2" t="s">
        <v>367</v>
      </c>
      <c r="W2809" s="2" t="s">
        <v>609</v>
      </c>
      <c r="X2809" s="2" t="s">
        <v>100</v>
      </c>
      <c r="Y2809" s="2" t="s">
        <v>9630</v>
      </c>
      <c r="Z2809" s="4">
        <v>37</v>
      </c>
      <c r="AA2809" s="4">
        <f>=ROUNDDOWN(9.25,0)</f>
      </c>
      <c r="AB2809" s="5">
        <v>4</v>
      </c>
      <c r="AC2809" s="2" t="s">
        <v>206</v>
      </c>
      <c r="AD2809" s="4">
        <v>98</v>
      </c>
      <c r="AE2809" s="4">
        <v>228</v>
      </c>
      <c r="AF2809" s="6">
        <v>70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 t="s">
        <v>100</v>
      </c>
      <c r="AW2809" s="8" t="s">
        <v>100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/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/>
      <c r="BJ2809" s="4">
        <v>11</v>
      </c>
      <c r="BK2809" s="8">
        <v>328.56</v>
      </c>
      <c r="BL2809" s="2" t="s">
        <v>788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171</v>
      </c>
      <c r="BV2809" s="2" t="s">
        <v>97</v>
      </c>
      <c r="BW2809" s="2" t="s">
        <v>100</v>
      </c>
      <c r="BX2809" s="2" t="s">
        <v>100</v>
      </c>
      <c r="BY2809" s="2" t="s">
        <v>112</v>
      </c>
      <c r="BZ2809" s="2" t="s">
        <v>100</v>
      </c>
    </row>
    <row r="2810">
      <c r="A2810" s="2" t="s">
        <v>9646</v>
      </c>
      <c r="B2810" s="2" t="s">
        <v>9043</v>
      </c>
      <c r="C2810" s="2" t="s">
        <v>1797</v>
      </c>
      <c r="D2810" s="2" t="s">
        <v>9044</v>
      </c>
      <c r="E2810" s="2" t="s">
        <v>9045</v>
      </c>
      <c r="F2810" s="2" t="s">
        <v>9626</v>
      </c>
      <c r="G2810" s="2" t="s">
        <v>9626</v>
      </c>
      <c r="H2810" s="2" t="s">
        <v>9626</v>
      </c>
      <c r="I2810" s="2" t="s">
        <v>9627</v>
      </c>
      <c r="J2810" s="2" t="s">
        <v>490</v>
      </c>
      <c r="K2810" s="2" t="s">
        <v>9647</v>
      </c>
      <c r="L2810" s="3">
        <v>23.75</v>
      </c>
      <c r="M2810" s="3">
        <v>24.94</v>
      </c>
      <c r="N2810" s="3">
        <v>49.99</v>
      </c>
      <c r="O2810" s="2" t="s">
        <v>97</v>
      </c>
      <c r="P2810" s="2" t="s">
        <v>98</v>
      </c>
      <c r="Q2810" s="2" t="s">
        <v>99</v>
      </c>
      <c r="R2810" s="2" t="s">
        <v>100</v>
      </c>
      <c r="S2810" s="2" t="s">
        <v>9648</v>
      </c>
      <c r="T2810" s="2" t="s">
        <v>190</v>
      </c>
      <c r="U2810" s="2" t="s">
        <v>1228</v>
      </c>
      <c r="V2810" s="2" t="s">
        <v>733</v>
      </c>
      <c r="W2810" s="2" t="s">
        <v>609</v>
      </c>
      <c r="X2810" s="2" t="s">
        <v>100</v>
      </c>
      <c r="Y2810" s="2" t="s">
        <v>9630</v>
      </c>
      <c r="Z2810" s="4">
        <v>31</v>
      </c>
      <c r="AA2810" s="4">
        <f>=ROUNDDOWN(15.5,0)</f>
      </c>
      <c r="AB2810" s="5">
        <v>2</v>
      </c>
      <c r="AC2810" s="2" t="s">
        <v>206</v>
      </c>
      <c r="AD2810" s="4">
        <v>30</v>
      </c>
      <c r="AE2810" s="4">
        <v>60</v>
      </c>
      <c r="AF2810" s="6">
        <v>70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/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/>
      <c r="BJ2810" s="4">
        <v>5</v>
      </c>
      <c r="BK2810" s="8">
        <v>154.71</v>
      </c>
      <c r="BL2810" s="2" t="s">
        <v>9649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171</v>
      </c>
      <c r="BV2810" s="2" t="s">
        <v>97</v>
      </c>
      <c r="BW2810" s="2" t="s">
        <v>100</v>
      </c>
      <c r="BX2810" s="2" t="s">
        <v>100</v>
      </c>
      <c r="BY2810" s="2" t="s">
        <v>112</v>
      </c>
      <c r="BZ2810" s="2" t="s">
        <v>100</v>
      </c>
    </row>
    <row r="2811">
      <c r="A2811" s="2" t="s">
        <v>9650</v>
      </c>
      <c r="B2811" s="2" t="s">
        <v>9043</v>
      </c>
      <c r="C2811" s="2" t="s">
        <v>1797</v>
      </c>
      <c r="D2811" s="2" t="s">
        <v>9044</v>
      </c>
      <c r="E2811" s="2" t="s">
        <v>9045</v>
      </c>
      <c r="F2811" s="2" t="s">
        <v>9626</v>
      </c>
      <c r="G2811" s="2" t="s">
        <v>9626</v>
      </c>
      <c r="H2811" s="2" t="s">
        <v>9626</v>
      </c>
      <c r="I2811" s="2" t="s">
        <v>9627</v>
      </c>
      <c r="J2811" s="2" t="s">
        <v>95</v>
      </c>
      <c r="K2811" s="2" t="s">
        <v>9647</v>
      </c>
      <c r="L2811" s="3">
        <v>25</v>
      </c>
      <c r="M2811" s="3">
        <v>26.25</v>
      </c>
      <c r="N2811" s="3">
        <v>54.99</v>
      </c>
      <c r="O2811" s="2" t="s">
        <v>97</v>
      </c>
      <c r="P2811" s="2" t="s">
        <v>98</v>
      </c>
      <c r="Q2811" s="2" t="s">
        <v>99</v>
      </c>
      <c r="R2811" s="2" t="s">
        <v>100</v>
      </c>
      <c r="S2811" s="2" t="s">
        <v>9648</v>
      </c>
      <c r="T2811" s="2" t="s">
        <v>190</v>
      </c>
      <c r="U2811" s="2" t="s">
        <v>1228</v>
      </c>
      <c r="V2811" s="2" t="s">
        <v>733</v>
      </c>
      <c r="W2811" s="2" t="s">
        <v>609</v>
      </c>
      <c r="X2811" s="2" t="s">
        <v>100</v>
      </c>
      <c r="Y2811" s="2" t="s">
        <v>9630</v>
      </c>
      <c r="Z2811" s="4">
        <v>58</v>
      </c>
      <c r="AA2811" s="4">
        <f>=ROUNDDOWN(14.8717948717949,0)</f>
      </c>
      <c r="AB2811" s="5">
        <v>3.9</v>
      </c>
      <c r="AC2811" s="2" t="s">
        <v>206</v>
      </c>
      <c r="AD2811" s="4">
        <v>140</v>
      </c>
      <c r="AE2811" s="4">
        <v>300</v>
      </c>
      <c r="AF2811" s="6">
        <v>70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 t="s">
        <v>100</v>
      </c>
      <c r="AW2811" s="8" t="s">
        <v>100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/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/>
      <c r="BJ2811" s="4">
        <v>20</v>
      </c>
      <c r="BK2811" s="8">
        <v>571.03</v>
      </c>
      <c r="BL2811" s="2" t="s">
        <v>9651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171</v>
      </c>
      <c r="BV2811" s="2" t="s">
        <v>97</v>
      </c>
      <c r="BW2811" s="2" t="s">
        <v>100</v>
      </c>
      <c r="BX2811" s="2" t="s">
        <v>100</v>
      </c>
      <c r="BY2811" s="2" t="s">
        <v>112</v>
      </c>
      <c r="BZ2811" s="2" t="s">
        <v>100</v>
      </c>
    </row>
    <row r="2812">
      <c r="A2812" s="2" t="s">
        <v>9652</v>
      </c>
      <c r="B2812" s="2" t="s">
        <v>9043</v>
      </c>
      <c r="C2812" s="2" t="s">
        <v>1797</v>
      </c>
      <c r="D2812" s="2" t="s">
        <v>9044</v>
      </c>
      <c r="E2812" s="2" t="s">
        <v>9045</v>
      </c>
      <c r="F2812" s="2" t="s">
        <v>9626</v>
      </c>
      <c r="G2812" s="2" t="s">
        <v>9626</v>
      </c>
      <c r="H2812" s="2" t="s">
        <v>9626</v>
      </c>
      <c r="I2812" s="2" t="s">
        <v>9627</v>
      </c>
      <c r="J2812" s="2" t="s">
        <v>114</v>
      </c>
      <c r="K2812" s="2" t="s">
        <v>9647</v>
      </c>
      <c r="L2812" s="3">
        <v>28.5</v>
      </c>
      <c r="M2812" s="3">
        <v>29.93</v>
      </c>
      <c r="N2812" s="3">
        <v>59.99</v>
      </c>
      <c r="O2812" s="2" t="s">
        <v>97</v>
      </c>
      <c r="P2812" s="2" t="s">
        <v>98</v>
      </c>
      <c r="Q2812" s="2" t="s">
        <v>99</v>
      </c>
      <c r="R2812" s="2" t="s">
        <v>100</v>
      </c>
      <c r="S2812" s="2" t="s">
        <v>9648</v>
      </c>
      <c r="T2812" s="2" t="s">
        <v>190</v>
      </c>
      <c r="U2812" s="2" t="s">
        <v>1228</v>
      </c>
      <c r="V2812" s="2" t="s">
        <v>733</v>
      </c>
      <c r="W2812" s="2" t="s">
        <v>609</v>
      </c>
      <c r="X2812" s="2" t="s">
        <v>100</v>
      </c>
      <c r="Y2812" s="2" t="s">
        <v>9630</v>
      </c>
      <c r="Z2812" s="4"/>
      <c r="AA2812" s="4">
        <f>=ROUNDDOWN({0},0)</f>
      </c>
      <c r="AB2812" s="5">
        <v>4</v>
      </c>
      <c r="AC2812" s="2" t="s">
        <v>206</v>
      </c>
      <c r="AD2812" s="4">
        <v>110</v>
      </c>
      <c r="AE2812" s="4">
        <v>240</v>
      </c>
      <c r="AF2812" s="6">
        <v>70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/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/>
      <c r="BJ2812" s="4">
        <v>14</v>
      </c>
      <c r="BK2812" s="8">
        <v>447.74</v>
      </c>
      <c r="BL2812" s="2" t="s">
        <v>9653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171</v>
      </c>
      <c r="BV2812" s="2" t="s">
        <v>97</v>
      </c>
      <c r="BW2812" s="2" t="s">
        <v>100</v>
      </c>
      <c r="BX2812" s="2" t="s">
        <v>100</v>
      </c>
      <c r="BY2812" s="2" t="s">
        <v>112</v>
      </c>
      <c r="BZ2812" s="2" t="s">
        <v>100</v>
      </c>
    </row>
    <row r="2813">
      <c r="A2813" s="2" t="s">
        <v>9654</v>
      </c>
      <c r="B2813" s="2" t="s">
        <v>9043</v>
      </c>
      <c r="C2813" s="2" t="s">
        <v>1797</v>
      </c>
      <c r="D2813" s="2" t="s">
        <v>9044</v>
      </c>
      <c r="E2813" s="2" t="s">
        <v>9045</v>
      </c>
      <c r="F2813" s="2" t="s">
        <v>9655</v>
      </c>
      <c r="G2813" s="2" t="s">
        <v>9655</v>
      </c>
      <c r="H2813" s="2" t="s">
        <v>9655</v>
      </c>
      <c r="I2813" s="2" t="s">
        <v>9627</v>
      </c>
      <c r="J2813" s="2" t="s">
        <v>1443</v>
      </c>
      <c r="K2813" s="2" t="s">
        <v>9656</v>
      </c>
      <c r="L2813" s="3">
        <v>15</v>
      </c>
      <c r="M2813" s="3">
        <v>15.75</v>
      </c>
      <c r="N2813" s="3">
        <v>29.99</v>
      </c>
      <c r="O2813" s="2" t="s">
        <v>97</v>
      </c>
      <c r="P2813" s="2" t="s">
        <v>98</v>
      </c>
      <c r="Q2813" s="2" t="s">
        <v>99</v>
      </c>
      <c r="R2813" s="2" t="s">
        <v>100</v>
      </c>
      <c r="S2813" s="2" t="s">
        <v>9657</v>
      </c>
      <c r="T2813" s="2" t="s">
        <v>9582</v>
      </c>
      <c r="U2813" s="2" t="s">
        <v>901</v>
      </c>
      <c r="V2813" s="2" t="s">
        <v>4636</v>
      </c>
      <c r="W2813" s="2" t="s">
        <v>1136</v>
      </c>
      <c r="X2813" s="2" t="s">
        <v>609</v>
      </c>
      <c r="Y2813" s="2" t="s">
        <v>9658</v>
      </c>
      <c r="Z2813" s="4">
        <v>38</v>
      </c>
      <c r="AA2813" s="4">
        <f>=ROUNDDOWN(9.5,0)</f>
      </c>
      <c r="AB2813" s="5">
        <v>4</v>
      </c>
      <c r="AC2813" s="2" t="s">
        <v>145</v>
      </c>
      <c r="AD2813" s="4">
        <v>50</v>
      </c>
      <c r="AE2813" s="4">
        <v>110</v>
      </c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/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/>
      <c r="BJ2813" s="4">
        <v>11</v>
      </c>
      <c r="BK2813" s="8">
        <v>178.02</v>
      </c>
      <c r="BL2813" s="2" t="s">
        <v>9659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171</v>
      </c>
      <c r="BV2813" s="2" t="s">
        <v>97</v>
      </c>
      <c r="BW2813" s="2" t="s">
        <v>100</v>
      </c>
      <c r="BX2813" s="2" t="s">
        <v>100</v>
      </c>
      <c r="BY2813" s="2" t="s">
        <v>112</v>
      </c>
      <c r="BZ2813" s="2" t="s">
        <v>100</v>
      </c>
    </row>
    <row r="2814">
      <c r="A2814" s="2" t="s">
        <v>9660</v>
      </c>
      <c r="B2814" s="2" t="s">
        <v>9043</v>
      </c>
      <c r="C2814" s="2" t="s">
        <v>1797</v>
      </c>
      <c r="D2814" s="2" t="s">
        <v>9044</v>
      </c>
      <c r="E2814" s="2" t="s">
        <v>9045</v>
      </c>
      <c r="F2814" s="2" t="s">
        <v>9655</v>
      </c>
      <c r="G2814" s="2" t="s">
        <v>9655</v>
      </c>
      <c r="H2814" s="2" t="s">
        <v>9655</v>
      </c>
      <c r="I2814" s="2" t="s">
        <v>9627</v>
      </c>
      <c r="J2814" s="2" t="s">
        <v>490</v>
      </c>
      <c r="K2814" s="2" t="s">
        <v>9656</v>
      </c>
      <c r="L2814" s="3">
        <v>16.5</v>
      </c>
      <c r="M2814" s="3">
        <v>17.33</v>
      </c>
      <c r="N2814" s="3">
        <v>32.99</v>
      </c>
      <c r="O2814" s="2" t="s">
        <v>97</v>
      </c>
      <c r="P2814" s="2" t="s">
        <v>98</v>
      </c>
      <c r="Q2814" s="2" t="s">
        <v>99</v>
      </c>
      <c r="R2814" s="2" t="s">
        <v>100</v>
      </c>
      <c r="S2814" s="2" t="s">
        <v>9657</v>
      </c>
      <c r="T2814" s="2" t="s">
        <v>9582</v>
      </c>
      <c r="U2814" s="2" t="s">
        <v>1228</v>
      </c>
      <c r="V2814" s="2" t="s">
        <v>4636</v>
      </c>
      <c r="W2814" s="2" t="s">
        <v>1136</v>
      </c>
      <c r="X2814" s="2" t="s">
        <v>609</v>
      </c>
      <c r="Y2814" s="2" t="s">
        <v>9658</v>
      </c>
      <c r="Z2814" s="4">
        <v>41</v>
      </c>
      <c r="AA2814" s="4">
        <f>=ROUNDDOWN(6.83333333333333,0)</f>
      </c>
      <c r="AB2814" s="5">
        <v>6</v>
      </c>
      <c r="AC2814" s="2" t="s">
        <v>145</v>
      </c>
      <c r="AD2814" s="4">
        <v>70</v>
      </c>
      <c r="AE2814" s="4">
        <v>160</v>
      </c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 t="s">
        <v>100</v>
      </c>
      <c r="AW2814" s="8" t="s">
        <v>100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/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/>
      <c r="BJ2814" s="4">
        <v>14</v>
      </c>
      <c r="BK2814" s="8">
        <v>253.61</v>
      </c>
      <c r="BL2814" s="2" t="s">
        <v>9661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171</v>
      </c>
      <c r="BV2814" s="2" t="s">
        <v>97</v>
      </c>
      <c r="BW2814" s="2" t="s">
        <v>100</v>
      </c>
      <c r="BX2814" s="2" t="s">
        <v>100</v>
      </c>
      <c r="BY2814" s="2" t="s">
        <v>112</v>
      </c>
      <c r="BZ2814" s="2" t="s">
        <v>100</v>
      </c>
    </row>
    <row r="2815">
      <c r="A2815" s="2" t="s">
        <v>9662</v>
      </c>
      <c r="B2815" s="2" t="s">
        <v>9043</v>
      </c>
      <c r="C2815" s="2" t="s">
        <v>1797</v>
      </c>
      <c r="D2815" s="2" t="s">
        <v>9044</v>
      </c>
      <c r="E2815" s="2" t="s">
        <v>9045</v>
      </c>
      <c r="F2815" s="2" t="s">
        <v>9655</v>
      </c>
      <c r="G2815" s="2" t="s">
        <v>9655</v>
      </c>
      <c r="H2815" s="2" t="s">
        <v>9655</v>
      </c>
      <c r="I2815" s="2" t="s">
        <v>9627</v>
      </c>
      <c r="J2815" s="2" t="s">
        <v>95</v>
      </c>
      <c r="K2815" s="2" t="s">
        <v>9656</v>
      </c>
      <c r="L2815" s="3">
        <v>19</v>
      </c>
      <c r="M2815" s="3">
        <v>19.95</v>
      </c>
      <c r="N2815" s="3">
        <v>37.99</v>
      </c>
      <c r="O2815" s="2" t="s">
        <v>97</v>
      </c>
      <c r="P2815" s="2" t="s">
        <v>98</v>
      </c>
      <c r="Q2815" s="2" t="s">
        <v>99</v>
      </c>
      <c r="R2815" s="2" t="s">
        <v>100</v>
      </c>
      <c r="S2815" s="2" t="s">
        <v>9657</v>
      </c>
      <c r="T2815" s="2" t="s">
        <v>9582</v>
      </c>
      <c r="U2815" s="2" t="s">
        <v>1228</v>
      </c>
      <c r="V2815" s="2" t="s">
        <v>4636</v>
      </c>
      <c r="W2815" s="2" t="s">
        <v>1136</v>
      </c>
      <c r="X2815" s="2" t="s">
        <v>609</v>
      </c>
      <c r="Y2815" s="2" t="s">
        <v>9658</v>
      </c>
      <c r="Z2815" s="4">
        <v>235</v>
      </c>
      <c r="AA2815" s="4">
        <f>=ROUNDDOWN(39.1666666666667,0)</f>
      </c>
      <c r="AB2815" s="5">
        <v>6</v>
      </c>
      <c r="AC2815" s="2" t="s">
        <v>145</v>
      </c>
      <c r="AD2815" s="4">
        <v>150</v>
      </c>
      <c r="AE2815" s="4">
        <v>220</v>
      </c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 t="s">
        <v>100</v>
      </c>
      <c r="AW2815" s="8" t="s">
        <v>100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/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/>
      <c r="BJ2815" s="4">
        <v>17</v>
      </c>
      <c r="BK2815" s="8">
        <v>369.79</v>
      </c>
      <c r="BL2815" s="2" t="s">
        <v>9663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171</v>
      </c>
      <c r="BV2815" s="2" t="s">
        <v>97</v>
      </c>
      <c r="BW2815" s="2" t="s">
        <v>100</v>
      </c>
      <c r="BX2815" s="2" t="s">
        <v>100</v>
      </c>
      <c r="BY2815" s="2" t="s">
        <v>112</v>
      </c>
      <c r="BZ2815" s="2" t="s">
        <v>100</v>
      </c>
    </row>
    <row r="2816">
      <c r="A2816" s="2" t="s">
        <v>9664</v>
      </c>
      <c r="B2816" s="2" t="s">
        <v>9043</v>
      </c>
      <c r="C2816" s="2" t="s">
        <v>1797</v>
      </c>
      <c r="D2816" s="2" t="s">
        <v>9044</v>
      </c>
      <c r="E2816" s="2" t="s">
        <v>9045</v>
      </c>
      <c r="F2816" s="2" t="s">
        <v>9655</v>
      </c>
      <c r="G2816" s="2" t="s">
        <v>9655</v>
      </c>
      <c r="H2816" s="2" t="s">
        <v>9655</v>
      </c>
      <c r="I2816" s="2" t="s">
        <v>9627</v>
      </c>
      <c r="J2816" s="2" t="s">
        <v>114</v>
      </c>
      <c r="K2816" s="2" t="s">
        <v>9656</v>
      </c>
      <c r="L2816" s="3">
        <v>21.5</v>
      </c>
      <c r="M2816" s="3">
        <v>22.58</v>
      </c>
      <c r="N2816" s="3">
        <v>42.99</v>
      </c>
      <c r="O2816" s="2" t="s">
        <v>97</v>
      </c>
      <c r="P2816" s="2" t="s">
        <v>98</v>
      </c>
      <c r="Q2816" s="2" t="s">
        <v>99</v>
      </c>
      <c r="R2816" s="2" t="s">
        <v>100</v>
      </c>
      <c r="S2816" s="2" t="s">
        <v>9657</v>
      </c>
      <c r="T2816" s="2" t="s">
        <v>9582</v>
      </c>
      <c r="U2816" s="2" t="s">
        <v>1228</v>
      </c>
      <c r="V2816" s="2" t="s">
        <v>4636</v>
      </c>
      <c r="W2816" s="2" t="s">
        <v>1136</v>
      </c>
      <c r="X2816" s="2" t="s">
        <v>609</v>
      </c>
      <c r="Y2816" s="2" t="s">
        <v>9658</v>
      </c>
      <c r="Z2816" s="4">
        <v>193</v>
      </c>
      <c r="AA2816" s="4">
        <f>=ROUNDDOWN(38.6,0)</f>
      </c>
      <c r="AB2816" s="5">
        <v>5</v>
      </c>
      <c r="AC2816" s="2" t="s">
        <v>2008</v>
      </c>
      <c r="AD2816" s="4">
        <v>30</v>
      </c>
      <c r="AE2816" s="4">
        <v>30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/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/>
      <c r="BJ2816" s="4">
        <v>9</v>
      </c>
      <c r="BK2816" s="8">
        <v>213.98</v>
      </c>
      <c r="BL2816" s="2" t="s">
        <v>3101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171</v>
      </c>
      <c r="BV2816" s="2" t="s">
        <v>97</v>
      </c>
      <c r="BW2816" s="2" t="s">
        <v>100</v>
      </c>
      <c r="BX2816" s="2" t="s">
        <v>100</v>
      </c>
      <c r="BY2816" s="2" t="s">
        <v>112</v>
      </c>
      <c r="BZ2816" s="2" t="s">
        <v>100</v>
      </c>
    </row>
    <row r="2817">
      <c r="A2817" s="2" t="s">
        <v>9665</v>
      </c>
      <c r="B2817" s="2" t="s">
        <v>9043</v>
      </c>
      <c r="C2817" s="2" t="s">
        <v>1797</v>
      </c>
      <c r="D2817" s="2" t="s">
        <v>9044</v>
      </c>
      <c r="E2817" s="2" t="s">
        <v>9045</v>
      </c>
      <c r="F2817" s="2" t="s">
        <v>9655</v>
      </c>
      <c r="G2817" s="2" t="s">
        <v>9655</v>
      </c>
      <c r="H2817" s="2" t="s">
        <v>9655</v>
      </c>
      <c r="I2817" s="2" t="s">
        <v>9627</v>
      </c>
      <c r="J2817" s="2" t="s">
        <v>1443</v>
      </c>
      <c r="K2817" s="2" t="s">
        <v>9666</v>
      </c>
      <c r="L2817" s="3">
        <v>15</v>
      </c>
      <c r="M2817" s="3">
        <v>15.75</v>
      </c>
      <c r="N2817" s="3">
        <v>29.99</v>
      </c>
      <c r="O2817" s="2" t="s">
        <v>97</v>
      </c>
      <c r="P2817" s="2" t="s">
        <v>98</v>
      </c>
      <c r="Q2817" s="2" t="s">
        <v>99</v>
      </c>
      <c r="R2817" s="2" t="s">
        <v>100</v>
      </c>
      <c r="S2817" s="2" t="s">
        <v>9667</v>
      </c>
      <c r="T2817" s="2" t="s">
        <v>9582</v>
      </c>
      <c r="U2817" s="2" t="s">
        <v>901</v>
      </c>
      <c r="V2817" s="2" t="s">
        <v>2510</v>
      </c>
      <c r="W2817" s="2" t="s">
        <v>1136</v>
      </c>
      <c r="X2817" s="2" t="s">
        <v>609</v>
      </c>
      <c r="Y2817" s="2" t="s">
        <v>9668</v>
      </c>
      <c r="Z2817" s="4">
        <v>101</v>
      </c>
      <c r="AA2817" s="4">
        <f>=ROUNDDOWN(20.2,0)</f>
      </c>
      <c r="AB2817" s="5">
        <v>5</v>
      </c>
      <c r="AC2817" s="2" t="s">
        <v>145</v>
      </c>
      <c r="AD2817" s="4">
        <v>40</v>
      </c>
      <c r="AE2817" s="4">
        <v>190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 t="s">
        <v>100</v>
      </c>
      <c r="AW2817" s="8" t="s">
        <v>100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/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/>
      <c r="BJ2817" s="4">
        <v>24</v>
      </c>
      <c r="BK2817" s="8">
        <v>386.49</v>
      </c>
      <c r="BL2817" s="2" t="s">
        <v>9669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171</v>
      </c>
      <c r="BV2817" s="2" t="s">
        <v>97</v>
      </c>
      <c r="BW2817" s="2" t="s">
        <v>100</v>
      </c>
      <c r="BX2817" s="2" t="s">
        <v>100</v>
      </c>
      <c r="BY2817" s="2" t="s">
        <v>112</v>
      </c>
      <c r="BZ2817" s="2" t="s">
        <v>100</v>
      </c>
    </row>
    <row r="2818">
      <c r="A2818" s="2" t="s">
        <v>9670</v>
      </c>
      <c r="B2818" s="2" t="s">
        <v>9043</v>
      </c>
      <c r="C2818" s="2" t="s">
        <v>1797</v>
      </c>
      <c r="D2818" s="2" t="s">
        <v>9044</v>
      </c>
      <c r="E2818" s="2" t="s">
        <v>9045</v>
      </c>
      <c r="F2818" s="2" t="s">
        <v>9655</v>
      </c>
      <c r="G2818" s="2" t="s">
        <v>9655</v>
      </c>
      <c r="H2818" s="2" t="s">
        <v>9655</v>
      </c>
      <c r="I2818" s="2" t="s">
        <v>9627</v>
      </c>
      <c r="J2818" s="2" t="s">
        <v>490</v>
      </c>
      <c r="K2818" s="2" t="s">
        <v>9666</v>
      </c>
      <c r="L2818" s="3">
        <v>16.5</v>
      </c>
      <c r="M2818" s="3">
        <v>17.33</v>
      </c>
      <c r="N2818" s="3">
        <v>32.99</v>
      </c>
      <c r="O2818" s="2" t="s">
        <v>97</v>
      </c>
      <c r="P2818" s="2" t="s">
        <v>98</v>
      </c>
      <c r="Q2818" s="2" t="s">
        <v>99</v>
      </c>
      <c r="R2818" s="2" t="s">
        <v>100</v>
      </c>
      <c r="S2818" s="2" t="s">
        <v>9667</v>
      </c>
      <c r="T2818" s="2" t="s">
        <v>9582</v>
      </c>
      <c r="U2818" s="2" t="s">
        <v>1228</v>
      </c>
      <c r="V2818" s="2" t="s">
        <v>2510</v>
      </c>
      <c r="W2818" s="2" t="s">
        <v>1136</v>
      </c>
      <c r="X2818" s="2" t="s">
        <v>609</v>
      </c>
      <c r="Y2818" s="2" t="s">
        <v>9668</v>
      </c>
      <c r="Z2818" s="4">
        <v>30</v>
      </c>
      <c r="AA2818" s="4">
        <f>=ROUNDDOWN(4.6875,0)</f>
      </c>
      <c r="AB2818" s="5">
        <v>6.4</v>
      </c>
      <c r="AC2818" s="2" t="s">
        <v>145</v>
      </c>
      <c r="AD2818" s="4">
        <v>40</v>
      </c>
      <c r="AE2818" s="4">
        <v>300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 t="s">
        <v>100</v>
      </c>
      <c r="AW2818" s="8" t="s">
        <v>100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/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/>
      <c r="BJ2818" s="4">
        <v>19</v>
      </c>
      <c r="BK2818" s="8">
        <v>390.09</v>
      </c>
      <c r="BL2818" s="2" t="s">
        <v>9671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171</v>
      </c>
      <c r="BV2818" s="2" t="s">
        <v>97</v>
      </c>
      <c r="BW2818" s="2" t="s">
        <v>100</v>
      </c>
      <c r="BX2818" s="2" t="s">
        <v>100</v>
      </c>
      <c r="BY2818" s="2" t="s">
        <v>112</v>
      </c>
      <c r="BZ2818" s="2" t="s">
        <v>100</v>
      </c>
    </row>
    <row r="2819">
      <c r="A2819" s="2" t="s">
        <v>9672</v>
      </c>
      <c r="B2819" s="2" t="s">
        <v>9043</v>
      </c>
      <c r="C2819" s="2" t="s">
        <v>1797</v>
      </c>
      <c r="D2819" s="2" t="s">
        <v>9044</v>
      </c>
      <c r="E2819" s="2" t="s">
        <v>9045</v>
      </c>
      <c r="F2819" s="2" t="s">
        <v>9655</v>
      </c>
      <c r="G2819" s="2" t="s">
        <v>9655</v>
      </c>
      <c r="H2819" s="2" t="s">
        <v>9655</v>
      </c>
      <c r="I2819" s="2" t="s">
        <v>9627</v>
      </c>
      <c r="J2819" s="2" t="s">
        <v>95</v>
      </c>
      <c r="K2819" s="2" t="s">
        <v>9666</v>
      </c>
      <c r="L2819" s="3">
        <v>19</v>
      </c>
      <c r="M2819" s="3">
        <v>19.95</v>
      </c>
      <c r="N2819" s="3">
        <v>37.99</v>
      </c>
      <c r="O2819" s="2" t="s">
        <v>97</v>
      </c>
      <c r="P2819" s="2" t="s">
        <v>98</v>
      </c>
      <c r="Q2819" s="2" t="s">
        <v>99</v>
      </c>
      <c r="R2819" s="2" t="s">
        <v>100</v>
      </c>
      <c r="S2819" s="2" t="s">
        <v>9667</v>
      </c>
      <c r="T2819" s="2" t="s">
        <v>9582</v>
      </c>
      <c r="U2819" s="2" t="s">
        <v>1228</v>
      </c>
      <c r="V2819" s="2" t="s">
        <v>2510</v>
      </c>
      <c r="W2819" s="2" t="s">
        <v>1136</v>
      </c>
      <c r="X2819" s="2" t="s">
        <v>609</v>
      </c>
      <c r="Y2819" s="2" t="s">
        <v>9668</v>
      </c>
      <c r="Z2819" s="4">
        <v>96</v>
      </c>
      <c r="AA2819" s="4">
        <f>=ROUNDDOWN(7.38461538461539,0)</f>
      </c>
      <c r="AB2819" s="5">
        <v>13</v>
      </c>
      <c r="AC2819" s="2" t="s">
        <v>145</v>
      </c>
      <c r="AD2819" s="4">
        <v>190</v>
      </c>
      <c r="AE2819" s="4">
        <v>395</v>
      </c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/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/>
      <c r="BJ2819" s="4">
        <v>36</v>
      </c>
      <c r="BK2819" s="8">
        <v>836.64</v>
      </c>
      <c r="BL2819" s="2" t="s">
        <v>9673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171</v>
      </c>
      <c r="BV2819" s="2" t="s">
        <v>97</v>
      </c>
      <c r="BW2819" s="2" t="s">
        <v>100</v>
      </c>
      <c r="BX2819" s="2" t="s">
        <v>100</v>
      </c>
      <c r="BY2819" s="2" t="s">
        <v>112</v>
      </c>
      <c r="BZ2819" s="2" t="s">
        <v>100</v>
      </c>
    </row>
    <row r="2820">
      <c r="A2820" s="2" t="s">
        <v>9674</v>
      </c>
      <c r="B2820" s="2" t="s">
        <v>9043</v>
      </c>
      <c r="C2820" s="2" t="s">
        <v>1797</v>
      </c>
      <c r="D2820" s="2" t="s">
        <v>9044</v>
      </c>
      <c r="E2820" s="2" t="s">
        <v>9045</v>
      </c>
      <c r="F2820" s="2" t="s">
        <v>9655</v>
      </c>
      <c r="G2820" s="2" t="s">
        <v>9655</v>
      </c>
      <c r="H2820" s="2" t="s">
        <v>9655</v>
      </c>
      <c r="I2820" s="2" t="s">
        <v>9627</v>
      </c>
      <c r="J2820" s="2" t="s">
        <v>114</v>
      </c>
      <c r="K2820" s="2" t="s">
        <v>9666</v>
      </c>
      <c r="L2820" s="3">
        <v>21.5</v>
      </c>
      <c r="M2820" s="3">
        <v>22.58</v>
      </c>
      <c r="N2820" s="3">
        <v>42.99</v>
      </c>
      <c r="O2820" s="2" t="s">
        <v>97</v>
      </c>
      <c r="P2820" s="2" t="s">
        <v>98</v>
      </c>
      <c r="Q2820" s="2" t="s">
        <v>99</v>
      </c>
      <c r="R2820" s="2" t="s">
        <v>100</v>
      </c>
      <c r="S2820" s="2" t="s">
        <v>9667</v>
      </c>
      <c r="T2820" s="2" t="s">
        <v>9582</v>
      </c>
      <c r="U2820" s="2" t="s">
        <v>1228</v>
      </c>
      <c r="V2820" s="2" t="s">
        <v>2510</v>
      </c>
      <c r="W2820" s="2" t="s">
        <v>1136</v>
      </c>
      <c r="X2820" s="2" t="s">
        <v>609</v>
      </c>
      <c r="Y2820" s="2" t="s">
        <v>9668</v>
      </c>
      <c r="Z2820" s="4">
        <v>139</v>
      </c>
      <c r="AA2820" s="4">
        <f>=ROUNDDOWN(17.375,0)</f>
      </c>
      <c r="AB2820" s="5">
        <v>8</v>
      </c>
      <c r="AC2820" s="2" t="s">
        <v>145</v>
      </c>
      <c r="AD2820" s="4">
        <v>40</v>
      </c>
      <c r="AE2820" s="4">
        <v>170</v>
      </c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 t="s">
        <v>100</v>
      </c>
      <c r="AW2820" s="8" t="s">
        <v>100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/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/>
      <c r="BJ2820" s="4">
        <v>31</v>
      </c>
      <c r="BK2820" s="8">
        <v>825.41</v>
      </c>
      <c r="BL2820" s="2" t="s">
        <v>9675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171</v>
      </c>
      <c r="BV2820" s="2" t="s">
        <v>97</v>
      </c>
      <c r="BW2820" s="2" t="s">
        <v>100</v>
      </c>
      <c r="BX2820" s="2" t="s">
        <v>100</v>
      </c>
      <c r="BY2820" s="2" t="s">
        <v>112</v>
      </c>
      <c r="BZ2820" s="2" t="s">
        <v>100</v>
      </c>
    </row>
    <row r="2821">
      <c r="A2821" s="2" t="s">
        <v>9676</v>
      </c>
      <c r="B2821" s="2" t="s">
        <v>9043</v>
      </c>
      <c r="C2821" s="2" t="s">
        <v>1797</v>
      </c>
      <c r="D2821" s="2" t="s">
        <v>9044</v>
      </c>
      <c r="E2821" s="2" t="s">
        <v>9045</v>
      </c>
      <c r="F2821" s="2" t="s">
        <v>9655</v>
      </c>
      <c r="G2821" s="2" t="s">
        <v>9655</v>
      </c>
      <c r="H2821" s="2" t="s">
        <v>9655</v>
      </c>
      <c r="I2821" s="2" t="s">
        <v>9627</v>
      </c>
      <c r="J2821" s="2" t="s">
        <v>1443</v>
      </c>
      <c r="K2821" s="2" t="s">
        <v>9677</v>
      </c>
      <c r="L2821" s="3">
        <v>15</v>
      </c>
      <c r="M2821" s="3">
        <v>15.75</v>
      </c>
      <c r="N2821" s="3">
        <v>29.99</v>
      </c>
      <c r="O2821" s="2" t="s">
        <v>97</v>
      </c>
      <c r="P2821" s="2" t="s">
        <v>98</v>
      </c>
      <c r="Q2821" s="2" t="s">
        <v>99</v>
      </c>
      <c r="R2821" s="2" t="s">
        <v>100</v>
      </c>
      <c r="S2821" s="2" t="s">
        <v>9678</v>
      </c>
      <c r="T2821" s="2" t="s">
        <v>9582</v>
      </c>
      <c r="U2821" s="2" t="s">
        <v>901</v>
      </c>
      <c r="V2821" s="2" t="s">
        <v>2510</v>
      </c>
      <c r="W2821" s="2" t="s">
        <v>1136</v>
      </c>
      <c r="X2821" s="2" t="s">
        <v>609</v>
      </c>
      <c r="Y2821" s="2" t="s">
        <v>9668</v>
      </c>
      <c r="Z2821" s="4">
        <v>93</v>
      </c>
      <c r="AA2821" s="4">
        <f>=ROUNDDOWN(31,0)</f>
      </c>
      <c r="AB2821" s="5">
        <v>3</v>
      </c>
      <c r="AC2821" s="2" t="s">
        <v>646</v>
      </c>
      <c r="AD2821" s="4">
        <v>60</v>
      </c>
      <c r="AE2821" s="4">
        <v>60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 t="s">
        <v>100</v>
      </c>
      <c r="AW2821" s="8" t="s">
        <v>100</v>
      </c>
      <c r="AX2821" s="4" t="s">
        <v>100</v>
      </c>
      <c r="AY2821" s="8" t="s">
        <v>100</v>
      </c>
      <c r="AZ2821" s="7" t="s">
        <v>100</v>
      </c>
      <c r="BA2821" s="7" t="s">
        <v>100</v>
      </c>
      <c r="BB2821" s="7"/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/>
      <c r="BJ2821" s="4">
        <v>9</v>
      </c>
      <c r="BK2821" s="8">
        <v>151.56</v>
      </c>
      <c r="BL2821" s="2" t="s">
        <v>5201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171</v>
      </c>
      <c r="BV2821" s="2" t="s">
        <v>97</v>
      </c>
      <c r="BW2821" s="2" t="s">
        <v>100</v>
      </c>
      <c r="BX2821" s="2" t="s">
        <v>100</v>
      </c>
      <c r="BY2821" s="2" t="s">
        <v>112</v>
      </c>
      <c r="BZ2821" s="2" t="s">
        <v>100</v>
      </c>
    </row>
    <row r="2822">
      <c r="A2822" s="2" t="s">
        <v>9679</v>
      </c>
      <c r="B2822" s="2" t="s">
        <v>9043</v>
      </c>
      <c r="C2822" s="2" t="s">
        <v>1797</v>
      </c>
      <c r="D2822" s="2" t="s">
        <v>9044</v>
      </c>
      <c r="E2822" s="2" t="s">
        <v>9045</v>
      </c>
      <c r="F2822" s="2" t="s">
        <v>9655</v>
      </c>
      <c r="G2822" s="2" t="s">
        <v>9655</v>
      </c>
      <c r="H2822" s="2" t="s">
        <v>9655</v>
      </c>
      <c r="I2822" s="2" t="s">
        <v>9627</v>
      </c>
      <c r="J2822" s="2" t="s">
        <v>490</v>
      </c>
      <c r="K2822" s="2" t="s">
        <v>9677</v>
      </c>
      <c r="L2822" s="3">
        <v>16.5</v>
      </c>
      <c r="M2822" s="3">
        <v>17.33</v>
      </c>
      <c r="N2822" s="3">
        <v>32.99</v>
      </c>
      <c r="O2822" s="2" t="s">
        <v>97</v>
      </c>
      <c r="P2822" s="2" t="s">
        <v>98</v>
      </c>
      <c r="Q2822" s="2" t="s">
        <v>99</v>
      </c>
      <c r="R2822" s="2" t="s">
        <v>100</v>
      </c>
      <c r="S2822" s="2" t="s">
        <v>9678</v>
      </c>
      <c r="T2822" s="2" t="s">
        <v>9582</v>
      </c>
      <c r="U2822" s="2" t="s">
        <v>1228</v>
      </c>
      <c r="V2822" s="2" t="s">
        <v>2510</v>
      </c>
      <c r="W2822" s="2" t="s">
        <v>1136</v>
      </c>
      <c r="X2822" s="2" t="s">
        <v>609</v>
      </c>
      <c r="Y2822" s="2" t="s">
        <v>9668</v>
      </c>
      <c r="Z2822" s="4">
        <v>66</v>
      </c>
      <c r="AA2822" s="4">
        <f>=ROUNDDOWN(13.2,0)</f>
      </c>
      <c r="AB2822" s="5">
        <v>5</v>
      </c>
      <c r="AC2822" s="2" t="s">
        <v>145</v>
      </c>
      <c r="AD2822" s="4">
        <v>30</v>
      </c>
      <c r="AE2822" s="4">
        <v>200</v>
      </c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 t="s">
        <v>100</v>
      </c>
      <c r="AW2822" s="8" t="s">
        <v>100</v>
      </c>
      <c r="AX2822" s="4" t="s">
        <v>100</v>
      </c>
      <c r="AY2822" s="8" t="s">
        <v>100</v>
      </c>
      <c r="AZ2822" s="7" t="s">
        <v>100</v>
      </c>
      <c r="BA2822" s="7" t="s">
        <v>100</v>
      </c>
      <c r="BB2822" s="7"/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/>
      <c r="BJ2822" s="4">
        <v>14</v>
      </c>
      <c r="BK2822" s="8">
        <v>266.17</v>
      </c>
      <c r="BL2822" s="2" t="s">
        <v>9609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171</v>
      </c>
      <c r="BV2822" s="2" t="s">
        <v>97</v>
      </c>
      <c r="BW2822" s="2" t="s">
        <v>100</v>
      </c>
      <c r="BX2822" s="2" t="s">
        <v>100</v>
      </c>
      <c r="BY2822" s="2" t="s">
        <v>112</v>
      </c>
      <c r="BZ2822" s="2" t="s">
        <v>100</v>
      </c>
    </row>
    <row r="2823">
      <c r="A2823" s="2" t="s">
        <v>9680</v>
      </c>
      <c r="B2823" s="2" t="s">
        <v>9043</v>
      </c>
      <c r="C2823" s="2" t="s">
        <v>1797</v>
      </c>
      <c r="D2823" s="2" t="s">
        <v>9044</v>
      </c>
      <c r="E2823" s="2" t="s">
        <v>9045</v>
      </c>
      <c r="F2823" s="2" t="s">
        <v>9655</v>
      </c>
      <c r="G2823" s="2" t="s">
        <v>9655</v>
      </c>
      <c r="H2823" s="2" t="s">
        <v>9655</v>
      </c>
      <c r="I2823" s="2" t="s">
        <v>9627</v>
      </c>
      <c r="J2823" s="2" t="s">
        <v>95</v>
      </c>
      <c r="K2823" s="2" t="s">
        <v>9677</v>
      </c>
      <c r="L2823" s="3">
        <v>19</v>
      </c>
      <c r="M2823" s="3">
        <v>19.95</v>
      </c>
      <c r="N2823" s="3">
        <v>37.99</v>
      </c>
      <c r="O2823" s="2" t="s">
        <v>97</v>
      </c>
      <c r="P2823" s="2" t="s">
        <v>98</v>
      </c>
      <c r="Q2823" s="2" t="s">
        <v>99</v>
      </c>
      <c r="R2823" s="2" t="s">
        <v>100</v>
      </c>
      <c r="S2823" s="2" t="s">
        <v>9678</v>
      </c>
      <c r="T2823" s="2" t="s">
        <v>9582</v>
      </c>
      <c r="U2823" s="2" t="s">
        <v>1228</v>
      </c>
      <c r="V2823" s="2" t="s">
        <v>2510</v>
      </c>
      <c r="W2823" s="2" t="s">
        <v>1136</v>
      </c>
      <c r="X2823" s="2" t="s">
        <v>609</v>
      </c>
      <c r="Y2823" s="2" t="s">
        <v>9668</v>
      </c>
      <c r="Z2823" s="4">
        <v>59</v>
      </c>
      <c r="AA2823" s="4">
        <f>=ROUNDDOWN(4.21428571428571,0)</f>
      </c>
      <c r="AB2823" s="5">
        <v>14</v>
      </c>
      <c r="AC2823" s="2" t="s">
        <v>145</v>
      </c>
      <c r="AD2823" s="4">
        <v>200</v>
      </c>
      <c r="AE2823" s="4">
        <v>500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 t="s">
        <v>100</v>
      </c>
      <c r="AW2823" s="8" t="s">
        <v>100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/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/>
      <c r="BJ2823" s="4">
        <v>72</v>
      </c>
      <c r="BK2823" s="8">
        <v>1610.52</v>
      </c>
      <c r="BL2823" s="2" t="s">
        <v>9681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171</v>
      </c>
      <c r="BV2823" s="2" t="s">
        <v>97</v>
      </c>
      <c r="BW2823" s="2" t="s">
        <v>100</v>
      </c>
      <c r="BX2823" s="2" t="s">
        <v>100</v>
      </c>
      <c r="BY2823" s="2" t="s">
        <v>112</v>
      </c>
      <c r="BZ2823" s="2" t="s">
        <v>100</v>
      </c>
    </row>
    <row r="2824">
      <c r="A2824" s="2" t="s">
        <v>9682</v>
      </c>
      <c r="B2824" s="2" t="s">
        <v>9043</v>
      </c>
      <c r="C2824" s="2" t="s">
        <v>1797</v>
      </c>
      <c r="D2824" s="2" t="s">
        <v>9044</v>
      </c>
      <c r="E2824" s="2" t="s">
        <v>9045</v>
      </c>
      <c r="F2824" s="2" t="s">
        <v>9655</v>
      </c>
      <c r="G2824" s="2" t="s">
        <v>9655</v>
      </c>
      <c r="H2824" s="2" t="s">
        <v>9655</v>
      </c>
      <c r="I2824" s="2" t="s">
        <v>9627</v>
      </c>
      <c r="J2824" s="2" t="s">
        <v>114</v>
      </c>
      <c r="K2824" s="2" t="s">
        <v>9677</v>
      </c>
      <c r="L2824" s="3">
        <v>21.5</v>
      </c>
      <c r="M2824" s="3">
        <v>22.58</v>
      </c>
      <c r="N2824" s="3">
        <v>42.99</v>
      </c>
      <c r="O2824" s="2" t="s">
        <v>97</v>
      </c>
      <c r="P2824" s="2" t="s">
        <v>98</v>
      </c>
      <c r="Q2824" s="2" t="s">
        <v>99</v>
      </c>
      <c r="R2824" s="2" t="s">
        <v>100</v>
      </c>
      <c r="S2824" s="2" t="s">
        <v>9678</v>
      </c>
      <c r="T2824" s="2" t="s">
        <v>9582</v>
      </c>
      <c r="U2824" s="2" t="s">
        <v>1228</v>
      </c>
      <c r="V2824" s="2" t="s">
        <v>2510</v>
      </c>
      <c r="W2824" s="2" t="s">
        <v>1136</v>
      </c>
      <c r="X2824" s="2" t="s">
        <v>609</v>
      </c>
      <c r="Y2824" s="2" t="s">
        <v>9668</v>
      </c>
      <c r="Z2824" s="4">
        <v>227</v>
      </c>
      <c r="AA2824" s="4">
        <f>=ROUNDDOWN(32.4285714285714,0)</f>
      </c>
      <c r="AB2824" s="5">
        <v>7</v>
      </c>
      <c r="AC2824" s="2" t="s">
        <v>646</v>
      </c>
      <c r="AD2824" s="4">
        <v>170</v>
      </c>
      <c r="AE2824" s="4">
        <v>170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/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/>
      <c r="BJ2824" s="4">
        <v>35</v>
      </c>
      <c r="BK2824" s="8">
        <v>859.07</v>
      </c>
      <c r="BL2824" s="2" t="s">
        <v>9683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171</v>
      </c>
      <c r="BV2824" s="2" t="s">
        <v>97</v>
      </c>
      <c r="BW2824" s="2" t="s">
        <v>100</v>
      </c>
      <c r="BX2824" s="2" t="s">
        <v>100</v>
      </c>
      <c r="BY2824" s="2" t="s">
        <v>112</v>
      </c>
      <c r="BZ2824" s="2" t="s">
        <v>100</v>
      </c>
    </row>
    <row r="2825">
      <c r="A2825" s="2" t="s">
        <v>9684</v>
      </c>
      <c r="B2825" s="2" t="s">
        <v>9043</v>
      </c>
      <c r="C2825" s="2" t="s">
        <v>1797</v>
      </c>
      <c r="D2825" s="2" t="s">
        <v>4459</v>
      </c>
      <c r="E2825" s="2" t="s">
        <v>6681</v>
      </c>
      <c r="F2825" s="2" t="s">
        <v>9582</v>
      </c>
      <c r="G2825" s="2" t="s">
        <v>9582</v>
      </c>
      <c r="H2825" s="2" t="s">
        <v>9582</v>
      </c>
      <c r="I2825" s="2" t="s">
        <v>9685</v>
      </c>
      <c r="J2825" s="2" t="s">
        <v>114</v>
      </c>
      <c r="K2825" s="2" t="s">
        <v>165</v>
      </c>
      <c r="L2825" s="3">
        <v>6.24</v>
      </c>
      <c r="M2825" s="3">
        <v>6.55</v>
      </c>
      <c r="N2825" s="3">
        <v>12.99</v>
      </c>
      <c r="O2825" s="2" t="s">
        <v>97</v>
      </c>
      <c r="P2825" s="2" t="s">
        <v>98</v>
      </c>
      <c r="Q2825" s="2" t="s">
        <v>99</v>
      </c>
      <c r="R2825" s="2" t="s">
        <v>100</v>
      </c>
      <c r="S2825" s="2" t="s">
        <v>9686</v>
      </c>
      <c r="T2825" s="2" t="s">
        <v>9582</v>
      </c>
      <c r="U2825" s="2" t="s">
        <v>894</v>
      </c>
      <c r="V2825" s="2" t="s">
        <v>461</v>
      </c>
      <c r="W2825" s="2" t="s">
        <v>1136</v>
      </c>
      <c r="X2825" s="2" t="s">
        <v>609</v>
      </c>
      <c r="Y2825" s="2" t="s">
        <v>9687</v>
      </c>
      <c r="Z2825" s="4">
        <v>904</v>
      </c>
      <c r="AA2825" s="4">
        <f>=ROUNDDOWN(30.1333333333333,0)</f>
      </c>
      <c r="AB2825" s="5">
        <v>30</v>
      </c>
      <c r="AC2825" s="2" t="s">
        <v>389</v>
      </c>
      <c r="AD2825" s="4">
        <v>240</v>
      </c>
      <c r="AE2825" s="4">
        <v>240</v>
      </c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2</v>
      </c>
      <c r="AQ2825" s="8">
        <v>10.4</v>
      </c>
      <c r="AR2825" s="4"/>
      <c r="AS2825" s="8"/>
      <c r="AT2825" s="7"/>
      <c r="AU2825" s="7"/>
      <c r="AV2825" s="4">
        <v>2</v>
      </c>
      <c r="AW2825" s="8">
        <v>10.4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>
        <v>1</v>
      </c>
      <c r="BC2825" s="4">
        <v>2</v>
      </c>
      <c r="BD2825" s="8">
        <v>10.4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>
        <v>1</v>
      </c>
      <c r="BJ2825" s="4">
        <v>92</v>
      </c>
      <c r="BK2825" s="8">
        <v>606.54</v>
      </c>
      <c r="BL2825" s="2" t="s">
        <v>6304</v>
      </c>
      <c r="BM2825" s="7">
        <v>0.0217</v>
      </c>
      <c r="BN2825" s="7">
        <v>0.0171</v>
      </c>
      <c r="BO2825" s="4">
        <v>2</v>
      </c>
      <c r="BP2825" s="8">
        <v>10.4</v>
      </c>
      <c r="BQ2825" s="4"/>
      <c r="BR2825" s="8"/>
      <c r="BS2825" s="7"/>
      <c r="BT2825" s="7"/>
      <c r="BU2825" s="2" t="s">
        <v>109</v>
      </c>
      <c r="BV2825" s="2" t="s">
        <v>97</v>
      </c>
      <c r="BW2825" s="2" t="s">
        <v>9688</v>
      </c>
      <c r="BX2825" s="2" t="s">
        <v>4427</v>
      </c>
      <c r="BY2825" s="2" t="s">
        <v>112</v>
      </c>
      <c r="BZ2825" s="2" t="s">
        <v>100</v>
      </c>
    </row>
    <row r="2826">
      <c r="A2826" s="2" t="s">
        <v>9689</v>
      </c>
      <c r="B2826" s="2" t="s">
        <v>9043</v>
      </c>
      <c r="C2826" s="2" t="s">
        <v>1797</v>
      </c>
      <c r="D2826" s="2" t="s">
        <v>4459</v>
      </c>
      <c r="E2826" s="2" t="s">
        <v>6681</v>
      </c>
      <c r="F2826" s="2" t="s">
        <v>9582</v>
      </c>
      <c r="G2826" s="2" t="s">
        <v>9582</v>
      </c>
      <c r="H2826" s="2" t="s">
        <v>9582</v>
      </c>
      <c r="I2826" s="2" t="s">
        <v>9685</v>
      </c>
      <c r="J2826" s="2" t="s">
        <v>4199</v>
      </c>
      <c r="K2826" s="2" t="s">
        <v>165</v>
      </c>
      <c r="L2826" s="3">
        <v>5.76</v>
      </c>
      <c r="M2826" s="3">
        <v>6.05</v>
      </c>
      <c r="N2826" s="3">
        <v>11.99</v>
      </c>
      <c r="O2826" s="2" t="s">
        <v>97</v>
      </c>
      <c r="P2826" s="2" t="s">
        <v>98</v>
      </c>
      <c r="Q2826" s="2" t="s">
        <v>99</v>
      </c>
      <c r="R2826" s="2" t="s">
        <v>100</v>
      </c>
      <c r="S2826" s="2" t="s">
        <v>9686</v>
      </c>
      <c r="T2826" s="2" t="s">
        <v>9582</v>
      </c>
      <c r="U2826" s="2" t="s">
        <v>894</v>
      </c>
      <c r="V2826" s="2" t="s">
        <v>461</v>
      </c>
      <c r="W2826" s="2" t="s">
        <v>1136</v>
      </c>
      <c r="X2826" s="2" t="s">
        <v>609</v>
      </c>
      <c r="Y2826" s="2" t="s">
        <v>9687</v>
      </c>
      <c r="Z2826" s="4">
        <v>1792</v>
      </c>
      <c r="AA2826" s="4">
        <f>=ROUNDDOWN(35.84,0)</f>
      </c>
      <c r="AB2826" s="5">
        <v>50</v>
      </c>
      <c r="AC2826" s="2" t="s">
        <v>100</v>
      </c>
      <c r="AD2826" s="4"/>
      <c r="AE2826" s="4"/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 t="s">
        <v>100</v>
      </c>
      <c r="AW2826" s="8" t="s">
        <v>100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/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 t="s">
        <v>100</v>
      </c>
      <c r="BJ2826" s="4">
        <v>140</v>
      </c>
      <c r="BK2826" s="8">
        <v>882.84</v>
      </c>
      <c r="BL2826" s="2" t="s">
        <v>9690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109</v>
      </c>
      <c r="BV2826" s="2" t="s">
        <v>97</v>
      </c>
      <c r="BW2826" s="2" t="s">
        <v>9691</v>
      </c>
      <c r="BX2826" s="2" t="s">
        <v>1919</v>
      </c>
      <c r="BY2826" s="2" t="s">
        <v>112</v>
      </c>
      <c r="BZ2826" s="2" t="s">
        <v>100</v>
      </c>
    </row>
    <row r="2827">
      <c r="A2827" s="2" t="s">
        <v>9692</v>
      </c>
      <c r="B2827" s="2" t="s">
        <v>9043</v>
      </c>
      <c r="C2827" s="2" t="s">
        <v>1797</v>
      </c>
      <c r="D2827" s="2" t="s">
        <v>4459</v>
      </c>
      <c r="E2827" s="2" t="s">
        <v>6681</v>
      </c>
      <c r="F2827" s="2" t="s">
        <v>9582</v>
      </c>
      <c r="G2827" s="2" t="s">
        <v>9582</v>
      </c>
      <c r="H2827" s="2" t="s">
        <v>9582</v>
      </c>
      <c r="I2827" s="2" t="s">
        <v>9685</v>
      </c>
      <c r="J2827" s="2" t="s">
        <v>114</v>
      </c>
      <c r="K2827" s="2" t="s">
        <v>188</v>
      </c>
      <c r="L2827" s="3">
        <v>6.24</v>
      </c>
      <c r="M2827" s="3">
        <v>6.55</v>
      </c>
      <c r="N2827" s="3">
        <v>12.99</v>
      </c>
      <c r="O2827" s="2" t="s">
        <v>97</v>
      </c>
      <c r="P2827" s="2" t="s">
        <v>98</v>
      </c>
      <c r="Q2827" s="2" t="s">
        <v>99</v>
      </c>
      <c r="R2827" s="2" t="s">
        <v>100</v>
      </c>
      <c r="S2827" s="2" t="s">
        <v>9693</v>
      </c>
      <c r="T2827" s="2" t="s">
        <v>9582</v>
      </c>
      <c r="U2827" s="2" t="s">
        <v>894</v>
      </c>
      <c r="V2827" s="2" t="s">
        <v>461</v>
      </c>
      <c r="W2827" s="2" t="s">
        <v>1136</v>
      </c>
      <c r="X2827" s="2" t="s">
        <v>609</v>
      </c>
      <c r="Y2827" s="2" t="s">
        <v>9694</v>
      </c>
      <c r="Z2827" s="4">
        <v>930</v>
      </c>
      <c r="AA2827" s="4">
        <f>=ROUNDDOWN(44.2857142857143,0)</f>
      </c>
      <c r="AB2827" s="5">
        <v>21</v>
      </c>
      <c r="AC2827" s="2" t="s">
        <v>100</v>
      </c>
      <c r="AD2827" s="4"/>
      <c r="AE2827" s="4"/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 t="s">
        <v>100</v>
      </c>
      <c r="AW2827" s="8" t="s">
        <v>100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/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 t="s">
        <v>100</v>
      </c>
      <c r="BJ2827" s="4">
        <v>53</v>
      </c>
      <c r="BK2827" s="8">
        <v>348.4</v>
      </c>
      <c r="BL2827" s="2" t="s">
        <v>788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171</v>
      </c>
      <c r="BV2827" s="2" t="s">
        <v>97</v>
      </c>
      <c r="BW2827" s="2" t="s">
        <v>100</v>
      </c>
      <c r="BX2827" s="2" t="s">
        <v>100</v>
      </c>
      <c r="BY2827" s="2" t="s">
        <v>112</v>
      </c>
      <c r="BZ2827" s="2" t="s">
        <v>100</v>
      </c>
    </row>
    <row r="2828">
      <c r="A2828" s="2" t="s">
        <v>9695</v>
      </c>
      <c r="B2828" s="2" t="s">
        <v>9043</v>
      </c>
      <c r="C2828" s="2" t="s">
        <v>1797</v>
      </c>
      <c r="D2828" s="2" t="s">
        <v>4459</v>
      </c>
      <c r="E2828" s="2" t="s">
        <v>6681</v>
      </c>
      <c r="F2828" s="2" t="s">
        <v>9582</v>
      </c>
      <c r="G2828" s="2" t="s">
        <v>9582</v>
      </c>
      <c r="H2828" s="2" t="s">
        <v>9582</v>
      </c>
      <c r="I2828" s="2" t="s">
        <v>9685</v>
      </c>
      <c r="J2828" s="2" t="s">
        <v>4199</v>
      </c>
      <c r="K2828" s="2" t="s">
        <v>188</v>
      </c>
      <c r="L2828" s="3">
        <v>5.76</v>
      </c>
      <c r="M2828" s="3">
        <v>6.05</v>
      </c>
      <c r="N2828" s="3">
        <v>11.99</v>
      </c>
      <c r="O2828" s="2" t="s">
        <v>97</v>
      </c>
      <c r="P2828" s="2" t="s">
        <v>98</v>
      </c>
      <c r="Q2828" s="2" t="s">
        <v>99</v>
      </c>
      <c r="R2828" s="2" t="s">
        <v>100</v>
      </c>
      <c r="S2828" s="2" t="s">
        <v>9693</v>
      </c>
      <c r="T2828" s="2" t="s">
        <v>9582</v>
      </c>
      <c r="U2828" s="2" t="s">
        <v>894</v>
      </c>
      <c r="V2828" s="2" t="s">
        <v>461</v>
      </c>
      <c r="W2828" s="2" t="s">
        <v>1136</v>
      </c>
      <c r="X2828" s="2" t="s">
        <v>609</v>
      </c>
      <c r="Y2828" s="2" t="s">
        <v>9694</v>
      </c>
      <c r="Z2828" s="4">
        <v>1647</v>
      </c>
      <c r="AA2828" s="4">
        <f>=ROUNDDOWN(31.6730769230769,0)</f>
      </c>
      <c r="AB2828" s="5">
        <v>52</v>
      </c>
      <c r="AC2828" s="2" t="s">
        <v>173</v>
      </c>
      <c r="AD2828" s="4">
        <v>304</v>
      </c>
      <c r="AE2828" s="4">
        <v>304</v>
      </c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100</v>
      </c>
      <c r="AW2828" s="8" t="s">
        <v>100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/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 t="s">
        <v>100</v>
      </c>
      <c r="BJ2828" s="4">
        <v>137</v>
      </c>
      <c r="BK2828" s="8">
        <v>847.55</v>
      </c>
      <c r="BL2828" s="2" t="s">
        <v>3052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171</v>
      </c>
      <c r="BV2828" s="2" t="s">
        <v>97</v>
      </c>
      <c r="BW2828" s="2" t="s">
        <v>100</v>
      </c>
      <c r="BX2828" s="2" t="s">
        <v>100</v>
      </c>
      <c r="BY2828" s="2" t="s">
        <v>112</v>
      </c>
      <c r="BZ2828" s="2" t="s">
        <v>100</v>
      </c>
    </row>
    <row r="2829">
      <c r="A2829" s="2" t="s">
        <v>9696</v>
      </c>
      <c r="B2829" s="2" t="s">
        <v>9043</v>
      </c>
      <c r="C2829" s="2" t="s">
        <v>1797</v>
      </c>
      <c r="D2829" s="2" t="s">
        <v>4459</v>
      </c>
      <c r="E2829" s="2" t="s">
        <v>6681</v>
      </c>
      <c r="F2829" s="2" t="s">
        <v>9582</v>
      </c>
      <c r="G2829" s="2" t="s">
        <v>9582</v>
      </c>
      <c r="H2829" s="2" t="s">
        <v>9582</v>
      </c>
      <c r="I2829" s="2" t="s">
        <v>9685</v>
      </c>
      <c r="J2829" s="2" t="s">
        <v>114</v>
      </c>
      <c r="K2829" s="2" t="s">
        <v>9666</v>
      </c>
      <c r="L2829" s="3">
        <v>6.24</v>
      </c>
      <c r="M2829" s="3">
        <v>6.55</v>
      </c>
      <c r="N2829" s="3">
        <v>12.99</v>
      </c>
      <c r="O2829" s="2" t="s">
        <v>97</v>
      </c>
      <c r="P2829" s="2" t="s">
        <v>98</v>
      </c>
      <c r="Q2829" s="2" t="s">
        <v>99</v>
      </c>
      <c r="R2829" s="2" t="s">
        <v>100</v>
      </c>
      <c r="S2829" s="2" t="s">
        <v>9667</v>
      </c>
      <c r="T2829" s="2" t="s">
        <v>9582</v>
      </c>
      <c r="U2829" s="2" t="s">
        <v>894</v>
      </c>
      <c r="V2829" s="2" t="s">
        <v>2510</v>
      </c>
      <c r="W2829" s="2" t="s">
        <v>1136</v>
      </c>
      <c r="X2829" s="2" t="s">
        <v>609</v>
      </c>
      <c r="Y2829" s="2" t="s">
        <v>9668</v>
      </c>
      <c r="Z2829" s="4">
        <v>182</v>
      </c>
      <c r="AA2829" s="4">
        <f>=ROUNDDOWN(13,0)</f>
      </c>
      <c r="AB2829" s="5">
        <v>14</v>
      </c>
      <c r="AC2829" s="2" t="s">
        <v>2008</v>
      </c>
      <c r="AD2829" s="4">
        <v>160</v>
      </c>
      <c r="AE2829" s="4">
        <v>396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100</v>
      </c>
      <c r="AW2829" s="8" t="s">
        <v>100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/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 t="s">
        <v>100</v>
      </c>
      <c r="BJ2829" s="4">
        <v>54</v>
      </c>
      <c r="BK2829" s="8">
        <v>358.23</v>
      </c>
      <c r="BL2829" s="2" t="s">
        <v>384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171</v>
      </c>
      <c r="BV2829" s="2" t="s">
        <v>97</v>
      </c>
      <c r="BW2829" s="2" t="s">
        <v>100</v>
      </c>
      <c r="BX2829" s="2" t="s">
        <v>100</v>
      </c>
      <c r="BY2829" s="2" t="s">
        <v>112</v>
      </c>
      <c r="BZ2829" s="2" t="s">
        <v>100</v>
      </c>
    </row>
    <row r="2830">
      <c r="A2830" s="2" t="s">
        <v>9697</v>
      </c>
      <c r="B2830" s="2" t="s">
        <v>9043</v>
      </c>
      <c r="C2830" s="2" t="s">
        <v>1797</v>
      </c>
      <c r="D2830" s="2" t="s">
        <v>4459</v>
      </c>
      <c r="E2830" s="2" t="s">
        <v>6681</v>
      </c>
      <c r="F2830" s="2" t="s">
        <v>9582</v>
      </c>
      <c r="G2830" s="2" t="s">
        <v>9582</v>
      </c>
      <c r="H2830" s="2" t="s">
        <v>9582</v>
      </c>
      <c r="I2830" s="2" t="s">
        <v>9685</v>
      </c>
      <c r="J2830" s="2" t="s">
        <v>4199</v>
      </c>
      <c r="K2830" s="2" t="s">
        <v>9666</v>
      </c>
      <c r="L2830" s="3">
        <v>5.76</v>
      </c>
      <c r="M2830" s="3">
        <v>6.05</v>
      </c>
      <c r="N2830" s="3">
        <v>11.99</v>
      </c>
      <c r="O2830" s="2" t="s">
        <v>97</v>
      </c>
      <c r="P2830" s="2" t="s">
        <v>98</v>
      </c>
      <c r="Q2830" s="2" t="s">
        <v>99</v>
      </c>
      <c r="R2830" s="2" t="s">
        <v>100</v>
      </c>
      <c r="S2830" s="2" t="s">
        <v>9667</v>
      </c>
      <c r="T2830" s="2" t="s">
        <v>9582</v>
      </c>
      <c r="U2830" s="2" t="s">
        <v>894</v>
      </c>
      <c r="V2830" s="2" t="s">
        <v>2510</v>
      </c>
      <c r="W2830" s="2" t="s">
        <v>1136</v>
      </c>
      <c r="X2830" s="2" t="s">
        <v>609</v>
      </c>
      <c r="Y2830" s="2" t="s">
        <v>9668</v>
      </c>
      <c r="Z2830" s="4">
        <v>228</v>
      </c>
      <c r="AA2830" s="4">
        <f>=ROUNDDOWN(12,0)</f>
      </c>
      <c r="AB2830" s="5">
        <v>19</v>
      </c>
      <c r="AC2830" s="2" t="s">
        <v>145</v>
      </c>
      <c r="AD2830" s="4">
        <v>200</v>
      </c>
      <c r="AE2830" s="4">
        <v>528</v>
      </c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 t="s">
        <v>100</v>
      </c>
      <c r="AW2830" s="8" t="s">
        <v>100</v>
      </c>
      <c r="AX2830" s="4" t="s">
        <v>100</v>
      </c>
      <c r="AY2830" s="8" t="s">
        <v>100</v>
      </c>
      <c r="AZ2830" s="7" t="s">
        <v>100</v>
      </c>
      <c r="BA2830" s="7" t="s">
        <v>100</v>
      </c>
      <c r="BB2830" s="7"/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 t="s">
        <v>100</v>
      </c>
      <c r="BJ2830" s="4">
        <v>71</v>
      </c>
      <c r="BK2830" s="8">
        <v>444.16</v>
      </c>
      <c r="BL2830" s="2" t="s">
        <v>2844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171</v>
      </c>
      <c r="BV2830" s="2" t="s">
        <v>97</v>
      </c>
      <c r="BW2830" s="2" t="s">
        <v>100</v>
      </c>
      <c r="BX2830" s="2" t="s">
        <v>100</v>
      </c>
      <c r="BY2830" s="2" t="s">
        <v>112</v>
      </c>
      <c r="BZ2830" s="2" t="s">
        <v>100</v>
      </c>
    </row>
    <row r="2831">
      <c r="A2831" s="2" t="s">
        <v>9698</v>
      </c>
      <c r="B2831" s="2" t="s">
        <v>9043</v>
      </c>
      <c r="C2831" s="2" t="s">
        <v>1797</v>
      </c>
      <c r="D2831" s="2" t="s">
        <v>4459</v>
      </c>
      <c r="E2831" s="2" t="s">
        <v>6681</v>
      </c>
      <c r="F2831" s="2" t="s">
        <v>9582</v>
      </c>
      <c r="G2831" s="2" t="s">
        <v>9582</v>
      </c>
      <c r="H2831" s="2" t="s">
        <v>9582</v>
      </c>
      <c r="I2831" s="2" t="s">
        <v>9685</v>
      </c>
      <c r="J2831" s="2" t="s">
        <v>114</v>
      </c>
      <c r="K2831" s="2" t="s">
        <v>1373</v>
      </c>
      <c r="L2831" s="3">
        <v>6.24</v>
      </c>
      <c r="M2831" s="3">
        <v>6.55</v>
      </c>
      <c r="N2831" s="3">
        <v>12.99</v>
      </c>
      <c r="O2831" s="2" t="s">
        <v>97</v>
      </c>
      <c r="P2831" s="2" t="s">
        <v>98</v>
      </c>
      <c r="Q2831" s="2" t="s">
        <v>99</v>
      </c>
      <c r="R2831" s="2" t="s">
        <v>100</v>
      </c>
      <c r="S2831" s="2" t="s">
        <v>9611</v>
      </c>
      <c r="T2831" s="2" t="s">
        <v>9582</v>
      </c>
      <c r="U2831" s="2" t="s">
        <v>894</v>
      </c>
      <c r="V2831" s="2" t="s">
        <v>461</v>
      </c>
      <c r="W2831" s="2" t="s">
        <v>609</v>
      </c>
      <c r="X2831" s="2" t="s">
        <v>493</v>
      </c>
      <c r="Y2831" s="2" t="s">
        <v>9699</v>
      </c>
      <c r="Z2831" s="4">
        <v>962</v>
      </c>
      <c r="AA2831" s="4">
        <f>=ROUNDDOWN(38.48,0)</f>
      </c>
      <c r="AB2831" s="5">
        <v>25</v>
      </c>
      <c r="AC2831" s="2" t="s">
        <v>100</v>
      </c>
      <c r="AD2831" s="4"/>
      <c r="AE2831" s="4"/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 t="s">
        <v>100</v>
      </c>
      <c r="AW2831" s="8" t="s">
        <v>100</v>
      </c>
      <c r="AX2831" s="4" t="s">
        <v>100</v>
      </c>
      <c r="AY2831" s="8" t="s">
        <v>100</v>
      </c>
      <c r="AZ2831" s="7" t="s">
        <v>100</v>
      </c>
      <c r="BA2831" s="7" t="s">
        <v>100</v>
      </c>
      <c r="BB2831" s="7"/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 t="s">
        <v>100</v>
      </c>
      <c r="BJ2831" s="4">
        <v>89</v>
      </c>
      <c r="BK2831" s="8">
        <v>583.33</v>
      </c>
      <c r="BL2831" s="2" t="s">
        <v>3052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171</v>
      </c>
      <c r="BV2831" s="2" t="s">
        <v>97</v>
      </c>
      <c r="BW2831" s="2" t="s">
        <v>100</v>
      </c>
      <c r="BX2831" s="2" t="s">
        <v>100</v>
      </c>
      <c r="BY2831" s="2" t="s">
        <v>112</v>
      </c>
      <c r="BZ2831" s="2" t="s">
        <v>100</v>
      </c>
    </row>
    <row r="2832">
      <c r="A2832" s="2" t="s">
        <v>9700</v>
      </c>
      <c r="B2832" s="2" t="s">
        <v>9043</v>
      </c>
      <c r="C2832" s="2" t="s">
        <v>1797</v>
      </c>
      <c r="D2832" s="2" t="s">
        <v>4459</v>
      </c>
      <c r="E2832" s="2" t="s">
        <v>6681</v>
      </c>
      <c r="F2832" s="2" t="s">
        <v>9582</v>
      </c>
      <c r="G2832" s="2" t="s">
        <v>9582</v>
      </c>
      <c r="H2832" s="2" t="s">
        <v>9582</v>
      </c>
      <c r="I2832" s="2" t="s">
        <v>9685</v>
      </c>
      <c r="J2832" s="2" t="s">
        <v>4199</v>
      </c>
      <c r="K2832" s="2" t="s">
        <v>1373</v>
      </c>
      <c r="L2832" s="3">
        <v>5.76</v>
      </c>
      <c r="M2832" s="3">
        <v>6.05</v>
      </c>
      <c r="N2832" s="3">
        <v>11.99</v>
      </c>
      <c r="O2832" s="2" t="s">
        <v>97</v>
      </c>
      <c r="P2832" s="2" t="s">
        <v>98</v>
      </c>
      <c r="Q2832" s="2" t="s">
        <v>99</v>
      </c>
      <c r="R2832" s="2" t="s">
        <v>100</v>
      </c>
      <c r="S2832" s="2" t="s">
        <v>9611</v>
      </c>
      <c r="T2832" s="2" t="s">
        <v>9582</v>
      </c>
      <c r="U2832" s="2" t="s">
        <v>894</v>
      </c>
      <c r="V2832" s="2" t="s">
        <v>461</v>
      </c>
      <c r="W2832" s="2" t="s">
        <v>609</v>
      </c>
      <c r="X2832" s="2" t="s">
        <v>493</v>
      </c>
      <c r="Y2832" s="2" t="s">
        <v>9699</v>
      </c>
      <c r="Z2832" s="4">
        <v>1629</v>
      </c>
      <c r="AA2832" s="4">
        <f>=ROUNDDOWN(35.4130434782609,0)</f>
      </c>
      <c r="AB2832" s="5">
        <v>46</v>
      </c>
      <c r="AC2832" s="2" t="s">
        <v>100</v>
      </c>
      <c r="AD2832" s="4"/>
      <c r="AE2832" s="4"/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100</v>
      </c>
      <c r="AW2832" s="8" t="s">
        <v>100</v>
      </c>
      <c r="AX2832" s="4" t="s">
        <v>100</v>
      </c>
      <c r="AY2832" s="8" t="s">
        <v>100</v>
      </c>
      <c r="AZ2832" s="7" t="s">
        <v>100</v>
      </c>
      <c r="BA2832" s="7" t="s">
        <v>100</v>
      </c>
      <c r="BB2832" s="7"/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 t="s">
        <v>100</v>
      </c>
      <c r="BJ2832" s="4">
        <v>105</v>
      </c>
      <c r="BK2832" s="8">
        <v>635.9</v>
      </c>
      <c r="BL2832" s="2" t="s">
        <v>9701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171</v>
      </c>
      <c r="BV2832" s="2" t="s">
        <v>97</v>
      </c>
      <c r="BW2832" s="2" t="s">
        <v>100</v>
      </c>
      <c r="BX2832" s="2" t="s">
        <v>100</v>
      </c>
      <c r="BY2832" s="2" t="s">
        <v>112</v>
      </c>
      <c r="BZ2832" s="2" t="s">
        <v>100</v>
      </c>
    </row>
    <row r="2833">
      <c r="A2833" s="2" t="s">
        <v>9702</v>
      </c>
      <c r="B2833" s="2" t="s">
        <v>9043</v>
      </c>
      <c r="C2833" s="2" t="s">
        <v>1797</v>
      </c>
      <c r="D2833" s="2" t="s">
        <v>4459</v>
      </c>
      <c r="E2833" s="2" t="s">
        <v>6681</v>
      </c>
      <c r="F2833" s="2" t="s">
        <v>9582</v>
      </c>
      <c r="G2833" s="2" t="s">
        <v>9582</v>
      </c>
      <c r="H2833" s="2" t="s">
        <v>9582</v>
      </c>
      <c r="I2833" s="2" t="s">
        <v>9685</v>
      </c>
      <c r="J2833" s="2" t="s">
        <v>114</v>
      </c>
      <c r="K2833" s="2" t="s">
        <v>4488</v>
      </c>
      <c r="L2833" s="3">
        <v>6.24</v>
      </c>
      <c r="M2833" s="3">
        <v>6.55</v>
      </c>
      <c r="N2833" s="3">
        <v>12.99</v>
      </c>
      <c r="O2833" s="2" t="s">
        <v>97</v>
      </c>
      <c r="P2833" s="2" t="s">
        <v>98</v>
      </c>
      <c r="Q2833" s="2" t="s">
        <v>99</v>
      </c>
      <c r="R2833" s="2" t="s">
        <v>100</v>
      </c>
      <c r="S2833" s="2" t="s">
        <v>9620</v>
      </c>
      <c r="T2833" s="2" t="s">
        <v>9582</v>
      </c>
      <c r="U2833" s="2" t="s">
        <v>894</v>
      </c>
      <c r="V2833" s="2" t="s">
        <v>461</v>
      </c>
      <c r="W2833" s="2" t="s">
        <v>609</v>
      </c>
      <c r="X2833" s="2" t="s">
        <v>493</v>
      </c>
      <c r="Y2833" s="2" t="s">
        <v>9699</v>
      </c>
      <c r="Z2833" s="4">
        <v>953</v>
      </c>
      <c r="AA2833" s="4">
        <f>=ROUNDDOWN(32.8620689655172,0)</f>
      </c>
      <c r="AB2833" s="5">
        <v>29</v>
      </c>
      <c r="AC2833" s="2" t="s">
        <v>100</v>
      </c>
      <c r="AD2833" s="4"/>
      <c r="AE2833" s="4"/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 t="s">
        <v>100</v>
      </c>
      <c r="AW2833" s="8" t="s">
        <v>100</v>
      </c>
      <c r="AX2833" s="4" t="s">
        <v>100</v>
      </c>
      <c r="AY2833" s="8" t="s">
        <v>100</v>
      </c>
      <c r="AZ2833" s="7" t="s">
        <v>100</v>
      </c>
      <c r="BA2833" s="7" t="s">
        <v>100</v>
      </c>
      <c r="BB2833" s="7"/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 t="s">
        <v>100</v>
      </c>
      <c r="BJ2833" s="4">
        <v>74</v>
      </c>
      <c r="BK2833" s="8">
        <v>492.25</v>
      </c>
      <c r="BL2833" s="2" t="s">
        <v>9701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171</v>
      </c>
      <c r="BV2833" s="2" t="s">
        <v>97</v>
      </c>
      <c r="BW2833" s="2" t="s">
        <v>100</v>
      </c>
      <c r="BX2833" s="2" t="s">
        <v>100</v>
      </c>
      <c r="BY2833" s="2" t="s">
        <v>112</v>
      </c>
      <c r="BZ2833" s="2" t="s">
        <v>100</v>
      </c>
    </row>
    <row r="2834">
      <c r="A2834" s="2" t="s">
        <v>9703</v>
      </c>
      <c r="B2834" s="2" t="s">
        <v>9043</v>
      </c>
      <c r="C2834" s="2" t="s">
        <v>1797</v>
      </c>
      <c r="D2834" s="2" t="s">
        <v>4459</v>
      </c>
      <c r="E2834" s="2" t="s">
        <v>6681</v>
      </c>
      <c r="F2834" s="2" t="s">
        <v>9582</v>
      </c>
      <c r="G2834" s="2" t="s">
        <v>9582</v>
      </c>
      <c r="H2834" s="2" t="s">
        <v>9582</v>
      </c>
      <c r="I2834" s="2" t="s">
        <v>9685</v>
      </c>
      <c r="J2834" s="2" t="s">
        <v>4199</v>
      </c>
      <c r="K2834" s="2" t="s">
        <v>4488</v>
      </c>
      <c r="L2834" s="3">
        <v>5.76</v>
      </c>
      <c r="M2834" s="3">
        <v>6.05</v>
      </c>
      <c r="N2834" s="3">
        <v>11.99</v>
      </c>
      <c r="O2834" s="2" t="s">
        <v>97</v>
      </c>
      <c r="P2834" s="2" t="s">
        <v>156</v>
      </c>
      <c r="Q2834" s="2" t="s">
        <v>99</v>
      </c>
      <c r="R2834" s="2" t="s">
        <v>100</v>
      </c>
      <c r="S2834" s="2" t="s">
        <v>9620</v>
      </c>
      <c r="T2834" s="2" t="s">
        <v>9582</v>
      </c>
      <c r="U2834" s="2" t="s">
        <v>894</v>
      </c>
      <c r="V2834" s="2" t="s">
        <v>461</v>
      </c>
      <c r="W2834" s="2" t="s">
        <v>609</v>
      </c>
      <c r="X2834" s="2" t="s">
        <v>493</v>
      </c>
      <c r="Y2834" s="2" t="s">
        <v>9699</v>
      </c>
      <c r="Z2834" s="4">
        <v>2472</v>
      </c>
      <c r="AA2834" s="4">
        <f>=ROUNDDOWN(48.4705882352941,0)</f>
      </c>
      <c r="AB2834" s="5">
        <v>51</v>
      </c>
      <c r="AC2834" s="2" t="s">
        <v>100</v>
      </c>
      <c r="AD2834" s="4"/>
      <c r="AE2834" s="4"/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/>
      <c r="AQ2834" s="8"/>
      <c r="AR2834" s="4"/>
      <c r="AS2834" s="8"/>
      <c r="AT2834" s="7"/>
      <c r="AU2834" s="7"/>
      <c r="AV2834" s="4" t="s">
        <v>100</v>
      </c>
      <c r="AW2834" s="8" t="s">
        <v>100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/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 t="s">
        <v>100</v>
      </c>
      <c r="BJ2834" s="4">
        <v>127</v>
      </c>
      <c r="BK2834" s="8">
        <v>793.89</v>
      </c>
      <c r="BL2834" s="2" t="s">
        <v>9704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171</v>
      </c>
      <c r="BV2834" s="2" t="s">
        <v>97</v>
      </c>
      <c r="BW2834" s="2" t="s">
        <v>100</v>
      </c>
      <c r="BX2834" s="2" t="s">
        <v>100</v>
      </c>
      <c r="BY2834" s="2" t="s">
        <v>112</v>
      </c>
      <c r="BZ2834" s="2" t="s">
        <v>100</v>
      </c>
    </row>
    <row r="2835">
      <c r="A2835" s="2" t="s">
        <v>9705</v>
      </c>
      <c r="B2835" s="2" t="s">
        <v>9043</v>
      </c>
      <c r="C2835" s="2" t="s">
        <v>1797</v>
      </c>
      <c r="D2835" s="2" t="s">
        <v>4459</v>
      </c>
      <c r="E2835" s="2" t="s">
        <v>6681</v>
      </c>
      <c r="F2835" s="2" t="s">
        <v>9582</v>
      </c>
      <c r="G2835" s="2" t="s">
        <v>9582</v>
      </c>
      <c r="H2835" s="2" t="s">
        <v>9582</v>
      </c>
      <c r="I2835" s="2" t="s">
        <v>9685</v>
      </c>
      <c r="J2835" s="2" t="s">
        <v>114</v>
      </c>
      <c r="K2835" s="2" t="s">
        <v>9677</v>
      </c>
      <c r="L2835" s="3">
        <v>6.24</v>
      </c>
      <c r="M2835" s="3">
        <v>6.55</v>
      </c>
      <c r="N2835" s="3">
        <v>12.99</v>
      </c>
      <c r="O2835" s="2" t="s">
        <v>97</v>
      </c>
      <c r="P2835" s="2" t="s">
        <v>98</v>
      </c>
      <c r="Q2835" s="2" t="s">
        <v>99</v>
      </c>
      <c r="R2835" s="2" t="s">
        <v>100</v>
      </c>
      <c r="S2835" s="2" t="s">
        <v>9678</v>
      </c>
      <c r="T2835" s="2" t="s">
        <v>9582</v>
      </c>
      <c r="U2835" s="2" t="s">
        <v>894</v>
      </c>
      <c r="V2835" s="2" t="s">
        <v>2510</v>
      </c>
      <c r="W2835" s="2" t="s">
        <v>1136</v>
      </c>
      <c r="X2835" s="2" t="s">
        <v>609</v>
      </c>
      <c r="Y2835" s="2" t="s">
        <v>9668</v>
      </c>
      <c r="Z2835" s="4">
        <v>391</v>
      </c>
      <c r="AA2835" s="4">
        <f>=ROUNDDOWN(35.5454545454545,0)</f>
      </c>
      <c r="AB2835" s="5">
        <v>11</v>
      </c>
      <c r="AC2835" s="2" t="s">
        <v>646</v>
      </c>
      <c r="AD2835" s="4">
        <v>200</v>
      </c>
      <c r="AE2835" s="4">
        <v>200</v>
      </c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 t="s">
        <v>100</v>
      </c>
      <c r="AW2835" s="8" t="s">
        <v>100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/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 t="s">
        <v>100</v>
      </c>
      <c r="BJ2835" s="4">
        <v>45</v>
      </c>
      <c r="BK2835" s="8">
        <v>321.18</v>
      </c>
      <c r="BL2835" s="2" t="s">
        <v>9706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171</v>
      </c>
      <c r="BV2835" s="2" t="s">
        <v>97</v>
      </c>
      <c r="BW2835" s="2" t="s">
        <v>100</v>
      </c>
      <c r="BX2835" s="2" t="s">
        <v>100</v>
      </c>
      <c r="BY2835" s="2" t="s">
        <v>112</v>
      </c>
      <c r="BZ2835" s="2" t="s">
        <v>100</v>
      </c>
    </row>
    <row r="2836">
      <c r="A2836" s="2" t="s">
        <v>9707</v>
      </c>
      <c r="B2836" s="2" t="s">
        <v>9043</v>
      </c>
      <c r="C2836" s="2" t="s">
        <v>1797</v>
      </c>
      <c r="D2836" s="2" t="s">
        <v>4459</v>
      </c>
      <c r="E2836" s="2" t="s">
        <v>6681</v>
      </c>
      <c r="F2836" s="2" t="s">
        <v>9582</v>
      </c>
      <c r="G2836" s="2" t="s">
        <v>9582</v>
      </c>
      <c r="H2836" s="2" t="s">
        <v>9582</v>
      </c>
      <c r="I2836" s="2" t="s">
        <v>9685</v>
      </c>
      <c r="J2836" s="2" t="s">
        <v>4199</v>
      </c>
      <c r="K2836" s="2" t="s">
        <v>9677</v>
      </c>
      <c r="L2836" s="3">
        <v>5.76</v>
      </c>
      <c r="M2836" s="3">
        <v>6.05</v>
      </c>
      <c r="N2836" s="3">
        <v>11.99</v>
      </c>
      <c r="O2836" s="2" t="s">
        <v>97</v>
      </c>
      <c r="P2836" s="2" t="s">
        <v>98</v>
      </c>
      <c r="Q2836" s="2" t="s">
        <v>99</v>
      </c>
      <c r="R2836" s="2" t="s">
        <v>100</v>
      </c>
      <c r="S2836" s="2" t="s">
        <v>9678</v>
      </c>
      <c r="T2836" s="2" t="s">
        <v>9582</v>
      </c>
      <c r="U2836" s="2" t="s">
        <v>894</v>
      </c>
      <c r="V2836" s="2" t="s">
        <v>2510</v>
      </c>
      <c r="W2836" s="2" t="s">
        <v>1136</v>
      </c>
      <c r="X2836" s="2" t="s">
        <v>609</v>
      </c>
      <c r="Y2836" s="2" t="s">
        <v>9668</v>
      </c>
      <c r="Z2836" s="4">
        <v>278</v>
      </c>
      <c r="AA2836" s="4">
        <f>=ROUNDDOWN(16.3529411764706,0)</f>
      </c>
      <c r="AB2836" s="5">
        <v>17</v>
      </c>
      <c r="AC2836" s="2" t="s">
        <v>2008</v>
      </c>
      <c r="AD2836" s="4">
        <v>240</v>
      </c>
      <c r="AE2836" s="4">
        <v>480</v>
      </c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/>
      <c r="AQ2836" s="8"/>
      <c r="AR2836" s="4"/>
      <c r="AS2836" s="8"/>
      <c r="AT2836" s="7"/>
      <c r="AU2836" s="7"/>
      <c r="AV2836" s="4" t="s">
        <v>100</v>
      </c>
      <c r="AW2836" s="8" t="s">
        <v>100</v>
      </c>
      <c r="AX2836" s="4" t="s">
        <v>100</v>
      </c>
      <c r="AY2836" s="8" t="s">
        <v>100</v>
      </c>
      <c r="AZ2836" s="7" t="s">
        <v>100</v>
      </c>
      <c r="BA2836" s="7" t="s">
        <v>100</v>
      </c>
      <c r="BB2836" s="7"/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 t="s">
        <v>100</v>
      </c>
      <c r="BJ2836" s="4">
        <v>78</v>
      </c>
      <c r="BK2836" s="8">
        <v>500.14</v>
      </c>
      <c r="BL2836" s="2" t="s">
        <v>2404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171</v>
      </c>
      <c r="BV2836" s="2" t="s">
        <v>97</v>
      </c>
      <c r="BW2836" s="2" t="s">
        <v>100</v>
      </c>
      <c r="BX2836" s="2" t="s">
        <v>100</v>
      </c>
      <c r="BY2836" s="2" t="s">
        <v>112</v>
      </c>
      <c r="BZ2836" s="2" t="s">
        <v>100</v>
      </c>
    </row>
    <row r="2837">
      <c r="A2837" s="2" t="s">
        <v>9708</v>
      </c>
      <c r="B2837" s="2" t="s">
        <v>9043</v>
      </c>
      <c r="C2837" s="2" t="s">
        <v>1797</v>
      </c>
      <c r="D2837" s="2" t="s">
        <v>4459</v>
      </c>
      <c r="E2837" s="2" t="s">
        <v>6681</v>
      </c>
      <c r="F2837" s="2" t="s">
        <v>9582</v>
      </c>
      <c r="G2837" s="2" t="s">
        <v>9582</v>
      </c>
      <c r="H2837" s="2" t="s">
        <v>9582</v>
      </c>
      <c r="I2837" s="2" t="s">
        <v>9685</v>
      </c>
      <c r="J2837" s="2" t="s">
        <v>114</v>
      </c>
      <c r="K2837" s="2" t="s">
        <v>458</v>
      </c>
      <c r="L2837" s="3">
        <v>6.24</v>
      </c>
      <c r="M2837" s="3">
        <v>6.55</v>
      </c>
      <c r="N2837" s="3">
        <v>12.99</v>
      </c>
      <c r="O2837" s="2" t="s">
        <v>97</v>
      </c>
      <c r="P2837" s="2" t="s">
        <v>98</v>
      </c>
      <c r="Q2837" s="2" t="s">
        <v>99</v>
      </c>
      <c r="R2837" s="2" t="s">
        <v>100</v>
      </c>
      <c r="S2837" s="2" t="s">
        <v>9601</v>
      </c>
      <c r="T2837" s="2" t="s">
        <v>9582</v>
      </c>
      <c r="U2837" s="2" t="s">
        <v>894</v>
      </c>
      <c r="V2837" s="2" t="s">
        <v>461</v>
      </c>
      <c r="W2837" s="2" t="s">
        <v>609</v>
      </c>
      <c r="X2837" s="2" t="s">
        <v>493</v>
      </c>
      <c r="Y2837" s="2" t="s">
        <v>9699</v>
      </c>
      <c r="Z2837" s="4">
        <v>1451</v>
      </c>
      <c r="AA2837" s="4">
        <f>=ROUNDDOWN(55.8076923076923,0)</f>
      </c>
      <c r="AB2837" s="5">
        <v>26</v>
      </c>
      <c r="AC2837" s="2" t="s">
        <v>100</v>
      </c>
      <c r="AD2837" s="4"/>
      <c r="AE2837" s="4"/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100</v>
      </c>
      <c r="AW2837" s="8" t="s">
        <v>100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/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 t="s">
        <v>100</v>
      </c>
      <c r="BJ2837" s="4">
        <v>80</v>
      </c>
      <c r="BK2837" s="8">
        <v>520.06</v>
      </c>
      <c r="BL2837" s="2" t="s">
        <v>788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171</v>
      </c>
      <c r="BV2837" s="2" t="s">
        <v>97</v>
      </c>
      <c r="BW2837" s="2" t="s">
        <v>100</v>
      </c>
      <c r="BX2837" s="2" t="s">
        <v>100</v>
      </c>
      <c r="BY2837" s="2" t="s">
        <v>112</v>
      </c>
      <c r="BZ2837" s="2" t="s">
        <v>100</v>
      </c>
    </row>
    <row r="2838">
      <c r="A2838" s="2" t="s">
        <v>9709</v>
      </c>
      <c r="B2838" s="2" t="s">
        <v>9043</v>
      </c>
      <c r="C2838" s="2" t="s">
        <v>1797</v>
      </c>
      <c r="D2838" s="2" t="s">
        <v>4459</v>
      </c>
      <c r="E2838" s="2" t="s">
        <v>6681</v>
      </c>
      <c r="F2838" s="2" t="s">
        <v>9582</v>
      </c>
      <c r="G2838" s="2" t="s">
        <v>9582</v>
      </c>
      <c r="H2838" s="2" t="s">
        <v>9582</v>
      </c>
      <c r="I2838" s="2" t="s">
        <v>9685</v>
      </c>
      <c r="J2838" s="2" t="s">
        <v>4199</v>
      </c>
      <c r="K2838" s="2" t="s">
        <v>458</v>
      </c>
      <c r="L2838" s="3">
        <v>5.76</v>
      </c>
      <c r="M2838" s="3">
        <v>6.05</v>
      </c>
      <c r="N2838" s="3">
        <v>11.99</v>
      </c>
      <c r="O2838" s="2" t="s">
        <v>97</v>
      </c>
      <c r="P2838" s="2" t="s">
        <v>156</v>
      </c>
      <c r="Q2838" s="2" t="s">
        <v>99</v>
      </c>
      <c r="R2838" s="2" t="s">
        <v>100</v>
      </c>
      <c r="S2838" s="2" t="s">
        <v>9601</v>
      </c>
      <c r="T2838" s="2" t="s">
        <v>9582</v>
      </c>
      <c r="U2838" s="2" t="s">
        <v>894</v>
      </c>
      <c r="V2838" s="2" t="s">
        <v>461</v>
      </c>
      <c r="W2838" s="2" t="s">
        <v>609</v>
      </c>
      <c r="X2838" s="2" t="s">
        <v>493</v>
      </c>
      <c r="Y2838" s="2" t="s">
        <v>9699</v>
      </c>
      <c r="Z2838" s="4">
        <v>2492</v>
      </c>
      <c r="AA2838" s="4">
        <f>=ROUNDDOWN(38.3384615384615,0)</f>
      </c>
      <c r="AB2838" s="5">
        <v>65</v>
      </c>
      <c r="AC2838" s="2" t="s">
        <v>100</v>
      </c>
      <c r="AD2838" s="4"/>
      <c r="AE2838" s="4"/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 t="s">
        <v>100</v>
      </c>
      <c r="AW2838" s="8" t="s">
        <v>100</v>
      </c>
      <c r="AX2838" s="4" t="s">
        <v>100</v>
      </c>
      <c r="AY2838" s="8" t="s">
        <v>100</v>
      </c>
      <c r="AZ2838" s="7" t="s">
        <v>100</v>
      </c>
      <c r="BA2838" s="7" t="s">
        <v>100</v>
      </c>
      <c r="BB2838" s="7"/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 t="s">
        <v>100</v>
      </c>
      <c r="BJ2838" s="4">
        <v>190</v>
      </c>
      <c r="BK2838" s="8">
        <v>1178.17</v>
      </c>
      <c r="BL2838" s="2" t="s">
        <v>9710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171</v>
      </c>
      <c r="BV2838" s="2" t="s">
        <v>97</v>
      </c>
      <c r="BW2838" s="2" t="s">
        <v>100</v>
      </c>
      <c r="BX2838" s="2" t="s">
        <v>100</v>
      </c>
      <c r="BY2838" s="2" t="s">
        <v>112</v>
      </c>
      <c r="BZ2838" s="2" t="s">
        <v>100</v>
      </c>
    </row>
    <row r="2839">
      <c r="A2839" s="2" t="s">
        <v>9711</v>
      </c>
      <c r="B2839" s="2" t="s">
        <v>9043</v>
      </c>
      <c r="C2839" s="2" t="s">
        <v>3449</v>
      </c>
      <c r="D2839" s="2" t="s">
        <v>9044</v>
      </c>
      <c r="E2839" s="2" t="s">
        <v>9045</v>
      </c>
      <c r="F2839" s="2" t="s">
        <v>438</v>
      </c>
      <c r="G2839" s="2" t="s">
        <v>438</v>
      </c>
      <c r="H2839" s="2" t="s">
        <v>438</v>
      </c>
      <c r="I2839" s="2" t="s">
        <v>9712</v>
      </c>
      <c r="J2839" s="2" t="s">
        <v>1443</v>
      </c>
      <c r="K2839" s="2" t="s">
        <v>4816</v>
      </c>
      <c r="L2839" s="3">
        <v>11.18</v>
      </c>
      <c r="M2839" s="3">
        <v>11.74</v>
      </c>
      <c r="N2839" s="3">
        <v>27.99</v>
      </c>
      <c r="O2839" s="2" t="s">
        <v>97</v>
      </c>
      <c r="P2839" s="2" t="s">
        <v>98</v>
      </c>
      <c r="Q2839" s="2" t="s">
        <v>99</v>
      </c>
      <c r="R2839" s="2" t="s">
        <v>100</v>
      </c>
      <c r="S2839" s="2" t="s">
        <v>9713</v>
      </c>
      <c r="T2839" s="2" t="s">
        <v>438</v>
      </c>
      <c r="U2839" s="2" t="s">
        <v>100</v>
      </c>
      <c r="V2839" s="2" t="s">
        <v>461</v>
      </c>
      <c r="W2839" s="2" t="s">
        <v>609</v>
      </c>
      <c r="X2839" s="2" t="s">
        <v>100</v>
      </c>
      <c r="Y2839" s="2" t="s">
        <v>144</v>
      </c>
      <c r="Z2839" s="4">
        <v>246</v>
      </c>
      <c r="AA2839" s="4">
        <f>=ROUNDDOWN(20.5,0)</f>
      </c>
      <c r="AB2839" s="5">
        <v>12</v>
      </c>
      <c r="AC2839" s="2" t="s">
        <v>312</v>
      </c>
      <c r="AD2839" s="4">
        <v>40</v>
      </c>
      <c r="AE2839" s="4">
        <v>170</v>
      </c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6</v>
      </c>
      <c r="AQ2839" s="8">
        <v>65.34</v>
      </c>
      <c r="AR2839" s="4"/>
      <c r="AS2839" s="8"/>
      <c r="AT2839" s="7"/>
      <c r="AU2839" s="7"/>
      <c r="AV2839" s="4">
        <v>10</v>
      </c>
      <c r="AW2839" s="8">
        <v>112.4</v>
      </c>
      <c r="AX2839" s="4" t="s">
        <v>100</v>
      </c>
      <c r="AY2839" s="8" t="s">
        <v>100</v>
      </c>
      <c r="AZ2839" s="7" t="s">
        <v>100</v>
      </c>
      <c r="BA2839" s="7" t="s">
        <v>100</v>
      </c>
      <c r="BB2839" s="7">
        <v>0.6948</v>
      </c>
      <c r="BC2839" s="4">
        <v>25</v>
      </c>
      <c r="BD2839" s="8">
        <v>304.45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>
        <v>0.3692</v>
      </c>
      <c r="BJ2839" s="4">
        <v>38</v>
      </c>
      <c r="BK2839" s="8">
        <v>425.44</v>
      </c>
      <c r="BL2839" s="2" t="s">
        <v>9714</v>
      </c>
      <c r="BM2839" s="7">
        <v>0.1579</v>
      </c>
      <c r="BN2839" s="7">
        <v>0.1536</v>
      </c>
      <c r="BO2839" s="4">
        <v>6</v>
      </c>
      <c r="BP2839" s="8">
        <v>65.34</v>
      </c>
      <c r="BQ2839" s="4"/>
      <c r="BR2839" s="8"/>
      <c r="BS2839" s="7"/>
      <c r="BT2839" s="7"/>
      <c r="BU2839" s="2" t="s">
        <v>109</v>
      </c>
      <c r="BV2839" s="2" t="s">
        <v>97</v>
      </c>
      <c r="BW2839" s="2" t="s">
        <v>159</v>
      </c>
      <c r="BX2839" s="2" t="s">
        <v>9715</v>
      </c>
      <c r="BY2839" s="2" t="s">
        <v>112</v>
      </c>
      <c r="BZ2839" s="2" t="s">
        <v>100</v>
      </c>
    </row>
    <row r="2840">
      <c r="A2840" s="2" t="s">
        <v>9716</v>
      </c>
      <c r="B2840" s="2" t="s">
        <v>9043</v>
      </c>
      <c r="C2840" s="2" t="s">
        <v>3449</v>
      </c>
      <c r="D2840" s="2" t="s">
        <v>9044</v>
      </c>
      <c r="E2840" s="2" t="s">
        <v>9045</v>
      </c>
      <c r="F2840" s="2" t="s">
        <v>438</v>
      </c>
      <c r="G2840" s="2" t="s">
        <v>438</v>
      </c>
      <c r="H2840" s="2" t="s">
        <v>438</v>
      </c>
      <c r="I2840" s="2" t="s">
        <v>9717</v>
      </c>
      <c r="J2840" s="2" t="s">
        <v>1443</v>
      </c>
      <c r="K2840" s="2" t="s">
        <v>4816</v>
      </c>
      <c r="L2840" s="3">
        <v>12.15</v>
      </c>
      <c r="M2840" s="3">
        <v>12.76</v>
      </c>
      <c r="N2840" s="3">
        <v>26.99</v>
      </c>
      <c r="O2840" s="2" t="s">
        <v>97</v>
      </c>
      <c r="P2840" s="2" t="s">
        <v>98</v>
      </c>
      <c r="Q2840" s="2" t="s">
        <v>99</v>
      </c>
      <c r="R2840" s="2" t="s">
        <v>100</v>
      </c>
      <c r="S2840" s="2" t="s">
        <v>9713</v>
      </c>
      <c r="T2840" s="2" t="s">
        <v>438</v>
      </c>
      <c r="U2840" s="2" t="s">
        <v>1228</v>
      </c>
      <c r="V2840" s="2" t="s">
        <v>461</v>
      </c>
      <c r="W2840" s="2" t="s">
        <v>493</v>
      </c>
      <c r="X2840" s="2" t="s">
        <v>100</v>
      </c>
      <c r="Y2840" s="2" t="s">
        <v>9346</v>
      </c>
      <c r="Z2840" s="4">
        <v>118</v>
      </c>
      <c r="AA2840" s="4">
        <f>=ROUNDDOWN(19.6666666666667,0)</f>
      </c>
      <c r="AB2840" s="5">
        <v>6</v>
      </c>
      <c r="AC2840" s="2" t="s">
        <v>312</v>
      </c>
      <c r="AD2840" s="4">
        <v>30</v>
      </c>
      <c r="AE2840" s="4">
        <v>80</v>
      </c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1</v>
      </c>
      <c r="AQ2840" s="8">
        <v>12.76</v>
      </c>
      <c r="AR2840" s="4"/>
      <c r="AS2840" s="8"/>
      <c r="AT2840" s="7"/>
      <c r="AU2840" s="7"/>
      <c r="AV2840" s="4" t="s">
        <v>100</v>
      </c>
      <c r="AW2840" s="8" t="s">
        <v>100</v>
      </c>
      <c r="AX2840" s="4" t="s">
        <v>100</v>
      </c>
      <c r="AY2840" s="8" t="s">
        <v>100</v>
      </c>
      <c r="AZ2840" s="7" t="s">
        <v>100</v>
      </c>
      <c r="BA2840" s="7" t="s">
        <v>100</v>
      </c>
      <c r="BB2840" s="7" t="s">
        <v>100</v>
      </c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 t="s">
        <v>100</v>
      </c>
      <c r="BJ2840" s="4">
        <v>27</v>
      </c>
      <c r="BK2840" s="8">
        <v>340.61</v>
      </c>
      <c r="BL2840" s="2" t="s">
        <v>9718</v>
      </c>
      <c r="BM2840" s="7">
        <v>0.037</v>
      </c>
      <c r="BN2840" s="7">
        <v>0.0375</v>
      </c>
      <c r="BO2840" s="4">
        <v>1</v>
      </c>
      <c r="BP2840" s="8">
        <v>12.76</v>
      </c>
      <c r="BQ2840" s="4"/>
      <c r="BR2840" s="8"/>
      <c r="BS2840" s="7"/>
      <c r="BT2840" s="7"/>
      <c r="BU2840" s="2" t="s">
        <v>109</v>
      </c>
      <c r="BV2840" s="2" t="s">
        <v>97</v>
      </c>
      <c r="BW2840" s="2" t="s">
        <v>1076</v>
      </c>
      <c r="BX2840" s="2" t="s">
        <v>1072</v>
      </c>
      <c r="BY2840" s="2" t="s">
        <v>112</v>
      </c>
      <c r="BZ2840" s="2" t="s">
        <v>100</v>
      </c>
    </row>
    <row r="2841">
      <c r="A2841" s="2" t="s">
        <v>9719</v>
      </c>
      <c r="B2841" s="2" t="s">
        <v>9043</v>
      </c>
      <c r="C2841" s="2" t="s">
        <v>3449</v>
      </c>
      <c r="D2841" s="2" t="s">
        <v>9044</v>
      </c>
      <c r="E2841" s="2" t="s">
        <v>9045</v>
      </c>
      <c r="F2841" s="2" t="s">
        <v>438</v>
      </c>
      <c r="G2841" s="2" t="s">
        <v>438</v>
      </c>
      <c r="H2841" s="2" t="s">
        <v>438</v>
      </c>
      <c r="I2841" s="2" t="s">
        <v>9717</v>
      </c>
      <c r="J2841" s="2" t="s">
        <v>1806</v>
      </c>
      <c r="K2841" s="2" t="s">
        <v>4816</v>
      </c>
      <c r="L2841" s="3">
        <v>12.15</v>
      </c>
      <c r="M2841" s="3">
        <v>12.76</v>
      </c>
      <c r="N2841" s="3">
        <v>26.99</v>
      </c>
      <c r="O2841" s="2" t="s">
        <v>97</v>
      </c>
      <c r="P2841" s="2" t="s">
        <v>98</v>
      </c>
      <c r="Q2841" s="2" t="s">
        <v>99</v>
      </c>
      <c r="R2841" s="2" t="s">
        <v>100</v>
      </c>
      <c r="S2841" s="2" t="s">
        <v>9713</v>
      </c>
      <c r="T2841" s="2" t="s">
        <v>438</v>
      </c>
      <c r="U2841" s="2" t="s">
        <v>1228</v>
      </c>
      <c r="V2841" s="2" t="s">
        <v>461</v>
      </c>
      <c r="W2841" s="2" t="s">
        <v>493</v>
      </c>
      <c r="X2841" s="2" t="s">
        <v>100</v>
      </c>
      <c r="Y2841" s="2" t="s">
        <v>9346</v>
      </c>
      <c r="Z2841" s="4">
        <v>163</v>
      </c>
      <c r="AA2841" s="4">
        <f>=ROUNDDOWN(27.1666666666667,0)</f>
      </c>
      <c r="AB2841" s="5">
        <v>6</v>
      </c>
      <c r="AC2841" s="2" t="s">
        <v>312</v>
      </c>
      <c r="AD2841" s="4">
        <v>200</v>
      </c>
      <c r="AE2841" s="4">
        <v>390</v>
      </c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100</v>
      </c>
      <c r="AW2841" s="8" t="s">
        <v>100</v>
      </c>
      <c r="AX2841" s="4" t="s">
        <v>100</v>
      </c>
      <c r="AY2841" s="8" t="s">
        <v>100</v>
      </c>
      <c r="AZ2841" s="7" t="s">
        <v>100</v>
      </c>
      <c r="BA2841" s="7" t="s">
        <v>100</v>
      </c>
      <c r="BB2841" s="7">
        <v>0.1938</v>
      </c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 t="s">
        <v>100</v>
      </c>
      <c r="BJ2841" s="4">
        <v>18</v>
      </c>
      <c r="BK2841" s="8">
        <v>224.64</v>
      </c>
      <c r="BL2841" s="2" t="s">
        <v>9720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109</v>
      </c>
      <c r="BV2841" s="2" t="s">
        <v>97</v>
      </c>
      <c r="BW2841" s="2" t="s">
        <v>1076</v>
      </c>
      <c r="BX2841" s="2" t="s">
        <v>1444</v>
      </c>
      <c r="BY2841" s="2" t="s">
        <v>112</v>
      </c>
      <c r="BZ2841" s="2" t="s">
        <v>100</v>
      </c>
    </row>
    <row r="2842">
      <c r="A2842" s="2" t="s">
        <v>9721</v>
      </c>
      <c r="B2842" s="2" t="s">
        <v>9043</v>
      </c>
      <c r="C2842" s="2" t="s">
        <v>3449</v>
      </c>
      <c r="D2842" s="2" t="s">
        <v>9044</v>
      </c>
      <c r="E2842" s="2" t="s">
        <v>9045</v>
      </c>
      <c r="F2842" s="2" t="s">
        <v>438</v>
      </c>
      <c r="G2842" s="2" t="s">
        <v>438</v>
      </c>
      <c r="H2842" s="2" t="s">
        <v>438</v>
      </c>
      <c r="I2842" s="2" t="s">
        <v>9712</v>
      </c>
      <c r="J2842" s="2" t="s">
        <v>1806</v>
      </c>
      <c r="K2842" s="2" t="s">
        <v>4816</v>
      </c>
      <c r="L2842" s="3">
        <v>11.18</v>
      </c>
      <c r="M2842" s="3">
        <v>11.74</v>
      </c>
      <c r="N2842" s="3">
        <v>27.99</v>
      </c>
      <c r="O2842" s="2" t="s">
        <v>97</v>
      </c>
      <c r="P2842" s="2" t="s">
        <v>98</v>
      </c>
      <c r="Q2842" s="2" t="s">
        <v>99</v>
      </c>
      <c r="R2842" s="2" t="s">
        <v>100</v>
      </c>
      <c r="S2842" s="2" t="s">
        <v>9713</v>
      </c>
      <c r="T2842" s="2" t="s">
        <v>438</v>
      </c>
      <c r="U2842" s="2" t="s">
        <v>100</v>
      </c>
      <c r="V2842" s="2" t="s">
        <v>461</v>
      </c>
      <c r="W2842" s="2" t="s">
        <v>609</v>
      </c>
      <c r="X2842" s="2" t="s">
        <v>100</v>
      </c>
      <c r="Y2842" s="2" t="s">
        <v>144</v>
      </c>
      <c r="Z2842" s="4">
        <v>71</v>
      </c>
      <c r="AA2842" s="4">
        <f>=ROUNDDOWN(14.2,0)</f>
      </c>
      <c r="AB2842" s="5">
        <v>5</v>
      </c>
      <c r="AC2842" s="2" t="s">
        <v>312</v>
      </c>
      <c r="AD2842" s="4">
        <v>150</v>
      </c>
      <c r="AE2842" s="4">
        <v>398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2</v>
      </c>
      <c r="AQ2842" s="8">
        <v>21.78</v>
      </c>
      <c r="AR2842" s="4"/>
      <c r="AS2842" s="8"/>
      <c r="AT2842" s="7"/>
      <c r="AU2842" s="7"/>
      <c r="AV2842" s="4" t="s">
        <v>100</v>
      </c>
      <c r="AW2842" s="8" t="s">
        <v>100</v>
      </c>
      <c r="AX2842" s="4" t="s">
        <v>100</v>
      </c>
      <c r="AY2842" s="8" t="s">
        <v>100</v>
      </c>
      <c r="AZ2842" s="7" t="s">
        <v>100</v>
      </c>
      <c r="BA2842" s="7" t="s">
        <v>100</v>
      </c>
      <c r="BB2842" s="7" t="s">
        <v>100</v>
      </c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 t="s">
        <v>100</v>
      </c>
      <c r="BJ2842" s="4">
        <v>17</v>
      </c>
      <c r="BK2842" s="8">
        <v>205.29</v>
      </c>
      <c r="BL2842" s="2" t="s">
        <v>9722</v>
      </c>
      <c r="BM2842" s="7">
        <v>0.1176</v>
      </c>
      <c r="BN2842" s="7">
        <v>0.1061</v>
      </c>
      <c r="BO2842" s="4">
        <v>2</v>
      </c>
      <c r="BP2842" s="8">
        <v>21.78</v>
      </c>
      <c r="BQ2842" s="4"/>
      <c r="BR2842" s="8"/>
      <c r="BS2842" s="7"/>
      <c r="BT2842" s="7"/>
      <c r="BU2842" s="2" t="s">
        <v>109</v>
      </c>
      <c r="BV2842" s="2" t="s">
        <v>97</v>
      </c>
      <c r="BW2842" s="2" t="s">
        <v>159</v>
      </c>
      <c r="BX2842" s="2" t="s">
        <v>9723</v>
      </c>
      <c r="BY2842" s="2" t="s">
        <v>112</v>
      </c>
      <c r="BZ2842" s="2" t="s">
        <v>100</v>
      </c>
    </row>
    <row r="2843">
      <c r="A2843" s="2" t="s">
        <v>9724</v>
      </c>
      <c r="B2843" s="2" t="s">
        <v>9043</v>
      </c>
      <c r="C2843" s="2" t="s">
        <v>3449</v>
      </c>
      <c r="D2843" s="2" t="s">
        <v>9044</v>
      </c>
      <c r="E2843" s="2" t="s">
        <v>9045</v>
      </c>
      <c r="F2843" s="2" t="s">
        <v>438</v>
      </c>
      <c r="G2843" s="2" t="s">
        <v>438</v>
      </c>
      <c r="H2843" s="2" t="s">
        <v>438</v>
      </c>
      <c r="I2843" s="2" t="s">
        <v>9717</v>
      </c>
      <c r="J2843" s="2" t="s">
        <v>490</v>
      </c>
      <c r="K2843" s="2" t="s">
        <v>4816</v>
      </c>
      <c r="L2843" s="3">
        <v>14.85</v>
      </c>
      <c r="M2843" s="3">
        <v>15.59</v>
      </c>
      <c r="N2843" s="3">
        <v>32.99</v>
      </c>
      <c r="O2843" s="2" t="s">
        <v>97</v>
      </c>
      <c r="P2843" s="2" t="s">
        <v>98</v>
      </c>
      <c r="Q2843" s="2" t="s">
        <v>99</v>
      </c>
      <c r="R2843" s="2" t="s">
        <v>100</v>
      </c>
      <c r="S2843" s="2" t="s">
        <v>9713</v>
      </c>
      <c r="T2843" s="2" t="s">
        <v>438</v>
      </c>
      <c r="U2843" s="2" t="s">
        <v>355</v>
      </c>
      <c r="V2843" s="2" t="s">
        <v>461</v>
      </c>
      <c r="W2843" s="2" t="s">
        <v>493</v>
      </c>
      <c r="X2843" s="2" t="s">
        <v>100</v>
      </c>
      <c r="Y2843" s="2" t="s">
        <v>9346</v>
      </c>
      <c r="Z2843" s="4">
        <v>127</v>
      </c>
      <c r="AA2843" s="4">
        <f>=ROUNDDOWN(21.1666666666667,0)</f>
      </c>
      <c r="AB2843" s="5">
        <v>6</v>
      </c>
      <c r="AC2843" s="2" t="s">
        <v>312</v>
      </c>
      <c r="AD2843" s="4">
        <v>100</v>
      </c>
      <c r="AE2843" s="4">
        <v>100</v>
      </c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 t="s">
        <v>100</v>
      </c>
      <c r="AW2843" s="8" t="s">
        <v>100</v>
      </c>
      <c r="AX2843" s="4" t="s">
        <v>100</v>
      </c>
      <c r="AY2843" s="8" t="s">
        <v>100</v>
      </c>
      <c r="AZ2843" s="7" t="s">
        <v>100</v>
      </c>
      <c r="BA2843" s="7" t="s">
        <v>100</v>
      </c>
      <c r="BB2843" s="7">
        <v>0.1114</v>
      </c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 t="s">
        <v>100</v>
      </c>
      <c r="BJ2843" s="4">
        <v>22</v>
      </c>
      <c r="BK2843" s="8">
        <v>330.64</v>
      </c>
      <c r="BL2843" s="2" t="s">
        <v>9720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109</v>
      </c>
      <c r="BV2843" s="2" t="s">
        <v>97</v>
      </c>
      <c r="BW2843" s="2" t="s">
        <v>1076</v>
      </c>
      <c r="BX2843" s="2" t="s">
        <v>9066</v>
      </c>
      <c r="BY2843" s="2" t="s">
        <v>112</v>
      </c>
      <c r="BZ2843" s="2" t="s">
        <v>100</v>
      </c>
    </row>
    <row r="2844">
      <c r="A2844" s="2" t="s">
        <v>9725</v>
      </c>
      <c r="B2844" s="2" t="s">
        <v>9043</v>
      </c>
      <c r="C2844" s="2" t="s">
        <v>3449</v>
      </c>
      <c r="D2844" s="2" t="s">
        <v>9044</v>
      </c>
      <c r="E2844" s="2" t="s">
        <v>9045</v>
      </c>
      <c r="F2844" s="2" t="s">
        <v>438</v>
      </c>
      <c r="G2844" s="2" t="s">
        <v>438</v>
      </c>
      <c r="H2844" s="2" t="s">
        <v>438</v>
      </c>
      <c r="I2844" s="2" t="s">
        <v>9712</v>
      </c>
      <c r="J2844" s="2" t="s">
        <v>490</v>
      </c>
      <c r="K2844" s="2" t="s">
        <v>4816</v>
      </c>
      <c r="L2844" s="3">
        <v>12.92</v>
      </c>
      <c r="M2844" s="3">
        <v>13.57</v>
      </c>
      <c r="N2844" s="3">
        <v>30.99</v>
      </c>
      <c r="O2844" s="2" t="s">
        <v>97</v>
      </c>
      <c r="P2844" s="2" t="s">
        <v>98</v>
      </c>
      <c r="Q2844" s="2" t="s">
        <v>99</v>
      </c>
      <c r="R2844" s="2" t="s">
        <v>100</v>
      </c>
      <c r="S2844" s="2" t="s">
        <v>9713</v>
      </c>
      <c r="T2844" s="2" t="s">
        <v>438</v>
      </c>
      <c r="U2844" s="2" t="s">
        <v>100</v>
      </c>
      <c r="V2844" s="2" t="s">
        <v>461</v>
      </c>
      <c r="W2844" s="2" t="s">
        <v>609</v>
      </c>
      <c r="X2844" s="2" t="s">
        <v>100</v>
      </c>
      <c r="Y2844" s="2" t="s">
        <v>144</v>
      </c>
      <c r="Z2844" s="4">
        <v>100</v>
      </c>
      <c r="AA2844" s="4">
        <f>=ROUNDDOWN(14.9253731343284,0)</f>
      </c>
      <c r="AB2844" s="5">
        <v>6.7</v>
      </c>
      <c r="AC2844" s="2" t="s">
        <v>312</v>
      </c>
      <c r="AD2844" s="4">
        <v>40</v>
      </c>
      <c r="AE2844" s="4">
        <v>40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>
        <v>1</v>
      </c>
      <c r="AQ2844" s="8">
        <v>12.52</v>
      </c>
      <c r="AR2844" s="4"/>
      <c r="AS2844" s="8"/>
      <c r="AT2844" s="7"/>
      <c r="AU2844" s="7"/>
      <c r="AV2844" s="4" t="s">
        <v>100</v>
      </c>
      <c r="AW2844" s="8" t="s">
        <v>100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 t="s">
        <v>100</v>
      </c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 t="s">
        <v>100</v>
      </c>
      <c r="BJ2844" s="4">
        <v>11</v>
      </c>
      <c r="BK2844" s="8">
        <v>160.35</v>
      </c>
      <c r="BL2844" s="2" t="s">
        <v>9726</v>
      </c>
      <c r="BM2844" s="7">
        <v>0.0909</v>
      </c>
      <c r="BN2844" s="7">
        <v>0.0781</v>
      </c>
      <c r="BO2844" s="4">
        <v>1</v>
      </c>
      <c r="BP2844" s="8">
        <v>12.52</v>
      </c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159</v>
      </c>
      <c r="BX2844" s="2" t="s">
        <v>9727</v>
      </c>
      <c r="BY2844" s="2" t="s">
        <v>112</v>
      </c>
      <c r="BZ2844" s="2" t="s">
        <v>100</v>
      </c>
    </row>
    <row r="2845">
      <c r="A2845" s="2" t="s">
        <v>9728</v>
      </c>
      <c r="B2845" s="2" t="s">
        <v>9043</v>
      </c>
      <c r="C2845" s="2" t="s">
        <v>3449</v>
      </c>
      <c r="D2845" s="2" t="s">
        <v>9044</v>
      </c>
      <c r="E2845" s="2" t="s">
        <v>9045</v>
      </c>
      <c r="F2845" s="2" t="s">
        <v>438</v>
      </c>
      <c r="G2845" s="2" t="s">
        <v>438</v>
      </c>
      <c r="H2845" s="2" t="s">
        <v>438</v>
      </c>
      <c r="I2845" s="2" t="s">
        <v>9712</v>
      </c>
      <c r="J2845" s="2" t="s">
        <v>95</v>
      </c>
      <c r="K2845" s="2" t="s">
        <v>4816</v>
      </c>
      <c r="L2845" s="3">
        <v>14.21</v>
      </c>
      <c r="M2845" s="3">
        <v>14.92</v>
      </c>
      <c r="N2845" s="3">
        <v>32.99</v>
      </c>
      <c r="O2845" s="2" t="s">
        <v>97</v>
      </c>
      <c r="P2845" s="2" t="s">
        <v>98</v>
      </c>
      <c r="Q2845" s="2" t="s">
        <v>99</v>
      </c>
      <c r="R2845" s="2" t="s">
        <v>100</v>
      </c>
      <c r="S2845" s="2" t="s">
        <v>9713</v>
      </c>
      <c r="T2845" s="2" t="s">
        <v>438</v>
      </c>
      <c r="U2845" s="2" t="s">
        <v>100</v>
      </c>
      <c r="V2845" s="2" t="s">
        <v>461</v>
      </c>
      <c r="W2845" s="2" t="s">
        <v>609</v>
      </c>
      <c r="X2845" s="2" t="s">
        <v>100</v>
      </c>
      <c r="Y2845" s="2" t="s">
        <v>144</v>
      </c>
      <c r="Z2845" s="4">
        <v>123</v>
      </c>
      <c r="AA2845" s="4">
        <f>=ROUNDDOWN(6.83333333333333,0)</f>
      </c>
      <c r="AB2845" s="5">
        <v>18</v>
      </c>
      <c r="AC2845" s="2" t="s">
        <v>312</v>
      </c>
      <c r="AD2845" s="4">
        <v>100</v>
      </c>
      <c r="AE2845" s="4">
        <v>490</v>
      </c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 t="s">
        <v>100</v>
      </c>
      <c r="AW2845" s="8" t="s">
        <v>100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 t="s">
        <v>100</v>
      </c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 t="s">
        <v>100</v>
      </c>
      <c r="BJ2845" s="4">
        <v>109</v>
      </c>
      <c r="BK2845" s="8">
        <v>1579.87</v>
      </c>
      <c r="BL2845" s="2" t="s">
        <v>9729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109</v>
      </c>
      <c r="BV2845" s="2" t="s">
        <v>97</v>
      </c>
      <c r="BW2845" s="2" t="s">
        <v>159</v>
      </c>
      <c r="BX2845" s="2" t="s">
        <v>9727</v>
      </c>
      <c r="BY2845" s="2" t="s">
        <v>112</v>
      </c>
      <c r="BZ2845" s="2" t="s">
        <v>100</v>
      </c>
    </row>
    <row r="2846">
      <c r="A2846" s="2" t="s">
        <v>9730</v>
      </c>
      <c r="B2846" s="2" t="s">
        <v>9043</v>
      </c>
      <c r="C2846" s="2" t="s">
        <v>3449</v>
      </c>
      <c r="D2846" s="2" t="s">
        <v>9044</v>
      </c>
      <c r="E2846" s="2" t="s">
        <v>9045</v>
      </c>
      <c r="F2846" s="2" t="s">
        <v>438</v>
      </c>
      <c r="G2846" s="2" t="s">
        <v>438</v>
      </c>
      <c r="H2846" s="2" t="s">
        <v>438</v>
      </c>
      <c r="I2846" s="2" t="s">
        <v>9717</v>
      </c>
      <c r="J2846" s="2" t="s">
        <v>95</v>
      </c>
      <c r="K2846" s="2" t="s">
        <v>4816</v>
      </c>
      <c r="L2846" s="3">
        <v>14.85</v>
      </c>
      <c r="M2846" s="3">
        <v>15.59</v>
      </c>
      <c r="N2846" s="3">
        <v>32.99</v>
      </c>
      <c r="O2846" s="2" t="s">
        <v>97</v>
      </c>
      <c r="P2846" s="2" t="s">
        <v>98</v>
      </c>
      <c r="Q2846" s="2" t="s">
        <v>99</v>
      </c>
      <c r="R2846" s="2" t="s">
        <v>100</v>
      </c>
      <c r="S2846" s="2" t="s">
        <v>9713</v>
      </c>
      <c r="T2846" s="2" t="s">
        <v>438</v>
      </c>
      <c r="U2846" s="2" t="s">
        <v>355</v>
      </c>
      <c r="V2846" s="2" t="s">
        <v>461</v>
      </c>
      <c r="W2846" s="2" t="s">
        <v>493</v>
      </c>
      <c r="X2846" s="2" t="s">
        <v>100</v>
      </c>
      <c r="Y2846" s="2" t="s">
        <v>9346</v>
      </c>
      <c r="Z2846" s="4">
        <v>204</v>
      </c>
      <c r="AA2846" s="4">
        <f>=ROUNDDOWN(12.2155688622754,0)</f>
      </c>
      <c r="AB2846" s="5">
        <v>16.7</v>
      </c>
      <c r="AC2846" s="2" t="s">
        <v>312</v>
      </c>
      <c r="AD2846" s="4">
        <v>150</v>
      </c>
      <c r="AE2846" s="4">
        <v>250</v>
      </c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 t="s">
        <v>100</v>
      </c>
      <c r="AW2846" s="8" t="s">
        <v>100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 t="s">
        <v>100</v>
      </c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 t="s">
        <v>100</v>
      </c>
      <c r="BJ2846" s="4">
        <v>71</v>
      </c>
      <c r="BK2846" s="8">
        <v>1087.75</v>
      </c>
      <c r="BL2846" s="2" t="s">
        <v>9731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109</v>
      </c>
      <c r="BV2846" s="2" t="s">
        <v>97</v>
      </c>
      <c r="BW2846" s="2" t="s">
        <v>1076</v>
      </c>
      <c r="BX2846" s="2" t="s">
        <v>3254</v>
      </c>
      <c r="BY2846" s="2" t="s">
        <v>112</v>
      </c>
      <c r="BZ2846" s="2" t="s">
        <v>100</v>
      </c>
    </row>
    <row r="2847">
      <c r="A2847" s="2" t="s">
        <v>9732</v>
      </c>
      <c r="B2847" s="2" t="s">
        <v>9043</v>
      </c>
      <c r="C2847" s="2" t="s">
        <v>3449</v>
      </c>
      <c r="D2847" s="2" t="s">
        <v>9044</v>
      </c>
      <c r="E2847" s="2" t="s">
        <v>9045</v>
      </c>
      <c r="F2847" s="2" t="s">
        <v>438</v>
      </c>
      <c r="G2847" s="2" t="s">
        <v>438</v>
      </c>
      <c r="H2847" s="2" t="s">
        <v>438</v>
      </c>
      <c r="I2847" s="2" t="s">
        <v>9712</v>
      </c>
      <c r="J2847" s="2" t="s">
        <v>114</v>
      </c>
      <c r="K2847" s="2" t="s">
        <v>4816</v>
      </c>
      <c r="L2847" s="3">
        <v>16.75</v>
      </c>
      <c r="M2847" s="3">
        <v>17.59</v>
      </c>
      <c r="N2847" s="3">
        <v>37.99</v>
      </c>
      <c r="O2847" s="2" t="s">
        <v>97</v>
      </c>
      <c r="P2847" s="2" t="s">
        <v>98</v>
      </c>
      <c r="Q2847" s="2" t="s">
        <v>99</v>
      </c>
      <c r="R2847" s="2" t="s">
        <v>100</v>
      </c>
      <c r="S2847" s="2" t="s">
        <v>9713</v>
      </c>
      <c r="T2847" s="2" t="s">
        <v>438</v>
      </c>
      <c r="U2847" s="2" t="s">
        <v>100</v>
      </c>
      <c r="V2847" s="2" t="s">
        <v>461</v>
      </c>
      <c r="W2847" s="2" t="s">
        <v>609</v>
      </c>
      <c r="X2847" s="2" t="s">
        <v>100</v>
      </c>
      <c r="Y2847" s="2" t="s">
        <v>144</v>
      </c>
      <c r="Z2847" s="4">
        <v>49</v>
      </c>
      <c r="AA2847" s="4">
        <f>=ROUNDDOWN(3.74045801526718,0)</f>
      </c>
      <c r="AB2847" s="5">
        <v>13.1</v>
      </c>
      <c r="AC2847" s="2" t="s">
        <v>312</v>
      </c>
      <c r="AD2847" s="4">
        <v>40</v>
      </c>
      <c r="AE2847" s="4">
        <v>180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 t="s">
        <v>100</v>
      </c>
      <c r="AW2847" s="8" t="s">
        <v>100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/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 t="s">
        <v>100</v>
      </c>
      <c r="BJ2847" s="4">
        <v>34</v>
      </c>
      <c r="BK2847" s="8">
        <v>608.72</v>
      </c>
      <c r="BL2847" s="2" t="s">
        <v>9733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109</v>
      </c>
      <c r="BV2847" s="2" t="s">
        <v>97</v>
      </c>
      <c r="BW2847" s="2" t="s">
        <v>159</v>
      </c>
      <c r="BX2847" s="2" t="s">
        <v>9723</v>
      </c>
      <c r="BY2847" s="2" t="s">
        <v>112</v>
      </c>
      <c r="BZ2847" s="2" t="s">
        <v>100</v>
      </c>
    </row>
    <row r="2848">
      <c r="A2848" s="2" t="s">
        <v>9734</v>
      </c>
      <c r="B2848" s="2" t="s">
        <v>9043</v>
      </c>
      <c r="C2848" s="2" t="s">
        <v>3449</v>
      </c>
      <c r="D2848" s="2" t="s">
        <v>9044</v>
      </c>
      <c r="E2848" s="2" t="s">
        <v>9045</v>
      </c>
      <c r="F2848" s="2" t="s">
        <v>438</v>
      </c>
      <c r="G2848" s="2" t="s">
        <v>438</v>
      </c>
      <c r="H2848" s="2" t="s">
        <v>438</v>
      </c>
      <c r="I2848" s="2" t="s">
        <v>9717</v>
      </c>
      <c r="J2848" s="2" t="s">
        <v>1443</v>
      </c>
      <c r="K2848" s="2" t="s">
        <v>4362</v>
      </c>
      <c r="L2848" s="3">
        <v>12.15</v>
      </c>
      <c r="M2848" s="3">
        <v>12.76</v>
      </c>
      <c r="N2848" s="3">
        <v>26.99</v>
      </c>
      <c r="O2848" s="2" t="s">
        <v>97</v>
      </c>
      <c r="P2848" s="2" t="s">
        <v>98</v>
      </c>
      <c r="Q2848" s="2" t="s">
        <v>99</v>
      </c>
      <c r="R2848" s="2" t="s">
        <v>100</v>
      </c>
      <c r="S2848" s="2" t="s">
        <v>9735</v>
      </c>
      <c r="T2848" s="2" t="s">
        <v>438</v>
      </c>
      <c r="U2848" s="2" t="s">
        <v>1228</v>
      </c>
      <c r="V2848" s="2" t="s">
        <v>461</v>
      </c>
      <c r="W2848" s="2" t="s">
        <v>609</v>
      </c>
      <c r="X2848" s="2" t="s">
        <v>493</v>
      </c>
      <c r="Y2848" s="2" t="s">
        <v>9736</v>
      </c>
      <c r="Z2848" s="4">
        <v>213</v>
      </c>
      <c r="AA2848" s="4">
        <f>=ROUNDDOWN(35.5,0)</f>
      </c>
      <c r="AB2848" s="5">
        <v>6</v>
      </c>
      <c r="AC2848" s="2" t="s">
        <v>312</v>
      </c>
      <c r="AD2848" s="4">
        <v>120</v>
      </c>
      <c r="AE2848" s="4">
        <v>120</v>
      </c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1</v>
      </c>
      <c r="AQ2848" s="8">
        <v>11.81</v>
      </c>
      <c r="AR2848" s="4"/>
      <c r="AS2848" s="8"/>
      <c r="AT2848" s="7"/>
      <c r="AU2848" s="7"/>
      <c r="AV2848" s="4">
        <v>6</v>
      </c>
      <c r="AW2848" s="8">
        <v>70.82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>
        <v>0.3205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>
        <v>0.2326</v>
      </c>
      <c r="BJ2848" s="4">
        <v>13</v>
      </c>
      <c r="BK2848" s="8">
        <v>170.78</v>
      </c>
      <c r="BL2848" s="2" t="s">
        <v>9737</v>
      </c>
      <c r="BM2848" s="7">
        <v>0.0769</v>
      </c>
      <c r="BN2848" s="7">
        <v>0.0692</v>
      </c>
      <c r="BO2848" s="4">
        <v>1</v>
      </c>
      <c r="BP2848" s="8">
        <v>11.81</v>
      </c>
      <c r="BQ2848" s="4"/>
      <c r="BR2848" s="8"/>
      <c r="BS2848" s="7"/>
      <c r="BT2848" s="7"/>
      <c r="BU2848" s="2" t="s">
        <v>109</v>
      </c>
      <c r="BV2848" s="2" t="s">
        <v>97</v>
      </c>
      <c r="BW2848" s="2" t="s">
        <v>4607</v>
      </c>
      <c r="BX2848" s="2" t="s">
        <v>9117</v>
      </c>
      <c r="BY2848" s="2" t="s">
        <v>112</v>
      </c>
      <c r="BZ2848" s="2" t="s">
        <v>100</v>
      </c>
    </row>
    <row r="2849">
      <c r="A2849" s="2" t="s">
        <v>9738</v>
      </c>
      <c r="B2849" s="2" t="s">
        <v>9043</v>
      </c>
      <c r="C2849" s="2" t="s">
        <v>3449</v>
      </c>
      <c r="D2849" s="2" t="s">
        <v>9044</v>
      </c>
      <c r="E2849" s="2" t="s">
        <v>9045</v>
      </c>
      <c r="F2849" s="2" t="s">
        <v>438</v>
      </c>
      <c r="G2849" s="2" t="s">
        <v>438</v>
      </c>
      <c r="H2849" s="2" t="s">
        <v>438</v>
      </c>
      <c r="I2849" s="2" t="s">
        <v>9712</v>
      </c>
      <c r="J2849" s="2" t="s">
        <v>1443</v>
      </c>
      <c r="K2849" s="2" t="s">
        <v>4362</v>
      </c>
      <c r="L2849" s="3">
        <v>11.18</v>
      </c>
      <c r="M2849" s="3">
        <v>11.74</v>
      </c>
      <c r="N2849" s="3">
        <v>27.99</v>
      </c>
      <c r="O2849" s="2" t="s">
        <v>97</v>
      </c>
      <c r="P2849" s="2" t="s">
        <v>98</v>
      </c>
      <c r="Q2849" s="2" t="s">
        <v>99</v>
      </c>
      <c r="R2849" s="2" t="s">
        <v>100</v>
      </c>
      <c r="S2849" s="2" t="s">
        <v>9735</v>
      </c>
      <c r="T2849" s="2" t="s">
        <v>438</v>
      </c>
      <c r="U2849" s="2" t="s">
        <v>100</v>
      </c>
      <c r="V2849" s="2" t="s">
        <v>461</v>
      </c>
      <c r="W2849" s="2" t="s">
        <v>609</v>
      </c>
      <c r="X2849" s="2" t="s">
        <v>100</v>
      </c>
      <c r="Y2849" s="2" t="s">
        <v>144</v>
      </c>
      <c r="Z2849" s="4">
        <v>210</v>
      </c>
      <c r="AA2849" s="4">
        <f>=ROUNDDOWN(30,0)</f>
      </c>
      <c r="AB2849" s="5">
        <v>7</v>
      </c>
      <c r="AC2849" s="2" t="s">
        <v>312</v>
      </c>
      <c r="AD2849" s="4">
        <v>60</v>
      </c>
      <c r="AE2849" s="4">
        <v>160</v>
      </c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1</v>
      </c>
      <c r="AQ2849" s="8">
        <v>10.89</v>
      </c>
      <c r="AR2849" s="4"/>
      <c r="AS2849" s="8"/>
      <c r="AT2849" s="7"/>
      <c r="AU2849" s="7"/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 t="s">
        <v>100</v>
      </c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 t="s">
        <v>100</v>
      </c>
      <c r="BJ2849" s="4">
        <v>21</v>
      </c>
      <c r="BK2849" s="8">
        <v>252.5</v>
      </c>
      <c r="BL2849" s="2" t="s">
        <v>9739</v>
      </c>
      <c r="BM2849" s="7">
        <v>0.0476</v>
      </c>
      <c r="BN2849" s="7">
        <v>0.0431</v>
      </c>
      <c r="BO2849" s="4">
        <v>1</v>
      </c>
      <c r="BP2849" s="8">
        <v>10.89</v>
      </c>
      <c r="BQ2849" s="4"/>
      <c r="BR2849" s="8"/>
      <c r="BS2849" s="7"/>
      <c r="BT2849" s="7"/>
      <c r="BU2849" s="2" t="s">
        <v>109</v>
      </c>
      <c r="BV2849" s="2" t="s">
        <v>97</v>
      </c>
      <c r="BW2849" s="2" t="s">
        <v>9740</v>
      </c>
      <c r="BX2849" s="2" t="s">
        <v>4793</v>
      </c>
      <c r="BY2849" s="2" t="s">
        <v>112</v>
      </c>
      <c r="BZ2849" s="2" t="s">
        <v>100</v>
      </c>
    </row>
    <row r="2850">
      <c r="A2850" s="2" t="s">
        <v>9741</v>
      </c>
      <c r="B2850" s="2" t="s">
        <v>9043</v>
      </c>
      <c r="C2850" s="2" t="s">
        <v>3449</v>
      </c>
      <c r="D2850" s="2" t="s">
        <v>9044</v>
      </c>
      <c r="E2850" s="2" t="s">
        <v>9045</v>
      </c>
      <c r="F2850" s="2" t="s">
        <v>438</v>
      </c>
      <c r="G2850" s="2" t="s">
        <v>438</v>
      </c>
      <c r="H2850" s="2" t="s">
        <v>438</v>
      </c>
      <c r="I2850" s="2" t="s">
        <v>9717</v>
      </c>
      <c r="J2850" s="2" t="s">
        <v>1806</v>
      </c>
      <c r="K2850" s="2" t="s">
        <v>4362</v>
      </c>
      <c r="L2850" s="3">
        <v>12.15</v>
      </c>
      <c r="M2850" s="3">
        <v>12.76</v>
      </c>
      <c r="N2850" s="3">
        <v>26.99</v>
      </c>
      <c r="O2850" s="2" t="s">
        <v>97</v>
      </c>
      <c r="P2850" s="2" t="s">
        <v>98</v>
      </c>
      <c r="Q2850" s="2" t="s">
        <v>99</v>
      </c>
      <c r="R2850" s="2" t="s">
        <v>100</v>
      </c>
      <c r="S2850" s="2" t="s">
        <v>9735</v>
      </c>
      <c r="T2850" s="2" t="s">
        <v>438</v>
      </c>
      <c r="U2850" s="2" t="s">
        <v>1228</v>
      </c>
      <c r="V2850" s="2" t="s">
        <v>461</v>
      </c>
      <c r="W2850" s="2" t="s">
        <v>609</v>
      </c>
      <c r="X2850" s="2" t="s">
        <v>493</v>
      </c>
      <c r="Y2850" s="2" t="s">
        <v>9736</v>
      </c>
      <c r="Z2850" s="4">
        <v>197</v>
      </c>
      <c r="AA2850" s="4">
        <f>=ROUNDDOWN(17.9090909090909,0)</f>
      </c>
      <c r="AB2850" s="5">
        <v>11</v>
      </c>
      <c r="AC2850" s="2" t="s">
        <v>312</v>
      </c>
      <c r="AD2850" s="4">
        <v>280</v>
      </c>
      <c r="AE2850" s="4">
        <v>520</v>
      </c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2</v>
      </c>
      <c r="AQ2850" s="8">
        <v>23.62</v>
      </c>
      <c r="AR2850" s="4"/>
      <c r="AS2850" s="8"/>
      <c r="AT2850" s="7"/>
      <c r="AU2850" s="7"/>
      <c r="AV2850" s="4" t="s">
        <v>100</v>
      </c>
      <c r="AW2850" s="8" t="s">
        <v>100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>
        <v>0.4873</v>
      </c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 t="s">
        <v>100</v>
      </c>
      <c r="BJ2850" s="4">
        <v>36</v>
      </c>
      <c r="BK2850" s="8">
        <v>462.11</v>
      </c>
      <c r="BL2850" s="2" t="s">
        <v>9742</v>
      </c>
      <c r="BM2850" s="7">
        <v>0.0556</v>
      </c>
      <c r="BN2850" s="7">
        <v>0.0511</v>
      </c>
      <c r="BO2850" s="4">
        <v>2</v>
      </c>
      <c r="BP2850" s="8">
        <v>23.62</v>
      </c>
      <c r="BQ2850" s="4"/>
      <c r="BR2850" s="8"/>
      <c r="BS2850" s="7"/>
      <c r="BT2850" s="7"/>
      <c r="BU2850" s="2" t="s">
        <v>109</v>
      </c>
      <c r="BV2850" s="2" t="s">
        <v>97</v>
      </c>
      <c r="BW2850" s="2" t="s">
        <v>4607</v>
      </c>
      <c r="BX2850" s="2" t="s">
        <v>9615</v>
      </c>
      <c r="BY2850" s="2" t="s">
        <v>112</v>
      </c>
      <c r="BZ2850" s="2" t="s">
        <v>100</v>
      </c>
    </row>
    <row r="2851">
      <c r="A2851" s="2" t="s">
        <v>9743</v>
      </c>
      <c r="B2851" s="2" t="s">
        <v>9043</v>
      </c>
      <c r="C2851" s="2" t="s">
        <v>3449</v>
      </c>
      <c r="D2851" s="2" t="s">
        <v>9044</v>
      </c>
      <c r="E2851" s="2" t="s">
        <v>9045</v>
      </c>
      <c r="F2851" s="2" t="s">
        <v>438</v>
      </c>
      <c r="G2851" s="2" t="s">
        <v>438</v>
      </c>
      <c r="H2851" s="2" t="s">
        <v>438</v>
      </c>
      <c r="I2851" s="2" t="s">
        <v>9712</v>
      </c>
      <c r="J2851" s="2" t="s">
        <v>1806</v>
      </c>
      <c r="K2851" s="2" t="s">
        <v>4362</v>
      </c>
      <c r="L2851" s="3">
        <v>11.18</v>
      </c>
      <c r="M2851" s="3">
        <v>11.74</v>
      </c>
      <c r="N2851" s="3">
        <v>27.99</v>
      </c>
      <c r="O2851" s="2" t="s">
        <v>97</v>
      </c>
      <c r="P2851" s="2" t="s">
        <v>98</v>
      </c>
      <c r="Q2851" s="2" t="s">
        <v>99</v>
      </c>
      <c r="R2851" s="2" t="s">
        <v>100</v>
      </c>
      <c r="S2851" s="2" t="s">
        <v>9735</v>
      </c>
      <c r="T2851" s="2" t="s">
        <v>438</v>
      </c>
      <c r="U2851" s="2" t="s">
        <v>100</v>
      </c>
      <c r="V2851" s="2" t="s">
        <v>461</v>
      </c>
      <c r="W2851" s="2" t="s">
        <v>609</v>
      </c>
      <c r="X2851" s="2" t="s">
        <v>100</v>
      </c>
      <c r="Y2851" s="2" t="s">
        <v>144</v>
      </c>
      <c r="Z2851" s="4">
        <v>191</v>
      </c>
      <c r="AA2851" s="4">
        <f>=ROUNDDOWN(35.3703703703704,0)</f>
      </c>
      <c r="AB2851" s="5">
        <v>5.4</v>
      </c>
      <c r="AC2851" s="2" t="s">
        <v>312</v>
      </c>
      <c r="AD2851" s="4">
        <v>300</v>
      </c>
      <c r="AE2851" s="4">
        <v>380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1</v>
      </c>
      <c r="AQ2851" s="8">
        <v>10.89</v>
      </c>
      <c r="AR2851" s="4"/>
      <c r="AS2851" s="8"/>
      <c r="AT2851" s="7"/>
      <c r="AU2851" s="7"/>
      <c r="AV2851" s="4" t="s">
        <v>100</v>
      </c>
      <c r="AW2851" s="8" t="s">
        <v>100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 t="s">
        <v>100</v>
      </c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 t="s">
        <v>100</v>
      </c>
      <c r="BJ2851" s="4">
        <v>16</v>
      </c>
      <c r="BK2851" s="8">
        <v>193.98</v>
      </c>
      <c r="BL2851" s="2" t="s">
        <v>9744</v>
      </c>
      <c r="BM2851" s="7">
        <v>0.0625</v>
      </c>
      <c r="BN2851" s="7">
        <v>0.0561</v>
      </c>
      <c r="BO2851" s="4">
        <v>1</v>
      </c>
      <c r="BP2851" s="8">
        <v>10.89</v>
      </c>
      <c r="BQ2851" s="4"/>
      <c r="BR2851" s="8"/>
      <c r="BS2851" s="7"/>
      <c r="BT2851" s="7"/>
      <c r="BU2851" s="2" t="s">
        <v>109</v>
      </c>
      <c r="BV2851" s="2" t="s">
        <v>97</v>
      </c>
      <c r="BW2851" s="2" t="s">
        <v>9740</v>
      </c>
      <c r="BX2851" s="2" t="s">
        <v>9745</v>
      </c>
      <c r="BY2851" s="2" t="s">
        <v>112</v>
      </c>
      <c r="BZ2851" s="2" t="s">
        <v>100</v>
      </c>
    </row>
    <row r="2852">
      <c r="A2852" s="2" t="s">
        <v>9746</v>
      </c>
      <c r="B2852" s="2" t="s">
        <v>9043</v>
      </c>
      <c r="C2852" s="2" t="s">
        <v>3449</v>
      </c>
      <c r="D2852" s="2" t="s">
        <v>9044</v>
      </c>
      <c r="E2852" s="2" t="s">
        <v>9045</v>
      </c>
      <c r="F2852" s="2" t="s">
        <v>438</v>
      </c>
      <c r="G2852" s="2" t="s">
        <v>438</v>
      </c>
      <c r="H2852" s="2" t="s">
        <v>438</v>
      </c>
      <c r="I2852" s="2" t="s">
        <v>9717</v>
      </c>
      <c r="J2852" s="2" t="s">
        <v>490</v>
      </c>
      <c r="K2852" s="2" t="s">
        <v>4362</v>
      </c>
      <c r="L2852" s="3">
        <v>14.85</v>
      </c>
      <c r="M2852" s="3">
        <v>15.59</v>
      </c>
      <c r="N2852" s="3">
        <v>32.99</v>
      </c>
      <c r="O2852" s="2" t="s">
        <v>97</v>
      </c>
      <c r="P2852" s="2" t="s">
        <v>98</v>
      </c>
      <c r="Q2852" s="2" t="s">
        <v>99</v>
      </c>
      <c r="R2852" s="2" t="s">
        <v>100</v>
      </c>
      <c r="S2852" s="2" t="s">
        <v>9735</v>
      </c>
      <c r="T2852" s="2" t="s">
        <v>438</v>
      </c>
      <c r="U2852" s="2" t="s">
        <v>355</v>
      </c>
      <c r="V2852" s="2" t="s">
        <v>461</v>
      </c>
      <c r="W2852" s="2" t="s">
        <v>609</v>
      </c>
      <c r="X2852" s="2" t="s">
        <v>493</v>
      </c>
      <c r="Y2852" s="2" t="s">
        <v>9736</v>
      </c>
      <c r="Z2852" s="4">
        <v>64</v>
      </c>
      <c r="AA2852" s="4">
        <f>=ROUNDDOWN(16,0)</f>
      </c>
      <c r="AB2852" s="5">
        <v>4</v>
      </c>
      <c r="AC2852" s="2" t="s">
        <v>312</v>
      </c>
      <c r="AD2852" s="4">
        <v>30</v>
      </c>
      <c r="AE2852" s="4">
        <v>50</v>
      </c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 t="s">
        <v>100</v>
      </c>
      <c r="AW2852" s="8" t="s">
        <v>100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 t="s">
        <v>100</v>
      </c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 t="s">
        <v>100</v>
      </c>
      <c r="BJ2852" s="4">
        <v>12</v>
      </c>
      <c r="BK2852" s="8">
        <v>194.09</v>
      </c>
      <c r="BL2852" s="2" t="s">
        <v>9747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109</v>
      </c>
      <c r="BV2852" s="2" t="s">
        <v>97</v>
      </c>
      <c r="BW2852" s="2" t="s">
        <v>4607</v>
      </c>
      <c r="BX2852" s="2" t="s">
        <v>920</v>
      </c>
      <c r="BY2852" s="2" t="s">
        <v>112</v>
      </c>
      <c r="BZ2852" s="2" t="s">
        <v>100</v>
      </c>
    </row>
    <row r="2853">
      <c r="A2853" s="2" t="s">
        <v>9748</v>
      </c>
      <c r="B2853" s="2" t="s">
        <v>9043</v>
      </c>
      <c r="C2853" s="2" t="s">
        <v>3449</v>
      </c>
      <c r="D2853" s="2" t="s">
        <v>9044</v>
      </c>
      <c r="E2853" s="2" t="s">
        <v>9045</v>
      </c>
      <c r="F2853" s="2" t="s">
        <v>438</v>
      </c>
      <c r="G2853" s="2" t="s">
        <v>438</v>
      </c>
      <c r="H2853" s="2" t="s">
        <v>438</v>
      </c>
      <c r="I2853" s="2" t="s">
        <v>9712</v>
      </c>
      <c r="J2853" s="2" t="s">
        <v>490</v>
      </c>
      <c r="K2853" s="2" t="s">
        <v>4362</v>
      </c>
      <c r="L2853" s="3">
        <v>12.92</v>
      </c>
      <c r="M2853" s="3">
        <v>13.57</v>
      </c>
      <c r="N2853" s="3">
        <v>30.99</v>
      </c>
      <c r="O2853" s="2" t="s">
        <v>97</v>
      </c>
      <c r="P2853" s="2" t="s">
        <v>98</v>
      </c>
      <c r="Q2853" s="2" t="s">
        <v>99</v>
      </c>
      <c r="R2853" s="2" t="s">
        <v>100</v>
      </c>
      <c r="S2853" s="2" t="s">
        <v>9735</v>
      </c>
      <c r="T2853" s="2" t="s">
        <v>438</v>
      </c>
      <c r="U2853" s="2" t="s">
        <v>100</v>
      </c>
      <c r="V2853" s="2" t="s">
        <v>461</v>
      </c>
      <c r="W2853" s="2" t="s">
        <v>609</v>
      </c>
      <c r="X2853" s="2" t="s">
        <v>100</v>
      </c>
      <c r="Y2853" s="2" t="s">
        <v>144</v>
      </c>
      <c r="Z2853" s="4">
        <v>209</v>
      </c>
      <c r="AA2853" s="4">
        <f>=ROUNDDOWN(20.9,0)</f>
      </c>
      <c r="AB2853" s="5">
        <v>10</v>
      </c>
      <c r="AC2853" s="2" t="s">
        <v>312</v>
      </c>
      <c r="AD2853" s="4">
        <v>30</v>
      </c>
      <c r="AE2853" s="4">
        <v>30</v>
      </c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100</v>
      </c>
      <c r="AW2853" s="8" t="s">
        <v>100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 t="s">
        <v>100</v>
      </c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 t="s">
        <v>100</v>
      </c>
      <c r="BJ2853" s="4">
        <v>29</v>
      </c>
      <c r="BK2853" s="8">
        <v>409.62</v>
      </c>
      <c r="BL2853" s="2" t="s">
        <v>9749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109</v>
      </c>
      <c r="BV2853" s="2" t="s">
        <v>97</v>
      </c>
      <c r="BW2853" s="2" t="s">
        <v>9740</v>
      </c>
      <c r="BX2853" s="2" t="s">
        <v>9750</v>
      </c>
      <c r="BY2853" s="2" t="s">
        <v>112</v>
      </c>
      <c r="BZ2853" s="2" t="s">
        <v>100</v>
      </c>
    </row>
    <row r="2854">
      <c r="A2854" s="2" t="s">
        <v>9751</v>
      </c>
      <c r="B2854" s="2" t="s">
        <v>9043</v>
      </c>
      <c r="C2854" s="2" t="s">
        <v>3449</v>
      </c>
      <c r="D2854" s="2" t="s">
        <v>9044</v>
      </c>
      <c r="E2854" s="2" t="s">
        <v>9045</v>
      </c>
      <c r="F2854" s="2" t="s">
        <v>438</v>
      </c>
      <c r="G2854" s="2" t="s">
        <v>438</v>
      </c>
      <c r="H2854" s="2" t="s">
        <v>438</v>
      </c>
      <c r="I2854" s="2" t="s">
        <v>9712</v>
      </c>
      <c r="J2854" s="2" t="s">
        <v>95</v>
      </c>
      <c r="K2854" s="2" t="s">
        <v>4362</v>
      </c>
      <c r="L2854" s="3">
        <v>14.21</v>
      </c>
      <c r="M2854" s="3">
        <v>14.92</v>
      </c>
      <c r="N2854" s="3">
        <v>32.99</v>
      </c>
      <c r="O2854" s="2" t="s">
        <v>97</v>
      </c>
      <c r="P2854" s="2" t="s">
        <v>98</v>
      </c>
      <c r="Q2854" s="2" t="s">
        <v>99</v>
      </c>
      <c r="R2854" s="2" t="s">
        <v>100</v>
      </c>
      <c r="S2854" s="2" t="s">
        <v>9735</v>
      </c>
      <c r="T2854" s="2" t="s">
        <v>438</v>
      </c>
      <c r="U2854" s="2" t="s">
        <v>100</v>
      </c>
      <c r="V2854" s="2" t="s">
        <v>461</v>
      </c>
      <c r="W2854" s="2" t="s">
        <v>609</v>
      </c>
      <c r="X2854" s="2" t="s">
        <v>100</v>
      </c>
      <c r="Y2854" s="2" t="s">
        <v>144</v>
      </c>
      <c r="Z2854" s="4">
        <v>264</v>
      </c>
      <c r="AA2854" s="4">
        <f>=ROUNDDOWN(8.51612903225806,0)</f>
      </c>
      <c r="AB2854" s="5">
        <v>31</v>
      </c>
      <c r="AC2854" s="2" t="s">
        <v>312</v>
      </c>
      <c r="AD2854" s="4">
        <v>280</v>
      </c>
      <c r="AE2854" s="4">
        <v>770</v>
      </c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1</v>
      </c>
      <c r="AQ2854" s="8">
        <v>13.61</v>
      </c>
      <c r="AR2854" s="4"/>
      <c r="AS2854" s="8"/>
      <c r="AT2854" s="7"/>
      <c r="AU2854" s="7"/>
      <c r="AV2854" s="4" t="s">
        <v>100</v>
      </c>
      <c r="AW2854" s="8" t="s">
        <v>100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>
        <v>0.1922</v>
      </c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 t="s">
        <v>100</v>
      </c>
      <c r="BJ2854" s="4">
        <v>150</v>
      </c>
      <c r="BK2854" s="8">
        <v>2240.56</v>
      </c>
      <c r="BL2854" s="2" t="s">
        <v>9752</v>
      </c>
      <c r="BM2854" s="7">
        <v>0.0067</v>
      </c>
      <c r="BN2854" s="7">
        <v>0.0061</v>
      </c>
      <c r="BO2854" s="4">
        <v>1</v>
      </c>
      <c r="BP2854" s="8">
        <v>13.61</v>
      </c>
      <c r="BQ2854" s="4"/>
      <c r="BR2854" s="8"/>
      <c r="BS2854" s="7"/>
      <c r="BT2854" s="7"/>
      <c r="BU2854" s="2" t="s">
        <v>109</v>
      </c>
      <c r="BV2854" s="2" t="s">
        <v>97</v>
      </c>
      <c r="BW2854" s="2" t="s">
        <v>9740</v>
      </c>
      <c r="BX2854" s="2" t="s">
        <v>9753</v>
      </c>
      <c r="BY2854" s="2" t="s">
        <v>112</v>
      </c>
      <c r="BZ2854" s="2" t="s">
        <v>100</v>
      </c>
    </row>
    <row r="2855">
      <c r="A2855" s="2" t="s">
        <v>9754</v>
      </c>
      <c r="B2855" s="2" t="s">
        <v>9043</v>
      </c>
      <c r="C2855" s="2" t="s">
        <v>3449</v>
      </c>
      <c r="D2855" s="2" t="s">
        <v>9044</v>
      </c>
      <c r="E2855" s="2" t="s">
        <v>9045</v>
      </c>
      <c r="F2855" s="2" t="s">
        <v>438</v>
      </c>
      <c r="G2855" s="2" t="s">
        <v>438</v>
      </c>
      <c r="H2855" s="2" t="s">
        <v>438</v>
      </c>
      <c r="I2855" s="2" t="s">
        <v>9717</v>
      </c>
      <c r="J2855" s="2" t="s">
        <v>95</v>
      </c>
      <c r="K2855" s="2" t="s">
        <v>4362</v>
      </c>
      <c r="L2855" s="3">
        <v>14.85</v>
      </c>
      <c r="M2855" s="3">
        <v>15.59</v>
      </c>
      <c r="N2855" s="3">
        <v>32.99</v>
      </c>
      <c r="O2855" s="2" t="s">
        <v>97</v>
      </c>
      <c r="P2855" s="2" t="s">
        <v>98</v>
      </c>
      <c r="Q2855" s="2" t="s">
        <v>99</v>
      </c>
      <c r="R2855" s="2" t="s">
        <v>100</v>
      </c>
      <c r="S2855" s="2" t="s">
        <v>9735</v>
      </c>
      <c r="T2855" s="2" t="s">
        <v>438</v>
      </c>
      <c r="U2855" s="2" t="s">
        <v>355</v>
      </c>
      <c r="V2855" s="2" t="s">
        <v>461</v>
      </c>
      <c r="W2855" s="2" t="s">
        <v>609</v>
      </c>
      <c r="X2855" s="2" t="s">
        <v>493</v>
      </c>
      <c r="Y2855" s="2" t="s">
        <v>9736</v>
      </c>
      <c r="Z2855" s="4">
        <v>114</v>
      </c>
      <c r="AA2855" s="4">
        <f>=ROUNDDOWN(8.76923076923077,0)</f>
      </c>
      <c r="AB2855" s="5">
        <v>13</v>
      </c>
      <c r="AC2855" s="2" t="s">
        <v>312</v>
      </c>
      <c r="AD2855" s="4">
        <v>130</v>
      </c>
      <c r="AE2855" s="4">
        <v>320</v>
      </c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 t="s">
        <v>100</v>
      </c>
      <c r="AW2855" s="8" t="s">
        <v>100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 t="s">
        <v>100</v>
      </c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 t="s">
        <v>100</v>
      </c>
      <c r="BJ2855" s="4">
        <v>62</v>
      </c>
      <c r="BK2855" s="8">
        <v>999.07</v>
      </c>
      <c r="BL2855" s="2" t="s">
        <v>5562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109</v>
      </c>
      <c r="BV2855" s="2" t="s">
        <v>97</v>
      </c>
      <c r="BW2855" s="2" t="s">
        <v>4607</v>
      </c>
      <c r="BX2855" s="2" t="s">
        <v>9197</v>
      </c>
      <c r="BY2855" s="2" t="s">
        <v>112</v>
      </c>
      <c r="BZ2855" s="2" t="s">
        <v>100</v>
      </c>
    </row>
    <row r="2856">
      <c r="A2856" s="2" t="s">
        <v>9755</v>
      </c>
      <c r="B2856" s="2" t="s">
        <v>9043</v>
      </c>
      <c r="C2856" s="2" t="s">
        <v>3449</v>
      </c>
      <c r="D2856" s="2" t="s">
        <v>9044</v>
      </c>
      <c r="E2856" s="2" t="s">
        <v>9045</v>
      </c>
      <c r="F2856" s="2" t="s">
        <v>438</v>
      </c>
      <c r="G2856" s="2" t="s">
        <v>438</v>
      </c>
      <c r="H2856" s="2" t="s">
        <v>438</v>
      </c>
      <c r="I2856" s="2" t="s">
        <v>9712</v>
      </c>
      <c r="J2856" s="2" t="s">
        <v>114</v>
      </c>
      <c r="K2856" s="2" t="s">
        <v>4362</v>
      </c>
      <c r="L2856" s="3">
        <v>16.75</v>
      </c>
      <c r="M2856" s="3">
        <v>17.59</v>
      </c>
      <c r="N2856" s="3">
        <v>37.99</v>
      </c>
      <c r="O2856" s="2" t="s">
        <v>97</v>
      </c>
      <c r="P2856" s="2" t="s">
        <v>98</v>
      </c>
      <c r="Q2856" s="2" t="s">
        <v>99</v>
      </c>
      <c r="R2856" s="2" t="s">
        <v>100</v>
      </c>
      <c r="S2856" s="2" t="s">
        <v>9735</v>
      </c>
      <c r="T2856" s="2" t="s">
        <v>438</v>
      </c>
      <c r="U2856" s="2" t="s">
        <v>100</v>
      </c>
      <c r="V2856" s="2" t="s">
        <v>461</v>
      </c>
      <c r="W2856" s="2" t="s">
        <v>609</v>
      </c>
      <c r="X2856" s="2" t="s">
        <v>100</v>
      </c>
      <c r="Y2856" s="2" t="s">
        <v>144</v>
      </c>
      <c r="Z2856" s="4">
        <v>269</v>
      </c>
      <c r="AA2856" s="4">
        <f>=ROUNDDOWN(33.625,0)</f>
      </c>
      <c r="AB2856" s="5">
        <v>8</v>
      </c>
      <c r="AC2856" s="2" t="s">
        <v>312</v>
      </c>
      <c r="AD2856" s="4">
        <v>50</v>
      </c>
      <c r="AE2856" s="4">
        <v>50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 t="s">
        <v>100</v>
      </c>
      <c r="AW2856" s="8" t="s">
        <v>100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/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 t="s">
        <v>100</v>
      </c>
      <c r="BJ2856" s="4">
        <v>25</v>
      </c>
      <c r="BK2856" s="8">
        <v>461.09</v>
      </c>
      <c r="BL2856" s="2" t="s">
        <v>9756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109</v>
      </c>
      <c r="BV2856" s="2" t="s">
        <v>97</v>
      </c>
      <c r="BW2856" s="2" t="s">
        <v>9740</v>
      </c>
      <c r="BX2856" s="2" t="s">
        <v>4177</v>
      </c>
      <c r="BY2856" s="2" t="s">
        <v>112</v>
      </c>
      <c r="BZ2856" s="2" t="s">
        <v>100</v>
      </c>
    </row>
    <row r="2857">
      <c r="A2857" s="2" t="s">
        <v>9757</v>
      </c>
      <c r="B2857" s="2" t="s">
        <v>9043</v>
      </c>
      <c r="C2857" s="2" t="s">
        <v>3449</v>
      </c>
      <c r="D2857" s="2" t="s">
        <v>9044</v>
      </c>
      <c r="E2857" s="2" t="s">
        <v>9045</v>
      </c>
      <c r="F2857" s="2" t="s">
        <v>438</v>
      </c>
      <c r="G2857" s="2" t="s">
        <v>438</v>
      </c>
      <c r="H2857" s="2" t="s">
        <v>438</v>
      </c>
      <c r="I2857" s="2" t="s">
        <v>9712</v>
      </c>
      <c r="J2857" s="2" t="s">
        <v>1443</v>
      </c>
      <c r="K2857" s="2" t="s">
        <v>842</v>
      </c>
      <c r="L2857" s="3">
        <v>11.18</v>
      </c>
      <c r="M2857" s="3">
        <v>11.74</v>
      </c>
      <c r="N2857" s="3">
        <v>27.99</v>
      </c>
      <c r="O2857" s="2" t="s">
        <v>97</v>
      </c>
      <c r="P2857" s="2" t="s">
        <v>98</v>
      </c>
      <c r="Q2857" s="2" t="s">
        <v>99</v>
      </c>
      <c r="R2857" s="2" t="s">
        <v>100</v>
      </c>
      <c r="S2857" s="2" t="s">
        <v>9758</v>
      </c>
      <c r="T2857" s="2" t="s">
        <v>438</v>
      </c>
      <c r="U2857" s="2" t="s">
        <v>100</v>
      </c>
      <c r="V2857" s="2" t="s">
        <v>461</v>
      </c>
      <c r="W2857" s="2" t="s">
        <v>609</v>
      </c>
      <c r="X2857" s="2" t="s">
        <v>100</v>
      </c>
      <c r="Y2857" s="2" t="s">
        <v>144</v>
      </c>
      <c r="Z2857" s="4">
        <v>319</v>
      </c>
      <c r="AA2857" s="4">
        <f>=ROUNDDOWN(39.875,0)</f>
      </c>
      <c r="AB2857" s="5">
        <v>8</v>
      </c>
      <c r="AC2857" s="2" t="s">
        <v>312</v>
      </c>
      <c r="AD2857" s="4">
        <v>80</v>
      </c>
      <c r="AE2857" s="4">
        <v>80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2</v>
      </c>
      <c r="AQ2857" s="8">
        <v>21.78</v>
      </c>
      <c r="AR2857" s="4"/>
      <c r="AS2857" s="8"/>
      <c r="AT2857" s="7"/>
      <c r="AU2857" s="7"/>
      <c r="AV2857" s="4">
        <v>5</v>
      </c>
      <c r="AW2857" s="8">
        <v>61.52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>
        <v>0.354</v>
      </c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>
        <v>0.2021</v>
      </c>
      <c r="BJ2857" s="4">
        <v>37</v>
      </c>
      <c r="BK2857" s="8">
        <v>432.27</v>
      </c>
      <c r="BL2857" s="2" t="s">
        <v>9759</v>
      </c>
      <c r="BM2857" s="7">
        <v>0.0541</v>
      </c>
      <c r="BN2857" s="7">
        <v>0.0504</v>
      </c>
      <c r="BO2857" s="4">
        <v>2</v>
      </c>
      <c r="BP2857" s="8">
        <v>21.78</v>
      </c>
      <c r="BQ2857" s="4"/>
      <c r="BR2857" s="8"/>
      <c r="BS2857" s="7"/>
      <c r="BT2857" s="7"/>
      <c r="BU2857" s="2" t="s">
        <v>109</v>
      </c>
      <c r="BV2857" s="2" t="s">
        <v>97</v>
      </c>
      <c r="BW2857" s="2" t="s">
        <v>9740</v>
      </c>
      <c r="BX2857" s="2" t="s">
        <v>9760</v>
      </c>
      <c r="BY2857" s="2" t="s">
        <v>112</v>
      </c>
      <c r="BZ2857" s="2" t="s">
        <v>100</v>
      </c>
    </row>
    <row r="2858">
      <c r="A2858" s="2" t="s">
        <v>9761</v>
      </c>
      <c r="B2858" s="2" t="s">
        <v>9043</v>
      </c>
      <c r="C2858" s="2" t="s">
        <v>3449</v>
      </c>
      <c r="D2858" s="2" t="s">
        <v>9044</v>
      </c>
      <c r="E2858" s="2" t="s">
        <v>9045</v>
      </c>
      <c r="F2858" s="2" t="s">
        <v>438</v>
      </c>
      <c r="G2858" s="2" t="s">
        <v>438</v>
      </c>
      <c r="H2858" s="2" t="s">
        <v>438</v>
      </c>
      <c r="I2858" s="2" t="s">
        <v>9712</v>
      </c>
      <c r="J2858" s="2" t="s">
        <v>1806</v>
      </c>
      <c r="K2858" s="2" t="s">
        <v>842</v>
      </c>
      <c r="L2858" s="3">
        <v>11.18</v>
      </c>
      <c r="M2858" s="3">
        <v>11.74</v>
      </c>
      <c r="N2858" s="3">
        <v>27.99</v>
      </c>
      <c r="O2858" s="2" t="s">
        <v>97</v>
      </c>
      <c r="P2858" s="2" t="s">
        <v>98</v>
      </c>
      <c r="Q2858" s="2" t="s">
        <v>99</v>
      </c>
      <c r="R2858" s="2" t="s">
        <v>100</v>
      </c>
      <c r="S2858" s="2" t="s">
        <v>9758</v>
      </c>
      <c r="T2858" s="2" t="s">
        <v>438</v>
      </c>
      <c r="U2858" s="2" t="s">
        <v>100</v>
      </c>
      <c r="V2858" s="2" t="s">
        <v>461</v>
      </c>
      <c r="W2858" s="2" t="s">
        <v>609</v>
      </c>
      <c r="X2858" s="2" t="s">
        <v>100</v>
      </c>
      <c r="Y2858" s="2" t="s">
        <v>144</v>
      </c>
      <c r="Z2858" s="4">
        <v>406</v>
      </c>
      <c r="AA2858" s="4">
        <f>=ROUNDDOWN(81.2,0)</f>
      </c>
      <c r="AB2858" s="5">
        <v>5</v>
      </c>
      <c r="AC2858" s="2" t="s">
        <v>312</v>
      </c>
      <c r="AD2858" s="4">
        <v>100</v>
      </c>
      <c r="AE2858" s="4">
        <v>170</v>
      </c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 t="s">
        <v>100</v>
      </c>
      <c r="AW2858" s="8" t="s">
        <v>100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/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 t="s">
        <v>100</v>
      </c>
      <c r="BJ2858" s="4">
        <v>12</v>
      </c>
      <c r="BK2858" s="8">
        <v>145.62</v>
      </c>
      <c r="BL2858" s="2" t="s">
        <v>9762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109</v>
      </c>
      <c r="BV2858" s="2" t="s">
        <v>97</v>
      </c>
      <c r="BW2858" s="2" t="s">
        <v>9740</v>
      </c>
      <c r="BX2858" s="2" t="s">
        <v>1108</v>
      </c>
      <c r="BY2858" s="2" t="s">
        <v>112</v>
      </c>
      <c r="BZ2858" s="2" t="s">
        <v>100</v>
      </c>
    </row>
    <row r="2859">
      <c r="A2859" s="2" t="s">
        <v>9763</v>
      </c>
      <c r="B2859" s="2" t="s">
        <v>9043</v>
      </c>
      <c r="C2859" s="2" t="s">
        <v>3449</v>
      </c>
      <c r="D2859" s="2" t="s">
        <v>9044</v>
      </c>
      <c r="E2859" s="2" t="s">
        <v>9045</v>
      </c>
      <c r="F2859" s="2" t="s">
        <v>438</v>
      </c>
      <c r="G2859" s="2" t="s">
        <v>438</v>
      </c>
      <c r="H2859" s="2" t="s">
        <v>438</v>
      </c>
      <c r="I2859" s="2" t="s">
        <v>9712</v>
      </c>
      <c r="J2859" s="2" t="s">
        <v>490</v>
      </c>
      <c r="K2859" s="2" t="s">
        <v>842</v>
      </c>
      <c r="L2859" s="3">
        <v>12.92</v>
      </c>
      <c r="M2859" s="3">
        <v>13.57</v>
      </c>
      <c r="N2859" s="3">
        <v>30.99</v>
      </c>
      <c r="O2859" s="2" t="s">
        <v>97</v>
      </c>
      <c r="P2859" s="2" t="s">
        <v>98</v>
      </c>
      <c r="Q2859" s="2" t="s">
        <v>99</v>
      </c>
      <c r="R2859" s="2" t="s">
        <v>100</v>
      </c>
      <c r="S2859" s="2" t="s">
        <v>9758</v>
      </c>
      <c r="T2859" s="2" t="s">
        <v>438</v>
      </c>
      <c r="U2859" s="2" t="s">
        <v>100</v>
      </c>
      <c r="V2859" s="2" t="s">
        <v>461</v>
      </c>
      <c r="W2859" s="2" t="s">
        <v>609</v>
      </c>
      <c r="X2859" s="2" t="s">
        <v>100</v>
      </c>
      <c r="Y2859" s="2" t="s">
        <v>144</v>
      </c>
      <c r="Z2859" s="4">
        <v>279</v>
      </c>
      <c r="AA2859" s="4">
        <f>=ROUNDDOWN(69.75,0)</f>
      </c>
      <c r="AB2859" s="5">
        <v>4</v>
      </c>
      <c r="AC2859" s="2" t="s">
        <v>100</v>
      </c>
      <c r="AD2859" s="4"/>
      <c r="AE2859" s="4"/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1</v>
      </c>
      <c r="AQ2859" s="8">
        <v>12.52</v>
      </c>
      <c r="AR2859" s="4"/>
      <c r="AS2859" s="8"/>
      <c r="AT2859" s="7"/>
      <c r="AU2859" s="7"/>
      <c r="AV2859" s="4" t="s">
        <v>100</v>
      </c>
      <c r="AW2859" s="8" t="s">
        <v>100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>
        <v>0.2035</v>
      </c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 t="s">
        <v>100</v>
      </c>
      <c r="BJ2859" s="4">
        <v>16</v>
      </c>
      <c r="BK2859" s="8">
        <v>239.69</v>
      </c>
      <c r="BL2859" s="2" t="s">
        <v>9764</v>
      </c>
      <c r="BM2859" s="7">
        <v>0.0625</v>
      </c>
      <c r="BN2859" s="7">
        <v>0.0522</v>
      </c>
      <c r="BO2859" s="4">
        <v>1</v>
      </c>
      <c r="BP2859" s="8">
        <v>12.52</v>
      </c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9740</v>
      </c>
      <c r="BX2859" s="2" t="s">
        <v>9765</v>
      </c>
      <c r="BY2859" s="2" t="s">
        <v>112</v>
      </c>
      <c r="BZ2859" s="2" t="s">
        <v>100</v>
      </c>
    </row>
    <row r="2860">
      <c r="A2860" s="2" t="s">
        <v>9766</v>
      </c>
      <c r="B2860" s="2" t="s">
        <v>9043</v>
      </c>
      <c r="C2860" s="2" t="s">
        <v>3449</v>
      </c>
      <c r="D2860" s="2" t="s">
        <v>9044</v>
      </c>
      <c r="E2860" s="2" t="s">
        <v>9045</v>
      </c>
      <c r="F2860" s="2" t="s">
        <v>438</v>
      </c>
      <c r="G2860" s="2" t="s">
        <v>438</v>
      </c>
      <c r="H2860" s="2" t="s">
        <v>438</v>
      </c>
      <c r="I2860" s="2" t="s">
        <v>9712</v>
      </c>
      <c r="J2860" s="2" t="s">
        <v>95</v>
      </c>
      <c r="K2860" s="2" t="s">
        <v>842</v>
      </c>
      <c r="L2860" s="3">
        <v>14.21</v>
      </c>
      <c r="M2860" s="3">
        <v>14.92</v>
      </c>
      <c r="N2860" s="3">
        <v>32.99</v>
      </c>
      <c r="O2860" s="2" t="s">
        <v>97</v>
      </c>
      <c r="P2860" s="2" t="s">
        <v>98</v>
      </c>
      <c r="Q2860" s="2" t="s">
        <v>99</v>
      </c>
      <c r="R2860" s="2" t="s">
        <v>100</v>
      </c>
      <c r="S2860" s="2" t="s">
        <v>9758</v>
      </c>
      <c r="T2860" s="2" t="s">
        <v>438</v>
      </c>
      <c r="U2860" s="2" t="s">
        <v>100</v>
      </c>
      <c r="V2860" s="2" t="s">
        <v>461</v>
      </c>
      <c r="W2860" s="2" t="s">
        <v>609</v>
      </c>
      <c r="X2860" s="2" t="s">
        <v>100</v>
      </c>
      <c r="Y2860" s="2" t="s">
        <v>144</v>
      </c>
      <c r="Z2860" s="4">
        <v>125</v>
      </c>
      <c r="AA2860" s="4">
        <f>=ROUNDDOWN(3.55113636363636,0)</f>
      </c>
      <c r="AB2860" s="5">
        <v>35.2</v>
      </c>
      <c r="AC2860" s="2" t="s">
        <v>312</v>
      </c>
      <c r="AD2860" s="4">
        <v>300</v>
      </c>
      <c r="AE2860" s="4">
        <v>939</v>
      </c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2</v>
      </c>
      <c r="AQ2860" s="8">
        <v>27.22</v>
      </c>
      <c r="AR2860" s="4"/>
      <c r="AS2860" s="8"/>
      <c r="AT2860" s="7"/>
      <c r="AU2860" s="7"/>
      <c r="AV2860" s="4" t="s">
        <v>100</v>
      </c>
      <c r="AW2860" s="8" t="s">
        <v>100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>
        <v>0.4425</v>
      </c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 t="s">
        <v>100</v>
      </c>
      <c r="BJ2860" s="4">
        <v>151</v>
      </c>
      <c r="BK2860" s="8">
        <v>2252.29</v>
      </c>
      <c r="BL2860" s="2" t="s">
        <v>9767</v>
      </c>
      <c r="BM2860" s="7">
        <v>0.0132</v>
      </c>
      <c r="BN2860" s="7">
        <v>0.0121</v>
      </c>
      <c r="BO2860" s="4">
        <v>2</v>
      </c>
      <c r="BP2860" s="8">
        <v>27.22</v>
      </c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9740</v>
      </c>
      <c r="BX2860" s="2" t="s">
        <v>9753</v>
      </c>
      <c r="BY2860" s="2" t="s">
        <v>112</v>
      </c>
      <c r="BZ2860" s="2" t="s">
        <v>100</v>
      </c>
    </row>
    <row r="2861">
      <c r="A2861" s="2" t="s">
        <v>9768</v>
      </c>
      <c r="B2861" s="2" t="s">
        <v>9043</v>
      </c>
      <c r="C2861" s="2" t="s">
        <v>3449</v>
      </c>
      <c r="D2861" s="2" t="s">
        <v>9044</v>
      </c>
      <c r="E2861" s="2" t="s">
        <v>9045</v>
      </c>
      <c r="F2861" s="2" t="s">
        <v>438</v>
      </c>
      <c r="G2861" s="2" t="s">
        <v>438</v>
      </c>
      <c r="H2861" s="2" t="s">
        <v>438</v>
      </c>
      <c r="I2861" s="2" t="s">
        <v>9712</v>
      </c>
      <c r="J2861" s="2" t="s">
        <v>114</v>
      </c>
      <c r="K2861" s="2" t="s">
        <v>842</v>
      </c>
      <c r="L2861" s="3">
        <v>16.75</v>
      </c>
      <c r="M2861" s="3">
        <v>17.59</v>
      </c>
      <c r="N2861" s="3">
        <v>37.99</v>
      </c>
      <c r="O2861" s="2" t="s">
        <v>97</v>
      </c>
      <c r="P2861" s="2" t="s">
        <v>98</v>
      </c>
      <c r="Q2861" s="2" t="s">
        <v>99</v>
      </c>
      <c r="R2861" s="2" t="s">
        <v>100</v>
      </c>
      <c r="S2861" s="2" t="s">
        <v>9758</v>
      </c>
      <c r="T2861" s="2" t="s">
        <v>438</v>
      </c>
      <c r="U2861" s="2" t="s">
        <v>100</v>
      </c>
      <c r="V2861" s="2" t="s">
        <v>461</v>
      </c>
      <c r="W2861" s="2" t="s">
        <v>609</v>
      </c>
      <c r="X2861" s="2" t="s">
        <v>100</v>
      </c>
      <c r="Y2861" s="2" t="s">
        <v>144</v>
      </c>
      <c r="Z2861" s="4">
        <v>204</v>
      </c>
      <c r="AA2861" s="4">
        <f>=ROUNDDOWN(20.4,0)</f>
      </c>
      <c r="AB2861" s="5">
        <v>10</v>
      </c>
      <c r="AC2861" s="2" t="s">
        <v>312</v>
      </c>
      <c r="AD2861" s="4">
        <v>40</v>
      </c>
      <c r="AE2861" s="4">
        <v>70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/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 t="s">
        <v>100</v>
      </c>
      <c r="BJ2861" s="4">
        <v>29</v>
      </c>
      <c r="BK2861" s="8">
        <v>527.24</v>
      </c>
      <c r="BL2861" s="2" t="s">
        <v>9769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9740</v>
      </c>
      <c r="BX2861" s="2" t="s">
        <v>1670</v>
      </c>
      <c r="BY2861" s="2" t="s">
        <v>112</v>
      </c>
      <c r="BZ2861" s="2" t="s">
        <v>100</v>
      </c>
    </row>
    <row r="2862">
      <c r="A2862" s="2" t="s">
        <v>9770</v>
      </c>
      <c r="B2862" s="2" t="s">
        <v>9043</v>
      </c>
      <c r="C2862" s="2" t="s">
        <v>3449</v>
      </c>
      <c r="D2862" s="2" t="s">
        <v>9044</v>
      </c>
      <c r="E2862" s="2" t="s">
        <v>9045</v>
      </c>
      <c r="F2862" s="2" t="s">
        <v>438</v>
      </c>
      <c r="G2862" s="2" t="s">
        <v>438</v>
      </c>
      <c r="H2862" s="2" t="s">
        <v>438</v>
      </c>
      <c r="I2862" s="2" t="s">
        <v>9717</v>
      </c>
      <c r="J2862" s="2" t="s">
        <v>1443</v>
      </c>
      <c r="K2862" s="2" t="s">
        <v>96</v>
      </c>
      <c r="L2862" s="3">
        <v>12.15</v>
      </c>
      <c r="M2862" s="3">
        <v>12.76</v>
      </c>
      <c r="N2862" s="3">
        <v>26.99</v>
      </c>
      <c r="O2862" s="2" t="s">
        <v>97</v>
      </c>
      <c r="P2862" s="2" t="s">
        <v>98</v>
      </c>
      <c r="Q2862" s="2" t="s">
        <v>99</v>
      </c>
      <c r="R2862" s="2" t="s">
        <v>100</v>
      </c>
      <c r="S2862" s="2" t="s">
        <v>9771</v>
      </c>
      <c r="T2862" s="2" t="s">
        <v>438</v>
      </c>
      <c r="U2862" s="2" t="s">
        <v>1228</v>
      </c>
      <c r="V2862" s="2" t="s">
        <v>461</v>
      </c>
      <c r="W2862" s="2" t="s">
        <v>493</v>
      </c>
      <c r="X2862" s="2" t="s">
        <v>100</v>
      </c>
      <c r="Y2862" s="2" t="s">
        <v>9346</v>
      </c>
      <c r="Z2862" s="4">
        <v>165</v>
      </c>
      <c r="AA2862" s="4">
        <f>=ROUNDDOWN(33,0)</f>
      </c>
      <c r="AB2862" s="5">
        <v>5</v>
      </c>
      <c r="AC2862" s="2" t="s">
        <v>3027</v>
      </c>
      <c r="AD2862" s="4">
        <v>40</v>
      </c>
      <c r="AE2862" s="4">
        <v>40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1</v>
      </c>
      <c r="AQ2862" s="8">
        <v>12.76</v>
      </c>
      <c r="AR2862" s="4"/>
      <c r="AS2862" s="8"/>
      <c r="AT2862" s="7"/>
      <c r="AU2862" s="7"/>
      <c r="AV2862" s="4">
        <v>4</v>
      </c>
      <c r="AW2862" s="8">
        <v>59.71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>
        <v>0.2137</v>
      </c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>
        <v>0.1961</v>
      </c>
      <c r="BJ2862" s="4">
        <v>8</v>
      </c>
      <c r="BK2862" s="8">
        <v>102.29</v>
      </c>
      <c r="BL2862" s="2" t="s">
        <v>9772</v>
      </c>
      <c r="BM2862" s="7">
        <v>0.125</v>
      </c>
      <c r="BN2862" s="7">
        <v>0.1247</v>
      </c>
      <c r="BO2862" s="4">
        <v>1</v>
      </c>
      <c r="BP2862" s="8">
        <v>12.76</v>
      </c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1076</v>
      </c>
      <c r="BX2862" s="2" t="s">
        <v>8566</v>
      </c>
      <c r="BY2862" s="2" t="s">
        <v>112</v>
      </c>
      <c r="BZ2862" s="2" t="s">
        <v>100</v>
      </c>
    </row>
    <row r="2863">
      <c r="A2863" s="2" t="s">
        <v>9773</v>
      </c>
      <c r="B2863" s="2" t="s">
        <v>9043</v>
      </c>
      <c r="C2863" s="2" t="s">
        <v>3449</v>
      </c>
      <c r="D2863" s="2" t="s">
        <v>9044</v>
      </c>
      <c r="E2863" s="2" t="s">
        <v>9045</v>
      </c>
      <c r="F2863" s="2" t="s">
        <v>438</v>
      </c>
      <c r="G2863" s="2" t="s">
        <v>438</v>
      </c>
      <c r="H2863" s="2" t="s">
        <v>438</v>
      </c>
      <c r="I2863" s="2" t="s">
        <v>9712</v>
      </c>
      <c r="J2863" s="2" t="s">
        <v>1443</v>
      </c>
      <c r="K2863" s="2" t="s">
        <v>96</v>
      </c>
      <c r="L2863" s="3">
        <v>11.18</v>
      </c>
      <c r="M2863" s="3">
        <v>11.74</v>
      </c>
      <c r="N2863" s="3">
        <v>27.99</v>
      </c>
      <c r="O2863" s="2" t="s">
        <v>97</v>
      </c>
      <c r="P2863" s="2" t="s">
        <v>98</v>
      </c>
      <c r="Q2863" s="2" t="s">
        <v>99</v>
      </c>
      <c r="R2863" s="2" t="s">
        <v>100</v>
      </c>
      <c r="S2863" s="2" t="s">
        <v>9771</v>
      </c>
      <c r="T2863" s="2" t="s">
        <v>438</v>
      </c>
      <c r="U2863" s="2" t="s">
        <v>100</v>
      </c>
      <c r="V2863" s="2" t="s">
        <v>461</v>
      </c>
      <c r="W2863" s="2" t="s">
        <v>609</v>
      </c>
      <c r="X2863" s="2" t="s">
        <v>100</v>
      </c>
      <c r="Y2863" s="2" t="s">
        <v>144</v>
      </c>
      <c r="Z2863" s="4">
        <v>255</v>
      </c>
      <c r="AA2863" s="4">
        <f>=ROUNDDOWN(42.5,0)</f>
      </c>
      <c r="AB2863" s="5">
        <v>6</v>
      </c>
      <c r="AC2863" s="2" t="s">
        <v>312</v>
      </c>
      <c r="AD2863" s="4">
        <v>40</v>
      </c>
      <c r="AE2863" s="4">
        <v>80</v>
      </c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 t="s">
        <v>100</v>
      </c>
      <c r="AW2863" s="8" t="s">
        <v>100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 t="s">
        <v>100</v>
      </c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 t="s">
        <v>100</v>
      </c>
      <c r="BJ2863" s="4">
        <v>23</v>
      </c>
      <c r="BK2863" s="8">
        <v>273.63</v>
      </c>
      <c r="BL2863" s="2" t="s">
        <v>9774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109</v>
      </c>
      <c r="BV2863" s="2" t="s">
        <v>97</v>
      </c>
      <c r="BW2863" s="2" t="s">
        <v>159</v>
      </c>
      <c r="BX2863" s="2" t="s">
        <v>9727</v>
      </c>
      <c r="BY2863" s="2" t="s">
        <v>112</v>
      </c>
      <c r="BZ2863" s="2" t="s">
        <v>100</v>
      </c>
    </row>
    <row r="2864">
      <c r="A2864" s="2" t="s">
        <v>9775</v>
      </c>
      <c r="B2864" s="2" t="s">
        <v>9043</v>
      </c>
      <c r="C2864" s="2" t="s">
        <v>3449</v>
      </c>
      <c r="D2864" s="2" t="s">
        <v>9044</v>
      </c>
      <c r="E2864" s="2" t="s">
        <v>9045</v>
      </c>
      <c r="F2864" s="2" t="s">
        <v>438</v>
      </c>
      <c r="G2864" s="2" t="s">
        <v>438</v>
      </c>
      <c r="H2864" s="2" t="s">
        <v>438</v>
      </c>
      <c r="I2864" s="2" t="s">
        <v>9712</v>
      </c>
      <c r="J2864" s="2" t="s">
        <v>1806</v>
      </c>
      <c r="K2864" s="2" t="s">
        <v>96</v>
      </c>
      <c r="L2864" s="3">
        <v>11.18</v>
      </c>
      <c r="M2864" s="3">
        <v>11.74</v>
      </c>
      <c r="N2864" s="3">
        <v>27.99</v>
      </c>
      <c r="O2864" s="2" t="s">
        <v>97</v>
      </c>
      <c r="P2864" s="2" t="s">
        <v>98</v>
      </c>
      <c r="Q2864" s="2" t="s">
        <v>99</v>
      </c>
      <c r="R2864" s="2" t="s">
        <v>100</v>
      </c>
      <c r="S2864" s="2" t="s">
        <v>9771</v>
      </c>
      <c r="T2864" s="2" t="s">
        <v>438</v>
      </c>
      <c r="U2864" s="2" t="s">
        <v>100</v>
      </c>
      <c r="V2864" s="2" t="s">
        <v>461</v>
      </c>
      <c r="W2864" s="2" t="s">
        <v>609</v>
      </c>
      <c r="X2864" s="2" t="s">
        <v>100</v>
      </c>
      <c r="Y2864" s="2" t="s">
        <v>144</v>
      </c>
      <c r="Z2864" s="4">
        <v>242</v>
      </c>
      <c r="AA2864" s="4">
        <f>=ROUNDDOWN(40.3333333333333,0)</f>
      </c>
      <c r="AB2864" s="5">
        <v>6</v>
      </c>
      <c r="AC2864" s="2" t="s">
        <v>312</v>
      </c>
      <c r="AD2864" s="4">
        <v>250</v>
      </c>
      <c r="AE2864" s="4">
        <v>400</v>
      </c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 t="s">
        <v>100</v>
      </c>
      <c r="AW2864" s="8" t="s">
        <v>100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 t="s">
        <v>100</v>
      </c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 t="s">
        <v>100</v>
      </c>
      <c r="BJ2864" s="4">
        <v>18</v>
      </c>
      <c r="BK2864" s="8">
        <v>211.99</v>
      </c>
      <c r="BL2864" s="2" t="s">
        <v>9776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159</v>
      </c>
      <c r="BX2864" s="2" t="s">
        <v>9777</v>
      </c>
      <c r="BY2864" s="2" t="s">
        <v>112</v>
      </c>
      <c r="BZ2864" s="2" t="s">
        <v>100</v>
      </c>
    </row>
    <row r="2865">
      <c r="A2865" s="2" t="s">
        <v>9778</v>
      </c>
      <c r="B2865" s="2" t="s">
        <v>9043</v>
      </c>
      <c r="C2865" s="2" t="s">
        <v>3449</v>
      </c>
      <c r="D2865" s="2" t="s">
        <v>9044</v>
      </c>
      <c r="E2865" s="2" t="s">
        <v>9045</v>
      </c>
      <c r="F2865" s="2" t="s">
        <v>438</v>
      </c>
      <c r="G2865" s="2" t="s">
        <v>438</v>
      </c>
      <c r="H2865" s="2" t="s">
        <v>438</v>
      </c>
      <c r="I2865" s="2" t="s">
        <v>9717</v>
      </c>
      <c r="J2865" s="2" t="s">
        <v>1806</v>
      </c>
      <c r="K2865" s="2" t="s">
        <v>96</v>
      </c>
      <c r="L2865" s="3">
        <v>12.15</v>
      </c>
      <c r="M2865" s="3">
        <v>12.76</v>
      </c>
      <c r="N2865" s="3">
        <v>26.99</v>
      </c>
      <c r="O2865" s="2" t="s">
        <v>97</v>
      </c>
      <c r="P2865" s="2" t="s">
        <v>98</v>
      </c>
      <c r="Q2865" s="2" t="s">
        <v>99</v>
      </c>
      <c r="R2865" s="2" t="s">
        <v>100</v>
      </c>
      <c r="S2865" s="2" t="s">
        <v>9771</v>
      </c>
      <c r="T2865" s="2" t="s">
        <v>438</v>
      </c>
      <c r="U2865" s="2" t="s">
        <v>1228</v>
      </c>
      <c r="V2865" s="2" t="s">
        <v>461</v>
      </c>
      <c r="W2865" s="2" t="s">
        <v>493</v>
      </c>
      <c r="X2865" s="2" t="s">
        <v>100</v>
      </c>
      <c r="Y2865" s="2" t="s">
        <v>9346</v>
      </c>
      <c r="Z2865" s="4">
        <v>434</v>
      </c>
      <c r="AA2865" s="4">
        <f>=ROUNDDOWN(33.3846153846154,0)</f>
      </c>
      <c r="AB2865" s="5">
        <v>13</v>
      </c>
      <c r="AC2865" s="2" t="s">
        <v>312</v>
      </c>
      <c r="AD2865" s="4">
        <v>200</v>
      </c>
      <c r="AE2865" s="4">
        <v>690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 t="s">
        <v>100</v>
      </c>
      <c r="AW2865" s="8" t="s">
        <v>100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 t="s">
        <v>100</v>
      </c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 t="s">
        <v>100</v>
      </c>
      <c r="BJ2865" s="4">
        <v>35</v>
      </c>
      <c r="BK2865" s="8">
        <v>445.1</v>
      </c>
      <c r="BL2865" s="2" t="s">
        <v>9779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109</v>
      </c>
      <c r="BV2865" s="2" t="s">
        <v>97</v>
      </c>
      <c r="BW2865" s="2" t="s">
        <v>1076</v>
      </c>
      <c r="BX2865" s="2" t="s">
        <v>1555</v>
      </c>
      <c r="BY2865" s="2" t="s">
        <v>112</v>
      </c>
      <c r="BZ2865" s="2" t="s">
        <v>100</v>
      </c>
    </row>
    <row r="2866">
      <c r="A2866" s="2" t="s">
        <v>9780</v>
      </c>
      <c r="B2866" s="2" t="s">
        <v>9043</v>
      </c>
      <c r="C2866" s="2" t="s">
        <v>3449</v>
      </c>
      <c r="D2866" s="2" t="s">
        <v>9044</v>
      </c>
      <c r="E2866" s="2" t="s">
        <v>9045</v>
      </c>
      <c r="F2866" s="2" t="s">
        <v>438</v>
      </c>
      <c r="G2866" s="2" t="s">
        <v>438</v>
      </c>
      <c r="H2866" s="2" t="s">
        <v>438</v>
      </c>
      <c r="I2866" s="2" t="s">
        <v>9717</v>
      </c>
      <c r="J2866" s="2" t="s">
        <v>490</v>
      </c>
      <c r="K2866" s="2" t="s">
        <v>96</v>
      </c>
      <c r="L2866" s="3">
        <v>14.85</v>
      </c>
      <c r="M2866" s="3">
        <v>15.59</v>
      </c>
      <c r="N2866" s="3">
        <v>32.99</v>
      </c>
      <c r="O2866" s="2" t="s">
        <v>97</v>
      </c>
      <c r="P2866" s="2" t="s">
        <v>98</v>
      </c>
      <c r="Q2866" s="2" t="s">
        <v>99</v>
      </c>
      <c r="R2866" s="2" t="s">
        <v>100</v>
      </c>
      <c r="S2866" s="2" t="s">
        <v>9771</v>
      </c>
      <c r="T2866" s="2" t="s">
        <v>438</v>
      </c>
      <c r="U2866" s="2" t="s">
        <v>355</v>
      </c>
      <c r="V2866" s="2" t="s">
        <v>461</v>
      </c>
      <c r="W2866" s="2" t="s">
        <v>493</v>
      </c>
      <c r="X2866" s="2" t="s">
        <v>100</v>
      </c>
      <c r="Y2866" s="2" t="s">
        <v>9346</v>
      </c>
      <c r="Z2866" s="4">
        <v>200</v>
      </c>
      <c r="AA2866" s="4">
        <f>=ROUNDDOWN(62.5,0)</f>
      </c>
      <c r="AB2866" s="5">
        <v>3.2</v>
      </c>
      <c r="AC2866" s="2" t="s">
        <v>100</v>
      </c>
      <c r="AD2866" s="4"/>
      <c r="AE2866" s="4"/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2</v>
      </c>
      <c r="AQ2866" s="8">
        <v>30.62</v>
      </c>
      <c r="AR2866" s="4"/>
      <c r="AS2866" s="8"/>
      <c r="AT2866" s="7"/>
      <c r="AU2866" s="7"/>
      <c r="AV2866" s="4" t="s">
        <v>100</v>
      </c>
      <c r="AW2866" s="8" t="s">
        <v>100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>
        <v>0.5128</v>
      </c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 t="s">
        <v>100</v>
      </c>
      <c r="BJ2866" s="4">
        <v>15</v>
      </c>
      <c r="BK2866" s="8">
        <v>231.43</v>
      </c>
      <c r="BL2866" s="2" t="s">
        <v>9781</v>
      </c>
      <c r="BM2866" s="7">
        <v>0.1333</v>
      </c>
      <c r="BN2866" s="7">
        <v>0.1323</v>
      </c>
      <c r="BO2866" s="4">
        <v>2</v>
      </c>
      <c r="BP2866" s="8">
        <v>30.62</v>
      </c>
      <c r="BQ2866" s="4"/>
      <c r="BR2866" s="8"/>
      <c r="BS2866" s="7"/>
      <c r="BT2866" s="7"/>
      <c r="BU2866" s="2" t="s">
        <v>109</v>
      </c>
      <c r="BV2866" s="2" t="s">
        <v>97</v>
      </c>
      <c r="BW2866" s="2" t="s">
        <v>1076</v>
      </c>
      <c r="BX2866" s="2" t="s">
        <v>2102</v>
      </c>
      <c r="BY2866" s="2" t="s">
        <v>112</v>
      </c>
      <c r="BZ2866" s="2" t="s">
        <v>100</v>
      </c>
    </row>
    <row r="2867">
      <c r="A2867" s="2" t="s">
        <v>9782</v>
      </c>
      <c r="B2867" s="2" t="s">
        <v>9043</v>
      </c>
      <c r="C2867" s="2" t="s">
        <v>3449</v>
      </c>
      <c r="D2867" s="2" t="s">
        <v>9044</v>
      </c>
      <c r="E2867" s="2" t="s">
        <v>9045</v>
      </c>
      <c r="F2867" s="2" t="s">
        <v>438</v>
      </c>
      <c r="G2867" s="2" t="s">
        <v>438</v>
      </c>
      <c r="H2867" s="2" t="s">
        <v>438</v>
      </c>
      <c r="I2867" s="2" t="s">
        <v>9712</v>
      </c>
      <c r="J2867" s="2" t="s">
        <v>490</v>
      </c>
      <c r="K2867" s="2" t="s">
        <v>96</v>
      </c>
      <c r="L2867" s="3">
        <v>12.92</v>
      </c>
      <c r="M2867" s="3">
        <v>13.57</v>
      </c>
      <c r="N2867" s="3">
        <v>30.99</v>
      </c>
      <c r="O2867" s="2" t="s">
        <v>97</v>
      </c>
      <c r="P2867" s="2" t="s">
        <v>98</v>
      </c>
      <c r="Q2867" s="2" t="s">
        <v>99</v>
      </c>
      <c r="R2867" s="2" t="s">
        <v>100</v>
      </c>
      <c r="S2867" s="2" t="s">
        <v>9771</v>
      </c>
      <c r="T2867" s="2" t="s">
        <v>438</v>
      </c>
      <c r="U2867" s="2" t="s">
        <v>100</v>
      </c>
      <c r="V2867" s="2" t="s">
        <v>461</v>
      </c>
      <c r="W2867" s="2" t="s">
        <v>609</v>
      </c>
      <c r="X2867" s="2" t="s">
        <v>100</v>
      </c>
      <c r="Y2867" s="2" t="s">
        <v>144</v>
      </c>
      <c r="Z2867" s="4">
        <v>300</v>
      </c>
      <c r="AA2867" s="4">
        <f>=ROUNDDOWN(50,0)</f>
      </c>
      <c r="AB2867" s="5">
        <v>6</v>
      </c>
      <c r="AC2867" s="2" t="s">
        <v>312</v>
      </c>
      <c r="AD2867" s="4">
        <v>100</v>
      </c>
      <c r="AE2867" s="4">
        <v>100</v>
      </c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 t="s">
        <v>100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 t="s">
        <v>100</v>
      </c>
      <c r="BJ2867" s="4">
        <v>12</v>
      </c>
      <c r="BK2867" s="8">
        <v>165.69</v>
      </c>
      <c r="BL2867" s="2" t="s">
        <v>9783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159</v>
      </c>
      <c r="BX2867" s="2" t="s">
        <v>9723</v>
      </c>
      <c r="BY2867" s="2" t="s">
        <v>112</v>
      </c>
      <c r="BZ2867" s="2" t="s">
        <v>100</v>
      </c>
    </row>
    <row r="2868">
      <c r="A2868" s="2" t="s">
        <v>9784</v>
      </c>
      <c r="B2868" s="2" t="s">
        <v>9043</v>
      </c>
      <c r="C2868" s="2" t="s">
        <v>3449</v>
      </c>
      <c r="D2868" s="2" t="s">
        <v>9044</v>
      </c>
      <c r="E2868" s="2" t="s">
        <v>9045</v>
      </c>
      <c r="F2868" s="2" t="s">
        <v>438</v>
      </c>
      <c r="G2868" s="2" t="s">
        <v>438</v>
      </c>
      <c r="H2868" s="2" t="s">
        <v>438</v>
      </c>
      <c r="I2868" s="2" t="s">
        <v>9717</v>
      </c>
      <c r="J2868" s="2" t="s">
        <v>95</v>
      </c>
      <c r="K2868" s="2" t="s">
        <v>96</v>
      </c>
      <c r="L2868" s="3">
        <v>14.85</v>
      </c>
      <c r="M2868" s="3">
        <v>15.59</v>
      </c>
      <c r="N2868" s="3">
        <v>32.99</v>
      </c>
      <c r="O2868" s="2" t="s">
        <v>97</v>
      </c>
      <c r="P2868" s="2" t="s">
        <v>98</v>
      </c>
      <c r="Q2868" s="2" t="s">
        <v>99</v>
      </c>
      <c r="R2868" s="2" t="s">
        <v>100</v>
      </c>
      <c r="S2868" s="2" t="s">
        <v>9771</v>
      </c>
      <c r="T2868" s="2" t="s">
        <v>438</v>
      </c>
      <c r="U2868" s="2" t="s">
        <v>355</v>
      </c>
      <c r="V2868" s="2" t="s">
        <v>461</v>
      </c>
      <c r="W2868" s="2" t="s">
        <v>493</v>
      </c>
      <c r="X2868" s="2" t="s">
        <v>100</v>
      </c>
      <c r="Y2868" s="2" t="s">
        <v>9346</v>
      </c>
      <c r="Z2868" s="4">
        <v>295</v>
      </c>
      <c r="AA2868" s="4">
        <f>=ROUNDDOWN(26.8181818181818,0)</f>
      </c>
      <c r="AB2868" s="5">
        <v>11</v>
      </c>
      <c r="AC2868" s="2" t="s">
        <v>100</v>
      </c>
      <c r="AD2868" s="4"/>
      <c r="AE2868" s="4"/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 t="s">
        <v>100</v>
      </c>
      <c r="AW2868" s="8" t="s">
        <v>100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 t="s">
        <v>100</v>
      </c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 t="s">
        <v>100</v>
      </c>
      <c r="BJ2868" s="4">
        <v>30</v>
      </c>
      <c r="BK2868" s="8">
        <v>467.2</v>
      </c>
      <c r="BL2868" s="2" t="s">
        <v>9785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1076</v>
      </c>
      <c r="BX2868" s="2" t="s">
        <v>9786</v>
      </c>
      <c r="BY2868" s="2" t="s">
        <v>112</v>
      </c>
      <c r="BZ2868" s="2" t="s">
        <v>100</v>
      </c>
    </row>
    <row r="2869">
      <c r="A2869" s="2" t="s">
        <v>9787</v>
      </c>
      <c r="B2869" s="2" t="s">
        <v>9043</v>
      </c>
      <c r="C2869" s="2" t="s">
        <v>3449</v>
      </c>
      <c r="D2869" s="2" t="s">
        <v>9044</v>
      </c>
      <c r="E2869" s="2" t="s">
        <v>9045</v>
      </c>
      <c r="F2869" s="2" t="s">
        <v>438</v>
      </c>
      <c r="G2869" s="2" t="s">
        <v>438</v>
      </c>
      <c r="H2869" s="2" t="s">
        <v>438</v>
      </c>
      <c r="I2869" s="2" t="s">
        <v>9712</v>
      </c>
      <c r="J2869" s="2" t="s">
        <v>95</v>
      </c>
      <c r="K2869" s="2" t="s">
        <v>96</v>
      </c>
      <c r="L2869" s="3">
        <v>14.21</v>
      </c>
      <c r="M2869" s="3">
        <v>14.92</v>
      </c>
      <c r="N2869" s="3">
        <v>32.99</v>
      </c>
      <c r="O2869" s="2" t="s">
        <v>97</v>
      </c>
      <c r="P2869" s="2" t="s">
        <v>98</v>
      </c>
      <c r="Q2869" s="2" t="s">
        <v>99</v>
      </c>
      <c r="R2869" s="2" t="s">
        <v>100</v>
      </c>
      <c r="S2869" s="2" t="s">
        <v>9771</v>
      </c>
      <c r="T2869" s="2" t="s">
        <v>438</v>
      </c>
      <c r="U2869" s="2" t="s">
        <v>100</v>
      </c>
      <c r="V2869" s="2" t="s">
        <v>461</v>
      </c>
      <c r="W2869" s="2" t="s">
        <v>609</v>
      </c>
      <c r="X2869" s="2" t="s">
        <v>100</v>
      </c>
      <c r="Y2869" s="2" t="s">
        <v>144</v>
      </c>
      <c r="Z2869" s="4">
        <v>227</v>
      </c>
      <c r="AA2869" s="4">
        <f>=ROUNDDOWN(9.8695652173913,0)</f>
      </c>
      <c r="AB2869" s="5">
        <v>23</v>
      </c>
      <c r="AC2869" s="2" t="s">
        <v>312</v>
      </c>
      <c r="AD2869" s="4">
        <v>200</v>
      </c>
      <c r="AE2869" s="4">
        <v>540</v>
      </c>
      <c r="AF2869" s="6">
        <v>65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 t="s">
        <v>100</v>
      </c>
      <c r="AW2869" s="8" t="s">
        <v>100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 t="s">
        <v>100</v>
      </c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 t="s">
        <v>100</v>
      </c>
      <c r="BJ2869" s="4">
        <v>110</v>
      </c>
      <c r="BK2869" s="8">
        <v>1602.11</v>
      </c>
      <c r="BL2869" s="2" t="s">
        <v>9788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159</v>
      </c>
      <c r="BX2869" s="2" t="s">
        <v>9789</v>
      </c>
      <c r="BY2869" s="2" t="s">
        <v>112</v>
      </c>
      <c r="BZ2869" s="2" t="s">
        <v>100</v>
      </c>
    </row>
    <row r="2870">
      <c r="A2870" s="2" t="s">
        <v>9790</v>
      </c>
      <c r="B2870" s="2" t="s">
        <v>9043</v>
      </c>
      <c r="C2870" s="2" t="s">
        <v>3449</v>
      </c>
      <c r="D2870" s="2" t="s">
        <v>9044</v>
      </c>
      <c r="E2870" s="2" t="s">
        <v>9045</v>
      </c>
      <c r="F2870" s="2" t="s">
        <v>438</v>
      </c>
      <c r="G2870" s="2" t="s">
        <v>438</v>
      </c>
      <c r="H2870" s="2" t="s">
        <v>438</v>
      </c>
      <c r="I2870" s="2" t="s">
        <v>9712</v>
      </c>
      <c r="J2870" s="2" t="s">
        <v>114</v>
      </c>
      <c r="K2870" s="2" t="s">
        <v>96</v>
      </c>
      <c r="L2870" s="3">
        <v>16.75</v>
      </c>
      <c r="M2870" s="3">
        <v>17.59</v>
      </c>
      <c r="N2870" s="3">
        <v>37.99</v>
      </c>
      <c r="O2870" s="2" t="s">
        <v>97</v>
      </c>
      <c r="P2870" s="2" t="s">
        <v>98</v>
      </c>
      <c r="Q2870" s="2" t="s">
        <v>99</v>
      </c>
      <c r="R2870" s="2" t="s">
        <v>100</v>
      </c>
      <c r="S2870" s="2" t="s">
        <v>9771</v>
      </c>
      <c r="T2870" s="2" t="s">
        <v>438</v>
      </c>
      <c r="U2870" s="2" t="s">
        <v>100</v>
      </c>
      <c r="V2870" s="2" t="s">
        <v>461</v>
      </c>
      <c r="W2870" s="2" t="s">
        <v>609</v>
      </c>
      <c r="X2870" s="2" t="s">
        <v>100</v>
      </c>
      <c r="Y2870" s="2" t="s">
        <v>144</v>
      </c>
      <c r="Z2870" s="4">
        <v>391</v>
      </c>
      <c r="AA2870" s="4">
        <f>=ROUNDDOWN(25.2258064516129,0)</f>
      </c>
      <c r="AB2870" s="5">
        <v>15.5</v>
      </c>
      <c r="AC2870" s="2" t="s">
        <v>312</v>
      </c>
      <c r="AD2870" s="4">
        <v>150</v>
      </c>
      <c r="AE2870" s="4">
        <v>150</v>
      </c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1</v>
      </c>
      <c r="AQ2870" s="8">
        <v>16.33</v>
      </c>
      <c r="AR2870" s="4"/>
      <c r="AS2870" s="8"/>
      <c r="AT2870" s="7"/>
      <c r="AU2870" s="7"/>
      <c r="AV2870" s="4" t="s">
        <v>100</v>
      </c>
      <c r="AW2870" s="8" t="s">
        <v>100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>
        <v>0.2735</v>
      </c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 t="s">
        <v>100</v>
      </c>
      <c r="BJ2870" s="4">
        <v>33</v>
      </c>
      <c r="BK2870" s="8">
        <v>604.99</v>
      </c>
      <c r="BL2870" s="2" t="s">
        <v>9791</v>
      </c>
      <c r="BM2870" s="7">
        <v>0.0303</v>
      </c>
      <c r="BN2870" s="7">
        <v>0.027</v>
      </c>
      <c r="BO2870" s="4">
        <v>1</v>
      </c>
      <c r="BP2870" s="8">
        <v>16.33</v>
      </c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159</v>
      </c>
      <c r="BX2870" s="2" t="s">
        <v>9792</v>
      </c>
      <c r="BY2870" s="2" t="s">
        <v>112</v>
      </c>
      <c r="BZ2870" s="2" t="s">
        <v>100</v>
      </c>
    </row>
    <row r="2871">
      <c r="A2871" s="2" t="s">
        <v>9793</v>
      </c>
      <c r="B2871" s="2" t="s">
        <v>9043</v>
      </c>
      <c r="C2871" s="2" t="s">
        <v>3449</v>
      </c>
      <c r="D2871" s="2" t="s">
        <v>9044</v>
      </c>
      <c r="E2871" s="2" t="s">
        <v>9045</v>
      </c>
      <c r="F2871" s="2" t="s">
        <v>438</v>
      </c>
      <c r="G2871" s="2" t="s">
        <v>438</v>
      </c>
      <c r="H2871" s="2" t="s">
        <v>438</v>
      </c>
      <c r="I2871" s="2" t="s">
        <v>9712</v>
      </c>
      <c r="J2871" s="2" t="s">
        <v>1443</v>
      </c>
      <c r="K2871" s="2" t="s">
        <v>179</v>
      </c>
      <c r="L2871" s="3">
        <v>11.18</v>
      </c>
      <c r="M2871" s="3">
        <v>11.74</v>
      </c>
      <c r="N2871" s="3">
        <v>27.99</v>
      </c>
      <c r="O2871" s="2" t="s">
        <v>97</v>
      </c>
      <c r="P2871" s="2" t="s">
        <v>98</v>
      </c>
      <c r="Q2871" s="2" t="s">
        <v>99</v>
      </c>
      <c r="R2871" s="2" t="s">
        <v>100</v>
      </c>
      <c r="S2871" s="2" t="s">
        <v>9794</v>
      </c>
      <c r="T2871" s="2" t="s">
        <v>438</v>
      </c>
      <c r="U2871" s="2" t="s">
        <v>901</v>
      </c>
      <c r="V2871" s="2" t="s">
        <v>461</v>
      </c>
      <c r="W2871" s="2" t="s">
        <v>609</v>
      </c>
      <c r="X2871" s="2" t="s">
        <v>100</v>
      </c>
      <c r="Y2871" s="2" t="s">
        <v>9795</v>
      </c>
      <c r="Z2871" s="4">
        <v>118</v>
      </c>
      <c r="AA2871" s="4">
        <f>=ROUNDDOWN(39.3333333333333,0)</f>
      </c>
      <c r="AB2871" s="5">
        <v>3</v>
      </c>
      <c r="AC2871" s="2" t="s">
        <v>100</v>
      </c>
      <c r="AD2871" s="4"/>
      <c r="AE2871" s="4"/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100</v>
      </c>
      <c r="AW2871" s="8" t="s">
        <v>100</v>
      </c>
      <c r="AX2871" s="4" t="s">
        <v>100</v>
      </c>
      <c r="AY2871" s="8" t="s">
        <v>100</v>
      </c>
      <c r="AZ2871" s="7" t="s">
        <v>100</v>
      </c>
      <c r="BA2871" s="7" t="s">
        <v>100</v>
      </c>
      <c r="BB2871" s="7"/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 t="s">
        <v>100</v>
      </c>
      <c r="BJ2871" s="4">
        <v>11</v>
      </c>
      <c r="BK2871" s="8">
        <v>136.44</v>
      </c>
      <c r="BL2871" s="2" t="s">
        <v>9796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171</v>
      </c>
      <c r="BV2871" s="2" t="s">
        <v>97</v>
      </c>
      <c r="BW2871" s="2" t="s">
        <v>100</v>
      </c>
      <c r="BX2871" s="2" t="s">
        <v>100</v>
      </c>
      <c r="BY2871" s="2" t="s">
        <v>112</v>
      </c>
      <c r="BZ2871" s="2" t="s">
        <v>100</v>
      </c>
    </row>
    <row r="2872">
      <c r="A2872" s="2" t="s">
        <v>9797</v>
      </c>
      <c r="B2872" s="2" t="s">
        <v>9043</v>
      </c>
      <c r="C2872" s="2" t="s">
        <v>3449</v>
      </c>
      <c r="D2872" s="2" t="s">
        <v>9044</v>
      </c>
      <c r="E2872" s="2" t="s">
        <v>9045</v>
      </c>
      <c r="F2872" s="2" t="s">
        <v>438</v>
      </c>
      <c r="G2872" s="2" t="s">
        <v>438</v>
      </c>
      <c r="H2872" s="2" t="s">
        <v>438</v>
      </c>
      <c r="I2872" s="2" t="s">
        <v>9712</v>
      </c>
      <c r="J2872" s="2" t="s">
        <v>1806</v>
      </c>
      <c r="K2872" s="2" t="s">
        <v>179</v>
      </c>
      <c r="L2872" s="3">
        <v>11.18</v>
      </c>
      <c r="M2872" s="3">
        <v>11.74</v>
      </c>
      <c r="N2872" s="3">
        <v>27.99</v>
      </c>
      <c r="O2872" s="2" t="s">
        <v>97</v>
      </c>
      <c r="P2872" s="2" t="s">
        <v>98</v>
      </c>
      <c r="Q2872" s="2" t="s">
        <v>99</v>
      </c>
      <c r="R2872" s="2" t="s">
        <v>100</v>
      </c>
      <c r="S2872" s="2" t="s">
        <v>9794</v>
      </c>
      <c r="T2872" s="2" t="s">
        <v>438</v>
      </c>
      <c r="U2872" s="2" t="s">
        <v>901</v>
      </c>
      <c r="V2872" s="2" t="s">
        <v>461</v>
      </c>
      <c r="W2872" s="2" t="s">
        <v>609</v>
      </c>
      <c r="X2872" s="2" t="s">
        <v>100</v>
      </c>
      <c r="Y2872" s="2" t="s">
        <v>9795</v>
      </c>
      <c r="Z2872" s="4">
        <v>187</v>
      </c>
      <c r="AA2872" s="4">
        <f>=ROUNDDOWN(93.5,0)</f>
      </c>
      <c r="AB2872" s="5">
        <v>2</v>
      </c>
      <c r="AC2872" s="2" t="s">
        <v>100</v>
      </c>
      <c r="AD2872" s="4"/>
      <c r="AE2872" s="4"/>
      <c r="AF2872" s="6">
        <v>65</v>
      </c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100</v>
      </c>
      <c r="AW2872" s="8" t="s">
        <v>100</v>
      </c>
      <c r="AX2872" s="4" t="s">
        <v>100</v>
      </c>
      <c r="AY2872" s="8" t="s">
        <v>100</v>
      </c>
      <c r="AZ2872" s="7" t="s">
        <v>100</v>
      </c>
      <c r="BA2872" s="7" t="s">
        <v>100</v>
      </c>
      <c r="BB2872" s="7"/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 t="s">
        <v>100</v>
      </c>
      <c r="BJ2872" s="4">
        <v>8</v>
      </c>
      <c r="BK2872" s="8">
        <v>101.28</v>
      </c>
      <c r="BL2872" s="2" t="s">
        <v>9798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171</v>
      </c>
      <c r="BV2872" s="2" t="s">
        <v>97</v>
      </c>
      <c r="BW2872" s="2" t="s">
        <v>100</v>
      </c>
      <c r="BX2872" s="2" t="s">
        <v>100</v>
      </c>
      <c r="BY2872" s="2" t="s">
        <v>112</v>
      </c>
      <c r="BZ2872" s="2" t="s">
        <v>100</v>
      </c>
    </row>
    <row r="2873">
      <c r="A2873" s="2" t="s">
        <v>9799</v>
      </c>
      <c r="B2873" s="2" t="s">
        <v>9043</v>
      </c>
      <c r="C2873" s="2" t="s">
        <v>3449</v>
      </c>
      <c r="D2873" s="2" t="s">
        <v>9044</v>
      </c>
      <c r="E2873" s="2" t="s">
        <v>9045</v>
      </c>
      <c r="F2873" s="2" t="s">
        <v>438</v>
      </c>
      <c r="G2873" s="2" t="s">
        <v>438</v>
      </c>
      <c r="H2873" s="2" t="s">
        <v>438</v>
      </c>
      <c r="I2873" s="2" t="s">
        <v>9712</v>
      </c>
      <c r="J2873" s="2" t="s">
        <v>490</v>
      </c>
      <c r="K2873" s="2" t="s">
        <v>179</v>
      </c>
      <c r="L2873" s="3">
        <v>12.92</v>
      </c>
      <c r="M2873" s="3">
        <v>13.57</v>
      </c>
      <c r="N2873" s="3">
        <v>30.99</v>
      </c>
      <c r="O2873" s="2" t="s">
        <v>97</v>
      </c>
      <c r="P2873" s="2" t="s">
        <v>98</v>
      </c>
      <c r="Q2873" s="2" t="s">
        <v>99</v>
      </c>
      <c r="R2873" s="2" t="s">
        <v>100</v>
      </c>
      <c r="S2873" s="2" t="s">
        <v>9794</v>
      </c>
      <c r="T2873" s="2" t="s">
        <v>438</v>
      </c>
      <c r="U2873" s="2" t="s">
        <v>1228</v>
      </c>
      <c r="V2873" s="2" t="s">
        <v>461</v>
      </c>
      <c r="W2873" s="2" t="s">
        <v>609</v>
      </c>
      <c r="X2873" s="2" t="s">
        <v>100</v>
      </c>
      <c r="Y2873" s="2" t="s">
        <v>9795</v>
      </c>
      <c r="Z2873" s="4">
        <v>97</v>
      </c>
      <c r="AA2873" s="4">
        <f>=ROUNDDOWN(24.25,0)</f>
      </c>
      <c r="AB2873" s="5">
        <v>4</v>
      </c>
      <c r="AC2873" s="2" t="s">
        <v>100</v>
      </c>
      <c r="AD2873" s="4"/>
      <c r="AE2873" s="4"/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100</v>
      </c>
      <c r="AW2873" s="8" t="s">
        <v>100</v>
      </c>
      <c r="AX2873" s="4" t="s">
        <v>100</v>
      </c>
      <c r="AY2873" s="8" t="s">
        <v>100</v>
      </c>
      <c r="AZ2873" s="7" t="s">
        <v>100</v>
      </c>
      <c r="BA2873" s="7" t="s">
        <v>100</v>
      </c>
      <c r="BB2873" s="7"/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 t="s">
        <v>100</v>
      </c>
      <c r="BJ2873" s="4">
        <v>11</v>
      </c>
      <c r="BK2873" s="8">
        <v>158.27</v>
      </c>
      <c r="BL2873" s="2" t="s">
        <v>9796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171</v>
      </c>
      <c r="BV2873" s="2" t="s">
        <v>97</v>
      </c>
      <c r="BW2873" s="2" t="s">
        <v>100</v>
      </c>
      <c r="BX2873" s="2" t="s">
        <v>100</v>
      </c>
      <c r="BY2873" s="2" t="s">
        <v>112</v>
      </c>
      <c r="BZ2873" s="2" t="s">
        <v>100</v>
      </c>
    </row>
    <row r="2874">
      <c r="A2874" s="2" t="s">
        <v>9800</v>
      </c>
      <c r="B2874" s="2" t="s">
        <v>9043</v>
      </c>
      <c r="C2874" s="2" t="s">
        <v>3449</v>
      </c>
      <c r="D2874" s="2" t="s">
        <v>9044</v>
      </c>
      <c r="E2874" s="2" t="s">
        <v>9045</v>
      </c>
      <c r="F2874" s="2" t="s">
        <v>438</v>
      </c>
      <c r="G2874" s="2" t="s">
        <v>438</v>
      </c>
      <c r="H2874" s="2" t="s">
        <v>438</v>
      </c>
      <c r="I2874" s="2" t="s">
        <v>9712</v>
      </c>
      <c r="J2874" s="2" t="s">
        <v>95</v>
      </c>
      <c r="K2874" s="2" t="s">
        <v>179</v>
      </c>
      <c r="L2874" s="3">
        <v>14.21</v>
      </c>
      <c r="M2874" s="3">
        <v>14.92</v>
      </c>
      <c r="N2874" s="3">
        <v>32.99</v>
      </c>
      <c r="O2874" s="2" t="s">
        <v>97</v>
      </c>
      <c r="P2874" s="2" t="s">
        <v>98</v>
      </c>
      <c r="Q2874" s="2" t="s">
        <v>99</v>
      </c>
      <c r="R2874" s="2" t="s">
        <v>100</v>
      </c>
      <c r="S2874" s="2" t="s">
        <v>9794</v>
      </c>
      <c r="T2874" s="2" t="s">
        <v>438</v>
      </c>
      <c r="U2874" s="2" t="s">
        <v>1228</v>
      </c>
      <c r="V2874" s="2" t="s">
        <v>461</v>
      </c>
      <c r="W2874" s="2" t="s">
        <v>609</v>
      </c>
      <c r="X2874" s="2" t="s">
        <v>100</v>
      </c>
      <c r="Y2874" s="2" t="s">
        <v>9795</v>
      </c>
      <c r="Z2874" s="4">
        <v>175</v>
      </c>
      <c r="AA2874" s="4">
        <f>=ROUNDDOWN(29.1666666666667,0)</f>
      </c>
      <c r="AB2874" s="5">
        <v>6</v>
      </c>
      <c r="AC2874" s="2" t="s">
        <v>100</v>
      </c>
      <c r="AD2874" s="4"/>
      <c r="AE2874" s="4"/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 t="s">
        <v>100</v>
      </c>
      <c r="AW2874" s="8" t="s">
        <v>100</v>
      </c>
      <c r="AX2874" s="4" t="s">
        <v>100</v>
      </c>
      <c r="AY2874" s="8" t="s">
        <v>100</v>
      </c>
      <c r="AZ2874" s="7" t="s">
        <v>100</v>
      </c>
      <c r="BA2874" s="7" t="s">
        <v>100</v>
      </c>
      <c r="BB2874" s="7"/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 t="s">
        <v>100</v>
      </c>
      <c r="BJ2874" s="4">
        <v>5</v>
      </c>
      <c r="BK2874" s="8">
        <v>81.7</v>
      </c>
      <c r="BL2874" s="2" t="s">
        <v>2071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171</v>
      </c>
      <c r="BV2874" s="2" t="s">
        <v>97</v>
      </c>
      <c r="BW2874" s="2" t="s">
        <v>100</v>
      </c>
      <c r="BX2874" s="2" t="s">
        <v>100</v>
      </c>
      <c r="BY2874" s="2" t="s">
        <v>112</v>
      </c>
      <c r="BZ2874" s="2" t="s">
        <v>100</v>
      </c>
    </row>
    <row r="2875">
      <c r="A2875" s="2" t="s">
        <v>9801</v>
      </c>
      <c r="B2875" s="2" t="s">
        <v>9043</v>
      </c>
      <c r="C2875" s="2" t="s">
        <v>3449</v>
      </c>
      <c r="D2875" s="2" t="s">
        <v>9044</v>
      </c>
      <c r="E2875" s="2" t="s">
        <v>9045</v>
      </c>
      <c r="F2875" s="2" t="s">
        <v>438</v>
      </c>
      <c r="G2875" s="2" t="s">
        <v>438</v>
      </c>
      <c r="H2875" s="2" t="s">
        <v>438</v>
      </c>
      <c r="I2875" s="2" t="s">
        <v>9712</v>
      </c>
      <c r="J2875" s="2" t="s">
        <v>114</v>
      </c>
      <c r="K2875" s="2" t="s">
        <v>179</v>
      </c>
      <c r="L2875" s="3">
        <v>16.75</v>
      </c>
      <c r="M2875" s="3">
        <v>17.59</v>
      </c>
      <c r="N2875" s="3">
        <v>37.99</v>
      </c>
      <c r="O2875" s="2" t="s">
        <v>97</v>
      </c>
      <c r="P2875" s="2" t="s">
        <v>98</v>
      </c>
      <c r="Q2875" s="2" t="s">
        <v>99</v>
      </c>
      <c r="R2875" s="2" t="s">
        <v>100</v>
      </c>
      <c r="S2875" s="2" t="s">
        <v>9794</v>
      </c>
      <c r="T2875" s="2" t="s">
        <v>438</v>
      </c>
      <c r="U2875" s="2" t="s">
        <v>1228</v>
      </c>
      <c r="V2875" s="2" t="s">
        <v>461</v>
      </c>
      <c r="W2875" s="2" t="s">
        <v>609</v>
      </c>
      <c r="X2875" s="2" t="s">
        <v>100</v>
      </c>
      <c r="Y2875" s="2" t="s">
        <v>9795</v>
      </c>
      <c r="Z2875" s="4">
        <v>66</v>
      </c>
      <c r="AA2875" s="4">
        <f>=ROUNDDOWN(13.2,0)</f>
      </c>
      <c r="AB2875" s="5">
        <v>5</v>
      </c>
      <c r="AC2875" s="2" t="s">
        <v>100</v>
      </c>
      <c r="AD2875" s="4"/>
      <c r="AE2875" s="4"/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 t="s">
        <v>100</v>
      </c>
      <c r="AW2875" s="8" t="s">
        <v>100</v>
      </c>
      <c r="AX2875" s="4" t="s">
        <v>100</v>
      </c>
      <c r="AY2875" s="8" t="s">
        <v>100</v>
      </c>
      <c r="AZ2875" s="7" t="s">
        <v>100</v>
      </c>
      <c r="BA2875" s="7" t="s">
        <v>100</v>
      </c>
      <c r="BB2875" s="7"/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 t="s">
        <v>100</v>
      </c>
      <c r="BJ2875" s="4">
        <v>3</v>
      </c>
      <c r="BK2875" s="8">
        <v>57.78</v>
      </c>
      <c r="BL2875" s="2" t="s">
        <v>2071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171</v>
      </c>
      <c r="BV2875" s="2" t="s">
        <v>97</v>
      </c>
      <c r="BW2875" s="2" t="s">
        <v>100</v>
      </c>
      <c r="BX2875" s="2" t="s">
        <v>100</v>
      </c>
      <c r="BY2875" s="2" t="s">
        <v>112</v>
      </c>
      <c r="BZ2875" s="2" t="s">
        <v>100</v>
      </c>
    </row>
    <row r="2876">
      <c r="A2876" s="2" t="s">
        <v>9802</v>
      </c>
      <c r="B2876" s="2" t="s">
        <v>9043</v>
      </c>
      <c r="C2876" s="2" t="s">
        <v>3449</v>
      </c>
      <c r="D2876" s="2" t="s">
        <v>9044</v>
      </c>
      <c r="E2876" s="2" t="s">
        <v>9045</v>
      </c>
      <c r="F2876" s="2" t="s">
        <v>438</v>
      </c>
      <c r="G2876" s="2" t="s">
        <v>438</v>
      </c>
      <c r="H2876" s="2" t="s">
        <v>438</v>
      </c>
      <c r="I2876" s="2" t="s">
        <v>9712</v>
      </c>
      <c r="J2876" s="2" t="s">
        <v>1443</v>
      </c>
      <c r="K2876" s="2" t="s">
        <v>188</v>
      </c>
      <c r="L2876" s="3">
        <v>11.18</v>
      </c>
      <c r="M2876" s="3">
        <v>11.74</v>
      </c>
      <c r="N2876" s="3">
        <v>27.99</v>
      </c>
      <c r="O2876" s="2" t="s">
        <v>97</v>
      </c>
      <c r="P2876" s="2" t="s">
        <v>98</v>
      </c>
      <c r="Q2876" s="2" t="s">
        <v>99</v>
      </c>
      <c r="R2876" s="2" t="s">
        <v>100</v>
      </c>
      <c r="S2876" s="2" t="s">
        <v>9803</v>
      </c>
      <c r="T2876" s="2" t="s">
        <v>438</v>
      </c>
      <c r="U2876" s="2" t="s">
        <v>901</v>
      </c>
      <c r="V2876" s="2" t="s">
        <v>461</v>
      </c>
      <c r="W2876" s="2" t="s">
        <v>609</v>
      </c>
      <c r="X2876" s="2" t="s">
        <v>100</v>
      </c>
      <c r="Y2876" s="2" t="s">
        <v>9795</v>
      </c>
      <c r="Z2876" s="4">
        <v>255</v>
      </c>
      <c r="AA2876" s="4">
        <f>=ROUNDDOWN(63.75,0)</f>
      </c>
      <c r="AB2876" s="5">
        <v>4</v>
      </c>
      <c r="AC2876" s="2" t="s">
        <v>100</v>
      </c>
      <c r="AD2876" s="4"/>
      <c r="AE2876" s="4"/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 t="s">
        <v>100</v>
      </c>
      <c r="AW2876" s="8" t="s">
        <v>100</v>
      </c>
      <c r="AX2876" s="4" t="s">
        <v>100</v>
      </c>
      <c r="AY2876" s="8" t="s">
        <v>100</v>
      </c>
      <c r="AZ2876" s="7" t="s">
        <v>100</v>
      </c>
      <c r="BA2876" s="7" t="s">
        <v>100</v>
      </c>
      <c r="BB2876" s="7"/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 t="s">
        <v>100</v>
      </c>
      <c r="BJ2876" s="4">
        <v>9</v>
      </c>
      <c r="BK2876" s="8">
        <v>110.55</v>
      </c>
      <c r="BL2876" s="2" t="s">
        <v>9796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171</v>
      </c>
      <c r="BV2876" s="2" t="s">
        <v>97</v>
      </c>
      <c r="BW2876" s="2" t="s">
        <v>100</v>
      </c>
      <c r="BX2876" s="2" t="s">
        <v>100</v>
      </c>
      <c r="BY2876" s="2" t="s">
        <v>112</v>
      </c>
      <c r="BZ2876" s="2" t="s">
        <v>100</v>
      </c>
    </row>
    <row r="2877">
      <c r="A2877" s="2" t="s">
        <v>9804</v>
      </c>
      <c r="B2877" s="2" t="s">
        <v>9043</v>
      </c>
      <c r="C2877" s="2" t="s">
        <v>3449</v>
      </c>
      <c r="D2877" s="2" t="s">
        <v>9044</v>
      </c>
      <c r="E2877" s="2" t="s">
        <v>9045</v>
      </c>
      <c r="F2877" s="2" t="s">
        <v>438</v>
      </c>
      <c r="G2877" s="2" t="s">
        <v>438</v>
      </c>
      <c r="H2877" s="2" t="s">
        <v>438</v>
      </c>
      <c r="I2877" s="2" t="s">
        <v>9712</v>
      </c>
      <c r="J2877" s="2" t="s">
        <v>1806</v>
      </c>
      <c r="K2877" s="2" t="s">
        <v>188</v>
      </c>
      <c r="L2877" s="3">
        <v>11.18</v>
      </c>
      <c r="M2877" s="3">
        <v>11.74</v>
      </c>
      <c r="N2877" s="3">
        <v>27.99</v>
      </c>
      <c r="O2877" s="2" t="s">
        <v>97</v>
      </c>
      <c r="P2877" s="2" t="s">
        <v>98</v>
      </c>
      <c r="Q2877" s="2" t="s">
        <v>99</v>
      </c>
      <c r="R2877" s="2" t="s">
        <v>100</v>
      </c>
      <c r="S2877" s="2" t="s">
        <v>9803</v>
      </c>
      <c r="T2877" s="2" t="s">
        <v>438</v>
      </c>
      <c r="U2877" s="2" t="s">
        <v>901</v>
      </c>
      <c r="V2877" s="2" t="s">
        <v>461</v>
      </c>
      <c r="W2877" s="2" t="s">
        <v>609</v>
      </c>
      <c r="X2877" s="2" t="s">
        <v>100</v>
      </c>
      <c r="Y2877" s="2" t="s">
        <v>9795</v>
      </c>
      <c r="Z2877" s="4">
        <v>278</v>
      </c>
      <c r="AA2877" s="4">
        <f>=ROUNDDOWN(92.6666666666667,0)</f>
      </c>
      <c r="AB2877" s="5">
        <v>3</v>
      </c>
      <c r="AC2877" s="2" t="s">
        <v>100</v>
      </c>
      <c r="AD2877" s="4"/>
      <c r="AE2877" s="4"/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 t="s">
        <v>100</v>
      </c>
      <c r="AW2877" s="8" t="s">
        <v>100</v>
      </c>
      <c r="AX2877" s="4" t="s">
        <v>100</v>
      </c>
      <c r="AY2877" s="8" t="s">
        <v>100</v>
      </c>
      <c r="AZ2877" s="7" t="s">
        <v>100</v>
      </c>
      <c r="BA2877" s="7" t="s">
        <v>100</v>
      </c>
      <c r="BB2877" s="7"/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 t="s">
        <v>100</v>
      </c>
      <c r="BJ2877" s="4">
        <v>4</v>
      </c>
      <c r="BK2877" s="8">
        <v>50.91</v>
      </c>
      <c r="BL2877" s="2" t="s">
        <v>6590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171</v>
      </c>
      <c r="BV2877" s="2" t="s">
        <v>97</v>
      </c>
      <c r="BW2877" s="2" t="s">
        <v>100</v>
      </c>
      <c r="BX2877" s="2" t="s">
        <v>100</v>
      </c>
      <c r="BY2877" s="2" t="s">
        <v>112</v>
      </c>
      <c r="BZ2877" s="2" t="s">
        <v>100</v>
      </c>
    </row>
    <row r="2878">
      <c r="A2878" s="2" t="s">
        <v>9805</v>
      </c>
      <c r="B2878" s="2" t="s">
        <v>9043</v>
      </c>
      <c r="C2878" s="2" t="s">
        <v>3449</v>
      </c>
      <c r="D2878" s="2" t="s">
        <v>9044</v>
      </c>
      <c r="E2878" s="2" t="s">
        <v>9045</v>
      </c>
      <c r="F2878" s="2" t="s">
        <v>438</v>
      </c>
      <c r="G2878" s="2" t="s">
        <v>438</v>
      </c>
      <c r="H2878" s="2" t="s">
        <v>438</v>
      </c>
      <c r="I2878" s="2" t="s">
        <v>9712</v>
      </c>
      <c r="J2878" s="2" t="s">
        <v>490</v>
      </c>
      <c r="K2878" s="2" t="s">
        <v>188</v>
      </c>
      <c r="L2878" s="3">
        <v>12.92</v>
      </c>
      <c r="M2878" s="3">
        <v>13.57</v>
      </c>
      <c r="N2878" s="3">
        <v>30.99</v>
      </c>
      <c r="O2878" s="2" t="s">
        <v>97</v>
      </c>
      <c r="P2878" s="2" t="s">
        <v>98</v>
      </c>
      <c r="Q2878" s="2" t="s">
        <v>99</v>
      </c>
      <c r="R2878" s="2" t="s">
        <v>100</v>
      </c>
      <c r="S2878" s="2" t="s">
        <v>9803</v>
      </c>
      <c r="T2878" s="2" t="s">
        <v>438</v>
      </c>
      <c r="U2878" s="2" t="s">
        <v>1228</v>
      </c>
      <c r="V2878" s="2" t="s">
        <v>461</v>
      </c>
      <c r="W2878" s="2" t="s">
        <v>609</v>
      </c>
      <c r="X2878" s="2" t="s">
        <v>100</v>
      </c>
      <c r="Y2878" s="2" t="s">
        <v>9795</v>
      </c>
      <c r="Z2878" s="4">
        <v>187</v>
      </c>
      <c r="AA2878" s="4">
        <f>=ROUNDDOWN(37.4,0)</f>
      </c>
      <c r="AB2878" s="5">
        <v>5</v>
      </c>
      <c r="AC2878" s="2" t="s">
        <v>100</v>
      </c>
      <c r="AD2878" s="4"/>
      <c r="AE2878" s="4"/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 t="s">
        <v>100</v>
      </c>
      <c r="AW2878" s="8" t="s">
        <v>100</v>
      </c>
      <c r="AX2878" s="4" t="s">
        <v>100</v>
      </c>
      <c r="AY2878" s="8" t="s">
        <v>100</v>
      </c>
      <c r="AZ2878" s="7" t="s">
        <v>100</v>
      </c>
      <c r="BA2878" s="7" t="s">
        <v>100</v>
      </c>
      <c r="BB2878" s="7"/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 t="s">
        <v>100</v>
      </c>
      <c r="BJ2878" s="4">
        <v>8</v>
      </c>
      <c r="BK2878" s="8">
        <v>114.49</v>
      </c>
      <c r="BL2878" s="2" t="s">
        <v>5341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171</v>
      </c>
      <c r="BV2878" s="2" t="s">
        <v>97</v>
      </c>
      <c r="BW2878" s="2" t="s">
        <v>100</v>
      </c>
      <c r="BX2878" s="2" t="s">
        <v>100</v>
      </c>
      <c r="BY2878" s="2" t="s">
        <v>112</v>
      </c>
      <c r="BZ2878" s="2" t="s">
        <v>100</v>
      </c>
    </row>
    <row r="2879">
      <c r="A2879" s="2" t="s">
        <v>9806</v>
      </c>
      <c r="B2879" s="2" t="s">
        <v>9043</v>
      </c>
      <c r="C2879" s="2" t="s">
        <v>3449</v>
      </c>
      <c r="D2879" s="2" t="s">
        <v>9044</v>
      </c>
      <c r="E2879" s="2" t="s">
        <v>9045</v>
      </c>
      <c r="F2879" s="2" t="s">
        <v>438</v>
      </c>
      <c r="G2879" s="2" t="s">
        <v>438</v>
      </c>
      <c r="H2879" s="2" t="s">
        <v>438</v>
      </c>
      <c r="I2879" s="2" t="s">
        <v>9712</v>
      </c>
      <c r="J2879" s="2" t="s">
        <v>95</v>
      </c>
      <c r="K2879" s="2" t="s">
        <v>188</v>
      </c>
      <c r="L2879" s="3">
        <v>14.21</v>
      </c>
      <c r="M2879" s="3">
        <v>14.92</v>
      </c>
      <c r="N2879" s="3">
        <v>32.99</v>
      </c>
      <c r="O2879" s="2" t="s">
        <v>97</v>
      </c>
      <c r="P2879" s="2" t="s">
        <v>98</v>
      </c>
      <c r="Q2879" s="2" t="s">
        <v>99</v>
      </c>
      <c r="R2879" s="2" t="s">
        <v>100</v>
      </c>
      <c r="S2879" s="2" t="s">
        <v>9803</v>
      </c>
      <c r="T2879" s="2" t="s">
        <v>438</v>
      </c>
      <c r="U2879" s="2" t="s">
        <v>1228</v>
      </c>
      <c r="V2879" s="2" t="s">
        <v>461</v>
      </c>
      <c r="W2879" s="2" t="s">
        <v>609</v>
      </c>
      <c r="X2879" s="2" t="s">
        <v>100</v>
      </c>
      <c r="Y2879" s="2" t="s">
        <v>9795</v>
      </c>
      <c r="Z2879" s="4">
        <v>285</v>
      </c>
      <c r="AA2879" s="4">
        <f>=ROUNDDOWN(40.7142857142857,0)</f>
      </c>
      <c r="AB2879" s="5">
        <v>7</v>
      </c>
      <c r="AC2879" s="2" t="s">
        <v>100</v>
      </c>
      <c r="AD2879" s="4"/>
      <c r="AE2879" s="4"/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 t="s">
        <v>100</v>
      </c>
      <c r="AW2879" s="8" t="s">
        <v>100</v>
      </c>
      <c r="AX2879" s="4" t="s">
        <v>100</v>
      </c>
      <c r="AY2879" s="8" t="s">
        <v>100</v>
      </c>
      <c r="AZ2879" s="7" t="s">
        <v>100</v>
      </c>
      <c r="BA2879" s="7" t="s">
        <v>100</v>
      </c>
      <c r="BB2879" s="7"/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 t="s">
        <v>100</v>
      </c>
      <c r="BJ2879" s="4">
        <v>21</v>
      </c>
      <c r="BK2879" s="8">
        <v>335.51</v>
      </c>
      <c r="BL2879" s="2" t="s">
        <v>9807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171</v>
      </c>
      <c r="BV2879" s="2" t="s">
        <v>97</v>
      </c>
      <c r="BW2879" s="2" t="s">
        <v>100</v>
      </c>
      <c r="BX2879" s="2" t="s">
        <v>100</v>
      </c>
      <c r="BY2879" s="2" t="s">
        <v>112</v>
      </c>
      <c r="BZ2879" s="2" t="s">
        <v>100</v>
      </c>
    </row>
    <row r="2880">
      <c r="A2880" s="2" t="s">
        <v>9808</v>
      </c>
      <c r="B2880" s="2" t="s">
        <v>9043</v>
      </c>
      <c r="C2880" s="2" t="s">
        <v>3449</v>
      </c>
      <c r="D2880" s="2" t="s">
        <v>9044</v>
      </c>
      <c r="E2880" s="2" t="s">
        <v>9045</v>
      </c>
      <c r="F2880" s="2" t="s">
        <v>438</v>
      </c>
      <c r="G2880" s="2" t="s">
        <v>438</v>
      </c>
      <c r="H2880" s="2" t="s">
        <v>438</v>
      </c>
      <c r="I2880" s="2" t="s">
        <v>9712</v>
      </c>
      <c r="J2880" s="2" t="s">
        <v>114</v>
      </c>
      <c r="K2880" s="2" t="s">
        <v>188</v>
      </c>
      <c r="L2880" s="3">
        <v>16.75</v>
      </c>
      <c r="M2880" s="3">
        <v>17.59</v>
      </c>
      <c r="N2880" s="3">
        <v>37.99</v>
      </c>
      <c r="O2880" s="2" t="s">
        <v>97</v>
      </c>
      <c r="P2880" s="2" t="s">
        <v>98</v>
      </c>
      <c r="Q2880" s="2" t="s">
        <v>99</v>
      </c>
      <c r="R2880" s="2" t="s">
        <v>100</v>
      </c>
      <c r="S2880" s="2" t="s">
        <v>9803</v>
      </c>
      <c r="T2880" s="2" t="s">
        <v>438</v>
      </c>
      <c r="U2880" s="2" t="s">
        <v>1228</v>
      </c>
      <c r="V2880" s="2" t="s">
        <v>461</v>
      </c>
      <c r="W2880" s="2" t="s">
        <v>609</v>
      </c>
      <c r="X2880" s="2" t="s">
        <v>100</v>
      </c>
      <c r="Y2880" s="2" t="s">
        <v>9795</v>
      </c>
      <c r="Z2880" s="4">
        <v>105</v>
      </c>
      <c r="AA2880" s="4">
        <f>=ROUNDDOWN(26.25,0)</f>
      </c>
      <c r="AB2880" s="5">
        <v>4</v>
      </c>
      <c r="AC2880" s="2" t="s">
        <v>100</v>
      </c>
      <c r="AD2880" s="4"/>
      <c r="AE2880" s="4"/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 t="s">
        <v>100</v>
      </c>
      <c r="AW2880" s="8" t="s">
        <v>100</v>
      </c>
      <c r="AX2880" s="4" t="s">
        <v>100</v>
      </c>
      <c r="AY2880" s="8" t="s">
        <v>100</v>
      </c>
      <c r="AZ2880" s="7" t="s">
        <v>100</v>
      </c>
      <c r="BA2880" s="7" t="s">
        <v>100</v>
      </c>
      <c r="BB2880" s="7"/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 t="s">
        <v>100</v>
      </c>
      <c r="BJ2880" s="4">
        <v>12</v>
      </c>
      <c r="BK2880" s="8">
        <v>229.03</v>
      </c>
      <c r="BL2880" s="2" t="s">
        <v>1721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171</v>
      </c>
      <c r="BV2880" s="2" t="s">
        <v>97</v>
      </c>
      <c r="BW2880" s="2" t="s">
        <v>100</v>
      </c>
      <c r="BX2880" s="2" t="s">
        <v>100</v>
      </c>
      <c r="BY2880" s="2" t="s">
        <v>112</v>
      </c>
      <c r="BZ2880" s="2" t="s">
        <v>100</v>
      </c>
    </row>
    <row r="2881">
      <c r="A2881" s="2" t="s">
        <v>9809</v>
      </c>
      <c r="B2881" s="2" t="s">
        <v>9043</v>
      </c>
      <c r="C2881" s="2" t="s">
        <v>3449</v>
      </c>
      <c r="D2881" s="2" t="s">
        <v>9044</v>
      </c>
      <c r="E2881" s="2" t="s">
        <v>9045</v>
      </c>
      <c r="F2881" s="2" t="s">
        <v>438</v>
      </c>
      <c r="G2881" s="2" t="s">
        <v>438</v>
      </c>
      <c r="H2881" s="2" t="s">
        <v>438</v>
      </c>
      <c r="I2881" s="2" t="s">
        <v>9712</v>
      </c>
      <c r="J2881" s="2" t="s">
        <v>1443</v>
      </c>
      <c r="K2881" s="2" t="s">
        <v>5281</v>
      </c>
      <c r="L2881" s="3">
        <v>11.18</v>
      </c>
      <c r="M2881" s="3">
        <v>11.74</v>
      </c>
      <c r="N2881" s="3">
        <v>27.99</v>
      </c>
      <c r="O2881" s="2" t="s">
        <v>97</v>
      </c>
      <c r="P2881" s="2" t="s">
        <v>98</v>
      </c>
      <c r="Q2881" s="2" t="s">
        <v>99</v>
      </c>
      <c r="R2881" s="2" t="s">
        <v>100</v>
      </c>
      <c r="S2881" s="2" t="s">
        <v>9810</v>
      </c>
      <c r="T2881" s="2" t="s">
        <v>438</v>
      </c>
      <c r="U2881" s="2" t="s">
        <v>901</v>
      </c>
      <c r="V2881" s="2" t="s">
        <v>461</v>
      </c>
      <c r="W2881" s="2" t="s">
        <v>609</v>
      </c>
      <c r="X2881" s="2" t="s">
        <v>100</v>
      </c>
      <c r="Y2881" s="2" t="s">
        <v>9795</v>
      </c>
      <c r="Z2881" s="4">
        <v>108</v>
      </c>
      <c r="AA2881" s="4">
        <f>=ROUNDDOWN(27,0)</f>
      </c>
      <c r="AB2881" s="5">
        <v>4</v>
      </c>
      <c r="AC2881" s="2" t="s">
        <v>1452</v>
      </c>
      <c r="AD2881" s="4">
        <v>90</v>
      </c>
      <c r="AE2881" s="4">
        <v>190</v>
      </c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 t="s">
        <v>100</v>
      </c>
      <c r="AW2881" s="8" t="s">
        <v>100</v>
      </c>
      <c r="AX2881" s="4" t="s">
        <v>100</v>
      </c>
      <c r="AY2881" s="8" t="s">
        <v>100</v>
      </c>
      <c r="AZ2881" s="7" t="s">
        <v>100</v>
      </c>
      <c r="BA2881" s="7" t="s">
        <v>100</v>
      </c>
      <c r="BB2881" s="7"/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 t="s">
        <v>100</v>
      </c>
      <c r="BJ2881" s="4">
        <v>28</v>
      </c>
      <c r="BK2881" s="8">
        <v>356.37</v>
      </c>
      <c r="BL2881" s="2" t="s">
        <v>9811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171</v>
      </c>
      <c r="BV2881" s="2" t="s">
        <v>97</v>
      </c>
      <c r="BW2881" s="2" t="s">
        <v>100</v>
      </c>
      <c r="BX2881" s="2" t="s">
        <v>100</v>
      </c>
      <c r="BY2881" s="2" t="s">
        <v>112</v>
      </c>
      <c r="BZ2881" s="2" t="s">
        <v>100</v>
      </c>
    </row>
    <row r="2882">
      <c r="A2882" s="2" t="s">
        <v>9812</v>
      </c>
      <c r="B2882" s="2" t="s">
        <v>9043</v>
      </c>
      <c r="C2882" s="2" t="s">
        <v>3449</v>
      </c>
      <c r="D2882" s="2" t="s">
        <v>9044</v>
      </c>
      <c r="E2882" s="2" t="s">
        <v>9045</v>
      </c>
      <c r="F2882" s="2" t="s">
        <v>438</v>
      </c>
      <c r="G2882" s="2" t="s">
        <v>438</v>
      </c>
      <c r="H2882" s="2" t="s">
        <v>438</v>
      </c>
      <c r="I2882" s="2" t="s">
        <v>9712</v>
      </c>
      <c r="J2882" s="2" t="s">
        <v>1806</v>
      </c>
      <c r="K2882" s="2" t="s">
        <v>5281</v>
      </c>
      <c r="L2882" s="3">
        <v>11.18</v>
      </c>
      <c r="M2882" s="3">
        <v>11.74</v>
      </c>
      <c r="N2882" s="3">
        <v>27.99</v>
      </c>
      <c r="O2882" s="2" t="s">
        <v>97</v>
      </c>
      <c r="P2882" s="2" t="s">
        <v>98</v>
      </c>
      <c r="Q2882" s="2" t="s">
        <v>99</v>
      </c>
      <c r="R2882" s="2" t="s">
        <v>100</v>
      </c>
      <c r="S2882" s="2" t="s">
        <v>9810</v>
      </c>
      <c r="T2882" s="2" t="s">
        <v>438</v>
      </c>
      <c r="U2882" s="2" t="s">
        <v>901</v>
      </c>
      <c r="V2882" s="2" t="s">
        <v>461</v>
      </c>
      <c r="W2882" s="2" t="s">
        <v>609</v>
      </c>
      <c r="X2882" s="2" t="s">
        <v>100</v>
      </c>
      <c r="Y2882" s="2" t="s">
        <v>9795</v>
      </c>
      <c r="Z2882" s="4">
        <v>254</v>
      </c>
      <c r="AA2882" s="4">
        <f>=ROUNDDOWN(63.5,0)</f>
      </c>
      <c r="AB2882" s="5">
        <v>4</v>
      </c>
      <c r="AC2882" s="2" t="s">
        <v>1452</v>
      </c>
      <c r="AD2882" s="4">
        <v>120</v>
      </c>
      <c r="AE2882" s="4">
        <v>200</v>
      </c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 t="s">
        <v>100</v>
      </c>
      <c r="AW2882" s="8" t="s">
        <v>100</v>
      </c>
      <c r="AX2882" s="4" t="s">
        <v>100</v>
      </c>
      <c r="AY2882" s="8" t="s">
        <v>100</v>
      </c>
      <c r="AZ2882" s="7" t="s">
        <v>100</v>
      </c>
      <c r="BA2882" s="7" t="s">
        <v>100</v>
      </c>
      <c r="BB2882" s="7"/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 t="s">
        <v>100</v>
      </c>
      <c r="BJ2882" s="4">
        <v>11</v>
      </c>
      <c r="BK2882" s="8">
        <v>135.58</v>
      </c>
      <c r="BL2882" s="2" t="s">
        <v>9813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171</v>
      </c>
      <c r="BV2882" s="2" t="s">
        <v>97</v>
      </c>
      <c r="BW2882" s="2" t="s">
        <v>100</v>
      </c>
      <c r="BX2882" s="2" t="s">
        <v>100</v>
      </c>
      <c r="BY2882" s="2" t="s">
        <v>112</v>
      </c>
      <c r="BZ2882" s="2" t="s">
        <v>100</v>
      </c>
    </row>
    <row r="2883">
      <c r="A2883" s="2" t="s">
        <v>9814</v>
      </c>
      <c r="B2883" s="2" t="s">
        <v>9043</v>
      </c>
      <c r="C2883" s="2" t="s">
        <v>3449</v>
      </c>
      <c r="D2883" s="2" t="s">
        <v>9044</v>
      </c>
      <c r="E2883" s="2" t="s">
        <v>9045</v>
      </c>
      <c r="F2883" s="2" t="s">
        <v>438</v>
      </c>
      <c r="G2883" s="2" t="s">
        <v>438</v>
      </c>
      <c r="H2883" s="2" t="s">
        <v>438</v>
      </c>
      <c r="I2883" s="2" t="s">
        <v>9712</v>
      </c>
      <c r="J2883" s="2" t="s">
        <v>490</v>
      </c>
      <c r="K2883" s="2" t="s">
        <v>5281</v>
      </c>
      <c r="L2883" s="3">
        <v>12.92</v>
      </c>
      <c r="M2883" s="3">
        <v>13.57</v>
      </c>
      <c r="N2883" s="3">
        <v>30.99</v>
      </c>
      <c r="O2883" s="2" t="s">
        <v>97</v>
      </c>
      <c r="P2883" s="2" t="s">
        <v>98</v>
      </c>
      <c r="Q2883" s="2" t="s">
        <v>99</v>
      </c>
      <c r="R2883" s="2" t="s">
        <v>100</v>
      </c>
      <c r="S2883" s="2" t="s">
        <v>9810</v>
      </c>
      <c r="T2883" s="2" t="s">
        <v>438</v>
      </c>
      <c r="U2883" s="2" t="s">
        <v>1228</v>
      </c>
      <c r="V2883" s="2" t="s">
        <v>461</v>
      </c>
      <c r="W2883" s="2" t="s">
        <v>609</v>
      </c>
      <c r="X2883" s="2" t="s">
        <v>100</v>
      </c>
      <c r="Y2883" s="2" t="s">
        <v>9795</v>
      </c>
      <c r="Z2883" s="4">
        <v>146</v>
      </c>
      <c r="AA2883" s="4">
        <f>=ROUNDDOWN(24.3333333333333,0)</f>
      </c>
      <c r="AB2883" s="5">
        <v>6</v>
      </c>
      <c r="AC2883" s="2" t="s">
        <v>1452</v>
      </c>
      <c r="AD2883" s="4">
        <v>20</v>
      </c>
      <c r="AE2883" s="4">
        <v>90</v>
      </c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 t="s">
        <v>100</v>
      </c>
      <c r="AW2883" s="8" t="s">
        <v>100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/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 t="s">
        <v>100</v>
      </c>
      <c r="BJ2883" s="4">
        <v>8</v>
      </c>
      <c r="BK2883" s="8">
        <v>113.61</v>
      </c>
      <c r="BL2883" s="2" t="s">
        <v>3025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171</v>
      </c>
      <c r="BV2883" s="2" t="s">
        <v>97</v>
      </c>
      <c r="BW2883" s="2" t="s">
        <v>100</v>
      </c>
      <c r="BX2883" s="2" t="s">
        <v>100</v>
      </c>
      <c r="BY2883" s="2" t="s">
        <v>112</v>
      </c>
      <c r="BZ2883" s="2" t="s">
        <v>100</v>
      </c>
    </row>
    <row r="2884">
      <c r="A2884" s="2" t="s">
        <v>9815</v>
      </c>
      <c r="B2884" s="2" t="s">
        <v>9043</v>
      </c>
      <c r="C2884" s="2" t="s">
        <v>3449</v>
      </c>
      <c r="D2884" s="2" t="s">
        <v>9044</v>
      </c>
      <c r="E2884" s="2" t="s">
        <v>9045</v>
      </c>
      <c r="F2884" s="2" t="s">
        <v>438</v>
      </c>
      <c r="G2884" s="2" t="s">
        <v>438</v>
      </c>
      <c r="H2884" s="2" t="s">
        <v>438</v>
      </c>
      <c r="I2884" s="2" t="s">
        <v>9712</v>
      </c>
      <c r="J2884" s="2" t="s">
        <v>95</v>
      </c>
      <c r="K2884" s="2" t="s">
        <v>5281</v>
      </c>
      <c r="L2884" s="3">
        <v>14.21</v>
      </c>
      <c r="M2884" s="3">
        <v>14.92</v>
      </c>
      <c r="N2884" s="3">
        <v>32.99</v>
      </c>
      <c r="O2884" s="2" t="s">
        <v>97</v>
      </c>
      <c r="P2884" s="2" t="s">
        <v>98</v>
      </c>
      <c r="Q2884" s="2" t="s">
        <v>99</v>
      </c>
      <c r="R2884" s="2" t="s">
        <v>100</v>
      </c>
      <c r="S2884" s="2" t="s">
        <v>9810</v>
      </c>
      <c r="T2884" s="2" t="s">
        <v>438</v>
      </c>
      <c r="U2884" s="2" t="s">
        <v>1228</v>
      </c>
      <c r="V2884" s="2" t="s">
        <v>461</v>
      </c>
      <c r="W2884" s="2" t="s">
        <v>609</v>
      </c>
      <c r="X2884" s="2" t="s">
        <v>100</v>
      </c>
      <c r="Y2884" s="2" t="s">
        <v>9795</v>
      </c>
      <c r="Z2884" s="4">
        <v>319</v>
      </c>
      <c r="AA2884" s="4">
        <f>=ROUNDDOWN(35.4444444444444,0)</f>
      </c>
      <c r="AB2884" s="5">
        <v>9</v>
      </c>
      <c r="AC2884" s="2" t="s">
        <v>3082</v>
      </c>
      <c r="AD2884" s="4">
        <v>50</v>
      </c>
      <c r="AE2884" s="4">
        <v>50</v>
      </c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 t="s">
        <v>100</v>
      </c>
      <c r="AW2884" s="8" t="s">
        <v>100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/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 t="s">
        <v>100</v>
      </c>
      <c r="BJ2884" s="4">
        <v>17</v>
      </c>
      <c r="BK2884" s="8">
        <v>268.15</v>
      </c>
      <c r="BL2884" s="2" t="s">
        <v>9816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171</v>
      </c>
      <c r="BV2884" s="2" t="s">
        <v>97</v>
      </c>
      <c r="BW2884" s="2" t="s">
        <v>100</v>
      </c>
      <c r="BX2884" s="2" t="s">
        <v>100</v>
      </c>
      <c r="BY2884" s="2" t="s">
        <v>112</v>
      </c>
      <c r="BZ2884" s="2" t="s">
        <v>100</v>
      </c>
    </row>
    <row r="2885">
      <c r="A2885" s="2" t="s">
        <v>9817</v>
      </c>
      <c r="B2885" s="2" t="s">
        <v>9043</v>
      </c>
      <c r="C2885" s="2" t="s">
        <v>3449</v>
      </c>
      <c r="D2885" s="2" t="s">
        <v>9044</v>
      </c>
      <c r="E2885" s="2" t="s">
        <v>9045</v>
      </c>
      <c r="F2885" s="2" t="s">
        <v>438</v>
      </c>
      <c r="G2885" s="2" t="s">
        <v>438</v>
      </c>
      <c r="H2885" s="2" t="s">
        <v>438</v>
      </c>
      <c r="I2885" s="2" t="s">
        <v>9712</v>
      </c>
      <c r="J2885" s="2" t="s">
        <v>114</v>
      </c>
      <c r="K2885" s="2" t="s">
        <v>5281</v>
      </c>
      <c r="L2885" s="3">
        <v>16.75</v>
      </c>
      <c r="M2885" s="3">
        <v>17.59</v>
      </c>
      <c r="N2885" s="3">
        <v>37.99</v>
      </c>
      <c r="O2885" s="2" t="s">
        <v>97</v>
      </c>
      <c r="P2885" s="2" t="s">
        <v>98</v>
      </c>
      <c r="Q2885" s="2" t="s">
        <v>99</v>
      </c>
      <c r="R2885" s="2" t="s">
        <v>100</v>
      </c>
      <c r="S2885" s="2" t="s">
        <v>9810</v>
      </c>
      <c r="T2885" s="2" t="s">
        <v>438</v>
      </c>
      <c r="U2885" s="2" t="s">
        <v>1228</v>
      </c>
      <c r="V2885" s="2" t="s">
        <v>461</v>
      </c>
      <c r="W2885" s="2" t="s">
        <v>609</v>
      </c>
      <c r="X2885" s="2" t="s">
        <v>100</v>
      </c>
      <c r="Y2885" s="2" t="s">
        <v>9795</v>
      </c>
      <c r="Z2885" s="4">
        <v>70</v>
      </c>
      <c r="AA2885" s="4">
        <f>=ROUNDDOWN(17.5,0)</f>
      </c>
      <c r="AB2885" s="5">
        <v>4</v>
      </c>
      <c r="AC2885" s="2" t="s">
        <v>1452</v>
      </c>
      <c r="AD2885" s="4">
        <v>30</v>
      </c>
      <c r="AE2885" s="4">
        <v>70</v>
      </c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 t="s">
        <v>100</v>
      </c>
      <c r="AW2885" s="8" t="s">
        <v>100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/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 t="s">
        <v>100</v>
      </c>
      <c r="BJ2885" s="4">
        <v>1</v>
      </c>
      <c r="BK2885" s="8">
        <v>17.14</v>
      </c>
      <c r="BL2885" s="2" t="s">
        <v>6336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171</v>
      </c>
      <c r="BV2885" s="2" t="s">
        <v>97</v>
      </c>
      <c r="BW2885" s="2" t="s">
        <v>100</v>
      </c>
      <c r="BX2885" s="2" t="s">
        <v>100</v>
      </c>
      <c r="BY2885" s="2" t="s">
        <v>112</v>
      </c>
      <c r="BZ2885" s="2" t="s">
        <v>100</v>
      </c>
    </row>
    <row r="2886">
      <c r="A2886" s="2" t="s">
        <v>9818</v>
      </c>
      <c r="B2886" s="2" t="s">
        <v>9043</v>
      </c>
      <c r="C2886" s="2" t="s">
        <v>3449</v>
      </c>
      <c r="D2886" s="2" t="s">
        <v>9044</v>
      </c>
      <c r="E2886" s="2" t="s">
        <v>9045</v>
      </c>
      <c r="F2886" s="2" t="s">
        <v>438</v>
      </c>
      <c r="G2886" s="2" t="s">
        <v>438</v>
      </c>
      <c r="H2886" s="2" t="s">
        <v>438</v>
      </c>
      <c r="I2886" s="2" t="s">
        <v>9717</v>
      </c>
      <c r="J2886" s="2" t="s">
        <v>1443</v>
      </c>
      <c r="K2886" s="2" t="s">
        <v>458</v>
      </c>
      <c r="L2886" s="3">
        <v>12.15</v>
      </c>
      <c r="M2886" s="3">
        <v>12.76</v>
      </c>
      <c r="N2886" s="3">
        <v>26.99</v>
      </c>
      <c r="O2886" s="2" t="s">
        <v>97</v>
      </c>
      <c r="P2886" s="2" t="s">
        <v>98</v>
      </c>
      <c r="Q2886" s="2" t="s">
        <v>99</v>
      </c>
      <c r="R2886" s="2" t="s">
        <v>100</v>
      </c>
      <c r="S2886" s="2" t="s">
        <v>9819</v>
      </c>
      <c r="T2886" s="2" t="s">
        <v>438</v>
      </c>
      <c r="U2886" s="2" t="s">
        <v>1228</v>
      </c>
      <c r="V2886" s="2" t="s">
        <v>461</v>
      </c>
      <c r="W2886" s="2" t="s">
        <v>609</v>
      </c>
      <c r="X2886" s="2" t="s">
        <v>493</v>
      </c>
      <c r="Y2886" s="2" t="s">
        <v>9736</v>
      </c>
      <c r="Z2886" s="4">
        <v>160</v>
      </c>
      <c r="AA2886" s="4">
        <f>=ROUNDDOWN(53.3333333333333,0)</f>
      </c>
      <c r="AB2886" s="5">
        <v>3</v>
      </c>
      <c r="AC2886" s="2" t="s">
        <v>312</v>
      </c>
      <c r="AD2886" s="4">
        <v>30</v>
      </c>
      <c r="AE2886" s="4">
        <v>30</v>
      </c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 t="s">
        <v>100</v>
      </c>
      <c r="AW2886" s="8" t="s">
        <v>100</v>
      </c>
      <c r="AX2886" s="4" t="s">
        <v>100</v>
      </c>
      <c r="AY2886" s="8" t="s">
        <v>100</v>
      </c>
      <c r="AZ2886" s="7" t="s">
        <v>100</v>
      </c>
      <c r="BA2886" s="7" t="s">
        <v>100</v>
      </c>
      <c r="BB2886" s="7" t="s">
        <v>100</v>
      </c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 t="s">
        <v>100</v>
      </c>
      <c r="BJ2886" s="4">
        <v>6</v>
      </c>
      <c r="BK2886" s="8">
        <v>77.86</v>
      </c>
      <c r="BL2886" s="2" t="s">
        <v>5889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109</v>
      </c>
      <c r="BV2886" s="2" t="s">
        <v>97</v>
      </c>
      <c r="BW2886" s="2" t="s">
        <v>4607</v>
      </c>
      <c r="BX2886" s="2" t="s">
        <v>9197</v>
      </c>
      <c r="BY2886" s="2" t="s">
        <v>112</v>
      </c>
      <c r="BZ2886" s="2" t="s">
        <v>100</v>
      </c>
    </row>
    <row r="2887">
      <c r="A2887" s="2" t="s">
        <v>9820</v>
      </c>
      <c r="B2887" s="2" t="s">
        <v>9043</v>
      </c>
      <c r="C2887" s="2" t="s">
        <v>3449</v>
      </c>
      <c r="D2887" s="2" t="s">
        <v>9044</v>
      </c>
      <c r="E2887" s="2" t="s">
        <v>9045</v>
      </c>
      <c r="F2887" s="2" t="s">
        <v>438</v>
      </c>
      <c r="G2887" s="2" t="s">
        <v>438</v>
      </c>
      <c r="H2887" s="2" t="s">
        <v>438</v>
      </c>
      <c r="I2887" s="2" t="s">
        <v>9712</v>
      </c>
      <c r="J2887" s="2" t="s">
        <v>1443</v>
      </c>
      <c r="K2887" s="2" t="s">
        <v>458</v>
      </c>
      <c r="L2887" s="3">
        <v>11.18</v>
      </c>
      <c r="M2887" s="3">
        <v>11.74</v>
      </c>
      <c r="N2887" s="3">
        <v>27.99</v>
      </c>
      <c r="O2887" s="2" t="s">
        <v>97</v>
      </c>
      <c r="P2887" s="2" t="s">
        <v>98</v>
      </c>
      <c r="Q2887" s="2" t="s">
        <v>99</v>
      </c>
      <c r="R2887" s="2" t="s">
        <v>100</v>
      </c>
      <c r="S2887" s="2" t="s">
        <v>9819</v>
      </c>
      <c r="T2887" s="2" t="s">
        <v>438</v>
      </c>
      <c r="U2887" s="2" t="s">
        <v>100</v>
      </c>
      <c r="V2887" s="2" t="s">
        <v>461</v>
      </c>
      <c r="W2887" s="2" t="s">
        <v>609</v>
      </c>
      <c r="X2887" s="2" t="s">
        <v>100</v>
      </c>
      <c r="Y2887" s="2" t="s">
        <v>4108</v>
      </c>
      <c r="Z2887" s="4">
        <v>48</v>
      </c>
      <c r="AA2887" s="4">
        <f>=ROUNDDOWN(3.69230769230769,0)</f>
      </c>
      <c r="AB2887" s="5">
        <v>13</v>
      </c>
      <c r="AC2887" s="2" t="s">
        <v>312</v>
      </c>
      <c r="AD2887" s="4">
        <v>120</v>
      </c>
      <c r="AE2887" s="4">
        <v>375</v>
      </c>
      <c r="AF2887" s="6">
        <v>65</v>
      </c>
      <c r="AG2887" s="6"/>
      <c r="AH2887" s="7">
        <v>0.4839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100</v>
      </c>
      <c r="AW2887" s="8" t="s">
        <v>100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 t="s">
        <v>100</v>
      </c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 t="s">
        <v>100</v>
      </c>
      <c r="BJ2887" s="4">
        <v>28</v>
      </c>
      <c r="BK2887" s="8">
        <v>339.1</v>
      </c>
      <c r="BL2887" s="2" t="s">
        <v>9821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159</v>
      </c>
      <c r="BX2887" s="2" t="s">
        <v>1912</v>
      </c>
      <c r="BY2887" s="2" t="s">
        <v>112</v>
      </c>
      <c r="BZ2887" s="2" t="s">
        <v>100</v>
      </c>
    </row>
    <row r="2888">
      <c r="A2888" s="2" t="s">
        <v>9822</v>
      </c>
      <c r="B2888" s="2" t="s">
        <v>9043</v>
      </c>
      <c r="C2888" s="2" t="s">
        <v>3449</v>
      </c>
      <c r="D2888" s="2" t="s">
        <v>9044</v>
      </c>
      <c r="E2888" s="2" t="s">
        <v>9045</v>
      </c>
      <c r="F2888" s="2" t="s">
        <v>438</v>
      </c>
      <c r="G2888" s="2" t="s">
        <v>438</v>
      </c>
      <c r="H2888" s="2" t="s">
        <v>438</v>
      </c>
      <c r="I2888" s="2" t="s">
        <v>9717</v>
      </c>
      <c r="J2888" s="2" t="s">
        <v>1806</v>
      </c>
      <c r="K2888" s="2" t="s">
        <v>458</v>
      </c>
      <c r="L2888" s="3">
        <v>12.15</v>
      </c>
      <c r="M2888" s="3">
        <v>12.76</v>
      </c>
      <c r="N2888" s="3">
        <v>26.99</v>
      </c>
      <c r="O2888" s="2" t="s">
        <v>97</v>
      </c>
      <c r="P2888" s="2" t="s">
        <v>98</v>
      </c>
      <c r="Q2888" s="2" t="s">
        <v>99</v>
      </c>
      <c r="R2888" s="2" t="s">
        <v>100</v>
      </c>
      <c r="S2888" s="2" t="s">
        <v>9819</v>
      </c>
      <c r="T2888" s="2" t="s">
        <v>438</v>
      </c>
      <c r="U2888" s="2" t="s">
        <v>1228</v>
      </c>
      <c r="V2888" s="2" t="s">
        <v>461</v>
      </c>
      <c r="W2888" s="2" t="s">
        <v>609</v>
      </c>
      <c r="X2888" s="2" t="s">
        <v>493</v>
      </c>
      <c r="Y2888" s="2" t="s">
        <v>9736</v>
      </c>
      <c r="Z2888" s="4">
        <v>310</v>
      </c>
      <c r="AA2888" s="4">
        <f>=ROUNDDOWN(44.2857142857143,0)</f>
      </c>
      <c r="AB2888" s="5">
        <v>7</v>
      </c>
      <c r="AC2888" s="2" t="s">
        <v>312</v>
      </c>
      <c r="AD2888" s="4">
        <v>200</v>
      </c>
      <c r="AE2888" s="4">
        <v>340</v>
      </c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 t="s">
        <v>100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 t="s">
        <v>100</v>
      </c>
      <c r="BJ2888" s="4">
        <v>26</v>
      </c>
      <c r="BK2888" s="8">
        <v>336.75</v>
      </c>
      <c r="BL2888" s="2" t="s">
        <v>9823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4607</v>
      </c>
      <c r="BX2888" s="2" t="s">
        <v>1192</v>
      </c>
      <c r="BY2888" s="2" t="s">
        <v>112</v>
      </c>
      <c r="BZ2888" s="2" t="s">
        <v>100</v>
      </c>
    </row>
    <row r="2889">
      <c r="A2889" s="2" t="s">
        <v>9824</v>
      </c>
      <c r="B2889" s="2" t="s">
        <v>9043</v>
      </c>
      <c r="C2889" s="2" t="s">
        <v>3449</v>
      </c>
      <c r="D2889" s="2" t="s">
        <v>9044</v>
      </c>
      <c r="E2889" s="2" t="s">
        <v>9045</v>
      </c>
      <c r="F2889" s="2" t="s">
        <v>438</v>
      </c>
      <c r="G2889" s="2" t="s">
        <v>438</v>
      </c>
      <c r="H2889" s="2" t="s">
        <v>438</v>
      </c>
      <c r="I2889" s="2" t="s">
        <v>9712</v>
      </c>
      <c r="J2889" s="2" t="s">
        <v>1806</v>
      </c>
      <c r="K2889" s="2" t="s">
        <v>458</v>
      </c>
      <c r="L2889" s="3">
        <v>11.18</v>
      </c>
      <c r="M2889" s="3">
        <v>11.74</v>
      </c>
      <c r="N2889" s="3">
        <v>27.99</v>
      </c>
      <c r="O2889" s="2" t="s">
        <v>97</v>
      </c>
      <c r="P2889" s="2" t="s">
        <v>98</v>
      </c>
      <c r="Q2889" s="2" t="s">
        <v>99</v>
      </c>
      <c r="R2889" s="2" t="s">
        <v>100</v>
      </c>
      <c r="S2889" s="2" t="s">
        <v>9819</v>
      </c>
      <c r="T2889" s="2" t="s">
        <v>438</v>
      </c>
      <c r="U2889" s="2" t="s">
        <v>100</v>
      </c>
      <c r="V2889" s="2" t="s">
        <v>461</v>
      </c>
      <c r="W2889" s="2" t="s">
        <v>609</v>
      </c>
      <c r="X2889" s="2" t="s">
        <v>100</v>
      </c>
      <c r="Y2889" s="2" t="s">
        <v>144</v>
      </c>
      <c r="Z2889" s="4">
        <v>219</v>
      </c>
      <c r="AA2889" s="4">
        <f>=ROUNDDOWN(36.5,0)</f>
      </c>
      <c r="AB2889" s="5">
        <v>6</v>
      </c>
      <c r="AC2889" s="2" t="s">
        <v>312</v>
      </c>
      <c r="AD2889" s="4">
        <v>100</v>
      </c>
      <c r="AE2889" s="4">
        <v>240</v>
      </c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100</v>
      </c>
      <c r="AW2889" s="8" t="s">
        <v>100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 t="s">
        <v>100</v>
      </c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 t="s">
        <v>100</v>
      </c>
      <c r="BJ2889" s="4">
        <v>12</v>
      </c>
      <c r="BK2889" s="8">
        <v>152.66</v>
      </c>
      <c r="BL2889" s="2" t="s">
        <v>9825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159</v>
      </c>
      <c r="BX2889" s="2" t="s">
        <v>9826</v>
      </c>
      <c r="BY2889" s="2" t="s">
        <v>112</v>
      </c>
      <c r="BZ2889" s="2" t="s">
        <v>100</v>
      </c>
    </row>
    <row r="2890">
      <c r="A2890" s="2" t="s">
        <v>9827</v>
      </c>
      <c r="B2890" s="2" t="s">
        <v>9043</v>
      </c>
      <c r="C2890" s="2" t="s">
        <v>3449</v>
      </c>
      <c r="D2890" s="2" t="s">
        <v>9044</v>
      </c>
      <c r="E2890" s="2" t="s">
        <v>9045</v>
      </c>
      <c r="F2890" s="2" t="s">
        <v>438</v>
      </c>
      <c r="G2890" s="2" t="s">
        <v>438</v>
      </c>
      <c r="H2890" s="2" t="s">
        <v>438</v>
      </c>
      <c r="I2890" s="2" t="s">
        <v>9717</v>
      </c>
      <c r="J2890" s="2" t="s">
        <v>490</v>
      </c>
      <c r="K2890" s="2" t="s">
        <v>458</v>
      </c>
      <c r="L2890" s="3">
        <v>14.85</v>
      </c>
      <c r="M2890" s="3">
        <v>15.59</v>
      </c>
      <c r="N2890" s="3">
        <v>32.99</v>
      </c>
      <c r="O2890" s="2" t="s">
        <v>97</v>
      </c>
      <c r="P2890" s="2" t="s">
        <v>98</v>
      </c>
      <c r="Q2890" s="2" t="s">
        <v>99</v>
      </c>
      <c r="R2890" s="2" t="s">
        <v>100</v>
      </c>
      <c r="S2890" s="2" t="s">
        <v>9819</v>
      </c>
      <c r="T2890" s="2" t="s">
        <v>438</v>
      </c>
      <c r="U2890" s="2" t="s">
        <v>355</v>
      </c>
      <c r="V2890" s="2" t="s">
        <v>461</v>
      </c>
      <c r="W2890" s="2" t="s">
        <v>609</v>
      </c>
      <c r="X2890" s="2" t="s">
        <v>493</v>
      </c>
      <c r="Y2890" s="2" t="s">
        <v>9736</v>
      </c>
      <c r="Z2890" s="4">
        <v>117</v>
      </c>
      <c r="AA2890" s="4">
        <f>=ROUNDDOWN(39,0)</f>
      </c>
      <c r="AB2890" s="5">
        <v>3</v>
      </c>
      <c r="AC2890" s="2" t="s">
        <v>100</v>
      </c>
      <c r="AD2890" s="4"/>
      <c r="AE2890" s="4"/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100</v>
      </c>
      <c r="AW2890" s="8" t="s">
        <v>100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 t="s">
        <v>100</v>
      </c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 t="s">
        <v>100</v>
      </c>
      <c r="BJ2890" s="4">
        <v>12</v>
      </c>
      <c r="BK2890" s="8">
        <v>190.42</v>
      </c>
      <c r="BL2890" s="2" t="s">
        <v>710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109</v>
      </c>
      <c r="BV2890" s="2" t="s">
        <v>97</v>
      </c>
      <c r="BW2890" s="2" t="s">
        <v>4607</v>
      </c>
      <c r="BX2890" s="2" t="s">
        <v>327</v>
      </c>
      <c r="BY2890" s="2" t="s">
        <v>112</v>
      </c>
      <c r="BZ2890" s="2" t="s">
        <v>100</v>
      </c>
    </row>
    <row r="2891">
      <c r="A2891" s="2" t="s">
        <v>9828</v>
      </c>
      <c r="B2891" s="2" t="s">
        <v>9043</v>
      </c>
      <c r="C2891" s="2" t="s">
        <v>3449</v>
      </c>
      <c r="D2891" s="2" t="s">
        <v>9044</v>
      </c>
      <c r="E2891" s="2" t="s">
        <v>9045</v>
      </c>
      <c r="F2891" s="2" t="s">
        <v>438</v>
      </c>
      <c r="G2891" s="2" t="s">
        <v>438</v>
      </c>
      <c r="H2891" s="2" t="s">
        <v>438</v>
      </c>
      <c r="I2891" s="2" t="s">
        <v>9712</v>
      </c>
      <c r="J2891" s="2" t="s">
        <v>490</v>
      </c>
      <c r="K2891" s="2" t="s">
        <v>458</v>
      </c>
      <c r="L2891" s="3">
        <v>12.92</v>
      </c>
      <c r="M2891" s="3">
        <v>13.57</v>
      </c>
      <c r="N2891" s="3">
        <v>30.99</v>
      </c>
      <c r="O2891" s="2" t="s">
        <v>97</v>
      </c>
      <c r="P2891" s="2" t="s">
        <v>98</v>
      </c>
      <c r="Q2891" s="2" t="s">
        <v>99</v>
      </c>
      <c r="R2891" s="2" t="s">
        <v>100</v>
      </c>
      <c r="S2891" s="2" t="s">
        <v>9819</v>
      </c>
      <c r="T2891" s="2" t="s">
        <v>438</v>
      </c>
      <c r="U2891" s="2" t="s">
        <v>100</v>
      </c>
      <c r="V2891" s="2" t="s">
        <v>461</v>
      </c>
      <c r="W2891" s="2" t="s">
        <v>609</v>
      </c>
      <c r="X2891" s="2" t="s">
        <v>100</v>
      </c>
      <c r="Y2891" s="2" t="s">
        <v>144</v>
      </c>
      <c r="Z2891" s="4">
        <v>213</v>
      </c>
      <c r="AA2891" s="4">
        <f>=ROUNDDOWN(17.75,0)</f>
      </c>
      <c r="AB2891" s="5">
        <v>12</v>
      </c>
      <c r="AC2891" s="2" t="s">
        <v>312</v>
      </c>
      <c r="AD2891" s="4">
        <v>50</v>
      </c>
      <c r="AE2891" s="4">
        <v>70</v>
      </c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100</v>
      </c>
      <c r="AW2891" s="8" t="s">
        <v>100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 t="s">
        <v>100</v>
      </c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 t="s">
        <v>100</v>
      </c>
      <c r="BJ2891" s="4">
        <v>36</v>
      </c>
      <c r="BK2891" s="8">
        <v>498.72</v>
      </c>
      <c r="BL2891" s="2" t="s">
        <v>9829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109</v>
      </c>
      <c r="BV2891" s="2" t="s">
        <v>97</v>
      </c>
      <c r="BW2891" s="2" t="s">
        <v>159</v>
      </c>
      <c r="BX2891" s="2" t="s">
        <v>9830</v>
      </c>
      <c r="BY2891" s="2" t="s">
        <v>112</v>
      </c>
      <c r="BZ2891" s="2" t="s">
        <v>100</v>
      </c>
    </row>
    <row r="2892">
      <c r="A2892" s="2" t="s">
        <v>9831</v>
      </c>
      <c r="B2892" s="2" t="s">
        <v>9043</v>
      </c>
      <c r="C2892" s="2" t="s">
        <v>3449</v>
      </c>
      <c r="D2892" s="2" t="s">
        <v>9044</v>
      </c>
      <c r="E2892" s="2" t="s">
        <v>9045</v>
      </c>
      <c r="F2892" s="2" t="s">
        <v>438</v>
      </c>
      <c r="G2892" s="2" t="s">
        <v>438</v>
      </c>
      <c r="H2892" s="2" t="s">
        <v>438</v>
      </c>
      <c r="I2892" s="2" t="s">
        <v>9712</v>
      </c>
      <c r="J2892" s="2" t="s">
        <v>95</v>
      </c>
      <c r="K2892" s="2" t="s">
        <v>458</v>
      </c>
      <c r="L2892" s="3">
        <v>14.21</v>
      </c>
      <c r="M2892" s="3">
        <v>14.92</v>
      </c>
      <c r="N2892" s="3">
        <v>32.99</v>
      </c>
      <c r="O2892" s="2" t="s">
        <v>97</v>
      </c>
      <c r="P2892" s="2" t="s">
        <v>139</v>
      </c>
      <c r="Q2892" s="2" t="s">
        <v>99</v>
      </c>
      <c r="R2892" s="2" t="s">
        <v>100</v>
      </c>
      <c r="S2892" s="2" t="s">
        <v>9819</v>
      </c>
      <c r="T2892" s="2" t="s">
        <v>438</v>
      </c>
      <c r="U2892" s="2" t="s">
        <v>100</v>
      </c>
      <c r="V2892" s="2" t="s">
        <v>461</v>
      </c>
      <c r="W2892" s="2" t="s">
        <v>609</v>
      </c>
      <c r="X2892" s="2" t="s">
        <v>100</v>
      </c>
      <c r="Y2892" s="2" t="s">
        <v>144</v>
      </c>
      <c r="Z2892" s="4">
        <v>190</v>
      </c>
      <c r="AA2892" s="4">
        <f>=ROUNDDOWN(8.26086956521739,0)</f>
      </c>
      <c r="AB2892" s="5">
        <v>23</v>
      </c>
      <c r="AC2892" s="2" t="s">
        <v>312</v>
      </c>
      <c r="AD2892" s="4">
        <v>140</v>
      </c>
      <c r="AE2892" s="4">
        <v>510</v>
      </c>
      <c r="AF2892" s="6">
        <v>65</v>
      </c>
      <c r="AG2892" s="6"/>
      <c r="AH2892" s="7">
        <v>0.9032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100</v>
      </c>
      <c r="AW2892" s="8" t="s">
        <v>100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 t="s">
        <v>100</v>
      </c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 t="s">
        <v>100</v>
      </c>
      <c r="BJ2892" s="4">
        <v>103</v>
      </c>
      <c r="BK2892" s="8">
        <v>1529.93</v>
      </c>
      <c r="BL2892" s="2" t="s">
        <v>9832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109</v>
      </c>
      <c r="BV2892" s="2" t="s">
        <v>97</v>
      </c>
      <c r="BW2892" s="2" t="s">
        <v>159</v>
      </c>
      <c r="BX2892" s="2" t="s">
        <v>9833</v>
      </c>
      <c r="BY2892" s="2" t="s">
        <v>112</v>
      </c>
      <c r="BZ2892" s="2" t="s">
        <v>100</v>
      </c>
    </row>
    <row r="2893">
      <c r="A2893" s="2" t="s">
        <v>9834</v>
      </c>
      <c r="B2893" s="2" t="s">
        <v>9043</v>
      </c>
      <c r="C2893" s="2" t="s">
        <v>3449</v>
      </c>
      <c r="D2893" s="2" t="s">
        <v>9044</v>
      </c>
      <c r="E2893" s="2" t="s">
        <v>9045</v>
      </c>
      <c r="F2893" s="2" t="s">
        <v>438</v>
      </c>
      <c r="G2893" s="2" t="s">
        <v>438</v>
      </c>
      <c r="H2893" s="2" t="s">
        <v>438</v>
      </c>
      <c r="I2893" s="2" t="s">
        <v>9717</v>
      </c>
      <c r="J2893" s="2" t="s">
        <v>95</v>
      </c>
      <c r="K2893" s="2" t="s">
        <v>458</v>
      </c>
      <c r="L2893" s="3">
        <v>14.85</v>
      </c>
      <c r="M2893" s="3">
        <v>15.59</v>
      </c>
      <c r="N2893" s="3">
        <v>32.99</v>
      </c>
      <c r="O2893" s="2" t="s">
        <v>97</v>
      </c>
      <c r="P2893" s="2" t="s">
        <v>98</v>
      </c>
      <c r="Q2893" s="2" t="s">
        <v>99</v>
      </c>
      <c r="R2893" s="2" t="s">
        <v>100</v>
      </c>
      <c r="S2893" s="2" t="s">
        <v>9819</v>
      </c>
      <c r="T2893" s="2" t="s">
        <v>438</v>
      </c>
      <c r="U2893" s="2" t="s">
        <v>355</v>
      </c>
      <c r="V2893" s="2" t="s">
        <v>461</v>
      </c>
      <c r="W2893" s="2" t="s">
        <v>609</v>
      </c>
      <c r="X2893" s="2" t="s">
        <v>493</v>
      </c>
      <c r="Y2893" s="2" t="s">
        <v>9736</v>
      </c>
      <c r="Z2893" s="4">
        <v>340</v>
      </c>
      <c r="AA2893" s="4">
        <f>=ROUNDDOWN(23.1292517006803,0)</f>
      </c>
      <c r="AB2893" s="5">
        <v>14.7</v>
      </c>
      <c r="AC2893" s="2" t="s">
        <v>312</v>
      </c>
      <c r="AD2893" s="4">
        <v>100</v>
      </c>
      <c r="AE2893" s="4">
        <v>100</v>
      </c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 t="s">
        <v>100</v>
      </c>
      <c r="AW2893" s="8" t="s">
        <v>100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 t="s">
        <v>100</v>
      </c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 t="s">
        <v>100</v>
      </c>
      <c r="BJ2893" s="4">
        <v>36</v>
      </c>
      <c r="BK2893" s="8">
        <v>573.62</v>
      </c>
      <c r="BL2893" s="2" t="s">
        <v>9835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4607</v>
      </c>
      <c r="BX2893" s="2" t="s">
        <v>4702</v>
      </c>
      <c r="BY2893" s="2" t="s">
        <v>112</v>
      </c>
      <c r="BZ2893" s="2" t="s">
        <v>100</v>
      </c>
    </row>
    <row r="2894">
      <c r="A2894" s="2" t="s">
        <v>9836</v>
      </c>
      <c r="B2894" s="2" t="s">
        <v>9043</v>
      </c>
      <c r="C2894" s="2" t="s">
        <v>3449</v>
      </c>
      <c r="D2894" s="2" t="s">
        <v>9044</v>
      </c>
      <c r="E2894" s="2" t="s">
        <v>9045</v>
      </c>
      <c r="F2894" s="2" t="s">
        <v>438</v>
      </c>
      <c r="G2894" s="2" t="s">
        <v>438</v>
      </c>
      <c r="H2894" s="2" t="s">
        <v>438</v>
      </c>
      <c r="I2894" s="2" t="s">
        <v>9712</v>
      </c>
      <c r="J2894" s="2" t="s">
        <v>114</v>
      </c>
      <c r="K2894" s="2" t="s">
        <v>458</v>
      </c>
      <c r="L2894" s="3">
        <v>16.75</v>
      </c>
      <c r="M2894" s="3">
        <v>17.59</v>
      </c>
      <c r="N2894" s="3">
        <v>37.99</v>
      </c>
      <c r="O2894" s="2" t="s">
        <v>97</v>
      </c>
      <c r="P2894" s="2" t="s">
        <v>98</v>
      </c>
      <c r="Q2894" s="2" t="s">
        <v>99</v>
      </c>
      <c r="R2894" s="2" t="s">
        <v>100</v>
      </c>
      <c r="S2894" s="2" t="s">
        <v>9819</v>
      </c>
      <c r="T2894" s="2" t="s">
        <v>438</v>
      </c>
      <c r="U2894" s="2" t="s">
        <v>100</v>
      </c>
      <c r="V2894" s="2" t="s">
        <v>461</v>
      </c>
      <c r="W2894" s="2" t="s">
        <v>609</v>
      </c>
      <c r="X2894" s="2" t="s">
        <v>100</v>
      </c>
      <c r="Y2894" s="2" t="s">
        <v>144</v>
      </c>
      <c r="Z2894" s="4">
        <v>133</v>
      </c>
      <c r="AA2894" s="4">
        <f>=ROUNDDOWN(9.17241379310345,0)</f>
      </c>
      <c r="AB2894" s="5">
        <v>14.5</v>
      </c>
      <c r="AC2894" s="2" t="s">
        <v>2008</v>
      </c>
      <c r="AD2894" s="4">
        <v>50</v>
      </c>
      <c r="AE2894" s="4">
        <v>200</v>
      </c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 t="s">
        <v>100</v>
      </c>
      <c r="AW2894" s="8" t="s">
        <v>100</v>
      </c>
      <c r="AX2894" s="4" t="s">
        <v>100</v>
      </c>
      <c r="AY2894" s="8" t="s">
        <v>100</v>
      </c>
      <c r="AZ2894" s="7" t="s">
        <v>100</v>
      </c>
      <c r="BA2894" s="7" t="s">
        <v>100</v>
      </c>
      <c r="BB2894" s="7"/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 t="s">
        <v>100</v>
      </c>
      <c r="BJ2894" s="4">
        <v>50</v>
      </c>
      <c r="BK2894" s="8">
        <v>901.98</v>
      </c>
      <c r="BL2894" s="2" t="s">
        <v>5973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109</v>
      </c>
      <c r="BV2894" s="2" t="s">
        <v>97</v>
      </c>
      <c r="BW2894" s="2" t="s">
        <v>159</v>
      </c>
      <c r="BX2894" s="2" t="s">
        <v>9833</v>
      </c>
      <c r="BY2894" s="2" t="s">
        <v>112</v>
      </c>
      <c r="BZ2894" s="2" t="s">
        <v>100</v>
      </c>
    </row>
    <row r="2895">
      <c r="A2895" s="2" t="s">
        <v>9837</v>
      </c>
      <c r="B2895" s="2" t="s">
        <v>9043</v>
      </c>
      <c r="C2895" s="2" t="s">
        <v>3449</v>
      </c>
      <c r="D2895" s="2" t="s">
        <v>9044</v>
      </c>
      <c r="E2895" s="2" t="s">
        <v>9045</v>
      </c>
      <c r="F2895" s="2" t="s">
        <v>9838</v>
      </c>
      <c r="G2895" s="2" t="s">
        <v>9838</v>
      </c>
      <c r="H2895" s="2" t="s">
        <v>9838</v>
      </c>
      <c r="I2895" s="2" t="s">
        <v>9839</v>
      </c>
      <c r="J2895" s="2" t="s">
        <v>1443</v>
      </c>
      <c r="K2895" s="2" t="s">
        <v>458</v>
      </c>
      <c r="L2895" s="3">
        <v>18.8</v>
      </c>
      <c r="M2895" s="3">
        <v>19.74</v>
      </c>
      <c r="N2895" s="3">
        <v>39.99</v>
      </c>
      <c r="O2895" s="2" t="s">
        <v>97</v>
      </c>
      <c r="P2895" s="2" t="s">
        <v>98</v>
      </c>
      <c r="Q2895" s="2" t="s">
        <v>99</v>
      </c>
      <c r="R2895" s="2" t="s">
        <v>100</v>
      </c>
      <c r="S2895" s="2" t="s">
        <v>9840</v>
      </c>
      <c r="T2895" s="2" t="s">
        <v>9841</v>
      </c>
      <c r="U2895" s="2" t="s">
        <v>100</v>
      </c>
      <c r="V2895" s="2" t="s">
        <v>461</v>
      </c>
      <c r="W2895" s="2" t="s">
        <v>609</v>
      </c>
      <c r="X2895" s="2" t="s">
        <v>100</v>
      </c>
      <c r="Y2895" s="2" t="s">
        <v>144</v>
      </c>
      <c r="Z2895" s="4">
        <v>75</v>
      </c>
      <c r="AA2895" s="4">
        <f>=ROUNDDOWN(3.94736842105263,0)</f>
      </c>
      <c r="AB2895" s="5">
        <v>19</v>
      </c>
      <c r="AC2895" s="2" t="s">
        <v>7017</v>
      </c>
      <c r="AD2895" s="4">
        <v>70</v>
      </c>
      <c r="AE2895" s="4">
        <v>340</v>
      </c>
      <c r="AF2895" s="6">
        <v>67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2</v>
      </c>
      <c r="AQ2895" s="8">
        <v>39.7</v>
      </c>
      <c r="AR2895" s="4"/>
      <c r="AS2895" s="8"/>
      <c r="AT2895" s="7"/>
      <c r="AU2895" s="7"/>
      <c r="AV2895" s="4">
        <v>8</v>
      </c>
      <c r="AW2895" s="8">
        <v>179.14</v>
      </c>
      <c r="AX2895" s="4" t="s">
        <v>100</v>
      </c>
      <c r="AY2895" s="8" t="s">
        <v>100</v>
      </c>
      <c r="AZ2895" s="7" t="s">
        <v>100</v>
      </c>
      <c r="BA2895" s="7" t="s">
        <v>100</v>
      </c>
      <c r="BB2895" s="7">
        <v>0.2216</v>
      </c>
      <c r="BC2895" s="4">
        <v>12</v>
      </c>
      <c r="BD2895" s="8">
        <v>267.03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>
        <v>0.6709</v>
      </c>
      <c r="BJ2895" s="4">
        <v>51</v>
      </c>
      <c r="BK2895" s="8">
        <v>1072.52</v>
      </c>
      <c r="BL2895" s="2" t="s">
        <v>9842</v>
      </c>
      <c r="BM2895" s="7">
        <v>0.0392</v>
      </c>
      <c r="BN2895" s="7">
        <v>0.037</v>
      </c>
      <c r="BO2895" s="4">
        <v>2</v>
      </c>
      <c r="BP2895" s="8">
        <v>39.7</v>
      </c>
      <c r="BQ2895" s="4"/>
      <c r="BR2895" s="8"/>
      <c r="BS2895" s="7"/>
      <c r="BT2895" s="7"/>
      <c r="BU2895" s="2" t="s">
        <v>109</v>
      </c>
      <c r="BV2895" s="2" t="s">
        <v>97</v>
      </c>
      <c r="BW2895" s="2" t="s">
        <v>4158</v>
      </c>
      <c r="BX2895" s="2" t="s">
        <v>1041</v>
      </c>
      <c r="BY2895" s="2" t="s">
        <v>112</v>
      </c>
      <c r="BZ2895" s="2" t="s">
        <v>100</v>
      </c>
    </row>
    <row r="2896">
      <c r="A2896" s="2" t="s">
        <v>9843</v>
      </c>
      <c r="B2896" s="2" t="s">
        <v>9043</v>
      </c>
      <c r="C2896" s="2" t="s">
        <v>3449</v>
      </c>
      <c r="D2896" s="2" t="s">
        <v>9044</v>
      </c>
      <c r="E2896" s="2" t="s">
        <v>9045</v>
      </c>
      <c r="F2896" s="2" t="s">
        <v>9838</v>
      </c>
      <c r="G2896" s="2" t="s">
        <v>9838</v>
      </c>
      <c r="H2896" s="2" t="s">
        <v>9838</v>
      </c>
      <c r="I2896" s="2" t="s">
        <v>9839</v>
      </c>
      <c r="J2896" s="2" t="s">
        <v>1806</v>
      </c>
      <c r="K2896" s="2" t="s">
        <v>458</v>
      </c>
      <c r="L2896" s="3">
        <v>20.16</v>
      </c>
      <c r="M2896" s="3">
        <v>21.17</v>
      </c>
      <c r="N2896" s="3">
        <v>41.99</v>
      </c>
      <c r="O2896" s="2" t="s">
        <v>97</v>
      </c>
      <c r="P2896" s="2" t="s">
        <v>98</v>
      </c>
      <c r="Q2896" s="2" t="s">
        <v>99</v>
      </c>
      <c r="R2896" s="2" t="s">
        <v>100</v>
      </c>
      <c r="S2896" s="2" t="s">
        <v>9840</v>
      </c>
      <c r="T2896" s="2" t="s">
        <v>9841</v>
      </c>
      <c r="U2896" s="2" t="s">
        <v>100</v>
      </c>
      <c r="V2896" s="2" t="s">
        <v>461</v>
      </c>
      <c r="W2896" s="2" t="s">
        <v>609</v>
      </c>
      <c r="X2896" s="2" t="s">
        <v>100</v>
      </c>
      <c r="Y2896" s="2" t="s">
        <v>144</v>
      </c>
      <c r="Z2896" s="4">
        <v>57</v>
      </c>
      <c r="AA2896" s="4">
        <f>=ROUNDDOWN(6.33333333333333,0)</f>
      </c>
      <c r="AB2896" s="5">
        <v>9</v>
      </c>
      <c r="AC2896" s="2" t="s">
        <v>196</v>
      </c>
      <c r="AD2896" s="4">
        <v>100</v>
      </c>
      <c r="AE2896" s="4">
        <v>390</v>
      </c>
      <c r="AF2896" s="6">
        <v>67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3</v>
      </c>
      <c r="AQ2896" s="8">
        <v>62.91</v>
      </c>
      <c r="AR2896" s="4"/>
      <c r="AS2896" s="8"/>
      <c r="AT2896" s="7"/>
      <c r="AU2896" s="7"/>
      <c r="AV2896" s="4" t="s">
        <v>100</v>
      </c>
      <c r="AW2896" s="8" t="s">
        <v>100</v>
      </c>
      <c r="AX2896" s="4" t="s">
        <v>100</v>
      </c>
      <c r="AY2896" s="8" t="s">
        <v>100</v>
      </c>
      <c r="AZ2896" s="7" t="s">
        <v>100</v>
      </c>
      <c r="BA2896" s="7" t="s">
        <v>100</v>
      </c>
      <c r="BB2896" s="7">
        <v>0.3512</v>
      </c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 t="s">
        <v>100</v>
      </c>
      <c r="BJ2896" s="4">
        <v>22</v>
      </c>
      <c r="BK2896" s="8">
        <v>487.31</v>
      </c>
      <c r="BL2896" s="2" t="s">
        <v>5177</v>
      </c>
      <c r="BM2896" s="7">
        <v>0.1364</v>
      </c>
      <c r="BN2896" s="7">
        <v>0.1291</v>
      </c>
      <c r="BO2896" s="4">
        <v>3</v>
      </c>
      <c r="BP2896" s="8">
        <v>62.91</v>
      </c>
      <c r="BQ2896" s="4"/>
      <c r="BR2896" s="8"/>
      <c r="BS2896" s="7"/>
      <c r="BT2896" s="7"/>
      <c r="BU2896" s="2" t="s">
        <v>109</v>
      </c>
      <c r="BV2896" s="2" t="s">
        <v>97</v>
      </c>
      <c r="BW2896" s="2" t="s">
        <v>1724</v>
      </c>
      <c r="BX2896" s="2" t="s">
        <v>4642</v>
      </c>
      <c r="BY2896" s="2" t="s">
        <v>112</v>
      </c>
      <c r="BZ2896" s="2" t="s">
        <v>100</v>
      </c>
    </row>
    <row r="2897">
      <c r="A2897" s="2" t="s">
        <v>9844</v>
      </c>
      <c r="B2897" s="2" t="s">
        <v>9043</v>
      </c>
      <c r="C2897" s="2" t="s">
        <v>3449</v>
      </c>
      <c r="D2897" s="2" t="s">
        <v>9044</v>
      </c>
      <c r="E2897" s="2" t="s">
        <v>9045</v>
      </c>
      <c r="F2897" s="2" t="s">
        <v>9838</v>
      </c>
      <c r="G2897" s="2" t="s">
        <v>9838</v>
      </c>
      <c r="H2897" s="2" t="s">
        <v>9838</v>
      </c>
      <c r="I2897" s="2" t="s">
        <v>9839</v>
      </c>
      <c r="J2897" s="2" t="s">
        <v>95</v>
      </c>
      <c r="K2897" s="2" t="s">
        <v>458</v>
      </c>
      <c r="L2897" s="3">
        <v>24.5</v>
      </c>
      <c r="M2897" s="3">
        <v>25.72</v>
      </c>
      <c r="N2897" s="3">
        <v>49.99</v>
      </c>
      <c r="O2897" s="2" t="s">
        <v>97</v>
      </c>
      <c r="P2897" s="2" t="s">
        <v>98</v>
      </c>
      <c r="Q2897" s="2" t="s">
        <v>99</v>
      </c>
      <c r="R2897" s="2" t="s">
        <v>100</v>
      </c>
      <c r="S2897" s="2" t="s">
        <v>9840</v>
      </c>
      <c r="T2897" s="2" t="s">
        <v>9841</v>
      </c>
      <c r="U2897" s="2" t="s">
        <v>100</v>
      </c>
      <c r="V2897" s="2" t="s">
        <v>461</v>
      </c>
      <c r="W2897" s="2" t="s">
        <v>609</v>
      </c>
      <c r="X2897" s="2" t="s">
        <v>100</v>
      </c>
      <c r="Y2897" s="2" t="s">
        <v>144</v>
      </c>
      <c r="Z2897" s="4">
        <v>315</v>
      </c>
      <c r="AA2897" s="4">
        <f>=ROUNDDOWN(19.6875,0)</f>
      </c>
      <c r="AB2897" s="5">
        <v>16</v>
      </c>
      <c r="AC2897" s="2" t="s">
        <v>7017</v>
      </c>
      <c r="AD2897" s="4">
        <v>120</v>
      </c>
      <c r="AE2897" s="4">
        <v>240</v>
      </c>
      <c r="AF2897" s="6">
        <v>67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3</v>
      </c>
      <c r="AQ2897" s="8">
        <v>76.53</v>
      </c>
      <c r="AR2897" s="4"/>
      <c r="AS2897" s="8"/>
      <c r="AT2897" s="7"/>
      <c r="AU2897" s="7"/>
      <c r="AV2897" s="4" t="s">
        <v>100</v>
      </c>
      <c r="AW2897" s="8" t="s">
        <v>100</v>
      </c>
      <c r="AX2897" s="4" t="s">
        <v>100</v>
      </c>
      <c r="AY2897" s="8" t="s">
        <v>100</v>
      </c>
      <c r="AZ2897" s="7" t="s">
        <v>100</v>
      </c>
      <c r="BA2897" s="7" t="s">
        <v>100</v>
      </c>
      <c r="BB2897" s="7">
        <v>0.4272</v>
      </c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 t="s">
        <v>100</v>
      </c>
      <c r="BJ2897" s="4">
        <v>51</v>
      </c>
      <c r="BK2897" s="8">
        <v>1391.55</v>
      </c>
      <c r="BL2897" s="2" t="s">
        <v>1500</v>
      </c>
      <c r="BM2897" s="7">
        <v>0.0588</v>
      </c>
      <c r="BN2897" s="7">
        <v>0.055</v>
      </c>
      <c r="BO2897" s="4">
        <v>3</v>
      </c>
      <c r="BP2897" s="8">
        <v>76.53</v>
      </c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1724</v>
      </c>
      <c r="BX2897" s="2" t="s">
        <v>9845</v>
      </c>
      <c r="BY2897" s="2" t="s">
        <v>112</v>
      </c>
      <c r="BZ2897" s="2" t="s">
        <v>100</v>
      </c>
    </row>
    <row r="2898">
      <c r="A2898" s="2" t="s">
        <v>9846</v>
      </c>
      <c r="B2898" s="2" t="s">
        <v>9043</v>
      </c>
      <c r="C2898" s="2" t="s">
        <v>3449</v>
      </c>
      <c r="D2898" s="2" t="s">
        <v>9044</v>
      </c>
      <c r="E2898" s="2" t="s">
        <v>9045</v>
      </c>
      <c r="F2898" s="2" t="s">
        <v>9838</v>
      </c>
      <c r="G2898" s="2" t="s">
        <v>9838</v>
      </c>
      <c r="H2898" s="2" t="s">
        <v>9838</v>
      </c>
      <c r="I2898" s="2" t="s">
        <v>9839</v>
      </c>
      <c r="J2898" s="2" t="s">
        <v>114</v>
      </c>
      <c r="K2898" s="2" t="s">
        <v>458</v>
      </c>
      <c r="L2898" s="3">
        <v>26.95</v>
      </c>
      <c r="M2898" s="3">
        <v>28.3</v>
      </c>
      <c r="N2898" s="3">
        <v>54.99</v>
      </c>
      <c r="O2898" s="2" t="s">
        <v>97</v>
      </c>
      <c r="P2898" s="2" t="s">
        <v>98</v>
      </c>
      <c r="Q2898" s="2" t="s">
        <v>99</v>
      </c>
      <c r="R2898" s="2" t="s">
        <v>100</v>
      </c>
      <c r="S2898" s="2" t="s">
        <v>9840</v>
      </c>
      <c r="T2898" s="2" t="s">
        <v>9841</v>
      </c>
      <c r="U2898" s="2" t="s">
        <v>100</v>
      </c>
      <c r="V2898" s="2" t="s">
        <v>461</v>
      </c>
      <c r="W2898" s="2" t="s">
        <v>609</v>
      </c>
      <c r="X2898" s="2" t="s">
        <v>100</v>
      </c>
      <c r="Y2898" s="2" t="s">
        <v>499</v>
      </c>
      <c r="Z2898" s="4">
        <v>45</v>
      </c>
      <c r="AA2898" s="4">
        <f>=ROUNDDOWN(3.46153846153846,0)</f>
      </c>
      <c r="AB2898" s="5">
        <v>13</v>
      </c>
      <c r="AC2898" s="2" t="s">
        <v>7017</v>
      </c>
      <c r="AD2898" s="4">
        <v>50</v>
      </c>
      <c r="AE2898" s="4">
        <v>340</v>
      </c>
      <c r="AF2898" s="6">
        <v>67</v>
      </c>
      <c r="AG2898" s="6"/>
      <c r="AH2898" s="7">
        <v>0.0968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100</v>
      </c>
      <c r="AW2898" s="8" t="s">
        <v>100</v>
      </c>
      <c r="AX2898" s="4" t="s">
        <v>100</v>
      </c>
      <c r="AY2898" s="8" t="s">
        <v>100</v>
      </c>
      <c r="AZ2898" s="7" t="s">
        <v>100</v>
      </c>
      <c r="BA2898" s="7" t="s">
        <v>100</v>
      </c>
      <c r="BB2898" s="7"/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 t="s">
        <v>100</v>
      </c>
      <c r="BJ2898" s="4">
        <v>9</v>
      </c>
      <c r="BK2898" s="8">
        <v>271.77</v>
      </c>
      <c r="BL2898" s="2" t="s">
        <v>9847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109</v>
      </c>
      <c r="BV2898" s="2" t="s">
        <v>97</v>
      </c>
      <c r="BW2898" s="2" t="s">
        <v>1792</v>
      </c>
      <c r="BX2898" s="2" t="s">
        <v>4348</v>
      </c>
      <c r="BY2898" s="2" t="s">
        <v>112</v>
      </c>
      <c r="BZ2898" s="2" t="s">
        <v>100</v>
      </c>
    </row>
    <row r="2899">
      <c r="A2899" s="2" t="s">
        <v>9848</v>
      </c>
      <c r="B2899" s="2" t="s">
        <v>9043</v>
      </c>
      <c r="C2899" s="2" t="s">
        <v>3449</v>
      </c>
      <c r="D2899" s="2" t="s">
        <v>9044</v>
      </c>
      <c r="E2899" s="2" t="s">
        <v>9045</v>
      </c>
      <c r="F2899" s="2" t="s">
        <v>9838</v>
      </c>
      <c r="G2899" s="2" t="s">
        <v>9838</v>
      </c>
      <c r="H2899" s="2" t="s">
        <v>9838</v>
      </c>
      <c r="I2899" s="2" t="s">
        <v>9839</v>
      </c>
      <c r="J2899" s="2" t="s">
        <v>490</v>
      </c>
      <c r="K2899" s="2" t="s">
        <v>842</v>
      </c>
      <c r="L2899" s="3">
        <v>21.6</v>
      </c>
      <c r="M2899" s="3">
        <v>22.68</v>
      </c>
      <c r="N2899" s="3">
        <v>44.99</v>
      </c>
      <c r="O2899" s="2" t="s">
        <v>97</v>
      </c>
      <c r="P2899" s="2" t="s">
        <v>98</v>
      </c>
      <c r="Q2899" s="2" t="s">
        <v>99</v>
      </c>
      <c r="R2899" s="2" t="s">
        <v>100</v>
      </c>
      <c r="S2899" s="2" t="s">
        <v>9849</v>
      </c>
      <c r="T2899" s="2" t="s">
        <v>9841</v>
      </c>
      <c r="U2899" s="2" t="s">
        <v>100</v>
      </c>
      <c r="V2899" s="2" t="s">
        <v>461</v>
      </c>
      <c r="W2899" s="2" t="s">
        <v>609</v>
      </c>
      <c r="X2899" s="2" t="s">
        <v>100</v>
      </c>
      <c r="Y2899" s="2" t="s">
        <v>9850</v>
      </c>
      <c r="Z2899" s="4">
        <v>81</v>
      </c>
      <c r="AA2899" s="4">
        <f>=ROUNDDOWN(5.78571428571429,0)</f>
      </c>
      <c r="AB2899" s="5">
        <v>14</v>
      </c>
      <c r="AC2899" s="2" t="s">
        <v>7017</v>
      </c>
      <c r="AD2899" s="4">
        <v>120</v>
      </c>
      <c r="AE2899" s="4">
        <v>340</v>
      </c>
      <c r="AF2899" s="6">
        <v>67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3</v>
      </c>
      <c r="AQ2899" s="8">
        <v>68.04</v>
      </c>
      <c r="AR2899" s="4"/>
      <c r="AS2899" s="8"/>
      <c r="AT2899" s="7"/>
      <c r="AU2899" s="7"/>
      <c r="AV2899" s="4">
        <v>3</v>
      </c>
      <c r="AW2899" s="8">
        <v>68.04</v>
      </c>
      <c r="AX2899" s="4" t="s">
        <v>100</v>
      </c>
      <c r="AY2899" s="8" t="s">
        <v>100</v>
      </c>
      <c r="AZ2899" s="7" t="s">
        <v>100</v>
      </c>
      <c r="BA2899" s="7" t="s">
        <v>100</v>
      </c>
      <c r="BB2899" s="7">
        <v>1</v>
      </c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>
        <v>0.2548</v>
      </c>
      <c r="BJ2899" s="4">
        <v>46</v>
      </c>
      <c r="BK2899" s="8">
        <v>1102.91</v>
      </c>
      <c r="BL2899" s="2" t="s">
        <v>1525</v>
      </c>
      <c r="BM2899" s="7">
        <v>0.0652</v>
      </c>
      <c r="BN2899" s="7">
        <v>0.0617</v>
      </c>
      <c r="BO2899" s="4">
        <v>3</v>
      </c>
      <c r="BP2899" s="8">
        <v>68.04</v>
      </c>
      <c r="BQ2899" s="4"/>
      <c r="BR2899" s="8"/>
      <c r="BS2899" s="7"/>
      <c r="BT2899" s="7"/>
      <c r="BU2899" s="2" t="s">
        <v>109</v>
      </c>
      <c r="BV2899" s="2" t="s">
        <v>97</v>
      </c>
      <c r="BW2899" s="2" t="s">
        <v>1792</v>
      </c>
      <c r="BX2899" s="2" t="s">
        <v>1030</v>
      </c>
      <c r="BY2899" s="2" t="s">
        <v>112</v>
      </c>
      <c r="BZ2899" s="2" t="s">
        <v>100</v>
      </c>
    </row>
    <row r="2900">
      <c r="A2900" s="2" t="s">
        <v>9851</v>
      </c>
      <c r="B2900" s="2" t="s">
        <v>9043</v>
      </c>
      <c r="C2900" s="2" t="s">
        <v>3449</v>
      </c>
      <c r="D2900" s="2" t="s">
        <v>9044</v>
      </c>
      <c r="E2900" s="2" t="s">
        <v>9045</v>
      </c>
      <c r="F2900" s="2" t="s">
        <v>9838</v>
      </c>
      <c r="G2900" s="2" t="s">
        <v>9838</v>
      </c>
      <c r="H2900" s="2" t="s">
        <v>9838</v>
      </c>
      <c r="I2900" s="2" t="s">
        <v>9839</v>
      </c>
      <c r="J2900" s="2" t="s">
        <v>95</v>
      </c>
      <c r="K2900" s="2" t="s">
        <v>842</v>
      </c>
      <c r="L2900" s="3">
        <v>24.5</v>
      </c>
      <c r="M2900" s="3">
        <v>25.72</v>
      </c>
      <c r="N2900" s="3">
        <v>49.99</v>
      </c>
      <c r="O2900" s="2" t="s">
        <v>97</v>
      </c>
      <c r="P2900" s="2" t="s">
        <v>98</v>
      </c>
      <c r="Q2900" s="2" t="s">
        <v>99</v>
      </c>
      <c r="R2900" s="2" t="s">
        <v>100</v>
      </c>
      <c r="S2900" s="2" t="s">
        <v>9849</v>
      </c>
      <c r="T2900" s="2" t="s">
        <v>9841</v>
      </c>
      <c r="U2900" s="2" t="s">
        <v>100</v>
      </c>
      <c r="V2900" s="2" t="s">
        <v>461</v>
      </c>
      <c r="W2900" s="2" t="s">
        <v>609</v>
      </c>
      <c r="X2900" s="2" t="s">
        <v>100</v>
      </c>
      <c r="Y2900" s="2" t="s">
        <v>9850</v>
      </c>
      <c r="Z2900" s="4"/>
      <c r="AA2900" s="4">
        <f>=ROUNDDOWN({0},0)</f>
      </c>
      <c r="AB2900" s="5">
        <v>27</v>
      </c>
      <c r="AC2900" s="2" t="s">
        <v>7017</v>
      </c>
      <c r="AD2900" s="4">
        <v>130</v>
      </c>
      <c r="AE2900" s="4">
        <v>790</v>
      </c>
      <c r="AF2900" s="6">
        <v>67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100</v>
      </c>
      <c r="AW2900" s="8" t="s">
        <v>100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/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 t="s">
        <v>100</v>
      </c>
      <c r="BJ2900" s="4">
        <v>70</v>
      </c>
      <c r="BK2900" s="8">
        <v>1890.32</v>
      </c>
      <c r="BL2900" s="2" t="s">
        <v>9852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1792</v>
      </c>
      <c r="BX2900" s="2" t="s">
        <v>9853</v>
      </c>
      <c r="BY2900" s="2" t="s">
        <v>112</v>
      </c>
      <c r="BZ2900" s="2" t="s">
        <v>100</v>
      </c>
    </row>
    <row r="2901">
      <c r="A2901" s="2" t="s">
        <v>9854</v>
      </c>
      <c r="B2901" s="2" t="s">
        <v>9043</v>
      </c>
      <c r="C2901" s="2" t="s">
        <v>3449</v>
      </c>
      <c r="D2901" s="2" t="s">
        <v>9044</v>
      </c>
      <c r="E2901" s="2" t="s">
        <v>9045</v>
      </c>
      <c r="F2901" s="2" t="s">
        <v>9838</v>
      </c>
      <c r="G2901" s="2" t="s">
        <v>9838</v>
      </c>
      <c r="H2901" s="2" t="s">
        <v>9838</v>
      </c>
      <c r="I2901" s="2" t="s">
        <v>9839</v>
      </c>
      <c r="J2901" s="2" t="s">
        <v>1443</v>
      </c>
      <c r="K2901" s="2" t="s">
        <v>1212</v>
      </c>
      <c r="L2901" s="3">
        <v>18.8</v>
      </c>
      <c r="M2901" s="3">
        <v>19.74</v>
      </c>
      <c r="N2901" s="3">
        <v>39.99</v>
      </c>
      <c r="O2901" s="2" t="s">
        <v>97</v>
      </c>
      <c r="P2901" s="2" t="s">
        <v>98</v>
      </c>
      <c r="Q2901" s="2" t="s">
        <v>99</v>
      </c>
      <c r="R2901" s="2" t="s">
        <v>100</v>
      </c>
      <c r="S2901" s="2" t="s">
        <v>9855</v>
      </c>
      <c r="T2901" s="2" t="s">
        <v>9841</v>
      </c>
      <c r="U2901" s="2" t="s">
        <v>100</v>
      </c>
      <c r="V2901" s="2" t="s">
        <v>461</v>
      </c>
      <c r="W2901" s="2" t="s">
        <v>609</v>
      </c>
      <c r="X2901" s="2" t="s">
        <v>100</v>
      </c>
      <c r="Y2901" s="2" t="s">
        <v>144</v>
      </c>
      <c r="Z2901" s="4">
        <v>135</v>
      </c>
      <c r="AA2901" s="4">
        <f>=ROUNDDOWN(16.875,0)</f>
      </c>
      <c r="AB2901" s="5">
        <v>8</v>
      </c>
      <c r="AC2901" s="2" t="s">
        <v>7017</v>
      </c>
      <c r="AD2901" s="4">
        <v>80</v>
      </c>
      <c r="AE2901" s="4">
        <v>100</v>
      </c>
      <c r="AF2901" s="6">
        <v>67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1</v>
      </c>
      <c r="AQ2901" s="8">
        <v>19.85</v>
      </c>
      <c r="AR2901" s="4"/>
      <c r="AS2901" s="8"/>
      <c r="AT2901" s="7"/>
      <c r="AU2901" s="7"/>
      <c r="AV2901" s="4">
        <v>1</v>
      </c>
      <c r="AW2901" s="8">
        <v>19.85</v>
      </c>
      <c r="AX2901" s="4" t="s">
        <v>100</v>
      </c>
      <c r="AY2901" s="8" t="s">
        <v>100</v>
      </c>
      <c r="AZ2901" s="7" t="s">
        <v>100</v>
      </c>
      <c r="BA2901" s="7" t="s">
        <v>100</v>
      </c>
      <c r="BB2901" s="7">
        <v>1</v>
      </c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>
        <v>0.0743</v>
      </c>
      <c r="BJ2901" s="4">
        <v>19</v>
      </c>
      <c r="BK2901" s="8">
        <v>378.18</v>
      </c>
      <c r="BL2901" s="2" t="s">
        <v>9856</v>
      </c>
      <c r="BM2901" s="7">
        <v>0.0526</v>
      </c>
      <c r="BN2901" s="7">
        <v>0.0525</v>
      </c>
      <c r="BO2901" s="4">
        <v>1</v>
      </c>
      <c r="BP2901" s="8">
        <v>19.85</v>
      </c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1724</v>
      </c>
      <c r="BX2901" s="2" t="s">
        <v>1139</v>
      </c>
      <c r="BY2901" s="2" t="s">
        <v>112</v>
      </c>
      <c r="BZ2901" s="2" t="s">
        <v>100</v>
      </c>
    </row>
    <row r="2902">
      <c r="A2902" s="2" t="s">
        <v>9857</v>
      </c>
      <c r="B2902" s="2" t="s">
        <v>9043</v>
      </c>
      <c r="C2902" s="2" t="s">
        <v>3449</v>
      </c>
      <c r="D2902" s="2" t="s">
        <v>9044</v>
      </c>
      <c r="E2902" s="2" t="s">
        <v>9045</v>
      </c>
      <c r="F2902" s="2" t="s">
        <v>9838</v>
      </c>
      <c r="G2902" s="2" t="s">
        <v>9838</v>
      </c>
      <c r="H2902" s="2" t="s">
        <v>9838</v>
      </c>
      <c r="I2902" s="2" t="s">
        <v>9839</v>
      </c>
      <c r="J2902" s="2" t="s">
        <v>1806</v>
      </c>
      <c r="K2902" s="2" t="s">
        <v>1212</v>
      </c>
      <c r="L2902" s="3">
        <v>20.16</v>
      </c>
      <c r="M2902" s="3">
        <v>21.17</v>
      </c>
      <c r="N2902" s="3">
        <v>41.99</v>
      </c>
      <c r="O2902" s="2" t="s">
        <v>97</v>
      </c>
      <c r="P2902" s="2" t="s">
        <v>98</v>
      </c>
      <c r="Q2902" s="2" t="s">
        <v>99</v>
      </c>
      <c r="R2902" s="2" t="s">
        <v>100</v>
      </c>
      <c r="S2902" s="2" t="s">
        <v>9855</v>
      </c>
      <c r="T2902" s="2" t="s">
        <v>9841</v>
      </c>
      <c r="U2902" s="2" t="s">
        <v>100</v>
      </c>
      <c r="V2902" s="2" t="s">
        <v>461</v>
      </c>
      <c r="W2902" s="2" t="s">
        <v>609</v>
      </c>
      <c r="X2902" s="2" t="s">
        <v>100</v>
      </c>
      <c r="Y2902" s="2" t="s">
        <v>144</v>
      </c>
      <c r="Z2902" s="4">
        <v>82</v>
      </c>
      <c r="AA2902" s="4">
        <f>=ROUNDDOWN(8.2,0)</f>
      </c>
      <c r="AB2902" s="5">
        <v>10</v>
      </c>
      <c r="AC2902" s="2" t="s">
        <v>7017</v>
      </c>
      <c r="AD2902" s="4">
        <v>120</v>
      </c>
      <c r="AE2902" s="4">
        <v>430</v>
      </c>
      <c r="AF2902" s="6">
        <v>67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100</v>
      </c>
      <c r="AW2902" s="8" t="s">
        <v>100</v>
      </c>
      <c r="AX2902" s="4" t="s">
        <v>100</v>
      </c>
      <c r="AY2902" s="8" t="s">
        <v>100</v>
      </c>
      <c r="AZ2902" s="7" t="s">
        <v>100</v>
      </c>
      <c r="BA2902" s="7" t="s">
        <v>100</v>
      </c>
      <c r="BB2902" s="7"/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 t="s">
        <v>100</v>
      </c>
      <c r="BJ2902" s="4">
        <v>23</v>
      </c>
      <c r="BK2902" s="8">
        <v>508.37</v>
      </c>
      <c r="BL2902" s="2" t="s">
        <v>9858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109</v>
      </c>
      <c r="BV2902" s="2" t="s">
        <v>97</v>
      </c>
      <c r="BW2902" s="2" t="s">
        <v>4158</v>
      </c>
      <c r="BX2902" s="2" t="s">
        <v>5030</v>
      </c>
      <c r="BY2902" s="2" t="s">
        <v>112</v>
      </c>
      <c r="BZ2902" s="2" t="s">
        <v>100</v>
      </c>
    </row>
    <row r="2903">
      <c r="A2903" s="2" t="s">
        <v>9859</v>
      </c>
      <c r="B2903" s="2" t="s">
        <v>9043</v>
      </c>
      <c r="C2903" s="2" t="s">
        <v>3449</v>
      </c>
      <c r="D2903" s="2" t="s">
        <v>9044</v>
      </c>
      <c r="E2903" s="2" t="s">
        <v>9045</v>
      </c>
      <c r="F2903" s="2" t="s">
        <v>9838</v>
      </c>
      <c r="G2903" s="2" t="s">
        <v>9838</v>
      </c>
      <c r="H2903" s="2" t="s">
        <v>9838</v>
      </c>
      <c r="I2903" s="2" t="s">
        <v>9839</v>
      </c>
      <c r="J2903" s="2" t="s">
        <v>490</v>
      </c>
      <c r="K2903" s="2" t="s">
        <v>1212</v>
      </c>
      <c r="L2903" s="3">
        <v>21.6</v>
      </c>
      <c r="M2903" s="3">
        <v>22.68</v>
      </c>
      <c r="N2903" s="3">
        <v>44.99</v>
      </c>
      <c r="O2903" s="2" t="s">
        <v>97</v>
      </c>
      <c r="P2903" s="2" t="s">
        <v>98</v>
      </c>
      <c r="Q2903" s="2" t="s">
        <v>99</v>
      </c>
      <c r="R2903" s="2" t="s">
        <v>100</v>
      </c>
      <c r="S2903" s="2" t="s">
        <v>9855</v>
      </c>
      <c r="T2903" s="2" t="s">
        <v>9841</v>
      </c>
      <c r="U2903" s="2" t="s">
        <v>100</v>
      </c>
      <c r="V2903" s="2" t="s">
        <v>461</v>
      </c>
      <c r="W2903" s="2" t="s">
        <v>609</v>
      </c>
      <c r="X2903" s="2" t="s">
        <v>100</v>
      </c>
      <c r="Y2903" s="2" t="s">
        <v>144</v>
      </c>
      <c r="Z2903" s="4">
        <v>21</v>
      </c>
      <c r="AA2903" s="4">
        <f>=ROUNDDOWN(1.05,0)</f>
      </c>
      <c r="AB2903" s="5">
        <v>20</v>
      </c>
      <c r="AC2903" s="2" t="s">
        <v>7017</v>
      </c>
      <c r="AD2903" s="4">
        <v>70</v>
      </c>
      <c r="AE2903" s="4">
        <v>540</v>
      </c>
      <c r="AF2903" s="6">
        <v>67</v>
      </c>
      <c r="AG2903" s="6"/>
      <c r="AH2903" s="7">
        <v>0.8065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100</v>
      </c>
      <c r="AW2903" s="8" t="s">
        <v>100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/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 t="s">
        <v>100</v>
      </c>
      <c r="BJ2903" s="4">
        <v>90</v>
      </c>
      <c r="BK2903" s="8">
        <v>2165.23</v>
      </c>
      <c r="BL2903" s="2" t="s">
        <v>5754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109</v>
      </c>
      <c r="BV2903" s="2" t="s">
        <v>97</v>
      </c>
      <c r="BW2903" s="2" t="s">
        <v>1724</v>
      </c>
      <c r="BX2903" s="2" t="s">
        <v>147</v>
      </c>
      <c r="BY2903" s="2" t="s">
        <v>112</v>
      </c>
      <c r="BZ2903" s="2" t="s">
        <v>100</v>
      </c>
    </row>
    <row r="2904">
      <c r="A2904" s="2" t="s">
        <v>9860</v>
      </c>
      <c r="B2904" s="2" t="s">
        <v>9043</v>
      </c>
      <c r="C2904" s="2" t="s">
        <v>3449</v>
      </c>
      <c r="D2904" s="2" t="s">
        <v>9044</v>
      </c>
      <c r="E2904" s="2" t="s">
        <v>9045</v>
      </c>
      <c r="F2904" s="2" t="s">
        <v>9838</v>
      </c>
      <c r="G2904" s="2" t="s">
        <v>9838</v>
      </c>
      <c r="H2904" s="2" t="s">
        <v>9838</v>
      </c>
      <c r="I2904" s="2" t="s">
        <v>9839</v>
      </c>
      <c r="J2904" s="2" t="s">
        <v>95</v>
      </c>
      <c r="K2904" s="2" t="s">
        <v>1212</v>
      </c>
      <c r="L2904" s="3">
        <v>24.5</v>
      </c>
      <c r="M2904" s="3">
        <v>25.72</v>
      </c>
      <c r="N2904" s="3">
        <v>49.99</v>
      </c>
      <c r="O2904" s="2" t="s">
        <v>97</v>
      </c>
      <c r="P2904" s="2" t="s">
        <v>98</v>
      </c>
      <c r="Q2904" s="2" t="s">
        <v>99</v>
      </c>
      <c r="R2904" s="2" t="s">
        <v>100</v>
      </c>
      <c r="S2904" s="2" t="s">
        <v>9855</v>
      </c>
      <c r="T2904" s="2" t="s">
        <v>9841</v>
      </c>
      <c r="U2904" s="2" t="s">
        <v>100</v>
      </c>
      <c r="V2904" s="2" t="s">
        <v>461</v>
      </c>
      <c r="W2904" s="2" t="s">
        <v>609</v>
      </c>
      <c r="X2904" s="2" t="s">
        <v>100</v>
      </c>
      <c r="Y2904" s="2" t="s">
        <v>144</v>
      </c>
      <c r="Z2904" s="4">
        <v>200</v>
      </c>
      <c r="AA2904" s="4">
        <f>=ROUNDDOWN(10.5263157894737,0)</f>
      </c>
      <c r="AB2904" s="5">
        <v>19</v>
      </c>
      <c r="AC2904" s="2" t="s">
        <v>7017</v>
      </c>
      <c r="AD2904" s="4">
        <v>80</v>
      </c>
      <c r="AE2904" s="4">
        <v>250</v>
      </c>
      <c r="AF2904" s="6">
        <v>67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100</v>
      </c>
      <c r="AW2904" s="8" t="s">
        <v>100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/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 t="s">
        <v>100</v>
      </c>
      <c r="BJ2904" s="4">
        <v>62</v>
      </c>
      <c r="BK2904" s="8">
        <v>1613.14</v>
      </c>
      <c r="BL2904" s="2" t="s">
        <v>9861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109</v>
      </c>
      <c r="BV2904" s="2" t="s">
        <v>97</v>
      </c>
      <c r="BW2904" s="2" t="s">
        <v>1724</v>
      </c>
      <c r="BX2904" s="2" t="s">
        <v>1670</v>
      </c>
      <c r="BY2904" s="2" t="s">
        <v>112</v>
      </c>
      <c r="BZ2904" s="2" t="s">
        <v>100</v>
      </c>
    </row>
    <row r="2905">
      <c r="A2905" s="2" t="s">
        <v>9862</v>
      </c>
      <c r="B2905" s="2" t="s">
        <v>9043</v>
      </c>
      <c r="C2905" s="2" t="s">
        <v>3449</v>
      </c>
      <c r="D2905" s="2" t="s">
        <v>9044</v>
      </c>
      <c r="E2905" s="2" t="s">
        <v>9045</v>
      </c>
      <c r="F2905" s="2" t="s">
        <v>9838</v>
      </c>
      <c r="G2905" s="2" t="s">
        <v>9838</v>
      </c>
      <c r="H2905" s="2" t="s">
        <v>9838</v>
      </c>
      <c r="I2905" s="2" t="s">
        <v>9839</v>
      </c>
      <c r="J2905" s="2" t="s">
        <v>114</v>
      </c>
      <c r="K2905" s="2" t="s">
        <v>1212</v>
      </c>
      <c r="L2905" s="3">
        <v>26.95</v>
      </c>
      <c r="M2905" s="3">
        <v>28.3</v>
      </c>
      <c r="N2905" s="3">
        <v>54.99</v>
      </c>
      <c r="O2905" s="2" t="s">
        <v>97</v>
      </c>
      <c r="P2905" s="2" t="s">
        <v>98</v>
      </c>
      <c r="Q2905" s="2" t="s">
        <v>99</v>
      </c>
      <c r="R2905" s="2" t="s">
        <v>100</v>
      </c>
      <c r="S2905" s="2" t="s">
        <v>9855</v>
      </c>
      <c r="T2905" s="2" t="s">
        <v>9841</v>
      </c>
      <c r="U2905" s="2" t="s">
        <v>100</v>
      </c>
      <c r="V2905" s="2" t="s">
        <v>461</v>
      </c>
      <c r="W2905" s="2" t="s">
        <v>609</v>
      </c>
      <c r="X2905" s="2" t="s">
        <v>100</v>
      </c>
      <c r="Y2905" s="2" t="s">
        <v>499</v>
      </c>
      <c r="Z2905" s="4">
        <v>202</v>
      </c>
      <c r="AA2905" s="4">
        <f>=ROUNDDOWN(20.2,0)</f>
      </c>
      <c r="AB2905" s="5">
        <v>10</v>
      </c>
      <c r="AC2905" s="2" t="s">
        <v>783</v>
      </c>
      <c r="AD2905" s="4">
        <v>60</v>
      </c>
      <c r="AE2905" s="4">
        <v>150</v>
      </c>
      <c r="AF2905" s="6">
        <v>67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 t="s">
        <v>100</v>
      </c>
      <c r="AW2905" s="8" t="s">
        <v>100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/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 t="s">
        <v>100</v>
      </c>
      <c r="BJ2905" s="4">
        <v>28</v>
      </c>
      <c r="BK2905" s="8">
        <v>815.96</v>
      </c>
      <c r="BL2905" s="2" t="s">
        <v>9863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109</v>
      </c>
      <c r="BV2905" s="2" t="s">
        <v>97</v>
      </c>
      <c r="BW2905" s="2" t="s">
        <v>1792</v>
      </c>
      <c r="BX2905" s="2" t="s">
        <v>9864</v>
      </c>
      <c r="BY2905" s="2" t="s">
        <v>112</v>
      </c>
      <c r="BZ2905" s="2" t="s">
        <v>100</v>
      </c>
    </row>
    <row r="2906">
      <c r="A2906" s="2" t="s">
        <v>9865</v>
      </c>
      <c r="B2906" s="2" t="s">
        <v>9043</v>
      </c>
      <c r="C2906" s="2" t="s">
        <v>3449</v>
      </c>
      <c r="D2906" s="2" t="s">
        <v>9044</v>
      </c>
      <c r="E2906" s="2" t="s">
        <v>9045</v>
      </c>
      <c r="F2906" s="2" t="s">
        <v>9838</v>
      </c>
      <c r="G2906" s="2" t="s">
        <v>9838</v>
      </c>
      <c r="H2906" s="2" t="s">
        <v>9838</v>
      </c>
      <c r="I2906" s="2" t="s">
        <v>9839</v>
      </c>
      <c r="J2906" s="2" t="s">
        <v>1443</v>
      </c>
      <c r="K2906" s="2" t="s">
        <v>471</v>
      </c>
      <c r="L2906" s="3">
        <v>18.8</v>
      </c>
      <c r="M2906" s="3">
        <v>19.74</v>
      </c>
      <c r="N2906" s="3">
        <v>39.99</v>
      </c>
      <c r="O2906" s="2" t="s">
        <v>97</v>
      </c>
      <c r="P2906" s="2" t="s">
        <v>98</v>
      </c>
      <c r="Q2906" s="2" t="s">
        <v>99</v>
      </c>
      <c r="R2906" s="2" t="s">
        <v>100</v>
      </c>
      <c r="S2906" s="2" t="s">
        <v>9866</v>
      </c>
      <c r="T2906" s="2" t="s">
        <v>9841</v>
      </c>
      <c r="U2906" s="2" t="s">
        <v>100</v>
      </c>
      <c r="V2906" s="2" t="s">
        <v>461</v>
      </c>
      <c r="W2906" s="2" t="s">
        <v>609</v>
      </c>
      <c r="X2906" s="2" t="s">
        <v>100</v>
      </c>
      <c r="Y2906" s="2" t="s">
        <v>144</v>
      </c>
      <c r="Z2906" s="4">
        <v>212</v>
      </c>
      <c r="AA2906" s="4">
        <f>=ROUNDDOWN(16.3076923076923,0)</f>
      </c>
      <c r="AB2906" s="5">
        <v>13</v>
      </c>
      <c r="AC2906" s="2" t="s">
        <v>1468</v>
      </c>
      <c r="AD2906" s="4">
        <v>100</v>
      </c>
      <c r="AE2906" s="4">
        <v>170</v>
      </c>
      <c r="AF2906" s="6">
        <v>67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100</v>
      </c>
      <c r="AW2906" s="8" t="s">
        <v>100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/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 t="s">
        <v>100</v>
      </c>
      <c r="BJ2906" s="4">
        <v>29</v>
      </c>
      <c r="BK2906" s="8">
        <v>603.04</v>
      </c>
      <c r="BL2906" s="2" t="s">
        <v>9867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4158</v>
      </c>
      <c r="BX2906" s="2" t="s">
        <v>1041</v>
      </c>
      <c r="BY2906" s="2" t="s">
        <v>112</v>
      </c>
      <c r="BZ2906" s="2" t="s">
        <v>100</v>
      </c>
    </row>
    <row r="2907">
      <c r="A2907" s="2" t="s">
        <v>9868</v>
      </c>
      <c r="B2907" s="2" t="s">
        <v>9043</v>
      </c>
      <c r="C2907" s="2" t="s">
        <v>3449</v>
      </c>
      <c r="D2907" s="2" t="s">
        <v>9044</v>
      </c>
      <c r="E2907" s="2" t="s">
        <v>9045</v>
      </c>
      <c r="F2907" s="2" t="s">
        <v>9838</v>
      </c>
      <c r="G2907" s="2" t="s">
        <v>9838</v>
      </c>
      <c r="H2907" s="2" t="s">
        <v>9838</v>
      </c>
      <c r="I2907" s="2" t="s">
        <v>9839</v>
      </c>
      <c r="J2907" s="2" t="s">
        <v>1806</v>
      </c>
      <c r="K2907" s="2" t="s">
        <v>471</v>
      </c>
      <c r="L2907" s="3">
        <v>20.16</v>
      </c>
      <c r="M2907" s="3">
        <v>21.17</v>
      </c>
      <c r="N2907" s="3">
        <v>41.99</v>
      </c>
      <c r="O2907" s="2" t="s">
        <v>97</v>
      </c>
      <c r="P2907" s="2" t="s">
        <v>98</v>
      </c>
      <c r="Q2907" s="2" t="s">
        <v>99</v>
      </c>
      <c r="R2907" s="2" t="s">
        <v>100</v>
      </c>
      <c r="S2907" s="2" t="s">
        <v>9866</v>
      </c>
      <c r="T2907" s="2" t="s">
        <v>9841</v>
      </c>
      <c r="U2907" s="2" t="s">
        <v>100</v>
      </c>
      <c r="V2907" s="2" t="s">
        <v>461</v>
      </c>
      <c r="W2907" s="2" t="s">
        <v>609</v>
      </c>
      <c r="X2907" s="2" t="s">
        <v>100</v>
      </c>
      <c r="Y2907" s="2" t="s">
        <v>144</v>
      </c>
      <c r="Z2907" s="4">
        <v>101</v>
      </c>
      <c r="AA2907" s="4">
        <f>=ROUNDDOWN(10.1,0)</f>
      </c>
      <c r="AB2907" s="5">
        <v>10</v>
      </c>
      <c r="AC2907" s="2" t="s">
        <v>1468</v>
      </c>
      <c r="AD2907" s="4">
        <v>100</v>
      </c>
      <c r="AE2907" s="4">
        <v>380</v>
      </c>
      <c r="AF2907" s="6">
        <v>67</v>
      </c>
      <c r="AG2907" s="6"/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100</v>
      </c>
      <c r="AW2907" s="8" t="s">
        <v>100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/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 t="s">
        <v>100</v>
      </c>
      <c r="BJ2907" s="4">
        <v>31</v>
      </c>
      <c r="BK2907" s="8">
        <v>690.26</v>
      </c>
      <c r="BL2907" s="2" t="s">
        <v>1366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109</v>
      </c>
      <c r="BV2907" s="2" t="s">
        <v>97</v>
      </c>
      <c r="BW2907" s="2" t="s">
        <v>1724</v>
      </c>
      <c r="BX2907" s="2" t="s">
        <v>9441</v>
      </c>
      <c r="BY2907" s="2" t="s">
        <v>112</v>
      </c>
      <c r="BZ2907" s="2" t="s">
        <v>100</v>
      </c>
    </row>
    <row r="2908">
      <c r="A2908" s="2" t="s">
        <v>9869</v>
      </c>
      <c r="B2908" s="2" t="s">
        <v>9043</v>
      </c>
      <c r="C2908" s="2" t="s">
        <v>3449</v>
      </c>
      <c r="D2908" s="2" t="s">
        <v>9044</v>
      </c>
      <c r="E2908" s="2" t="s">
        <v>9045</v>
      </c>
      <c r="F2908" s="2" t="s">
        <v>9838</v>
      </c>
      <c r="G2908" s="2" t="s">
        <v>9838</v>
      </c>
      <c r="H2908" s="2" t="s">
        <v>9838</v>
      </c>
      <c r="I2908" s="2" t="s">
        <v>9839</v>
      </c>
      <c r="J2908" s="2" t="s">
        <v>95</v>
      </c>
      <c r="K2908" s="2" t="s">
        <v>471</v>
      </c>
      <c r="L2908" s="3">
        <v>24.5</v>
      </c>
      <c r="M2908" s="3">
        <v>25.72</v>
      </c>
      <c r="N2908" s="3">
        <v>49.99</v>
      </c>
      <c r="O2908" s="2" t="s">
        <v>97</v>
      </c>
      <c r="P2908" s="2" t="s">
        <v>98</v>
      </c>
      <c r="Q2908" s="2" t="s">
        <v>99</v>
      </c>
      <c r="R2908" s="2" t="s">
        <v>100</v>
      </c>
      <c r="S2908" s="2" t="s">
        <v>9866</v>
      </c>
      <c r="T2908" s="2" t="s">
        <v>9841</v>
      </c>
      <c r="U2908" s="2" t="s">
        <v>100</v>
      </c>
      <c r="V2908" s="2" t="s">
        <v>461</v>
      </c>
      <c r="W2908" s="2" t="s">
        <v>609</v>
      </c>
      <c r="X2908" s="2" t="s">
        <v>100</v>
      </c>
      <c r="Y2908" s="2" t="s">
        <v>144</v>
      </c>
      <c r="Z2908" s="4">
        <v>218</v>
      </c>
      <c r="AA2908" s="4">
        <f>=ROUNDDOWN(14.5333333333333,0)</f>
      </c>
      <c r="AB2908" s="5">
        <v>15</v>
      </c>
      <c r="AC2908" s="2" t="s">
        <v>1468</v>
      </c>
      <c r="AD2908" s="4">
        <v>60</v>
      </c>
      <c r="AE2908" s="4">
        <v>180</v>
      </c>
      <c r="AF2908" s="6">
        <v>67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100</v>
      </c>
      <c r="AW2908" s="8" t="s">
        <v>100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/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 t="s">
        <v>100</v>
      </c>
      <c r="BJ2908" s="4">
        <v>41</v>
      </c>
      <c r="BK2908" s="8">
        <v>1110.61</v>
      </c>
      <c r="BL2908" s="2" t="s">
        <v>6467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109</v>
      </c>
      <c r="BV2908" s="2" t="s">
        <v>97</v>
      </c>
      <c r="BW2908" s="2" t="s">
        <v>1792</v>
      </c>
      <c r="BX2908" s="2" t="s">
        <v>1484</v>
      </c>
      <c r="BY2908" s="2" t="s">
        <v>112</v>
      </c>
      <c r="BZ2908" s="2" t="s">
        <v>100</v>
      </c>
    </row>
    <row r="2909">
      <c r="A2909" s="2" t="s">
        <v>9870</v>
      </c>
      <c r="B2909" s="2" t="s">
        <v>9043</v>
      </c>
      <c r="C2909" s="2" t="s">
        <v>3449</v>
      </c>
      <c r="D2909" s="2" t="s">
        <v>9044</v>
      </c>
      <c r="E2909" s="2" t="s">
        <v>9045</v>
      </c>
      <c r="F2909" s="2" t="s">
        <v>9838</v>
      </c>
      <c r="G2909" s="2" t="s">
        <v>9838</v>
      </c>
      <c r="H2909" s="2" t="s">
        <v>9838</v>
      </c>
      <c r="I2909" s="2" t="s">
        <v>9839</v>
      </c>
      <c r="J2909" s="2" t="s">
        <v>1806</v>
      </c>
      <c r="K2909" s="2" t="s">
        <v>386</v>
      </c>
      <c r="L2909" s="3">
        <v>20.16</v>
      </c>
      <c r="M2909" s="3">
        <v>21.17</v>
      </c>
      <c r="N2909" s="3">
        <v>41.99</v>
      </c>
      <c r="O2909" s="2" t="s">
        <v>97</v>
      </c>
      <c r="P2909" s="2" t="s">
        <v>98</v>
      </c>
      <c r="Q2909" s="2" t="s">
        <v>99</v>
      </c>
      <c r="R2909" s="2" t="s">
        <v>100</v>
      </c>
      <c r="S2909" s="2" t="s">
        <v>9871</v>
      </c>
      <c r="T2909" s="2" t="s">
        <v>9841</v>
      </c>
      <c r="U2909" s="2" t="s">
        <v>100</v>
      </c>
      <c r="V2909" s="2" t="s">
        <v>461</v>
      </c>
      <c r="W2909" s="2" t="s">
        <v>609</v>
      </c>
      <c r="X2909" s="2" t="s">
        <v>100</v>
      </c>
      <c r="Y2909" s="2" t="s">
        <v>144</v>
      </c>
      <c r="Z2909" s="4">
        <v>2</v>
      </c>
      <c r="AA2909" s="4">
        <f>=ROUNDDOWN(0.142857142857143,0)</f>
      </c>
      <c r="AB2909" s="5">
        <v>14</v>
      </c>
      <c r="AC2909" s="2" t="s">
        <v>7017</v>
      </c>
      <c r="AD2909" s="4">
        <v>90</v>
      </c>
      <c r="AE2909" s="4">
        <v>710</v>
      </c>
      <c r="AF2909" s="6">
        <v>67</v>
      </c>
      <c r="AG2909" s="6"/>
      <c r="AH2909" s="7">
        <v>0.0968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/>
      <c r="AW2909" s="8"/>
      <c r="AX2909" s="4"/>
      <c r="AY2909" s="8"/>
      <c r="AZ2909" s="7"/>
      <c r="BA2909" s="7"/>
      <c r="BB2909" s="7"/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/>
      <c r="BJ2909" s="4">
        <v>12</v>
      </c>
      <c r="BK2909" s="8">
        <v>268.84</v>
      </c>
      <c r="BL2909" s="2" t="s">
        <v>6590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109</v>
      </c>
      <c r="BV2909" s="2" t="s">
        <v>97</v>
      </c>
      <c r="BW2909" s="2" t="s">
        <v>4158</v>
      </c>
      <c r="BX2909" s="2" t="s">
        <v>9872</v>
      </c>
      <c r="BY2909" s="2" t="s">
        <v>112</v>
      </c>
      <c r="BZ2909" s="2" t="s">
        <v>100</v>
      </c>
    </row>
    <row r="2910">
      <c r="A2910" s="2" t="s">
        <v>9873</v>
      </c>
      <c r="B2910" s="2" t="s">
        <v>9043</v>
      </c>
      <c r="C2910" s="2" t="s">
        <v>3449</v>
      </c>
      <c r="D2910" s="2" t="s">
        <v>9044</v>
      </c>
      <c r="E2910" s="2" t="s">
        <v>9045</v>
      </c>
      <c r="F2910" s="2" t="s">
        <v>9874</v>
      </c>
      <c r="G2910" s="2" t="s">
        <v>9874</v>
      </c>
      <c r="H2910" s="2" t="s">
        <v>9874</v>
      </c>
      <c r="I2910" s="2" t="s">
        <v>9875</v>
      </c>
      <c r="J2910" s="2" t="s">
        <v>1443</v>
      </c>
      <c r="K2910" s="2" t="s">
        <v>8513</v>
      </c>
      <c r="L2910" s="3">
        <v>15.4</v>
      </c>
      <c r="M2910" s="3">
        <v>16.17</v>
      </c>
      <c r="N2910" s="3">
        <v>34.99</v>
      </c>
      <c r="O2910" s="2" t="s">
        <v>97</v>
      </c>
      <c r="P2910" s="2" t="s">
        <v>98</v>
      </c>
      <c r="Q2910" s="2" t="s">
        <v>99</v>
      </c>
      <c r="R2910" s="2" t="s">
        <v>100</v>
      </c>
      <c r="S2910" s="2" t="s">
        <v>9876</v>
      </c>
      <c r="T2910" s="2" t="s">
        <v>438</v>
      </c>
      <c r="U2910" s="2" t="s">
        <v>901</v>
      </c>
      <c r="V2910" s="2" t="s">
        <v>4677</v>
      </c>
      <c r="W2910" s="2" t="s">
        <v>493</v>
      </c>
      <c r="X2910" s="2" t="s">
        <v>100</v>
      </c>
      <c r="Y2910" s="2" t="s">
        <v>9346</v>
      </c>
      <c r="Z2910" s="4">
        <v>335</v>
      </c>
      <c r="AA2910" s="4">
        <f>=ROUNDDOWN(19.7058823529412,0)</f>
      </c>
      <c r="AB2910" s="5">
        <v>17</v>
      </c>
      <c r="AC2910" s="2" t="s">
        <v>312</v>
      </c>
      <c r="AD2910" s="4">
        <v>70</v>
      </c>
      <c r="AE2910" s="4">
        <v>240</v>
      </c>
      <c r="AF2910" s="6">
        <v>66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5</v>
      </c>
      <c r="AQ2910" s="8">
        <v>79.9</v>
      </c>
      <c r="AR2910" s="4"/>
      <c r="AS2910" s="8"/>
      <c r="AT2910" s="7"/>
      <c r="AU2910" s="7"/>
      <c r="AV2910" s="4">
        <v>8</v>
      </c>
      <c r="AW2910" s="8">
        <v>135.85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>
        <v>0.5881</v>
      </c>
      <c r="BC2910" s="4">
        <v>9</v>
      </c>
      <c r="BD2910" s="8">
        <v>154.5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>
        <v>0.8793</v>
      </c>
      <c r="BJ2910" s="4">
        <v>43</v>
      </c>
      <c r="BK2910" s="8">
        <v>755.54</v>
      </c>
      <c r="BL2910" s="2" t="s">
        <v>9877</v>
      </c>
      <c r="BM2910" s="7">
        <v>0.1163</v>
      </c>
      <c r="BN2910" s="7">
        <v>0.1058</v>
      </c>
      <c r="BO2910" s="4">
        <v>5</v>
      </c>
      <c r="BP2910" s="8">
        <v>79.9</v>
      </c>
      <c r="BQ2910" s="4"/>
      <c r="BR2910" s="8"/>
      <c r="BS2910" s="7"/>
      <c r="BT2910" s="7"/>
      <c r="BU2910" s="2" t="s">
        <v>109</v>
      </c>
      <c r="BV2910" s="2" t="s">
        <v>97</v>
      </c>
      <c r="BW2910" s="2" t="s">
        <v>905</v>
      </c>
      <c r="BX2910" s="2" t="s">
        <v>9878</v>
      </c>
      <c r="BY2910" s="2" t="s">
        <v>112</v>
      </c>
      <c r="BZ2910" s="2" t="s">
        <v>100</v>
      </c>
    </row>
    <row r="2911">
      <c r="A2911" s="2" t="s">
        <v>9879</v>
      </c>
      <c r="B2911" s="2" t="s">
        <v>9043</v>
      </c>
      <c r="C2911" s="2" t="s">
        <v>3449</v>
      </c>
      <c r="D2911" s="2" t="s">
        <v>9044</v>
      </c>
      <c r="E2911" s="2" t="s">
        <v>9045</v>
      </c>
      <c r="F2911" s="2" t="s">
        <v>9874</v>
      </c>
      <c r="G2911" s="2" t="s">
        <v>9874</v>
      </c>
      <c r="H2911" s="2" t="s">
        <v>9874</v>
      </c>
      <c r="I2911" s="2" t="s">
        <v>9875</v>
      </c>
      <c r="J2911" s="2" t="s">
        <v>490</v>
      </c>
      <c r="K2911" s="2" t="s">
        <v>8513</v>
      </c>
      <c r="L2911" s="3">
        <v>18</v>
      </c>
      <c r="M2911" s="3">
        <v>18.9</v>
      </c>
      <c r="N2911" s="3">
        <v>39.99</v>
      </c>
      <c r="O2911" s="2" t="s">
        <v>97</v>
      </c>
      <c r="P2911" s="2" t="s">
        <v>98</v>
      </c>
      <c r="Q2911" s="2" t="s">
        <v>99</v>
      </c>
      <c r="R2911" s="2" t="s">
        <v>100</v>
      </c>
      <c r="S2911" s="2" t="s">
        <v>9876</v>
      </c>
      <c r="T2911" s="2" t="s">
        <v>438</v>
      </c>
      <c r="U2911" s="2" t="s">
        <v>1228</v>
      </c>
      <c r="V2911" s="2" t="s">
        <v>4677</v>
      </c>
      <c r="W2911" s="2" t="s">
        <v>493</v>
      </c>
      <c r="X2911" s="2" t="s">
        <v>100</v>
      </c>
      <c r="Y2911" s="2" t="s">
        <v>9346</v>
      </c>
      <c r="Z2911" s="4">
        <v>404</v>
      </c>
      <c r="AA2911" s="4">
        <f>=ROUNDDOWN(22.4444444444444,0)</f>
      </c>
      <c r="AB2911" s="5">
        <v>18</v>
      </c>
      <c r="AC2911" s="2" t="s">
        <v>312</v>
      </c>
      <c r="AD2911" s="4">
        <v>120</v>
      </c>
      <c r="AE2911" s="4">
        <v>270</v>
      </c>
      <c r="AF2911" s="6">
        <v>66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3</v>
      </c>
      <c r="AQ2911" s="8">
        <v>55.95</v>
      </c>
      <c r="AR2911" s="4"/>
      <c r="AS2911" s="8"/>
      <c r="AT2911" s="7"/>
      <c r="AU2911" s="7"/>
      <c r="AV2911" s="4" t="s">
        <v>100</v>
      </c>
      <c r="AW2911" s="8" t="s">
        <v>100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>
        <v>0.4119</v>
      </c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 t="s">
        <v>100</v>
      </c>
      <c r="BJ2911" s="4">
        <v>51</v>
      </c>
      <c r="BK2911" s="8">
        <v>1019.39</v>
      </c>
      <c r="BL2911" s="2" t="s">
        <v>9880</v>
      </c>
      <c r="BM2911" s="7">
        <v>0.0588</v>
      </c>
      <c r="BN2911" s="7">
        <v>0.0549</v>
      </c>
      <c r="BO2911" s="4">
        <v>3</v>
      </c>
      <c r="BP2911" s="8">
        <v>55.95</v>
      </c>
      <c r="BQ2911" s="4"/>
      <c r="BR2911" s="8"/>
      <c r="BS2911" s="7"/>
      <c r="BT2911" s="7"/>
      <c r="BU2911" s="2" t="s">
        <v>109</v>
      </c>
      <c r="BV2911" s="2" t="s">
        <v>97</v>
      </c>
      <c r="BW2911" s="2" t="s">
        <v>905</v>
      </c>
      <c r="BX2911" s="2" t="s">
        <v>3805</v>
      </c>
      <c r="BY2911" s="2" t="s">
        <v>112</v>
      </c>
      <c r="BZ2911" s="2" t="s">
        <v>100</v>
      </c>
    </row>
    <row r="2912">
      <c r="A2912" s="2" t="s">
        <v>9881</v>
      </c>
      <c r="B2912" s="2" t="s">
        <v>9043</v>
      </c>
      <c r="C2912" s="2" t="s">
        <v>3449</v>
      </c>
      <c r="D2912" s="2" t="s">
        <v>9044</v>
      </c>
      <c r="E2912" s="2" t="s">
        <v>9045</v>
      </c>
      <c r="F2912" s="2" t="s">
        <v>9874</v>
      </c>
      <c r="G2912" s="2" t="s">
        <v>9874</v>
      </c>
      <c r="H2912" s="2" t="s">
        <v>9874</v>
      </c>
      <c r="I2912" s="2" t="s">
        <v>9875</v>
      </c>
      <c r="J2912" s="2" t="s">
        <v>1443</v>
      </c>
      <c r="K2912" s="2" t="s">
        <v>5034</v>
      </c>
      <c r="L2912" s="3">
        <v>15.4</v>
      </c>
      <c r="M2912" s="3">
        <v>16.17</v>
      </c>
      <c r="N2912" s="3">
        <v>34.99</v>
      </c>
      <c r="O2912" s="2" t="s">
        <v>97</v>
      </c>
      <c r="P2912" s="2" t="s">
        <v>98</v>
      </c>
      <c r="Q2912" s="2" t="s">
        <v>99</v>
      </c>
      <c r="R2912" s="2" t="s">
        <v>100</v>
      </c>
      <c r="S2912" s="2" t="s">
        <v>9882</v>
      </c>
      <c r="T2912" s="2" t="s">
        <v>438</v>
      </c>
      <c r="U2912" s="2" t="s">
        <v>901</v>
      </c>
      <c r="V2912" s="2" t="s">
        <v>4677</v>
      </c>
      <c r="W2912" s="2" t="s">
        <v>1136</v>
      </c>
      <c r="X2912" s="2" t="s">
        <v>100</v>
      </c>
      <c r="Y2912" s="2" t="s">
        <v>9883</v>
      </c>
      <c r="Z2912" s="4">
        <v>167</v>
      </c>
      <c r="AA2912" s="4">
        <f>=ROUNDDOWN(41.75,0)</f>
      </c>
      <c r="AB2912" s="5">
        <v>4</v>
      </c>
      <c r="AC2912" s="2" t="s">
        <v>100</v>
      </c>
      <c r="AD2912" s="4"/>
      <c r="AE2912" s="4"/>
      <c r="AF2912" s="6">
        <v>66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>
        <v>1</v>
      </c>
      <c r="AW2912" s="8">
        <v>18.65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/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>
        <v>0.1207</v>
      </c>
      <c r="BJ2912" s="4">
        <v>13</v>
      </c>
      <c r="BK2912" s="8">
        <v>217.41</v>
      </c>
      <c r="BL2912" s="2" t="s">
        <v>9884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109</v>
      </c>
      <c r="BV2912" s="2" t="s">
        <v>97</v>
      </c>
      <c r="BW2912" s="2" t="s">
        <v>905</v>
      </c>
      <c r="BX2912" s="2" t="s">
        <v>9885</v>
      </c>
      <c r="BY2912" s="2" t="s">
        <v>112</v>
      </c>
      <c r="BZ2912" s="2" t="s">
        <v>100</v>
      </c>
    </row>
    <row r="2913">
      <c r="A2913" s="2" t="s">
        <v>9886</v>
      </c>
      <c r="B2913" s="2" t="s">
        <v>9043</v>
      </c>
      <c r="C2913" s="2" t="s">
        <v>3449</v>
      </c>
      <c r="D2913" s="2" t="s">
        <v>9044</v>
      </c>
      <c r="E2913" s="2" t="s">
        <v>9045</v>
      </c>
      <c r="F2913" s="2" t="s">
        <v>9874</v>
      </c>
      <c r="G2913" s="2" t="s">
        <v>9874</v>
      </c>
      <c r="H2913" s="2" t="s">
        <v>9874</v>
      </c>
      <c r="I2913" s="2" t="s">
        <v>9875</v>
      </c>
      <c r="J2913" s="2" t="s">
        <v>1806</v>
      </c>
      <c r="K2913" s="2" t="s">
        <v>5034</v>
      </c>
      <c r="L2913" s="3">
        <v>15.4</v>
      </c>
      <c r="M2913" s="3">
        <v>16.17</v>
      </c>
      <c r="N2913" s="3">
        <v>34.99</v>
      </c>
      <c r="O2913" s="2" t="s">
        <v>97</v>
      </c>
      <c r="P2913" s="2" t="s">
        <v>98</v>
      </c>
      <c r="Q2913" s="2" t="s">
        <v>99</v>
      </c>
      <c r="R2913" s="2" t="s">
        <v>100</v>
      </c>
      <c r="S2913" s="2" t="s">
        <v>9882</v>
      </c>
      <c r="T2913" s="2" t="s">
        <v>438</v>
      </c>
      <c r="U2913" s="2" t="s">
        <v>901</v>
      </c>
      <c r="V2913" s="2" t="s">
        <v>4677</v>
      </c>
      <c r="W2913" s="2" t="s">
        <v>1136</v>
      </c>
      <c r="X2913" s="2" t="s">
        <v>100</v>
      </c>
      <c r="Y2913" s="2" t="s">
        <v>9883</v>
      </c>
      <c r="Z2913" s="4">
        <v>168</v>
      </c>
      <c r="AA2913" s="4">
        <f>=ROUNDDOWN(56,0)</f>
      </c>
      <c r="AB2913" s="5">
        <v>3</v>
      </c>
      <c r="AC2913" s="2" t="s">
        <v>100</v>
      </c>
      <c r="AD2913" s="4"/>
      <c r="AE2913" s="4"/>
      <c r="AF2913" s="6">
        <v>66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/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 t="s">
        <v>100</v>
      </c>
      <c r="BJ2913" s="4">
        <v>9</v>
      </c>
      <c r="BK2913" s="8">
        <v>153.77</v>
      </c>
      <c r="BL2913" s="2" t="s">
        <v>9887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109</v>
      </c>
      <c r="BV2913" s="2" t="s">
        <v>97</v>
      </c>
      <c r="BW2913" s="2" t="s">
        <v>905</v>
      </c>
      <c r="BX2913" s="2" t="s">
        <v>3941</v>
      </c>
      <c r="BY2913" s="2" t="s">
        <v>112</v>
      </c>
      <c r="BZ2913" s="2" t="s">
        <v>100</v>
      </c>
    </row>
    <row r="2914">
      <c r="A2914" s="2" t="s">
        <v>9888</v>
      </c>
      <c r="B2914" s="2" t="s">
        <v>9043</v>
      </c>
      <c r="C2914" s="2" t="s">
        <v>3449</v>
      </c>
      <c r="D2914" s="2" t="s">
        <v>9044</v>
      </c>
      <c r="E2914" s="2" t="s">
        <v>9045</v>
      </c>
      <c r="F2914" s="2" t="s">
        <v>9874</v>
      </c>
      <c r="G2914" s="2" t="s">
        <v>9874</v>
      </c>
      <c r="H2914" s="2" t="s">
        <v>9874</v>
      </c>
      <c r="I2914" s="2" t="s">
        <v>9875</v>
      </c>
      <c r="J2914" s="2" t="s">
        <v>490</v>
      </c>
      <c r="K2914" s="2" t="s">
        <v>5034</v>
      </c>
      <c r="L2914" s="3">
        <v>18</v>
      </c>
      <c r="M2914" s="3">
        <v>18.9</v>
      </c>
      <c r="N2914" s="3">
        <v>39.99</v>
      </c>
      <c r="O2914" s="2" t="s">
        <v>97</v>
      </c>
      <c r="P2914" s="2" t="s">
        <v>98</v>
      </c>
      <c r="Q2914" s="2" t="s">
        <v>99</v>
      </c>
      <c r="R2914" s="2" t="s">
        <v>100</v>
      </c>
      <c r="S2914" s="2" t="s">
        <v>9882</v>
      </c>
      <c r="T2914" s="2" t="s">
        <v>438</v>
      </c>
      <c r="U2914" s="2" t="s">
        <v>1228</v>
      </c>
      <c r="V2914" s="2" t="s">
        <v>4677</v>
      </c>
      <c r="W2914" s="2" t="s">
        <v>1136</v>
      </c>
      <c r="X2914" s="2" t="s">
        <v>100</v>
      </c>
      <c r="Y2914" s="2" t="s">
        <v>9883</v>
      </c>
      <c r="Z2914" s="4">
        <v>225</v>
      </c>
      <c r="AA2914" s="4">
        <f>=ROUNDDOWN(45,0)</f>
      </c>
      <c r="AB2914" s="5">
        <v>5</v>
      </c>
      <c r="AC2914" s="2" t="s">
        <v>100</v>
      </c>
      <c r="AD2914" s="4"/>
      <c r="AE2914" s="4"/>
      <c r="AF2914" s="6">
        <v>66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100</v>
      </c>
      <c r="AW2914" s="8" t="s">
        <v>100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/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 t="s">
        <v>100</v>
      </c>
      <c r="BJ2914" s="4">
        <v>13</v>
      </c>
      <c r="BK2914" s="8">
        <v>259.79</v>
      </c>
      <c r="BL2914" s="2" t="s">
        <v>9889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905</v>
      </c>
      <c r="BX2914" s="2" t="s">
        <v>3941</v>
      </c>
      <c r="BY2914" s="2" t="s">
        <v>112</v>
      </c>
      <c r="BZ2914" s="2" t="s">
        <v>100</v>
      </c>
    </row>
    <row r="2915">
      <c r="A2915" s="2" t="s">
        <v>9890</v>
      </c>
      <c r="B2915" s="2" t="s">
        <v>9043</v>
      </c>
      <c r="C2915" s="2" t="s">
        <v>3449</v>
      </c>
      <c r="D2915" s="2" t="s">
        <v>9044</v>
      </c>
      <c r="E2915" s="2" t="s">
        <v>9045</v>
      </c>
      <c r="F2915" s="2" t="s">
        <v>9874</v>
      </c>
      <c r="G2915" s="2" t="s">
        <v>9874</v>
      </c>
      <c r="H2915" s="2" t="s">
        <v>9874</v>
      </c>
      <c r="I2915" s="2" t="s">
        <v>9875</v>
      </c>
      <c r="J2915" s="2" t="s">
        <v>95</v>
      </c>
      <c r="K2915" s="2" t="s">
        <v>5034</v>
      </c>
      <c r="L2915" s="3">
        <v>18</v>
      </c>
      <c r="M2915" s="3">
        <v>18.9</v>
      </c>
      <c r="N2915" s="3">
        <v>39.99</v>
      </c>
      <c r="O2915" s="2" t="s">
        <v>97</v>
      </c>
      <c r="P2915" s="2" t="s">
        <v>98</v>
      </c>
      <c r="Q2915" s="2" t="s">
        <v>99</v>
      </c>
      <c r="R2915" s="2" t="s">
        <v>100</v>
      </c>
      <c r="S2915" s="2" t="s">
        <v>9882</v>
      </c>
      <c r="T2915" s="2" t="s">
        <v>438</v>
      </c>
      <c r="U2915" s="2" t="s">
        <v>1228</v>
      </c>
      <c r="V2915" s="2" t="s">
        <v>4677</v>
      </c>
      <c r="W2915" s="2" t="s">
        <v>1136</v>
      </c>
      <c r="X2915" s="2" t="s">
        <v>100</v>
      </c>
      <c r="Y2915" s="2" t="s">
        <v>9883</v>
      </c>
      <c r="Z2915" s="4">
        <v>403</v>
      </c>
      <c r="AA2915" s="4">
        <f>=ROUNDDOWN(62.96875,0)</f>
      </c>
      <c r="AB2915" s="5">
        <v>6.4</v>
      </c>
      <c r="AC2915" s="2" t="s">
        <v>100</v>
      </c>
      <c r="AD2915" s="4"/>
      <c r="AE2915" s="4"/>
      <c r="AF2915" s="6">
        <v>66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1</v>
      </c>
      <c r="AQ2915" s="8">
        <v>18.65</v>
      </c>
      <c r="AR2915" s="4"/>
      <c r="AS2915" s="8"/>
      <c r="AT2915" s="7"/>
      <c r="AU2915" s="7"/>
      <c r="AV2915" s="4" t="s">
        <v>100</v>
      </c>
      <c r="AW2915" s="8" t="s">
        <v>100</v>
      </c>
      <c r="AX2915" s="4" t="s">
        <v>100</v>
      </c>
      <c r="AY2915" s="8" t="s">
        <v>100</v>
      </c>
      <c r="AZ2915" s="7" t="s">
        <v>100</v>
      </c>
      <c r="BA2915" s="7" t="s">
        <v>100</v>
      </c>
      <c r="BB2915" s="7">
        <v>1</v>
      </c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 t="s">
        <v>100</v>
      </c>
      <c r="BJ2915" s="4">
        <v>37</v>
      </c>
      <c r="BK2915" s="8">
        <v>742.79</v>
      </c>
      <c r="BL2915" s="2" t="s">
        <v>9891</v>
      </c>
      <c r="BM2915" s="7">
        <v>0.027</v>
      </c>
      <c r="BN2915" s="7">
        <v>0.0251</v>
      </c>
      <c r="BO2915" s="4">
        <v>1</v>
      </c>
      <c r="BP2915" s="8">
        <v>18.65</v>
      </c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905</v>
      </c>
      <c r="BX2915" s="2" t="s">
        <v>5065</v>
      </c>
      <c r="BY2915" s="2" t="s">
        <v>112</v>
      </c>
      <c r="BZ2915" s="2" t="s">
        <v>100</v>
      </c>
    </row>
    <row r="2916">
      <c r="A2916" s="2" t="s">
        <v>9892</v>
      </c>
      <c r="B2916" s="2" t="s">
        <v>9043</v>
      </c>
      <c r="C2916" s="2" t="s">
        <v>3449</v>
      </c>
      <c r="D2916" s="2" t="s">
        <v>9044</v>
      </c>
      <c r="E2916" s="2" t="s">
        <v>9045</v>
      </c>
      <c r="F2916" s="2" t="s">
        <v>9874</v>
      </c>
      <c r="G2916" s="2" t="s">
        <v>9874</v>
      </c>
      <c r="H2916" s="2" t="s">
        <v>9874</v>
      </c>
      <c r="I2916" s="2" t="s">
        <v>9875</v>
      </c>
      <c r="J2916" s="2" t="s">
        <v>1443</v>
      </c>
      <c r="K2916" s="2" t="s">
        <v>325</v>
      </c>
      <c r="L2916" s="3">
        <v>15.4</v>
      </c>
      <c r="M2916" s="3">
        <v>16.17</v>
      </c>
      <c r="N2916" s="3">
        <v>34.99</v>
      </c>
      <c r="O2916" s="2" t="s">
        <v>97</v>
      </c>
      <c r="P2916" s="2" t="s">
        <v>98</v>
      </c>
      <c r="Q2916" s="2" t="s">
        <v>99</v>
      </c>
      <c r="R2916" s="2" t="s">
        <v>100</v>
      </c>
      <c r="S2916" s="2" t="s">
        <v>9893</v>
      </c>
      <c r="T2916" s="2" t="s">
        <v>438</v>
      </c>
      <c r="U2916" s="2" t="s">
        <v>901</v>
      </c>
      <c r="V2916" s="2" t="s">
        <v>4677</v>
      </c>
      <c r="W2916" s="2" t="s">
        <v>1136</v>
      </c>
      <c r="X2916" s="2" t="s">
        <v>100</v>
      </c>
      <c r="Y2916" s="2" t="s">
        <v>9883</v>
      </c>
      <c r="Z2916" s="4">
        <v>225</v>
      </c>
      <c r="AA2916" s="4">
        <f>=ROUNDDOWN(45,0)</f>
      </c>
      <c r="AB2916" s="5">
        <v>5</v>
      </c>
      <c r="AC2916" s="2" t="s">
        <v>100</v>
      </c>
      <c r="AD2916" s="4"/>
      <c r="AE2916" s="4"/>
      <c r="AF2916" s="6">
        <v>66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100</v>
      </c>
      <c r="AW2916" s="8" t="s">
        <v>100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/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 t="s">
        <v>100</v>
      </c>
      <c r="BJ2916" s="4">
        <v>13</v>
      </c>
      <c r="BK2916" s="8">
        <v>228.99</v>
      </c>
      <c r="BL2916" s="2" t="s">
        <v>5556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109</v>
      </c>
      <c r="BV2916" s="2" t="s">
        <v>97</v>
      </c>
      <c r="BW2916" s="2" t="s">
        <v>905</v>
      </c>
      <c r="BX2916" s="2" t="s">
        <v>7835</v>
      </c>
      <c r="BY2916" s="2" t="s">
        <v>112</v>
      </c>
      <c r="BZ2916" s="2" t="s">
        <v>100</v>
      </c>
    </row>
    <row r="2917">
      <c r="A2917" s="2" t="s">
        <v>9894</v>
      </c>
      <c r="B2917" s="2" t="s">
        <v>9043</v>
      </c>
      <c r="C2917" s="2" t="s">
        <v>3449</v>
      </c>
      <c r="D2917" s="2" t="s">
        <v>9044</v>
      </c>
      <c r="E2917" s="2" t="s">
        <v>9045</v>
      </c>
      <c r="F2917" s="2" t="s">
        <v>9874</v>
      </c>
      <c r="G2917" s="2" t="s">
        <v>9874</v>
      </c>
      <c r="H2917" s="2" t="s">
        <v>9874</v>
      </c>
      <c r="I2917" s="2" t="s">
        <v>9875</v>
      </c>
      <c r="J2917" s="2" t="s">
        <v>1806</v>
      </c>
      <c r="K2917" s="2" t="s">
        <v>325</v>
      </c>
      <c r="L2917" s="3">
        <v>15.4</v>
      </c>
      <c r="M2917" s="3">
        <v>16.17</v>
      </c>
      <c r="N2917" s="3">
        <v>34.99</v>
      </c>
      <c r="O2917" s="2" t="s">
        <v>97</v>
      </c>
      <c r="P2917" s="2" t="s">
        <v>98</v>
      </c>
      <c r="Q2917" s="2" t="s">
        <v>99</v>
      </c>
      <c r="R2917" s="2" t="s">
        <v>100</v>
      </c>
      <c r="S2917" s="2" t="s">
        <v>9893</v>
      </c>
      <c r="T2917" s="2" t="s">
        <v>438</v>
      </c>
      <c r="U2917" s="2" t="s">
        <v>901</v>
      </c>
      <c r="V2917" s="2" t="s">
        <v>4677</v>
      </c>
      <c r="W2917" s="2" t="s">
        <v>1136</v>
      </c>
      <c r="X2917" s="2" t="s">
        <v>100</v>
      </c>
      <c r="Y2917" s="2" t="s">
        <v>9883</v>
      </c>
      <c r="Z2917" s="4">
        <v>256</v>
      </c>
      <c r="AA2917" s="4">
        <f>=ROUNDDOWN(128,0)</f>
      </c>
      <c r="AB2917" s="5">
        <v>2</v>
      </c>
      <c r="AC2917" s="2" t="s">
        <v>100</v>
      </c>
      <c r="AD2917" s="4"/>
      <c r="AE2917" s="4"/>
      <c r="AF2917" s="6">
        <v>66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100</v>
      </c>
      <c r="AW2917" s="8" t="s">
        <v>100</v>
      </c>
      <c r="AX2917" s="4" t="s">
        <v>100</v>
      </c>
      <c r="AY2917" s="8" t="s">
        <v>100</v>
      </c>
      <c r="AZ2917" s="7" t="s">
        <v>100</v>
      </c>
      <c r="BA2917" s="7" t="s">
        <v>100</v>
      </c>
      <c r="BB2917" s="7"/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 t="s">
        <v>100</v>
      </c>
      <c r="BJ2917" s="4">
        <v>6</v>
      </c>
      <c r="BK2917" s="8">
        <v>102.44</v>
      </c>
      <c r="BL2917" s="2" t="s">
        <v>9895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109</v>
      </c>
      <c r="BV2917" s="2" t="s">
        <v>97</v>
      </c>
      <c r="BW2917" s="2" t="s">
        <v>905</v>
      </c>
      <c r="BX2917" s="2" t="s">
        <v>4863</v>
      </c>
      <c r="BY2917" s="2" t="s">
        <v>112</v>
      </c>
      <c r="BZ2917" s="2" t="s">
        <v>100</v>
      </c>
    </row>
    <row r="2918">
      <c r="A2918" s="2" t="s">
        <v>9896</v>
      </c>
      <c r="B2918" s="2" t="s">
        <v>9043</v>
      </c>
      <c r="C2918" s="2" t="s">
        <v>3449</v>
      </c>
      <c r="D2918" s="2" t="s">
        <v>9044</v>
      </c>
      <c r="E2918" s="2" t="s">
        <v>9045</v>
      </c>
      <c r="F2918" s="2" t="s">
        <v>9874</v>
      </c>
      <c r="G2918" s="2" t="s">
        <v>9874</v>
      </c>
      <c r="H2918" s="2" t="s">
        <v>9874</v>
      </c>
      <c r="I2918" s="2" t="s">
        <v>9875</v>
      </c>
      <c r="J2918" s="2" t="s">
        <v>1806</v>
      </c>
      <c r="K2918" s="2" t="s">
        <v>9897</v>
      </c>
      <c r="L2918" s="3">
        <v>15.4</v>
      </c>
      <c r="M2918" s="3">
        <v>16.17</v>
      </c>
      <c r="N2918" s="3">
        <v>34.99</v>
      </c>
      <c r="O2918" s="2" t="s">
        <v>97</v>
      </c>
      <c r="P2918" s="2" t="s">
        <v>98</v>
      </c>
      <c r="Q2918" s="2" t="s">
        <v>99</v>
      </c>
      <c r="R2918" s="2" t="s">
        <v>100</v>
      </c>
      <c r="S2918" s="2" t="s">
        <v>9876</v>
      </c>
      <c r="T2918" s="2" t="s">
        <v>438</v>
      </c>
      <c r="U2918" s="2" t="s">
        <v>901</v>
      </c>
      <c r="V2918" s="2" t="s">
        <v>4677</v>
      </c>
      <c r="W2918" s="2" t="s">
        <v>493</v>
      </c>
      <c r="X2918" s="2" t="s">
        <v>100</v>
      </c>
      <c r="Y2918" s="2" t="s">
        <v>9346</v>
      </c>
      <c r="Z2918" s="4">
        <v>220</v>
      </c>
      <c r="AA2918" s="4">
        <f>=ROUNDDOWN(36.6666666666667,0)</f>
      </c>
      <c r="AB2918" s="5">
        <v>6</v>
      </c>
      <c r="AC2918" s="2" t="s">
        <v>312</v>
      </c>
      <c r="AD2918" s="4">
        <v>60</v>
      </c>
      <c r="AE2918" s="4">
        <v>160</v>
      </c>
      <c r="AF2918" s="6">
        <v>66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/>
      <c r="AW2918" s="8"/>
      <c r="AX2918" s="4"/>
      <c r="AY2918" s="8"/>
      <c r="AZ2918" s="7"/>
      <c r="BA2918" s="7"/>
      <c r="BB2918" s="7"/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/>
      <c r="BJ2918" s="4">
        <v>11</v>
      </c>
      <c r="BK2918" s="8">
        <v>197.36</v>
      </c>
      <c r="BL2918" s="2" t="s">
        <v>6590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109</v>
      </c>
      <c r="BV2918" s="2" t="s">
        <v>97</v>
      </c>
      <c r="BW2918" s="2" t="s">
        <v>2148</v>
      </c>
      <c r="BX2918" s="2" t="s">
        <v>4402</v>
      </c>
      <c r="BY2918" s="2" t="s">
        <v>112</v>
      </c>
      <c r="BZ2918" s="2" t="s">
        <v>100</v>
      </c>
    </row>
    <row r="2919">
      <c r="A2919" s="2" t="s">
        <v>9898</v>
      </c>
      <c r="B2919" s="2" t="s">
        <v>9043</v>
      </c>
      <c r="C2919" s="2" t="s">
        <v>3449</v>
      </c>
      <c r="D2919" s="2" t="s">
        <v>9044</v>
      </c>
      <c r="E2919" s="2" t="s">
        <v>9045</v>
      </c>
      <c r="F2919" s="2" t="s">
        <v>3451</v>
      </c>
      <c r="G2919" s="2" t="s">
        <v>3451</v>
      </c>
      <c r="H2919" s="2" t="s">
        <v>3451</v>
      </c>
      <c r="I2919" s="2" t="s">
        <v>9899</v>
      </c>
      <c r="J2919" s="2" t="s">
        <v>9900</v>
      </c>
      <c r="K2919" s="2" t="s">
        <v>9901</v>
      </c>
      <c r="L2919" s="3">
        <v>12.6</v>
      </c>
      <c r="M2919" s="3">
        <v>13.23</v>
      </c>
      <c r="N2919" s="3">
        <v>27.99</v>
      </c>
      <c r="O2919" s="2" t="s">
        <v>97</v>
      </c>
      <c r="P2919" s="2" t="s">
        <v>98</v>
      </c>
      <c r="Q2919" s="2" t="s">
        <v>99</v>
      </c>
      <c r="R2919" s="2" t="s">
        <v>100</v>
      </c>
      <c r="S2919" s="2" t="s">
        <v>9902</v>
      </c>
      <c r="T2919" s="2" t="s">
        <v>438</v>
      </c>
      <c r="U2919" s="2" t="s">
        <v>901</v>
      </c>
      <c r="V2919" s="2" t="s">
        <v>3451</v>
      </c>
      <c r="W2919" s="2" t="s">
        <v>609</v>
      </c>
      <c r="X2919" s="2" t="s">
        <v>100</v>
      </c>
      <c r="Y2919" s="2" t="s">
        <v>9350</v>
      </c>
      <c r="Z2919" s="4">
        <v>181</v>
      </c>
      <c r="AA2919" s="4">
        <f>=ROUNDDOWN(36.2,0)</f>
      </c>
      <c r="AB2919" s="5">
        <v>5</v>
      </c>
      <c r="AC2919" s="2" t="s">
        <v>3082</v>
      </c>
      <c r="AD2919" s="4">
        <v>30</v>
      </c>
      <c r="AE2919" s="4">
        <v>30</v>
      </c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>
        <v>1</v>
      </c>
      <c r="AW2919" s="8">
        <v>15.65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/>
      <c r="BC2919" s="4">
        <v>1</v>
      </c>
      <c r="BD2919" s="8">
        <v>15.65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>
        <v>1</v>
      </c>
      <c r="BJ2919" s="4">
        <v>14</v>
      </c>
      <c r="BK2919" s="8">
        <v>197.76</v>
      </c>
      <c r="BL2919" s="2" t="s">
        <v>4492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992</v>
      </c>
      <c r="BX2919" s="2" t="s">
        <v>9903</v>
      </c>
      <c r="BY2919" s="2" t="s">
        <v>112</v>
      </c>
      <c r="BZ2919" s="2" t="s">
        <v>100</v>
      </c>
    </row>
    <row r="2920">
      <c r="A2920" s="2" t="s">
        <v>9904</v>
      </c>
      <c r="B2920" s="2" t="s">
        <v>9043</v>
      </c>
      <c r="C2920" s="2" t="s">
        <v>3449</v>
      </c>
      <c r="D2920" s="2" t="s">
        <v>9044</v>
      </c>
      <c r="E2920" s="2" t="s">
        <v>9045</v>
      </c>
      <c r="F2920" s="2" t="s">
        <v>3451</v>
      </c>
      <c r="G2920" s="2" t="s">
        <v>3451</v>
      </c>
      <c r="H2920" s="2" t="s">
        <v>3451</v>
      </c>
      <c r="I2920" s="2" t="s">
        <v>9899</v>
      </c>
      <c r="J2920" s="2" t="s">
        <v>95</v>
      </c>
      <c r="K2920" s="2" t="s">
        <v>9901</v>
      </c>
      <c r="L2920" s="3">
        <v>14.85</v>
      </c>
      <c r="M2920" s="3">
        <v>15.59</v>
      </c>
      <c r="N2920" s="3">
        <v>32.99</v>
      </c>
      <c r="O2920" s="2" t="s">
        <v>97</v>
      </c>
      <c r="P2920" s="2" t="s">
        <v>98</v>
      </c>
      <c r="Q2920" s="2" t="s">
        <v>99</v>
      </c>
      <c r="R2920" s="2" t="s">
        <v>100</v>
      </c>
      <c r="S2920" s="2" t="s">
        <v>9902</v>
      </c>
      <c r="T2920" s="2" t="s">
        <v>438</v>
      </c>
      <c r="U2920" s="2" t="s">
        <v>1228</v>
      </c>
      <c r="V2920" s="2" t="s">
        <v>3451</v>
      </c>
      <c r="W2920" s="2" t="s">
        <v>609</v>
      </c>
      <c r="X2920" s="2" t="s">
        <v>100</v>
      </c>
      <c r="Y2920" s="2" t="s">
        <v>9350</v>
      </c>
      <c r="Z2920" s="4">
        <v>330</v>
      </c>
      <c r="AA2920" s="4">
        <f>=ROUNDDOWN(20.625,0)</f>
      </c>
      <c r="AB2920" s="5">
        <v>16</v>
      </c>
      <c r="AC2920" s="2" t="s">
        <v>3082</v>
      </c>
      <c r="AD2920" s="4">
        <v>90</v>
      </c>
      <c r="AE2920" s="4">
        <v>90</v>
      </c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1</v>
      </c>
      <c r="AQ2920" s="8">
        <v>15.65</v>
      </c>
      <c r="AR2920" s="4"/>
      <c r="AS2920" s="8"/>
      <c r="AT2920" s="7"/>
      <c r="AU2920" s="7"/>
      <c r="AV2920" s="4" t="s">
        <v>100</v>
      </c>
      <c r="AW2920" s="8" t="s">
        <v>100</v>
      </c>
      <c r="AX2920" s="4" t="s">
        <v>100</v>
      </c>
      <c r="AY2920" s="8" t="s">
        <v>100</v>
      </c>
      <c r="AZ2920" s="7" t="s">
        <v>100</v>
      </c>
      <c r="BA2920" s="7" t="s">
        <v>100</v>
      </c>
      <c r="BB2920" s="7">
        <v>1</v>
      </c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 t="s">
        <v>100</v>
      </c>
      <c r="BJ2920" s="4">
        <v>48</v>
      </c>
      <c r="BK2920" s="8">
        <v>823.84</v>
      </c>
      <c r="BL2920" s="2" t="s">
        <v>9905</v>
      </c>
      <c r="BM2920" s="7">
        <v>0.0208</v>
      </c>
      <c r="BN2920" s="7">
        <v>0.019</v>
      </c>
      <c r="BO2920" s="4">
        <v>1</v>
      </c>
      <c r="BP2920" s="8">
        <v>15.65</v>
      </c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992</v>
      </c>
      <c r="BX2920" s="2" t="s">
        <v>9906</v>
      </c>
      <c r="BY2920" s="2" t="s">
        <v>112</v>
      </c>
      <c r="BZ2920" s="2" t="s">
        <v>100</v>
      </c>
    </row>
    <row r="2921">
      <c r="A2921" s="2" t="s">
        <v>9907</v>
      </c>
      <c r="B2921" s="2" t="s">
        <v>9043</v>
      </c>
      <c r="C2921" s="2" t="s">
        <v>3449</v>
      </c>
      <c r="D2921" s="2" t="s">
        <v>9044</v>
      </c>
      <c r="E2921" s="2" t="s">
        <v>9045</v>
      </c>
      <c r="F2921" s="2" t="s">
        <v>3451</v>
      </c>
      <c r="G2921" s="2" t="s">
        <v>3451</v>
      </c>
      <c r="H2921" s="2" t="s">
        <v>3451</v>
      </c>
      <c r="I2921" s="2" t="s">
        <v>9899</v>
      </c>
      <c r="J2921" s="2" t="s">
        <v>9900</v>
      </c>
      <c r="K2921" s="2" t="s">
        <v>9908</v>
      </c>
      <c r="L2921" s="3">
        <v>12.6</v>
      </c>
      <c r="M2921" s="3">
        <v>13.23</v>
      </c>
      <c r="N2921" s="3">
        <v>27.99</v>
      </c>
      <c r="O2921" s="2" t="s">
        <v>97</v>
      </c>
      <c r="P2921" s="2" t="s">
        <v>98</v>
      </c>
      <c r="Q2921" s="2" t="s">
        <v>99</v>
      </c>
      <c r="R2921" s="2" t="s">
        <v>100</v>
      </c>
      <c r="S2921" s="2" t="s">
        <v>9909</v>
      </c>
      <c r="T2921" s="2" t="s">
        <v>438</v>
      </c>
      <c r="U2921" s="2" t="s">
        <v>100</v>
      </c>
      <c r="V2921" s="2" t="s">
        <v>3451</v>
      </c>
      <c r="W2921" s="2" t="s">
        <v>609</v>
      </c>
      <c r="X2921" s="2" t="s">
        <v>100</v>
      </c>
      <c r="Y2921" s="2" t="s">
        <v>9350</v>
      </c>
      <c r="Z2921" s="4">
        <v>44</v>
      </c>
      <c r="AA2921" s="4">
        <f>=ROUNDDOWN(8.8,0)</f>
      </c>
      <c r="AB2921" s="5">
        <v>5</v>
      </c>
      <c r="AC2921" s="2" t="s">
        <v>1452</v>
      </c>
      <c r="AD2921" s="4">
        <v>90</v>
      </c>
      <c r="AE2921" s="4">
        <v>140</v>
      </c>
      <c r="AF2921" s="6">
        <v>65</v>
      </c>
      <c r="AG2921" s="6"/>
      <c r="AH2921" s="7">
        <v>0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100</v>
      </c>
      <c r="AW2921" s="8" t="s">
        <v>100</v>
      </c>
      <c r="AX2921" s="4" t="s">
        <v>100</v>
      </c>
      <c r="AY2921" s="8" t="s">
        <v>100</v>
      </c>
      <c r="AZ2921" s="7" t="s">
        <v>100</v>
      </c>
      <c r="BA2921" s="7" t="s">
        <v>100</v>
      </c>
      <c r="BB2921" s="7"/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 t="s">
        <v>100</v>
      </c>
      <c r="BJ2921" s="4">
        <v>2</v>
      </c>
      <c r="BK2921" s="8">
        <v>29.04</v>
      </c>
      <c r="BL2921" s="2" t="s">
        <v>2071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992</v>
      </c>
      <c r="BX2921" s="2" t="s">
        <v>4973</v>
      </c>
      <c r="BY2921" s="2" t="s">
        <v>112</v>
      </c>
      <c r="BZ2921" s="2" t="s">
        <v>100</v>
      </c>
    </row>
    <row r="2922">
      <c r="A2922" s="2" t="s">
        <v>9910</v>
      </c>
      <c r="B2922" s="2" t="s">
        <v>9043</v>
      </c>
      <c r="C2922" s="2" t="s">
        <v>3449</v>
      </c>
      <c r="D2922" s="2" t="s">
        <v>9044</v>
      </c>
      <c r="E2922" s="2" t="s">
        <v>9045</v>
      </c>
      <c r="F2922" s="2" t="s">
        <v>3451</v>
      </c>
      <c r="G2922" s="2" t="s">
        <v>3451</v>
      </c>
      <c r="H2922" s="2" t="s">
        <v>3451</v>
      </c>
      <c r="I2922" s="2" t="s">
        <v>9899</v>
      </c>
      <c r="J2922" s="2" t="s">
        <v>95</v>
      </c>
      <c r="K2922" s="2" t="s">
        <v>9908</v>
      </c>
      <c r="L2922" s="3">
        <v>14.85</v>
      </c>
      <c r="M2922" s="3">
        <v>15.59</v>
      </c>
      <c r="N2922" s="3">
        <v>32.99</v>
      </c>
      <c r="O2922" s="2" t="s">
        <v>97</v>
      </c>
      <c r="P2922" s="2" t="s">
        <v>98</v>
      </c>
      <c r="Q2922" s="2" t="s">
        <v>99</v>
      </c>
      <c r="R2922" s="2" t="s">
        <v>100</v>
      </c>
      <c r="S2922" s="2" t="s">
        <v>9909</v>
      </c>
      <c r="T2922" s="2" t="s">
        <v>438</v>
      </c>
      <c r="U2922" s="2" t="s">
        <v>100</v>
      </c>
      <c r="V2922" s="2" t="s">
        <v>3451</v>
      </c>
      <c r="W2922" s="2" t="s">
        <v>609</v>
      </c>
      <c r="X2922" s="2" t="s">
        <v>100</v>
      </c>
      <c r="Y2922" s="2" t="s">
        <v>9350</v>
      </c>
      <c r="Z2922" s="4">
        <v>272</v>
      </c>
      <c r="AA2922" s="4">
        <f>=ROUNDDOWN(22.6666666666667,0)</f>
      </c>
      <c r="AB2922" s="5">
        <v>12</v>
      </c>
      <c r="AC2922" s="2" t="s">
        <v>1452</v>
      </c>
      <c r="AD2922" s="4">
        <v>50</v>
      </c>
      <c r="AE2922" s="4">
        <v>200</v>
      </c>
      <c r="AF2922" s="6">
        <v>65</v>
      </c>
      <c r="AG2922" s="6"/>
      <c r="AH2922" s="7">
        <v>0.9677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100</v>
      </c>
      <c r="AW2922" s="8" t="s">
        <v>100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/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 t="s">
        <v>100</v>
      </c>
      <c r="BJ2922" s="4">
        <v>64</v>
      </c>
      <c r="BK2922" s="8">
        <v>1096.79</v>
      </c>
      <c r="BL2922" s="2" t="s">
        <v>6503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992</v>
      </c>
      <c r="BX2922" s="2" t="s">
        <v>9911</v>
      </c>
      <c r="BY2922" s="2" t="s">
        <v>112</v>
      </c>
      <c r="BZ2922" s="2" t="s">
        <v>100</v>
      </c>
    </row>
    <row r="2923">
      <c r="A2923" s="2" t="s">
        <v>9912</v>
      </c>
      <c r="B2923" s="2" t="s">
        <v>9043</v>
      </c>
      <c r="C2923" s="2" t="s">
        <v>3449</v>
      </c>
      <c r="D2923" s="2" t="s">
        <v>9044</v>
      </c>
      <c r="E2923" s="2" t="s">
        <v>9045</v>
      </c>
      <c r="F2923" s="2" t="s">
        <v>3451</v>
      </c>
      <c r="G2923" s="2" t="s">
        <v>3451</v>
      </c>
      <c r="H2923" s="2" t="s">
        <v>3451</v>
      </c>
      <c r="I2923" s="2" t="s">
        <v>9899</v>
      </c>
      <c r="J2923" s="2" t="s">
        <v>1443</v>
      </c>
      <c r="K2923" s="2" t="s">
        <v>9913</v>
      </c>
      <c r="L2923" s="3">
        <v>12.6</v>
      </c>
      <c r="M2923" s="3">
        <v>13.23</v>
      </c>
      <c r="N2923" s="3">
        <v>27.99</v>
      </c>
      <c r="O2923" s="2" t="s">
        <v>97</v>
      </c>
      <c r="P2923" s="2" t="s">
        <v>98</v>
      </c>
      <c r="Q2923" s="2" t="s">
        <v>99</v>
      </c>
      <c r="R2923" s="2" t="s">
        <v>100</v>
      </c>
      <c r="S2923" s="2" t="s">
        <v>9914</v>
      </c>
      <c r="T2923" s="2" t="s">
        <v>438</v>
      </c>
      <c r="U2923" s="2" t="s">
        <v>100</v>
      </c>
      <c r="V2923" s="2" t="s">
        <v>3451</v>
      </c>
      <c r="W2923" s="2" t="s">
        <v>609</v>
      </c>
      <c r="X2923" s="2" t="s">
        <v>100</v>
      </c>
      <c r="Y2923" s="2" t="s">
        <v>9350</v>
      </c>
      <c r="Z2923" s="4">
        <v>104</v>
      </c>
      <c r="AA2923" s="4">
        <f>=ROUNDDOWN(17.3333333333333,0)</f>
      </c>
      <c r="AB2923" s="5">
        <v>6</v>
      </c>
      <c r="AC2923" s="2" t="s">
        <v>100</v>
      </c>
      <c r="AD2923" s="4"/>
      <c r="AE2923" s="4"/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/>
      <c r="AW2923" s="8"/>
      <c r="AX2923" s="4"/>
      <c r="AY2923" s="8"/>
      <c r="AZ2923" s="7"/>
      <c r="BA2923" s="7"/>
      <c r="BB2923" s="7"/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/>
      <c r="BJ2923" s="4">
        <v>17</v>
      </c>
      <c r="BK2923" s="8">
        <v>235.3</v>
      </c>
      <c r="BL2923" s="2" t="s">
        <v>1939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109</v>
      </c>
      <c r="BV2923" s="2" t="s">
        <v>97</v>
      </c>
      <c r="BW2923" s="2" t="s">
        <v>992</v>
      </c>
      <c r="BX2923" s="2" t="s">
        <v>1118</v>
      </c>
      <c r="BY2923" s="2" t="s">
        <v>112</v>
      </c>
      <c r="BZ2923" s="2" t="s">
        <v>100</v>
      </c>
    </row>
    <row r="2924">
      <c r="A2924" s="2" t="s">
        <v>9915</v>
      </c>
      <c r="B2924" s="2" t="s">
        <v>9043</v>
      </c>
      <c r="C2924" s="2" t="s">
        <v>3449</v>
      </c>
      <c r="D2924" s="2" t="s">
        <v>9044</v>
      </c>
      <c r="E2924" s="2" t="s">
        <v>9045</v>
      </c>
      <c r="F2924" s="2" t="s">
        <v>3451</v>
      </c>
      <c r="G2924" s="2" t="s">
        <v>3451</v>
      </c>
      <c r="H2924" s="2" t="s">
        <v>3451</v>
      </c>
      <c r="I2924" s="2" t="s">
        <v>9899</v>
      </c>
      <c r="J2924" s="2" t="s">
        <v>1443</v>
      </c>
      <c r="K2924" s="2" t="s">
        <v>9916</v>
      </c>
      <c r="L2924" s="3">
        <v>12.6</v>
      </c>
      <c r="M2924" s="3">
        <v>13.23</v>
      </c>
      <c r="N2924" s="3">
        <v>27.99</v>
      </c>
      <c r="O2924" s="2" t="s">
        <v>97</v>
      </c>
      <c r="P2924" s="2" t="s">
        <v>98</v>
      </c>
      <c r="Q2924" s="2" t="s">
        <v>99</v>
      </c>
      <c r="R2924" s="2" t="s">
        <v>100</v>
      </c>
      <c r="S2924" s="2" t="s">
        <v>9917</v>
      </c>
      <c r="T2924" s="2" t="s">
        <v>438</v>
      </c>
      <c r="U2924" s="2" t="s">
        <v>100</v>
      </c>
      <c r="V2924" s="2" t="s">
        <v>3451</v>
      </c>
      <c r="W2924" s="2" t="s">
        <v>609</v>
      </c>
      <c r="X2924" s="2" t="s">
        <v>100</v>
      </c>
      <c r="Y2924" s="2" t="s">
        <v>9350</v>
      </c>
      <c r="Z2924" s="4">
        <v>141</v>
      </c>
      <c r="AA2924" s="4">
        <f>=ROUNDDOWN(20.1428571428571,0)</f>
      </c>
      <c r="AB2924" s="5">
        <v>7</v>
      </c>
      <c r="AC2924" s="2" t="s">
        <v>1452</v>
      </c>
      <c r="AD2924" s="4">
        <v>60</v>
      </c>
      <c r="AE2924" s="4">
        <v>120</v>
      </c>
      <c r="AF2924" s="6">
        <v>65</v>
      </c>
      <c r="AG2924" s="6"/>
      <c r="AH2924" s="7">
        <v>0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100</v>
      </c>
      <c r="AW2924" s="8" t="s">
        <v>100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/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 t="s">
        <v>100</v>
      </c>
      <c r="BJ2924" s="4"/>
      <c r="BK2924" s="8"/>
      <c r="BL2924" s="2" t="s">
        <v>100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992</v>
      </c>
      <c r="BX2924" s="2" t="s">
        <v>2313</v>
      </c>
      <c r="BY2924" s="2" t="s">
        <v>112</v>
      </c>
      <c r="BZ2924" s="2" t="s">
        <v>100</v>
      </c>
    </row>
    <row r="2925">
      <c r="A2925" s="2" t="s">
        <v>9918</v>
      </c>
      <c r="B2925" s="2" t="s">
        <v>9043</v>
      </c>
      <c r="C2925" s="2" t="s">
        <v>3449</v>
      </c>
      <c r="D2925" s="2" t="s">
        <v>9044</v>
      </c>
      <c r="E2925" s="2" t="s">
        <v>9045</v>
      </c>
      <c r="F2925" s="2" t="s">
        <v>3451</v>
      </c>
      <c r="G2925" s="2" t="s">
        <v>3451</v>
      </c>
      <c r="H2925" s="2" t="s">
        <v>3451</v>
      </c>
      <c r="I2925" s="2" t="s">
        <v>9899</v>
      </c>
      <c r="J2925" s="2" t="s">
        <v>9900</v>
      </c>
      <c r="K2925" s="2" t="s">
        <v>9916</v>
      </c>
      <c r="L2925" s="3">
        <v>12.6</v>
      </c>
      <c r="M2925" s="3">
        <v>13.23</v>
      </c>
      <c r="N2925" s="3">
        <v>27.99</v>
      </c>
      <c r="O2925" s="2" t="s">
        <v>97</v>
      </c>
      <c r="P2925" s="2" t="s">
        <v>707</v>
      </c>
      <c r="Q2925" s="2" t="s">
        <v>99</v>
      </c>
      <c r="R2925" s="2" t="s">
        <v>100</v>
      </c>
      <c r="S2925" s="2" t="s">
        <v>9917</v>
      </c>
      <c r="T2925" s="2" t="s">
        <v>438</v>
      </c>
      <c r="U2925" s="2" t="s">
        <v>100</v>
      </c>
      <c r="V2925" s="2" t="s">
        <v>3451</v>
      </c>
      <c r="W2925" s="2" t="s">
        <v>609</v>
      </c>
      <c r="X2925" s="2" t="s">
        <v>100</v>
      </c>
      <c r="Y2925" s="2" t="s">
        <v>9350</v>
      </c>
      <c r="Z2925" s="4">
        <v>99</v>
      </c>
      <c r="AA2925" s="4">
        <f>=ROUNDDOWN(24.75,0)</f>
      </c>
      <c r="AB2925" s="5">
        <v>4</v>
      </c>
      <c r="AC2925" s="2" t="s">
        <v>1452</v>
      </c>
      <c r="AD2925" s="4">
        <v>70</v>
      </c>
      <c r="AE2925" s="4">
        <v>110</v>
      </c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100</v>
      </c>
      <c r="AW2925" s="8" t="s">
        <v>100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/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 t="s">
        <v>100</v>
      </c>
      <c r="BJ2925" s="4">
        <v>13</v>
      </c>
      <c r="BK2925" s="8">
        <v>180.3</v>
      </c>
      <c r="BL2925" s="2" t="s">
        <v>4449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109</v>
      </c>
      <c r="BV2925" s="2" t="s">
        <v>97</v>
      </c>
      <c r="BW2925" s="2" t="s">
        <v>992</v>
      </c>
      <c r="BX2925" s="2" t="s">
        <v>1733</v>
      </c>
      <c r="BY2925" s="2" t="s">
        <v>112</v>
      </c>
      <c r="BZ2925" s="2" t="s">
        <v>100</v>
      </c>
    </row>
    <row r="2926">
      <c r="A2926" s="2" t="s">
        <v>9919</v>
      </c>
      <c r="B2926" s="2" t="s">
        <v>9043</v>
      </c>
      <c r="C2926" s="2" t="s">
        <v>3449</v>
      </c>
      <c r="D2926" s="2" t="s">
        <v>9044</v>
      </c>
      <c r="E2926" s="2" t="s">
        <v>9045</v>
      </c>
      <c r="F2926" s="2" t="s">
        <v>3451</v>
      </c>
      <c r="G2926" s="2" t="s">
        <v>3451</v>
      </c>
      <c r="H2926" s="2" t="s">
        <v>3451</v>
      </c>
      <c r="I2926" s="2" t="s">
        <v>9899</v>
      </c>
      <c r="J2926" s="2" t="s">
        <v>490</v>
      </c>
      <c r="K2926" s="2" t="s">
        <v>9916</v>
      </c>
      <c r="L2926" s="3">
        <v>13.95</v>
      </c>
      <c r="M2926" s="3">
        <v>14.65</v>
      </c>
      <c r="N2926" s="3">
        <v>30.99</v>
      </c>
      <c r="O2926" s="2" t="s">
        <v>97</v>
      </c>
      <c r="P2926" s="2" t="s">
        <v>98</v>
      </c>
      <c r="Q2926" s="2" t="s">
        <v>99</v>
      </c>
      <c r="R2926" s="2" t="s">
        <v>100</v>
      </c>
      <c r="S2926" s="2" t="s">
        <v>9917</v>
      </c>
      <c r="T2926" s="2" t="s">
        <v>438</v>
      </c>
      <c r="U2926" s="2" t="s">
        <v>100</v>
      </c>
      <c r="V2926" s="2" t="s">
        <v>3451</v>
      </c>
      <c r="W2926" s="2" t="s">
        <v>609</v>
      </c>
      <c r="X2926" s="2" t="s">
        <v>100</v>
      </c>
      <c r="Y2926" s="2" t="s">
        <v>9350</v>
      </c>
      <c r="Z2926" s="4">
        <v>241</v>
      </c>
      <c r="AA2926" s="4">
        <f>=ROUNDDOWN(30.125,0)</f>
      </c>
      <c r="AB2926" s="5">
        <v>8</v>
      </c>
      <c r="AC2926" s="2" t="s">
        <v>3082</v>
      </c>
      <c r="AD2926" s="4">
        <v>30</v>
      </c>
      <c r="AE2926" s="4">
        <v>30</v>
      </c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100</v>
      </c>
      <c r="AW2926" s="8" t="s">
        <v>100</v>
      </c>
      <c r="AX2926" s="4" t="s">
        <v>100</v>
      </c>
      <c r="AY2926" s="8" t="s">
        <v>100</v>
      </c>
      <c r="AZ2926" s="7" t="s">
        <v>100</v>
      </c>
      <c r="BA2926" s="7" t="s">
        <v>100</v>
      </c>
      <c r="BB2926" s="7"/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 t="s">
        <v>100</v>
      </c>
      <c r="BJ2926" s="4">
        <v>20</v>
      </c>
      <c r="BK2926" s="8">
        <v>313.79</v>
      </c>
      <c r="BL2926" s="2" t="s">
        <v>4449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992</v>
      </c>
      <c r="BX2926" s="2" t="s">
        <v>1577</v>
      </c>
      <c r="BY2926" s="2" t="s">
        <v>112</v>
      </c>
      <c r="BZ2926" s="2" t="s">
        <v>100</v>
      </c>
    </row>
    <row r="2927">
      <c r="A2927" s="2" t="s">
        <v>9920</v>
      </c>
      <c r="B2927" s="2" t="s">
        <v>9043</v>
      </c>
      <c r="C2927" s="2" t="s">
        <v>3449</v>
      </c>
      <c r="D2927" s="2" t="s">
        <v>9044</v>
      </c>
      <c r="E2927" s="2" t="s">
        <v>9045</v>
      </c>
      <c r="F2927" s="2" t="s">
        <v>3451</v>
      </c>
      <c r="G2927" s="2" t="s">
        <v>3451</v>
      </c>
      <c r="H2927" s="2" t="s">
        <v>3451</v>
      </c>
      <c r="I2927" s="2" t="s">
        <v>9899</v>
      </c>
      <c r="J2927" s="2" t="s">
        <v>95</v>
      </c>
      <c r="K2927" s="2" t="s">
        <v>9916</v>
      </c>
      <c r="L2927" s="3">
        <v>14.85</v>
      </c>
      <c r="M2927" s="3">
        <v>15.59</v>
      </c>
      <c r="N2927" s="3">
        <v>32.99</v>
      </c>
      <c r="O2927" s="2" t="s">
        <v>97</v>
      </c>
      <c r="P2927" s="2" t="s">
        <v>98</v>
      </c>
      <c r="Q2927" s="2" t="s">
        <v>99</v>
      </c>
      <c r="R2927" s="2" t="s">
        <v>100</v>
      </c>
      <c r="S2927" s="2" t="s">
        <v>9917</v>
      </c>
      <c r="T2927" s="2" t="s">
        <v>438</v>
      </c>
      <c r="U2927" s="2" t="s">
        <v>100</v>
      </c>
      <c r="V2927" s="2" t="s">
        <v>3451</v>
      </c>
      <c r="W2927" s="2" t="s">
        <v>609</v>
      </c>
      <c r="X2927" s="2" t="s">
        <v>100</v>
      </c>
      <c r="Y2927" s="2" t="s">
        <v>9350</v>
      </c>
      <c r="Z2927" s="4">
        <v>112</v>
      </c>
      <c r="AA2927" s="4">
        <f>=ROUNDDOWN(11.2,0)</f>
      </c>
      <c r="AB2927" s="5">
        <v>10</v>
      </c>
      <c r="AC2927" s="2" t="s">
        <v>1452</v>
      </c>
      <c r="AD2927" s="4">
        <v>150</v>
      </c>
      <c r="AE2927" s="4">
        <v>240</v>
      </c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100</v>
      </c>
      <c r="AW2927" s="8" t="s">
        <v>100</v>
      </c>
      <c r="AX2927" s="4" t="s">
        <v>100</v>
      </c>
      <c r="AY2927" s="8" t="s">
        <v>100</v>
      </c>
      <c r="AZ2927" s="7" t="s">
        <v>100</v>
      </c>
      <c r="BA2927" s="7" t="s">
        <v>100</v>
      </c>
      <c r="BB2927" s="7"/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 t="s">
        <v>100</v>
      </c>
      <c r="BJ2927" s="4">
        <v>32</v>
      </c>
      <c r="BK2927" s="8">
        <v>538.53</v>
      </c>
      <c r="BL2927" s="2" t="s">
        <v>9921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992</v>
      </c>
      <c r="BX2927" s="2" t="s">
        <v>9911</v>
      </c>
      <c r="BY2927" s="2" t="s">
        <v>112</v>
      </c>
      <c r="BZ2927" s="2" t="s">
        <v>100</v>
      </c>
    </row>
    <row r="2928">
      <c r="A2928" s="2" t="s">
        <v>9922</v>
      </c>
      <c r="B2928" s="2" t="s">
        <v>9043</v>
      </c>
      <c r="C2928" s="2" t="s">
        <v>3449</v>
      </c>
      <c r="D2928" s="2" t="s">
        <v>9044</v>
      </c>
      <c r="E2928" s="2" t="s">
        <v>9045</v>
      </c>
      <c r="F2928" s="2" t="s">
        <v>9923</v>
      </c>
      <c r="G2928" s="2" t="s">
        <v>9923</v>
      </c>
      <c r="H2928" s="2" t="s">
        <v>9923</v>
      </c>
      <c r="I2928" s="2" t="s">
        <v>9924</v>
      </c>
      <c r="J2928" s="2" t="s">
        <v>1443</v>
      </c>
      <c r="K2928" s="2" t="s">
        <v>9925</v>
      </c>
      <c r="L2928" s="3">
        <v>14.89</v>
      </c>
      <c r="M2928" s="3">
        <v>15.63</v>
      </c>
      <c r="N2928" s="3">
        <v>31.99</v>
      </c>
      <c r="O2928" s="2" t="s">
        <v>97</v>
      </c>
      <c r="P2928" s="2" t="s">
        <v>98</v>
      </c>
      <c r="Q2928" s="2" t="s">
        <v>99</v>
      </c>
      <c r="R2928" s="2" t="s">
        <v>100</v>
      </c>
      <c r="S2928" s="2" t="s">
        <v>9926</v>
      </c>
      <c r="T2928" s="2" t="s">
        <v>9205</v>
      </c>
      <c r="U2928" s="2" t="s">
        <v>901</v>
      </c>
      <c r="V2928" s="2" t="s">
        <v>4636</v>
      </c>
      <c r="W2928" s="2" t="s">
        <v>609</v>
      </c>
      <c r="X2928" s="2" t="s">
        <v>142</v>
      </c>
      <c r="Y2928" s="2" t="s">
        <v>9927</v>
      </c>
      <c r="Z2928" s="4">
        <v>3</v>
      </c>
      <c r="AA2928" s="4">
        <f>=ROUNDDOWN(0.0909090909090909,0)</f>
      </c>
      <c r="AB2928" s="5">
        <v>33</v>
      </c>
      <c r="AC2928" s="2" t="s">
        <v>1142</v>
      </c>
      <c r="AD2928" s="4">
        <v>328</v>
      </c>
      <c r="AE2928" s="4">
        <v>917</v>
      </c>
      <c r="AF2928" s="6">
        <v>65</v>
      </c>
      <c r="AG2928" s="6"/>
      <c r="AH2928" s="7">
        <v>0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100</v>
      </c>
      <c r="AW2928" s="8" t="s">
        <v>100</v>
      </c>
      <c r="AX2928" s="4" t="s">
        <v>100</v>
      </c>
      <c r="AY2928" s="8" t="s">
        <v>100</v>
      </c>
      <c r="AZ2928" s="7" t="s">
        <v>100</v>
      </c>
      <c r="BA2928" s="7" t="s">
        <v>100</v>
      </c>
      <c r="BB2928" s="7"/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/>
      <c r="BJ2928" s="4"/>
      <c r="BK2928" s="8"/>
      <c r="BL2928" s="2" t="s">
        <v>100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5674</v>
      </c>
      <c r="BX2928" s="2" t="s">
        <v>199</v>
      </c>
      <c r="BY2928" s="2" t="s">
        <v>112</v>
      </c>
      <c r="BZ2928" s="2" t="s">
        <v>149</v>
      </c>
    </row>
    <row r="2929">
      <c r="A2929" s="2" t="s">
        <v>9928</v>
      </c>
      <c r="B2929" s="2" t="s">
        <v>9043</v>
      </c>
      <c r="C2929" s="2" t="s">
        <v>3449</v>
      </c>
      <c r="D2929" s="2" t="s">
        <v>9044</v>
      </c>
      <c r="E2929" s="2" t="s">
        <v>9045</v>
      </c>
      <c r="F2929" s="2" t="s">
        <v>9923</v>
      </c>
      <c r="G2929" s="2" t="s">
        <v>9923</v>
      </c>
      <c r="H2929" s="2" t="s">
        <v>9923</v>
      </c>
      <c r="I2929" s="2" t="s">
        <v>9924</v>
      </c>
      <c r="J2929" s="2" t="s">
        <v>1806</v>
      </c>
      <c r="K2929" s="2" t="s">
        <v>9925</v>
      </c>
      <c r="L2929" s="3">
        <v>15.22</v>
      </c>
      <c r="M2929" s="3">
        <v>15.98</v>
      </c>
      <c r="N2929" s="3">
        <v>32.99</v>
      </c>
      <c r="O2929" s="2" t="s">
        <v>97</v>
      </c>
      <c r="P2929" s="2" t="s">
        <v>156</v>
      </c>
      <c r="Q2929" s="2" t="s">
        <v>99</v>
      </c>
      <c r="R2929" s="2" t="s">
        <v>100</v>
      </c>
      <c r="S2929" s="2" t="s">
        <v>9926</v>
      </c>
      <c r="T2929" s="2" t="s">
        <v>9205</v>
      </c>
      <c r="U2929" s="2" t="s">
        <v>901</v>
      </c>
      <c r="V2929" s="2" t="s">
        <v>4636</v>
      </c>
      <c r="W2929" s="2" t="s">
        <v>609</v>
      </c>
      <c r="X2929" s="2" t="s">
        <v>142</v>
      </c>
      <c r="Y2929" s="2" t="s">
        <v>9927</v>
      </c>
      <c r="Z2929" s="4"/>
      <c r="AA2929" s="4">
        <f>=ROUNDDOWN({0},0)</f>
      </c>
      <c r="AB2929" s="5">
        <v>22</v>
      </c>
      <c r="AC2929" s="2" t="s">
        <v>1142</v>
      </c>
      <c r="AD2929" s="4">
        <v>215</v>
      </c>
      <c r="AE2929" s="4">
        <v>598</v>
      </c>
      <c r="AF2929" s="6">
        <v>65</v>
      </c>
      <c r="AG2929" s="6"/>
      <c r="AH2929" s="7">
        <v>0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100</v>
      </c>
      <c r="AW2929" s="8" t="s">
        <v>100</v>
      </c>
      <c r="AX2929" s="4" t="s">
        <v>100</v>
      </c>
      <c r="AY2929" s="8" t="s">
        <v>100</v>
      </c>
      <c r="AZ2929" s="7" t="s">
        <v>100</v>
      </c>
      <c r="BA2929" s="7" t="s">
        <v>100</v>
      </c>
      <c r="BB2929" s="7"/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/>
      <c r="BJ2929" s="4"/>
      <c r="BK2929" s="8"/>
      <c r="BL2929" s="2" t="s">
        <v>100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109</v>
      </c>
      <c r="BV2929" s="2" t="s">
        <v>97</v>
      </c>
      <c r="BW2929" s="2" t="s">
        <v>5674</v>
      </c>
      <c r="BX2929" s="2" t="s">
        <v>1924</v>
      </c>
      <c r="BY2929" s="2" t="s">
        <v>112</v>
      </c>
      <c r="BZ2929" s="2" t="s">
        <v>149</v>
      </c>
    </row>
    <row r="2930">
      <c r="A2930" s="2" t="s">
        <v>9929</v>
      </c>
      <c r="B2930" s="2" t="s">
        <v>9043</v>
      </c>
      <c r="C2930" s="2" t="s">
        <v>3449</v>
      </c>
      <c r="D2930" s="2" t="s">
        <v>9044</v>
      </c>
      <c r="E2930" s="2" t="s">
        <v>9045</v>
      </c>
      <c r="F2930" s="2" t="s">
        <v>9923</v>
      </c>
      <c r="G2930" s="2" t="s">
        <v>9923</v>
      </c>
      <c r="H2930" s="2" t="s">
        <v>9923</v>
      </c>
      <c r="I2930" s="2" t="s">
        <v>9924</v>
      </c>
      <c r="J2930" s="2" t="s">
        <v>490</v>
      </c>
      <c r="K2930" s="2" t="s">
        <v>9925</v>
      </c>
      <c r="L2930" s="3">
        <v>19.13</v>
      </c>
      <c r="M2930" s="3">
        <v>20.09</v>
      </c>
      <c r="N2930" s="3">
        <v>42.99</v>
      </c>
      <c r="O2930" s="2" t="s">
        <v>97</v>
      </c>
      <c r="P2930" s="2" t="s">
        <v>98</v>
      </c>
      <c r="Q2930" s="2" t="s">
        <v>99</v>
      </c>
      <c r="R2930" s="2" t="s">
        <v>100</v>
      </c>
      <c r="S2930" s="2" t="s">
        <v>9926</v>
      </c>
      <c r="T2930" s="2" t="s">
        <v>9205</v>
      </c>
      <c r="U2930" s="2" t="s">
        <v>1228</v>
      </c>
      <c r="V2930" s="2" t="s">
        <v>4636</v>
      </c>
      <c r="W2930" s="2" t="s">
        <v>609</v>
      </c>
      <c r="X2930" s="2" t="s">
        <v>142</v>
      </c>
      <c r="Y2930" s="2" t="s">
        <v>9927</v>
      </c>
      <c r="Z2930" s="4"/>
      <c r="AA2930" s="4">
        <f>=ROUNDDOWN({0},0)</f>
      </c>
      <c r="AB2930" s="5">
        <v>28</v>
      </c>
      <c r="AC2930" s="2" t="s">
        <v>1142</v>
      </c>
      <c r="AD2930" s="4">
        <v>273</v>
      </c>
      <c r="AE2930" s="4">
        <v>765</v>
      </c>
      <c r="AF2930" s="6">
        <v>65</v>
      </c>
      <c r="AG2930" s="6"/>
      <c r="AH2930" s="7">
        <v>0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100</v>
      </c>
      <c r="AW2930" s="8" t="s">
        <v>100</v>
      </c>
      <c r="AX2930" s="4" t="s">
        <v>100</v>
      </c>
      <c r="AY2930" s="8" t="s">
        <v>100</v>
      </c>
      <c r="AZ2930" s="7" t="s">
        <v>100</v>
      </c>
      <c r="BA2930" s="7" t="s">
        <v>100</v>
      </c>
      <c r="BB2930" s="7"/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/>
      <c r="BJ2930" s="4"/>
      <c r="BK2930" s="8"/>
      <c r="BL2930" s="2" t="s">
        <v>100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5674</v>
      </c>
      <c r="BX2930" s="2" t="s">
        <v>9930</v>
      </c>
      <c r="BY2930" s="2" t="s">
        <v>112</v>
      </c>
      <c r="BZ2930" s="2" t="s">
        <v>149</v>
      </c>
    </row>
    <row r="2931">
      <c r="A2931" s="2" t="s">
        <v>9931</v>
      </c>
      <c r="B2931" s="2" t="s">
        <v>9043</v>
      </c>
      <c r="C2931" s="2" t="s">
        <v>3449</v>
      </c>
      <c r="D2931" s="2" t="s">
        <v>9044</v>
      </c>
      <c r="E2931" s="2" t="s">
        <v>9045</v>
      </c>
      <c r="F2931" s="2" t="s">
        <v>9923</v>
      </c>
      <c r="G2931" s="2" t="s">
        <v>9923</v>
      </c>
      <c r="H2931" s="2" t="s">
        <v>9923</v>
      </c>
      <c r="I2931" s="2" t="s">
        <v>9924</v>
      </c>
      <c r="J2931" s="2" t="s">
        <v>95</v>
      </c>
      <c r="K2931" s="2" t="s">
        <v>9925</v>
      </c>
      <c r="L2931" s="3">
        <v>21.27</v>
      </c>
      <c r="M2931" s="3">
        <v>22.33</v>
      </c>
      <c r="N2931" s="3">
        <v>47.99</v>
      </c>
      <c r="O2931" s="2" t="s">
        <v>97</v>
      </c>
      <c r="P2931" s="2" t="s">
        <v>156</v>
      </c>
      <c r="Q2931" s="2" t="s">
        <v>99</v>
      </c>
      <c r="R2931" s="2" t="s">
        <v>100</v>
      </c>
      <c r="S2931" s="2" t="s">
        <v>9926</v>
      </c>
      <c r="T2931" s="2" t="s">
        <v>9205</v>
      </c>
      <c r="U2931" s="2" t="s">
        <v>1228</v>
      </c>
      <c r="V2931" s="2" t="s">
        <v>4636</v>
      </c>
      <c r="W2931" s="2" t="s">
        <v>609</v>
      </c>
      <c r="X2931" s="2" t="s">
        <v>142</v>
      </c>
      <c r="Y2931" s="2" t="s">
        <v>9927</v>
      </c>
      <c r="Z2931" s="4"/>
      <c r="AA2931" s="4">
        <f>=ROUNDDOWN({0},0)</f>
      </c>
      <c r="AB2931" s="5">
        <v>19</v>
      </c>
      <c r="AC2931" s="2" t="s">
        <v>1142</v>
      </c>
      <c r="AD2931" s="4">
        <v>195</v>
      </c>
      <c r="AE2931" s="4">
        <v>571</v>
      </c>
      <c r="AF2931" s="6">
        <v>65</v>
      </c>
      <c r="AG2931" s="6"/>
      <c r="AH2931" s="7">
        <v>0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100</v>
      </c>
      <c r="AW2931" s="8" t="s">
        <v>100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/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/>
      <c r="BJ2931" s="4"/>
      <c r="BK2931" s="8"/>
      <c r="BL2931" s="2" t="s">
        <v>100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5674</v>
      </c>
      <c r="BX2931" s="2" t="s">
        <v>1924</v>
      </c>
      <c r="BY2931" s="2" t="s">
        <v>112</v>
      </c>
      <c r="BZ2931" s="2" t="s">
        <v>100</v>
      </c>
    </row>
    <row r="2932">
      <c r="A2932" s="2" t="s">
        <v>9932</v>
      </c>
      <c r="B2932" s="2" t="s">
        <v>9043</v>
      </c>
      <c r="C2932" s="2" t="s">
        <v>3449</v>
      </c>
      <c r="D2932" s="2" t="s">
        <v>9044</v>
      </c>
      <c r="E2932" s="2" t="s">
        <v>9045</v>
      </c>
      <c r="F2932" s="2" t="s">
        <v>9923</v>
      </c>
      <c r="G2932" s="2" t="s">
        <v>9923</v>
      </c>
      <c r="H2932" s="2" t="s">
        <v>9923</v>
      </c>
      <c r="I2932" s="2" t="s">
        <v>9924</v>
      </c>
      <c r="J2932" s="2" t="s">
        <v>1443</v>
      </c>
      <c r="K2932" s="2" t="s">
        <v>9933</v>
      </c>
      <c r="L2932" s="3">
        <v>14.89</v>
      </c>
      <c r="M2932" s="3">
        <v>15.63</v>
      </c>
      <c r="N2932" s="3">
        <v>31.99</v>
      </c>
      <c r="O2932" s="2" t="s">
        <v>97</v>
      </c>
      <c r="P2932" s="2" t="s">
        <v>98</v>
      </c>
      <c r="Q2932" s="2" t="s">
        <v>99</v>
      </c>
      <c r="R2932" s="2" t="s">
        <v>100</v>
      </c>
      <c r="S2932" s="2" t="s">
        <v>9934</v>
      </c>
      <c r="T2932" s="2" t="s">
        <v>9205</v>
      </c>
      <c r="U2932" s="2" t="s">
        <v>901</v>
      </c>
      <c r="V2932" s="2" t="s">
        <v>3451</v>
      </c>
      <c r="W2932" s="2" t="s">
        <v>609</v>
      </c>
      <c r="X2932" s="2" t="s">
        <v>142</v>
      </c>
      <c r="Y2932" s="2" t="s">
        <v>9312</v>
      </c>
      <c r="Z2932" s="4"/>
      <c r="AA2932" s="4">
        <f>=ROUNDDOWN({0},0)</f>
      </c>
      <c r="AB2932" s="5">
        <v>20</v>
      </c>
      <c r="AC2932" s="2" t="s">
        <v>1142</v>
      </c>
      <c r="AD2932" s="4">
        <v>201</v>
      </c>
      <c r="AE2932" s="4">
        <v>639</v>
      </c>
      <c r="AF2932" s="6">
        <v>65</v>
      </c>
      <c r="AG2932" s="6"/>
      <c r="AH2932" s="7">
        <v>0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/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/>
      <c r="BJ2932" s="4"/>
      <c r="BK2932" s="8"/>
      <c r="BL2932" s="2" t="s">
        <v>100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109</v>
      </c>
      <c r="BV2932" s="2" t="s">
        <v>97</v>
      </c>
      <c r="BW2932" s="2" t="s">
        <v>5674</v>
      </c>
      <c r="BX2932" s="2" t="s">
        <v>3766</v>
      </c>
      <c r="BY2932" s="2" t="s">
        <v>112</v>
      </c>
      <c r="BZ2932" s="2" t="s">
        <v>100</v>
      </c>
    </row>
    <row r="2933">
      <c r="A2933" s="2" t="s">
        <v>9935</v>
      </c>
      <c r="B2933" s="2" t="s">
        <v>9043</v>
      </c>
      <c r="C2933" s="2" t="s">
        <v>3449</v>
      </c>
      <c r="D2933" s="2" t="s">
        <v>9044</v>
      </c>
      <c r="E2933" s="2" t="s">
        <v>9045</v>
      </c>
      <c r="F2933" s="2" t="s">
        <v>9923</v>
      </c>
      <c r="G2933" s="2" t="s">
        <v>9923</v>
      </c>
      <c r="H2933" s="2" t="s">
        <v>9923</v>
      </c>
      <c r="I2933" s="2" t="s">
        <v>9924</v>
      </c>
      <c r="J2933" s="2" t="s">
        <v>1806</v>
      </c>
      <c r="K2933" s="2" t="s">
        <v>9933</v>
      </c>
      <c r="L2933" s="3">
        <v>15.22</v>
      </c>
      <c r="M2933" s="3">
        <v>15.98</v>
      </c>
      <c r="N2933" s="3">
        <v>32.99</v>
      </c>
      <c r="O2933" s="2" t="s">
        <v>97</v>
      </c>
      <c r="P2933" s="2" t="s">
        <v>98</v>
      </c>
      <c r="Q2933" s="2" t="s">
        <v>99</v>
      </c>
      <c r="R2933" s="2" t="s">
        <v>100</v>
      </c>
      <c r="S2933" s="2" t="s">
        <v>9934</v>
      </c>
      <c r="T2933" s="2" t="s">
        <v>9205</v>
      </c>
      <c r="U2933" s="2" t="s">
        <v>901</v>
      </c>
      <c r="V2933" s="2" t="s">
        <v>3451</v>
      </c>
      <c r="W2933" s="2" t="s">
        <v>609</v>
      </c>
      <c r="X2933" s="2" t="s">
        <v>142</v>
      </c>
      <c r="Y2933" s="2" t="s">
        <v>9312</v>
      </c>
      <c r="Z2933" s="4">
        <v>1</v>
      </c>
      <c r="AA2933" s="4">
        <f>=ROUNDDOWN(0.0909090909090909,0)</f>
      </c>
      <c r="AB2933" s="5">
        <v>11</v>
      </c>
      <c r="AC2933" s="2" t="s">
        <v>1142</v>
      </c>
      <c r="AD2933" s="4">
        <v>112</v>
      </c>
      <c r="AE2933" s="4">
        <v>327</v>
      </c>
      <c r="AF2933" s="6">
        <v>65</v>
      </c>
      <c r="AG2933" s="6"/>
      <c r="AH2933" s="7">
        <v>0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100</v>
      </c>
      <c r="AW2933" s="8" t="s">
        <v>100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/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/>
      <c r="BJ2933" s="4"/>
      <c r="BK2933" s="8"/>
      <c r="BL2933" s="2" t="s">
        <v>100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109</v>
      </c>
      <c r="BV2933" s="2" t="s">
        <v>97</v>
      </c>
      <c r="BW2933" s="2" t="s">
        <v>5674</v>
      </c>
      <c r="BX2933" s="2" t="s">
        <v>1215</v>
      </c>
      <c r="BY2933" s="2" t="s">
        <v>112</v>
      </c>
      <c r="BZ2933" s="2" t="s">
        <v>100</v>
      </c>
    </row>
    <row r="2934">
      <c r="A2934" s="2" t="s">
        <v>9936</v>
      </c>
      <c r="B2934" s="2" t="s">
        <v>9043</v>
      </c>
      <c r="C2934" s="2" t="s">
        <v>3449</v>
      </c>
      <c r="D2934" s="2" t="s">
        <v>9044</v>
      </c>
      <c r="E2934" s="2" t="s">
        <v>9045</v>
      </c>
      <c r="F2934" s="2" t="s">
        <v>9923</v>
      </c>
      <c r="G2934" s="2" t="s">
        <v>9923</v>
      </c>
      <c r="H2934" s="2" t="s">
        <v>9923</v>
      </c>
      <c r="I2934" s="2" t="s">
        <v>9924</v>
      </c>
      <c r="J2934" s="2" t="s">
        <v>490</v>
      </c>
      <c r="K2934" s="2" t="s">
        <v>9933</v>
      </c>
      <c r="L2934" s="3">
        <v>19.13</v>
      </c>
      <c r="M2934" s="3">
        <v>20.09</v>
      </c>
      <c r="N2934" s="3">
        <v>42.99</v>
      </c>
      <c r="O2934" s="2" t="s">
        <v>97</v>
      </c>
      <c r="P2934" s="2" t="s">
        <v>156</v>
      </c>
      <c r="Q2934" s="2" t="s">
        <v>99</v>
      </c>
      <c r="R2934" s="2" t="s">
        <v>100</v>
      </c>
      <c r="S2934" s="2" t="s">
        <v>9934</v>
      </c>
      <c r="T2934" s="2" t="s">
        <v>9205</v>
      </c>
      <c r="U2934" s="2" t="s">
        <v>1228</v>
      </c>
      <c r="V2934" s="2" t="s">
        <v>3451</v>
      </c>
      <c r="W2934" s="2" t="s">
        <v>609</v>
      </c>
      <c r="X2934" s="2" t="s">
        <v>142</v>
      </c>
      <c r="Y2934" s="2" t="s">
        <v>9312</v>
      </c>
      <c r="Z2934" s="4"/>
      <c r="AA2934" s="4">
        <f>=ROUNDDOWN({0},0)</f>
      </c>
      <c r="AB2934" s="5">
        <v>18</v>
      </c>
      <c r="AC2934" s="2" t="s">
        <v>1142</v>
      </c>
      <c r="AD2934" s="4">
        <v>188</v>
      </c>
      <c r="AE2934" s="4">
        <v>619</v>
      </c>
      <c r="AF2934" s="6">
        <v>65</v>
      </c>
      <c r="AG2934" s="6"/>
      <c r="AH2934" s="7">
        <v>0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/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/>
      <c r="BJ2934" s="4"/>
      <c r="BK2934" s="8"/>
      <c r="BL2934" s="2" t="s">
        <v>100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5674</v>
      </c>
      <c r="BX2934" s="2" t="s">
        <v>9050</v>
      </c>
      <c r="BY2934" s="2" t="s">
        <v>112</v>
      </c>
      <c r="BZ2934" s="2" t="s">
        <v>100</v>
      </c>
    </row>
    <row r="2935">
      <c r="A2935" s="2" t="s">
        <v>9937</v>
      </c>
      <c r="B2935" s="2" t="s">
        <v>9043</v>
      </c>
      <c r="C2935" s="2" t="s">
        <v>3449</v>
      </c>
      <c r="D2935" s="2" t="s">
        <v>9044</v>
      </c>
      <c r="E2935" s="2" t="s">
        <v>9045</v>
      </c>
      <c r="F2935" s="2" t="s">
        <v>9923</v>
      </c>
      <c r="G2935" s="2" t="s">
        <v>9923</v>
      </c>
      <c r="H2935" s="2" t="s">
        <v>9923</v>
      </c>
      <c r="I2935" s="2" t="s">
        <v>9924</v>
      </c>
      <c r="J2935" s="2" t="s">
        <v>95</v>
      </c>
      <c r="K2935" s="2" t="s">
        <v>9933</v>
      </c>
      <c r="L2935" s="3">
        <v>21.27</v>
      </c>
      <c r="M2935" s="3">
        <v>22.33</v>
      </c>
      <c r="N2935" s="3">
        <v>47.99</v>
      </c>
      <c r="O2935" s="2" t="s">
        <v>97</v>
      </c>
      <c r="P2935" s="2" t="s">
        <v>98</v>
      </c>
      <c r="Q2935" s="2" t="s">
        <v>99</v>
      </c>
      <c r="R2935" s="2" t="s">
        <v>100</v>
      </c>
      <c r="S2935" s="2" t="s">
        <v>9934</v>
      </c>
      <c r="T2935" s="2" t="s">
        <v>9205</v>
      </c>
      <c r="U2935" s="2" t="s">
        <v>1228</v>
      </c>
      <c r="V2935" s="2" t="s">
        <v>3451</v>
      </c>
      <c r="W2935" s="2" t="s">
        <v>609</v>
      </c>
      <c r="X2935" s="2" t="s">
        <v>142</v>
      </c>
      <c r="Y2935" s="2" t="s">
        <v>9312</v>
      </c>
      <c r="Z2935" s="4"/>
      <c r="AA2935" s="4">
        <f>=ROUNDDOWN({0},0)</f>
      </c>
      <c r="AB2935" s="5">
        <v>18</v>
      </c>
      <c r="AC2935" s="2" t="s">
        <v>1142</v>
      </c>
      <c r="AD2935" s="4">
        <v>182</v>
      </c>
      <c r="AE2935" s="4">
        <v>573</v>
      </c>
      <c r="AF2935" s="6">
        <v>65</v>
      </c>
      <c r="AG2935" s="6"/>
      <c r="AH2935" s="7">
        <v>0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/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/>
      <c r="BJ2935" s="4"/>
      <c r="BK2935" s="8"/>
      <c r="BL2935" s="2" t="s">
        <v>100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109</v>
      </c>
      <c r="BV2935" s="2" t="s">
        <v>97</v>
      </c>
      <c r="BW2935" s="2" t="s">
        <v>5674</v>
      </c>
      <c r="BX2935" s="2" t="s">
        <v>4427</v>
      </c>
      <c r="BY2935" s="2" t="s">
        <v>112</v>
      </c>
      <c r="BZ2935" s="2" t="s">
        <v>100</v>
      </c>
    </row>
    <row r="2936">
      <c r="A2936" s="2" t="s">
        <v>9938</v>
      </c>
      <c r="B2936" s="2" t="s">
        <v>9043</v>
      </c>
      <c r="C2936" s="2" t="s">
        <v>3449</v>
      </c>
      <c r="D2936" s="2" t="s">
        <v>9044</v>
      </c>
      <c r="E2936" s="2" t="s">
        <v>9045</v>
      </c>
      <c r="F2936" s="2" t="s">
        <v>9923</v>
      </c>
      <c r="G2936" s="2" t="s">
        <v>9923</v>
      </c>
      <c r="H2936" s="2" t="s">
        <v>9923</v>
      </c>
      <c r="I2936" s="2" t="s">
        <v>9924</v>
      </c>
      <c r="J2936" s="2" t="s">
        <v>1443</v>
      </c>
      <c r="K2936" s="2" t="s">
        <v>9939</v>
      </c>
      <c r="L2936" s="3">
        <v>14.89</v>
      </c>
      <c r="M2936" s="3">
        <v>15.63</v>
      </c>
      <c r="N2936" s="3">
        <v>31.99</v>
      </c>
      <c r="O2936" s="2" t="s">
        <v>97</v>
      </c>
      <c r="P2936" s="2" t="s">
        <v>98</v>
      </c>
      <c r="Q2936" s="2" t="s">
        <v>99</v>
      </c>
      <c r="R2936" s="2" t="s">
        <v>100</v>
      </c>
      <c r="S2936" s="2" t="s">
        <v>9940</v>
      </c>
      <c r="T2936" s="2" t="s">
        <v>9205</v>
      </c>
      <c r="U2936" s="2" t="s">
        <v>901</v>
      </c>
      <c r="V2936" s="2" t="s">
        <v>2510</v>
      </c>
      <c r="W2936" s="2" t="s">
        <v>609</v>
      </c>
      <c r="X2936" s="2" t="s">
        <v>142</v>
      </c>
      <c r="Y2936" s="2" t="s">
        <v>3528</v>
      </c>
      <c r="Z2936" s="4">
        <v>3</v>
      </c>
      <c r="AA2936" s="4">
        <f>=ROUNDDOWN(0.130434782608696,0)</f>
      </c>
      <c r="AB2936" s="5">
        <v>23</v>
      </c>
      <c r="AC2936" s="2" t="s">
        <v>1142</v>
      </c>
      <c r="AD2936" s="4">
        <v>227</v>
      </c>
      <c r="AE2936" s="4">
        <v>666</v>
      </c>
      <c r="AF2936" s="6">
        <v>65</v>
      </c>
      <c r="AG2936" s="6"/>
      <c r="AH2936" s="7">
        <v>0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 t="s">
        <v>100</v>
      </c>
      <c r="AW2936" s="8" t="s">
        <v>100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/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/>
      <c r="BJ2936" s="4"/>
      <c r="BK2936" s="8"/>
      <c r="BL2936" s="2" t="s">
        <v>100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171</v>
      </c>
      <c r="BV2936" s="2" t="s">
        <v>97</v>
      </c>
      <c r="BW2936" s="2" t="s">
        <v>100</v>
      </c>
      <c r="BX2936" s="2" t="s">
        <v>100</v>
      </c>
      <c r="BY2936" s="2" t="s">
        <v>112</v>
      </c>
      <c r="BZ2936" s="2" t="s">
        <v>149</v>
      </c>
    </row>
    <row r="2937">
      <c r="A2937" s="2" t="s">
        <v>9941</v>
      </c>
      <c r="B2937" s="2" t="s">
        <v>9043</v>
      </c>
      <c r="C2937" s="2" t="s">
        <v>3449</v>
      </c>
      <c r="D2937" s="2" t="s">
        <v>9044</v>
      </c>
      <c r="E2937" s="2" t="s">
        <v>9045</v>
      </c>
      <c r="F2937" s="2" t="s">
        <v>9923</v>
      </c>
      <c r="G2937" s="2" t="s">
        <v>9923</v>
      </c>
      <c r="H2937" s="2" t="s">
        <v>9923</v>
      </c>
      <c r="I2937" s="2" t="s">
        <v>9924</v>
      </c>
      <c r="J2937" s="2" t="s">
        <v>1806</v>
      </c>
      <c r="K2937" s="2" t="s">
        <v>9939</v>
      </c>
      <c r="L2937" s="3">
        <v>15.22</v>
      </c>
      <c r="M2937" s="3">
        <v>15.98</v>
      </c>
      <c r="N2937" s="3">
        <v>32.99</v>
      </c>
      <c r="O2937" s="2" t="s">
        <v>97</v>
      </c>
      <c r="P2937" s="2" t="s">
        <v>98</v>
      </c>
      <c r="Q2937" s="2" t="s">
        <v>99</v>
      </c>
      <c r="R2937" s="2" t="s">
        <v>100</v>
      </c>
      <c r="S2937" s="2" t="s">
        <v>9940</v>
      </c>
      <c r="T2937" s="2" t="s">
        <v>9205</v>
      </c>
      <c r="U2937" s="2" t="s">
        <v>901</v>
      </c>
      <c r="V2937" s="2" t="s">
        <v>2510</v>
      </c>
      <c r="W2937" s="2" t="s">
        <v>609</v>
      </c>
      <c r="X2937" s="2" t="s">
        <v>142</v>
      </c>
      <c r="Y2937" s="2" t="s">
        <v>3528</v>
      </c>
      <c r="Z2937" s="4">
        <v>2</v>
      </c>
      <c r="AA2937" s="4">
        <f>=ROUNDDOWN(0.142857142857143,0)</f>
      </c>
      <c r="AB2937" s="5">
        <v>14</v>
      </c>
      <c r="AC2937" s="2" t="s">
        <v>1142</v>
      </c>
      <c r="AD2937" s="4">
        <v>142</v>
      </c>
      <c r="AE2937" s="4">
        <v>382</v>
      </c>
      <c r="AF2937" s="6">
        <v>65</v>
      </c>
      <c r="AG2937" s="6"/>
      <c r="AH2937" s="7">
        <v>0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/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/>
      <c r="BJ2937" s="4">
        <v>1</v>
      </c>
      <c r="BK2937" s="8">
        <v>32.99</v>
      </c>
      <c r="BL2937" s="2" t="s">
        <v>3783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171</v>
      </c>
      <c r="BV2937" s="2" t="s">
        <v>97</v>
      </c>
      <c r="BW2937" s="2" t="s">
        <v>100</v>
      </c>
      <c r="BX2937" s="2" t="s">
        <v>100</v>
      </c>
      <c r="BY2937" s="2" t="s">
        <v>112</v>
      </c>
      <c r="BZ2937" s="2" t="s">
        <v>149</v>
      </c>
    </row>
    <row r="2938">
      <c r="A2938" s="2" t="s">
        <v>9942</v>
      </c>
      <c r="B2938" s="2" t="s">
        <v>9043</v>
      </c>
      <c r="C2938" s="2" t="s">
        <v>3449</v>
      </c>
      <c r="D2938" s="2" t="s">
        <v>9044</v>
      </c>
      <c r="E2938" s="2" t="s">
        <v>9045</v>
      </c>
      <c r="F2938" s="2" t="s">
        <v>9923</v>
      </c>
      <c r="G2938" s="2" t="s">
        <v>9923</v>
      </c>
      <c r="H2938" s="2" t="s">
        <v>9923</v>
      </c>
      <c r="I2938" s="2" t="s">
        <v>9924</v>
      </c>
      <c r="J2938" s="2" t="s">
        <v>490</v>
      </c>
      <c r="K2938" s="2" t="s">
        <v>9939</v>
      </c>
      <c r="L2938" s="3">
        <v>19.13</v>
      </c>
      <c r="M2938" s="3">
        <v>20.09</v>
      </c>
      <c r="N2938" s="3">
        <v>42.99</v>
      </c>
      <c r="O2938" s="2" t="s">
        <v>97</v>
      </c>
      <c r="P2938" s="2" t="s">
        <v>98</v>
      </c>
      <c r="Q2938" s="2" t="s">
        <v>99</v>
      </c>
      <c r="R2938" s="2" t="s">
        <v>100</v>
      </c>
      <c r="S2938" s="2" t="s">
        <v>9940</v>
      </c>
      <c r="T2938" s="2" t="s">
        <v>9205</v>
      </c>
      <c r="U2938" s="2" t="s">
        <v>1228</v>
      </c>
      <c r="V2938" s="2" t="s">
        <v>2510</v>
      </c>
      <c r="W2938" s="2" t="s">
        <v>609</v>
      </c>
      <c r="X2938" s="2" t="s">
        <v>142</v>
      </c>
      <c r="Y2938" s="2" t="s">
        <v>3528</v>
      </c>
      <c r="Z2938" s="4">
        <v>3</v>
      </c>
      <c r="AA2938" s="4">
        <f>=ROUNDDOWN(0.230769230769231,0)</f>
      </c>
      <c r="AB2938" s="5">
        <v>13</v>
      </c>
      <c r="AC2938" s="2" t="s">
        <v>1142</v>
      </c>
      <c r="AD2938" s="4">
        <v>126</v>
      </c>
      <c r="AE2938" s="4">
        <v>358</v>
      </c>
      <c r="AF2938" s="6">
        <v>65</v>
      </c>
      <c r="AG2938" s="6"/>
      <c r="AH2938" s="7">
        <v>0.0323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100</v>
      </c>
      <c r="AW2938" s="8" t="s">
        <v>100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/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/>
      <c r="BJ2938" s="4">
        <v>1</v>
      </c>
      <c r="BK2938" s="8">
        <v>22.32</v>
      </c>
      <c r="BL2938" s="2" t="s">
        <v>9943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171</v>
      </c>
      <c r="BV2938" s="2" t="s">
        <v>97</v>
      </c>
      <c r="BW2938" s="2" t="s">
        <v>100</v>
      </c>
      <c r="BX2938" s="2" t="s">
        <v>100</v>
      </c>
      <c r="BY2938" s="2" t="s">
        <v>112</v>
      </c>
      <c r="BZ2938" s="2" t="s">
        <v>149</v>
      </c>
    </row>
    <row r="2939">
      <c r="A2939" s="2" t="s">
        <v>9944</v>
      </c>
      <c r="B2939" s="2" t="s">
        <v>9043</v>
      </c>
      <c r="C2939" s="2" t="s">
        <v>3449</v>
      </c>
      <c r="D2939" s="2" t="s">
        <v>9044</v>
      </c>
      <c r="E2939" s="2" t="s">
        <v>9045</v>
      </c>
      <c r="F2939" s="2" t="s">
        <v>9923</v>
      </c>
      <c r="G2939" s="2" t="s">
        <v>9923</v>
      </c>
      <c r="H2939" s="2" t="s">
        <v>9923</v>
      </c>
      <c r="I2939" s="2" t="s">
        <v>9924</v>
      </c>
      <c r="J2939" s="2" t="s">
        <v>95</v>
      </c>
      <c r="K2939" s="2" t="s">
        <v>9939</v>
      </c>
      <c r="L2939" s="3">
        <v>21.27</v>
      </c>
      <c r="M2939" s="3">
        <v>22.33</v>
      </c>
      <c r="N2939" s="3">
        <v>47.99</v>
      </c>
      <c r="O2939" s="2" t="s">
        <v>97</v>
      </c>
      <c r="P2939" s="2" t="s">
        <v>98</v>
      </c>
      <c r="Q2939" s="2" t="s">
        <v>99</v>
      </c>
      <c r="R2939" s="2" t="s">
        <v>100</v>
      </c>
      <c r="S2939" s="2" t="s">
        <v>9940</v>
      </c>
      <c r="T2939" s="2" t="s">
        <v>9205</v>
      </c>
      <c r="U2939" s="2" t="s">
        <v>1228</v>
      </c>
      <c r="V2939" s="2" t="s">
        <v>2510</v>
      </c>
      <c r="W2939" s="2" t="s">
        <v>609</v>
      </c>
      <c r="X2939" s="2" t="s">
        <v>142</v>
      </c>
      <c r="Y2939" s="2" t="s">
        <v>3528</v>
      </c>
      <c r="Z2939" s="4">
        <v>2</v>
      </c>
      <c r="AA2939" s="4">
        <f>=ROUNDDOWN(0.125,0)</f>
      </c>
      <c r="AB2939" s="5">
        <v>16</v>
      </c>
      <c r="AC2939" s="2" t="s">
        <v>1142</v>
      </c>
      <c r="AD2939" s="4">
        <v>169</v>
      </c>
      <c r="AE2939" s="4">
        <v>459</v>
      </c>
      <c r="AF2939" s="6">
        <v>65</v>
      </c>
      <c r="AG2939" s="6"/>
      <c r="AH2939" s="7">
        <v>0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100</v>
      </c>
      <c r="AW2939" s="8" t="s">
        <v>100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/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/>
      <c r="BJ2939" s="4"/>
      <c r="BK2939" s="8"/>
      <c r="BL2939" s="2" t="s">
        <v>100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171</v>
      </c>
      <c r="BV2939" s="2" t="s">
        <v>97</v>
      </c>
      <c r="BW2939" s="2" t="s">
        <v>100</v>
      </c>
      <c r="BX2939" s="2" t="s">
        <v>100</v>
      </c>
      <c r="BY2939" s="2" t="s">
        <v>112</v>
      </c>
      <c r="BZ2939" s="2" t="s">
        <v>149</v>
      </c>
    </row>
    <row r="2940">
      <c r="A2940" s="2" t="s">
        <v>9945</v>
      </c>
      <c r="B2940" s="2" t="s">
        <v>9043</v>
      </c>
      <c r="C2940" s="2" t="s">
        <v>3449</v>
      </c>
      <c r="D2940" s="2" t="s">
        <v>9044</v>
      </c>
      <c r="E2940" s="2" t="s">
        <v>9045</v>
      </c>
      <c r="F2940" s="2" t="s">
        <v>9923</v>
      </c>
      <c r="G2940" s="2" t="s">
        <v>9923</v>
      </c>
      <c r="H2940" s="2" t="s">
        <v>9923</v>
      </c>
      <c r="I2940" s="2" t="s">
        <v>9924</v>
      </c>
      <c r="J2940" s="2" t="s">
        <v>1443</v>
      </c>
      <c r="K2940" s="2" t="s">
        <v>9946</v>
      </c>
      <c r="L2940" s="3">
        <v>14.89</v>
      </c>
      <c r="M2940" s="3">
        <v>15.63</v>
      </c>
      <c r="N2940" s="3">
        <v>31.99</v>
      </c>
      <c r="O2940" s="2" t="s">
        <v>97</v>
      </c>
      <c r="P2940" s="2" t="s">
        <v>317</v>
      </c>
      <c r="Q2940" s="2" t="s">
        <v>99</v>
      </c>
      <c r="R2940" s="2" t="s">
        <v>100</v>
      </c>
      <c r="S2940" s="2" t="s">
        <v>9947</v>
      </c>
      <c r="T2940" s="2" t="s">
        <v>9205</v>
      </c>
      <c r="U2940" s="2" t="s">
        <v>901</v>
      </c>
      <c r="V2940" s="2" t="s">
        <v>3451</v>
      </c>
      <c r="W2940" s="2" t="s">
        <v>609</v>
      </c>
      <c r="X2940" s="2" t="s">
        <v>142</v>
      </c>
      <c r="Y2940" s="2" t="s">
        <v>9312</v>
      </c>
      <c r="Z2940" s="4"/>
      <c r="AA2940" s="4">
        <f>=ROUNDDOWN({0},0)</f>
      </c>
      <c r="AB2940" s="5">
        <v>56</v>
      </c>
      <c r="AC2940" s="2" t="s">
        <v>1142</v>
      </c>
      <c r="AD2940" s="4">
        <v>540</v>
      </c>
      <c r="AE2940" s="4">
        <v>1779</v>
      </c>
      <c r="AF2940" s="6">
        <v>65</v>
      </c>
      <c r="AG2940" s="6"/>
      <c r="AH2940" s="7">
        <v>0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100</v>
      </c>
      <c r="AW2940" s="8" t="s">
        <v>100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/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/>
      <c r="BJ2940" s="4"/>
      <c r="BK2940" s="8"/>
      <c r="BL2940" s="2" t="s">
        <v>100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5674</v>
      </c>
      <c r="BX2940" s="2" t="s">
        <v>199</v>
      </c>
      <c r="BY2940" s="2" t="s">
        <v>112</v>
      </c>
      <c r="BZ2940" s="2" t="s">
        <v>149</v>
      </c>
    </row>
    <row r="2941">
      <c r="A2941" s="2" t="s">
        <v>9948</v>
      </c>
      <c r="B2941" s="2" t="s">
        <v>9043</v>
      </c>
      <c r="C2941" s="2" t="s">
        <v>3449</v>
      </c>
      <c r="D2941" s="2" t="s">
        <v>9044</v>
      </c>
      <c r="E2941" s="2" t="s">
        <v>9045</v>
      </c>
      <c r="F2941" s="2" t="s">
        <v>9923</v>
      </c>
      <c r="G2941" s="2" t="s">
        <v>9923</v>
      </c>
      <c r="H2941" s="2" t="s">
        <v>9923</v>
      </c>
      <c r="I2941" s="2" t="s">
        <v>9924</v>
      </c>
      <c r="J2941" s="2" t="s">
        <v>1806</v>
      </c>
      <c r="K2941" s="2" t="s">
        <v>9946</v>
      </c>
      <c r="L2941" s="3">
        <v>15.22</v>
      </c>
      <c r="M2941" s="3">
        <v>15.98</v>
      </c>
      <c r="N2941" s="3">
        <v>32.99</v>
      </c>
      <c r="O2941" s="2" t="s">
        <v>97</v>
      </c>
      <c r="P2941" s="2" t="s">
        <v>156</v>
      </c>
      <c r="Q2941" s="2" t="s">
        <v>99</v>
      </c>
      <c r="R2941" s="2" t="s">
        <v>100</v>
      </c>
      <c r="S2941" s="2" t="s">
        <v>9947</v>
      </c>
      <c r="T2941" s="2" t="s">
        <v>9205</v>
      </c>
      <c r="U2941" s="2" t="s">
        <v>901</v>
      </c>
      <c r="V2941" s="2" t="s">
        <v>3451</v>
      </c>
      <c r="W2941" s="2" t="s">
        <v>609</v>
      </c>
      <c r="X2941" s="2" t="s">
        <v>142</v>
      </c>
      <c r="Y2941" s="2" t="s">
        <v>9312</v>
      </c>
      <c r="Z2941" s="4">
        <v>1</v>
      </c>
      <c r="AA2941" s="4">
        <f>=ROUNDDOWN(0.0416666666666667,0)</f>
      </c>
      <c r="AB2941" s="5">
        <v>24</v>
      </c>
      <c r="AC2941" s="2" t="s">
        <v>1142</v>
      </c>
      <c r="AD2941" s="4">
        <v>240</v>
      </c>
      <c r="AE2941" s="4">
        <v>749</v>
      </c>
      <c r="AF2941" s="6">
        <v>65</v>
      </c>
      <c r="AG2941" s="6"/>
      <c r="AH2941" s="7">
        <v>0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100</v>
      </c>
      <c r="AW2941" s="8" t="s">
        <v>100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/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/>
      <c r="BJ2941" s="4"/>
      <c r="BK2941" s="8"/>
      <c r="BL2941" s="2" t="s">
        <v>100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109</v>
      </c>
      <c r="BV2941" s="2" t="s">
        <v>97</v>
      </c>
      <c r="BW2941" s="2" t="s">
        <v>5674</v>
      </c>
      <c r="BX2941" s="2" t="s">
        <v>1924</v>
      </c>
      <c r="BY2941" s="2" t="s">
        <v>112</v>
      </c>
      <c r="BZ2941" s="2" t="s">
        <v>149</v>
      </c>
    </row>
    <row r="2942">
      <c r="A2942" s="2" t="s">
        <v>9949</v>
      </c>
      <c r="B2942" s="2" t="s">
        <v>9043</v>
      </c>
      <c r="C2942" s="2" t="s">
        <v>3449</v>
      </c>
      <c r="D2942" s="2" t="s">
        <v>9044</v>
      </c>
      <c r="E2942" s="2" t="s">
        <v>9045</v>
      </c>
      <c r="F2942" s="2" t="s">
        <v>9923</v>
      </c>
      <c r="G2942" s="2" t="s">
        <v>9923</v>
      </c>
      <c r="H2942" s="2" t="s">
        <v>9923</v>
      </c>
      <c r="I2942" s="2" t="s">
        <v>9924</v>
      </c>
      <c r="J2942" s="2" t="s">
        <v>490</v>
      </c>
      <c r="K2942" s="2" t="s">
        <v>9946</v>
      </c>
      <c r="L2942" s="3">
        <v>19.13</v>
      </c>
      <c r="M2942" s="3">
        <v>20.09</v>
      </c>
      <c r="N2942" s="3">
        <v>42.99</v>
      </c>
      <c r="O2942" s="2" t="s">
        <v>97</v>
      </c>
      <c r="P2942" s="2" t="s">
        <v>98</v>
      </c>
      <c r="Q2942" s="2" t="s">
        <v>99</v>
      </c>
      <c r="R2942" s="2" t="s">
        <v>100</v>
      </c>
      <c r="S2942" s="2" t="s">
        <v>9947</v>
      </c>
      <c r="T2942" s="2" t="s">
        <v>9205</v>
      </c>
      <c r="U2942" s="2" t="s">
        <v>1228</v>
      </c>
      <c r="V2942" s="2" t="s">
        <v>3451</v>
      </c>
      <c r="W2942" s="2" t="s">
        <v>609</v>
      </c>
      <c r="X2942" s="2" t="s">
        <v>142</v>
      </c>
      <c r="Y2942" s="2" t="s">
        <v>9312</v>
      </c>
      <c r="Z2942" s="4">
        <v>2</v>
      </c>
      <c r="AA2942" s="4">
        <f>=ROUNDDOWN(0.133333333333333,0)</f>
      </c>
      <c r="AB2942" s="5">
        <v>15</v>
      </c>
      <c r="AC2942" s="2" t="s">
        <v>1142</v>
      </c>
      <c r="AD2942" s="4">
        <v>159</v>
      </c>
      <c r="AE2942" s="4">
        <v>487</v>
      </c>
      <c r="AF2942" s="6">
        <v>65</v>
      </c>
      <c r="AG2942" s="6"/>
      <c r="AH2942" s="7">
        <v>0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100</v>
      </c>
      <c r="AW2942" s="8" t="s">
        <v>100</v>
      </c>
      <c r="AX2942" s="4" t="s">
        <v>100</v>
      </c>
      <c r="AY2942" s="8" t="s">
        <v>100</v>
      </c>
      <c r="AZ2942" s="7" t="s">
        <v>100</v>
      </c>
      <c r="BA2942" s="7" t="s">
        <v>100</v>
      </c>
      <c r="BB2942" s="7"/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/>
      <c r="BJ2942" s="4"/>
      <c r="BK2942" s="8"/>
      <c r="BL2942" s="2" t="s">
        <v>100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109</v>
      </c>
      <c r="BV2942" s="2" t="s">
        <v>97</v>
      </c>
      <c r="BW2942" s="2" t="s">
        <v>5674</v>
      </c>
      <c r="BX2942" s="2" t="s">
        <v>3766</v>
      </c>
      <c r="BY2942" s="2" t="s">
        <v>112</v>
      </c>
      <c r="BZ2942" s="2" t="s">
        <v>149</v>
      </c>
    </row>
    <row r="2943">
      <c r="A2943" s="2" t="s">
        <v>9950</v>
      </c>
      <c r="B2943" s="2" t="s">
        <v>9043</v>
      </c>
      <c r="C2943" s="2" t="s">
        <v>3449</v>
      </c>
      <c r="D2943" s="2" t="s">
        <v>9044</v>
      </c>
      <c r="E2943" s="2" t="s">
        <v>9045</v>
      </c>
      <c r="F2943" s="2" t="s">
        <v>9923</v>
      </c>
      <c r="G2943" s="2" t="s">
        <v>9923</v>
      </c>
      <c r="H2943" s="2" t="s">
        <v>9923</v>
      </c>
      <c r="I2943" s="2" t="s">
        <v>9924</v>
      </c>
      <c r="J2943" s="2" t="s">
        <v>95</v>
      </c>
      <c r="K2943" s="2" t="s">
        <v>9946</v>
      </c>
      <c r="L2943" s="3">
        <v>21.27</v>
      </c>
      <c r="M2943" s="3">
        <v>22.33</v>
      </c>
      <c r="N2943" s="3">
        <v>47.99</v>
      </c>
      <c r="O2943" s="2" t="s">
        <v>97</v>
      </c>
      <c r="P2943" s="2" t="s">
        <v>156</v>
      </c>
      <c r="Q2943" s="2" t="s">
        <v>99</v>
      </c>
      <c r="R2943" s="2" t="s">
        <v>100</v>
      </c>
      <c r="S2943" s="2" t="s">
        <v>9947</v>
      </c>
      <c r="T2943" s="2" t="s">
        <v>9205</v>
      </c>
      <c r="U2943" s="2" t="s">
        <v>1228</v>
      </c>
      <c r="V2943" s="2" t="s">
        <v>3451</v>
      </c>
      <c r="W2943" s="2" t="s">
        <v>609</v>
      </c>
      <c r="X2943" s="2" t="s">
        <v>142</v>
      </c>
      <c r="Y2943" s="2" t="s">
        <v>9312</v>
      </c>
      <c r="Z2943" s="4">
        <v>1</v>
      </c>
      <c r="AA2943" s="4">
        <f>=ROUNDDOWN(0.037037037037037,0)</f>
      </c>
      <c r="AB2943" s="5">
        <v>27</v>
      </c>
      <c r="AC2943" s="2" t="s">
        <v>1142</v>
      </c>
      <c r="AD2943" s="4">
        <v>263</v>
      </c>
      <c r="AE2943" s="4">
        <v>801</v>
      </c>
      <c r="AF2943" s="6">
        <v>65</v>
      </c>
      <c r="AG2943" s="6"/>
      <c r="AH2943" s="7">
        <v>0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100</v>
      </c>
      <c r="AW2943" s="8" t="s">
        <v>100</v>
      </c>
      <c r="AX2943" s="4" t="s">
        <v>100</v>
      </c>
      <c r="AY2943" s="8" t="s">
        <v>100</v>
      </c>
      <c r="AZ2943" s="7" t="s">
        <v>100</v>
      </c>
      <c r="BA2943" s="7" t="s">
        <v>100</v>
      </c>
      <c r="BB2943" s="7"/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/>
      <c r="BJ2943" s="4">
        <v>1</v>
      </c>
      <c r="BK2943" s="8">
        <v>47.99</v>
      </c>
      <c r="BL2943" s="2" t="s">
        <v>3783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5674</v>
      </c>
      <c r="BX2943" s="2" t="s">
        <v>9951</v>
      </c>
      <c r="BY2943" s="2" t="s">
        <v>112</v>
      </c>
      <c r="BZ2943" s="2" t="s">
        <v>149</v>
      </c>
    </row>
    <row r="2944">
      <c r="A2944" s="2" t="s">
        <v>9952</v>
      </c>
      <c r="B2944" s="2" t="s">
        <v>9043</v>
      </c>
      <c r="C2944" s="2" t="s">
        <v>3449</v>
      </c>
      <c r="D2944" s="2" t="s">
        <v>9044</v>
      </c>
      <c r="E2944" s="2" t="s">
        <v>9045</v>
      </c>
      <c r="F2944" s="2" t="s">
        <v>9923</v>
      </c>
      <c r="G2944" s="2" t="s">
        <v>9923</v>
      </c>
      <c r="H2944" s="2" t="s">
        <v>9923</v>
      </c>
      <c r="I2944" s="2" t="s">
        <v>9924</v>
      </c>
      <c r="J2944" s="2" t="s">
        <v>1443</v>
      </c>
      <c r="K2944" s="2" t="s">
        <v>9953</v>
      </c>
      <c r="L2944" s="3">
        <v>14.89</v>
      </c>
      <c r="M2944" s="3">
        <v>15.63</v>
      </c>
      <c r="N2944" s="3">
        <v>31.99</v>
      </c>
      <c r="O2944" s="2" t="s">
        <v>97</v>
      </c>
      <c r="P2944" s="2" t="s">
        <v>98</v>
      </c>
      <c r="Q2944" s="2" t="s">
        <v>99</v>
      </c>
      <c r="R2944" s="2" t="s">
        <v>100</v>
      </c>
      <c r="S2944" s="2" t="s">
        <v>9954</v>
      </c>
      <c r="T2944" s="2" t="s">
        <v>9205</v>
      </c>
      <c r="U2944" s="2" t="s">
        <v>901</v>
      </c>
      <c r="V2944" s="2" t="s">
        <v>3451</v>
      </c>
      <c r="W2944" s="2" t="s">
        <v>609</v>
      </c>
      <c r="X2944" s="2" t="s">
        <v>142</v>
      </c>
      <c r="Y2944" s="2" t="s">
        <v>9312</v>
      </c>
      <c r="Z2944" s="4"/>
      <c r="AA2944" s="4">
        <f>=ROUNDDOWN({0},0)</f>
      </c>
      <c r="AB2944" s="5">
        <v>28</v>
      </c>
      <c r="AC2944" s="2" t="s">
        <v>1142</v>
      </c>
      <c r="AD2944" s="4">
        <v>283</v>
      </c>
      <c r="AE2944" s="4">
        <v>859</v>
      </c>
      <c r="AF2944" s="6">
        <v>65</v>
      </c>
      <c r="AG2944" s="6"/>
      <c r="AH2944" s="7">
        <v>0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100</v>
      </c>
      <c r="AW2944" s="8" t="s">
        <v>100</v>
      </c>
      <c r="AX2944" s="4" t="s">
        <v>100</v>
      </c>
      <c r="AY2944" s="8" t="s">
        <v>100</v>
      </c>
      <c r="AZ2944" s="7" t="s">
        <v>100</v>
      </c>
      <c r="BA2944" s="7" t="s">
        <v>100</v>
      </c>
      <c r="BB2944" s="7"/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/>
      <c r="BJ2944" s="4"/>
      <c r="BK2944" s="8"/>
      <c r="BL2944" s="2" t="s">
        <v>100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5674</v>
      </c>
      <c r="BX2944" s="2" t="s">
        <v>9955</v>
      </c>
      <c r="BY2944" s="2" t="s">
        <v>112</v>
      </c>
      <c r="BZ2944" s="2" t="s">
        <v>149</v>
      </c>
    </row>
    <row r="2945">
      <c r="A2945" s="2" t="s">
        <v>9956</v>
      </c>
      <c r="B2945" s="2" t="s">
        <v>9043</v>
      </c>
      <c r="C2945" s="2" t="s">
        <v>3449</v>
      </c>
      <c r="D2945" s="2" t="s">
        <v>9044</v>
      </c>
      <c r="E2945" s="2" t="s">
        <v>9045</v>
      </c>
      <c r="F2945" s="2" t="s">
        <v>9923</v>
      </c>
      <c r="G2945" s="2" t="s">
        <v>9923</v>
      </c>
      <c r="H2945" s="2" t="s">
        <v>9923</v>
      </c>
      <c r="I2945" s="2" t="s">
        <v>9924</v>
      </c>
      <c r="J2945" s="2" t="s">
        <v>1806</v>
      </c>
      <c r="K2945" s="2" t="s">
        <v>9953</v>
      </c>
      <c r="L2945" s="3">
        <v>15.22</v>
      </c>
      <c r="M2945" s="3">
        <v>15.98</v>
      </c>
      <c r="N2945" s="3">
        <v>32.99</v>
      </c>
      <c r="O2945" s="2" t="s">
        <v>97</v>
      </c>
      <c r="P2945" s="2" t="s">
        <v>98</v>
      </c>
      <c r="Q2945" s="2" t="s">
        <v>99</v>
      </c>
      <c r="R2945" s="2" t="s">
        <v>100</v>
      </c>
      <c r="S2945" s="2" t="s">
        <v>9954</v>
      </c>
      <c r="T2945" s="2" t="s">
        <v>9205</v>
      </c>
      <c r="U2945" s="2" t="s">
        <v>901</v>
      </c>
      <c r="V2945" s="2" t="s">
        <v>3451</v>
      </c>
      <c r="W2945" s="2" t="s">
        <v>609</v>
      </c>
      <c r="X2945" s="2" t="s">
        <v>142</v>
      </c>
      <c r="Y2945" s="2" t="s">
        <v>9312</v>
      </c>
      <c r="Z2945" s="4">
        <v>3</v>
      </c>
      <c r="AA2945" s="4">
        <f>=ROUNDDOWN(0.230769230769231,0)</f>
      </c>
      <c r="AB2945" s="5">
        <v>13</v>
      </c>
      <c r="AC2945" s="2" t="s">
        <v>1142</v>
      </c>
      <c r="AD2945" s="4">
        <v>135</v>
      </c>
      <c r="AE2945" s="4">
        <v>383</v>
      </c>
      <c r="AF2945" s="6">
        <v>65</v>
      </c>
      <c r="AG2945" s="6"/>
      <c r="AH2945" s="7">
        <v>0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100</v>
      </c>
      <c r="AW2945" s="8" t="s">
        <v>100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/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/>
      <c r="BJ2945" s="4"/>
      <c r="BK2945" s="8"/>
      <c r="BL2945" s="2" t="s">
        <v>100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5674</v>
      </c>
      <c r="BX2945" s="2" t="s">
        <v>4668</v>
      </c>
      <c r="BY2945" s="2" t="s">
        <v>112</v>
      </c>
      <c r="BZ2945" s="2" t="s">
        <v>149</v>
      </c>
    </row>
    <row r="2946">
      <c r="A2946" s="2" t="s">
        <v>9957</v>
      </c>
      <c r="B2946" s="2" t="s">
        <v>9043</v>
      </c>
      <c r="C2946" s="2" t="s">
        <v>3449</v>
      </c>
      <c r="D2946" s="2" t="s">
        <v>9044</v>
      </c>
      <c r="E2946" s="2" t="s">
        <v>9045</v>
      </c>
      <c r="F2946" s="2" t="s">
        <v>9923</v>
      </c>
      <c r="G2946" s="2" t="s">
        <v>9923</v>
      </c>
      <c r="H2946" s="2" t="s">
        <v>9923</v>
      </c>
      <c r="I2946" s="2" t="s">
        <v>9924</v>
      </c>
      <c r="J2946" s="2" t="s">
        <v>490</v>
      </c>
      <c r="K2946" s="2" t="s">
        <v>9953</v>
      </c>
      <c r="L2946" s="3">
        <v>19.13</v>
      </c>
      <c r="M2946" s="3">
        <v>20.09</v>
      </c>
      <c r="N2946" s="3">
        <v>42.99</v>
      </c>
      <c r="O2946" s="2" t="s">
        <v>97</v>
      </c>
      <c r="P2946" s="2" t="s">
        <v>123</v>
      </c>
      <c r="Q2946" s="2" t="s">
        <v>99</v>
      </c>
      <c r="R2946" s="2" t="s">
        <v>100</v>
      </c>
      <c r="S2946" s="2" t="s">
        <v>9954</v>
      </c>
      <c r="T2946" s="2" t="s">
        <v>9205</v>
      </c>
      <c r="U2946" s="2" t="s">
        <v>1228</v>
      </c>
      <c r="V2946" s="2" t="s">
        <v>3451</v>
      </c>
      <c r="W2946" s="2" t="s">
        <v>609</v>
      </c>
      <c r="X2946" s="2" t="s">
        <v>142</v>
      </c>
      <c r="Y2946" s="2" t="s">
        <v>9312</v>
      </c>
      <c r="Z2946" s="4">
        <v>1</v>
      </c>
      <c r="AA2946" s="4">
        <f>=ROUNDDOWN(0.0434782608695652,0)</f>
      </c>
      <c r="AB2946" s="5">
        <v>23</v>
      </c>
      <c r="AC2946" s="2" t="s">
        <v>1142</v>
      </c>
      <c r="AD2946" s="4">
        <v>228</v>
      </c>
      <c r="AE2946" s="4">
        <v>658</v>
      </c>
      <c r="AF2946" s="6">
        <v>65</v>
      </c>
      <c r="AG2946" s="6"/>
      <c r="AH2946" s="7">
        <v>0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/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/>
      <c r="BJ2946" s="4"/>
      <c r="BK2946" s="8"/>
      <c r="BL2946" s="2" t="s">
        <v>100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5674</v>
      </c>
      <c r="BX2946" s="2" t="s">
        <v>3559</v>
      </c>
      <c r="BY2946" s="2" t="s">
        <v>112</v>
      </c>
      <c r="BZ2946" s="2" t="s">
        <v>149</v>
      </c>
    </row>
    <row r="2947">
      <c r="A2947" s="2" t="s">
        <v>9958</v>
      </c>
      <c r="B2947" s="2" t="s">
        <v>9043</v>
      </c>
      <c r="C2947" s="2" t="s">
        <v>3449</v>
      </c>
      <c r="D2947" s="2" t="s">
        <v>9044</v>
      </c>
      <c r="E2947" s="2" t="s">
        <v>9045</v>
      </c>
      <c r="F2947" s="2" t="s">
        <v>9923</v>
      </c>
      <c r="G2947" s="2" t="s">
        <v>9923</v>
      </c>
      <c r="H2947" s="2" t="s">
        <v>9923</v>
      </c>
      <c r="I2947" s="2" t="s">
        <v>9924</v>
      </c>
      <c r="J2947" s="2" t="s">
        <v>95</v>
      </c>
      <c r="K2947" s="2" t="s">
        <v>9953</v>
      </c>
      <c r="L2947" s="3">
        <v>21.27</v>
      </c>
      <c r="M2947" s="3">
        <v>22.33</v>
      </c>
      <c r="N2947" s="3">
        <v>47.99</v>
      </c>
      <c r="O2947" s="2" t="s">
        <v>97</v>
      </c>
      <c r="P2947" s="2" t="s">
        <v>156</v>
      </c>
      <c r="Q2947" s="2" t="s">
        <v>99</v>
      </c>
      <c r="R2947" s="2" t="s">
        <v>100</v>
      </c>
      <c r="S2947" s="2" t="s">
        <v>9954</v>
      </c>
      <c r="T2947" s="2" t="s">
        <v>9205</v>
      </c>
      <c r="U2947" s="2" t="s">
        <v>1228</v>
      </c>
      <c r="V2947" s="2" t="s">
        <v>3451</v>
      </c>
      <c r="W2947" s="2" t="s">
        <v>609</v>
      </c>
      <c r="X2947" s="2" t="s">
        <v>142</v>
      </c>
      <c r="Y2947" s="2" t="s">
        <v>9312</v>
      </c>
      <c r="Z2947" s="4">
        <v>2</v>
      </c>
      <c r="AA2947" s="4">
        <f>=ROUNDDOWN(0.08,0)</f>
      </c>
      <c r="AB2947" s="5">
        <v>25</v>
      </c>
      <c r="AC2947" s="2" t="s">
        <v>1142</v>
      </c>
      <c r="AD2947" s="4">
        <v>253</v>
      </c>
      <c r="AE2947" s="4">
        <v>704</v>
      </c>
      <c r="AF2947" s="6">
        <v>65</v>
      </c>
      <c r="AG2947" s="6"/>
      <c r="AH2947" s="7">
        <v>0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/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/>
      <c r="BJ2947" s="4"/>
      <c r="BK2947" s="8"/>
      <c r="BL2947" s="2" t="s">
        <v>100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5674</v>
      </c>
      <c r="BX2947" s="2" t="s">
        <v>4402</v>
      </c>
      <c r="BY2947" s="2" t="s">
        <v>112</v>
      </c>
      <c r="BZ2947" s="2" t="s">
        <v>149</v>
      </c>
    </row>
    <row r="2948">
      <c r="A2948" s="2" t="s">
        <v>9959</v>
      </c>
      <c r="B2948" s="2" t="s">
        <v>9043</v>
      </c>
      <c r="C2948" s="2" t="s">
        <v>3449</v>
      </c>
      <c r="D2948" s="2" t="s">
        <v>9044</v>
      </c>
      <c r="E2948" s="2" t="s">
        <v>9045</v>
      </c>
      <c r="F2948" s="2" t="s">
        <v>9923</v>
      </c>
      <c r="G2948" s="2" t="s">
        <v>9923</v>
      </c>
      <c r="H2948" s="2" t="s">
        <v>9923</v>
      </c>
      <c r="I2948" s="2" t="s">
        <v>9924</v>
      </c>
      <c r="J2948" s="2" t="s">
        <v>1443</v>
      </c>
      <c r="K2948" s="2" t="s">
        <v>9960</v>
      </c>
      <c r="L2948" s="3">
        <v>14.89</v>
      </c>
      <c r="M2948" s="3">
        <v>15.63</v>
      </c>
      <c r="N2948" s="3">
        <v>31.99</v>
      </c>
      <c r="O2948" s="2" t="s">
        <v>97</v>
      </c>
      <c r="P2948" s="2" t="s">
        <v>156</v>
      </c>
      <c r="Q2948" s="2" t="s">
        <v>99</v>
      </c>
      <c r="R2948" s="2" t="s">
        <v>100</v>
      </c>
      <c r="S2948" s="2" t="s">
        <v>9961</v>
      </c>
      <c r="T2948" s="2" t="s">
        <v>9205</v>
      </c>
      <c r="U2948" s="2" t="s">
        <v>901</v>
      </c>
      <c r="V2948" s="2" t="s">
        <v>3451</v>
      </c>
      <c r="W2948" s="2" t="s">
        <v>609</v>
      </c>
      <c r="X2948" s="2" t="s">
        <v>142</v>
      </c>
      <c r="Y2948" s="2" t="s">
        <v>9312</v>
      </c>
      <c r="Z2948" s="4"/>
      <c r="AA2948" s="4">
        <f>=ROUNDDOWN({0},0)</f>
      </c>
      <c r="AB2948" s="5">
        <v>21</v>
      </c>
      <c r="AC2948" s="2" t="s">
        <v>1142</v>
      </c>
      <c r="AD2948" s="4">
        <v>205</v>
      </c>
      <c r="AE2948" s="4">
        <v>614</v>
      </c>
      <c r="AF2948" s="6">
        <v>65</v>
      </c>
      <c r="AG2948" s="6"/>
      <c r="AH2948" s="7">
        <v>0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100</v>
      </c>
      <c r="AW2948" s="8" t="s">
        <v>100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/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/>
      <c r="BJ2948" s="4"/>
      <c r="BK2948" s="8"/>
      <c r="BL2948" s="2" t="s">
        <v>100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5674</v>
      </c>
      <c r="BX2948" s="2" t="s">
        <v>4880</v>
      </c>
      <c r="BY2948" s="2" t="s">
        <v>112</v>
      </c>
      <c r="BZ2948" s="2" t="s">
        <v>149</v>
      </c>
    </row>
    <row r="2949">
      <c r="A2949" s="2" t="s">
        <v>9962</v>
      </c>
      <c r="B2949" s="2" t="s">
        <v>9043</v>
      </c>
      <c r="C2949" s="2" t="s">
        <v>3449</v>
      </c>
      <c r="D2949" s="2" t="s">
        <v>9044</v>
      </c>
      <c r="E2949" s="2" t="s">
        <v>9045</v>
      </c>
      <c r="F2949" s="2" t="s">
        <v>9923</v>
      </c>
      <c r="G2949" s="2" t="s">
        <v>9923</v>
      </c>
      <c r="H2949" s="2" t="s">
        <v>9923</v>
      </c>
      <c r="I2949" s="2" t="s">
        <v>9924</v>
      </c>
      <c r="J2949" s="2" t="s">
        <v>1806</v>
      </c>
      <c r="K2949" s="2" t="s">
        <v>9960</v>
      </c>
      <c r="L2949" s="3">
        <v>15.22</v>
      </c>
      <c r="M2949" s="3">
        <v>15.98</v>
      </c>
      <c r="N2949" s="3">
        <v>32.99</v>
      </c>
      <c r="O2949" s="2" t="s">
        <v>97</v>
      </c>
      <c r="P2949" s="2" t="s">
        <v>98</v>
      </c>
      <c r="Q2949" s="2" t="s">
        <v>99</v>
      </c>
      <c r="R2949" s="2" t="s">
        <v>100</v>
      </c>
      <c r="S2949" s="2" t="s">
        <v>9961</v>
      </c>
      <c r="T2949" s="2" t="s">
        <v>9205</v>
      </c>
      <c r="U2949" s="2" t="s">
        <v>901</v>
      </c>
      <c r="V2949" s="2" t="s">
        <v>3451</v>
      </c>
      <c r="W2949" s="2" t="s">
        <v>609</v>
      </c>
      <c r="X2949" s="2" t="s">
        <v>142</v>
      </c>
      <c r="Y2949" s="2" t="s">
        <v>9312</v>
      </c>
      <c r="Z2949" s="4">
        <v>2</v>
      </c>
      <c r="AA2949" s="4">
        <f>=ROUNDDOWN(0.181818181818182,0)</f>
      </c>
      <c r="AB2949" s="5">
        <v>11</v>
      </c>
      <c r="AC2949" s="2" t="s">
        <v>1142</v>
      </c>
      <c r="AD2949" s="4">
        <v>115</v>
      </c>
      <c r="AE2949" s="4">
        <v>351</v>
      </c>
      <c r="AF2949" s="6">
        <v>65</v>
      </c>
      <c r="AG2949" s="6"/>
      <c r="AH2949" s="7">
        <v>0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100</v>
      </c>
      <c r="AW2949" s="8" t="s">
        <v>100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/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/>
      <c r="BJ2949" s="4"/>
      <c r="BK2949" s="8"/>
      <c r="BL2949" s="2" t="s">
        <v>100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5674</v>
      </c>
      <c r="BX2949" s="2" t="s">
        <v>1606</v>
      </c>
      <c r="BY2949" s="2" t="s">
        <v>112</v>
      </c>
      <c r="BZ2949" s="2" t="s">
        <v>149</v>
      </c>
    </row>
    <row r="2950">
      <c r="A2950" s="2" t="s">
        <v>9963</v>
      </c>
      <c r="B2950" s="2" t="s">
        <v>9043</v>
      </c>
      <c r="C2950" s="2" t="s">
        <v>3449</v>
      </c>
      <c r="D2950" s="2" t="s">
        <v>9044</v>
      </c>
      <c r="E2950" s="2" t="s">
        <v>9045</v>
      </c>
      <c r="F2950" s="2" t="s">
        <v>9923</v>
      </c>
      <c r="G2950" s="2" t="s">
        <v>9923</v>
      </c>
      <c r="H2950" s="2" t="s">
        <v>9923</v>
      </c>
      <c r="I2950" s="2" t="s">
        <v>9924</v>
      </c>
      <c r="J2950" s="2" t="s">
        <v>490</v>
      </c>
      <c r="K2950" s="2" t="s">
        <v>9960</v>
      </c>
      <c r="L2950" s="3">
        <v>19.13</v>
      </c>
      <c r="M2950" s="3">
        <v>20.09</v>
      </c>
      <c r="N2950" s="3">
        <v>42.99</v>
      </c>
      <c r="O2950" s="2" t="s">
        <v>97</v>
      </c>
      <c r="P2950" s="2" t="s">
        <v>98</v>
      </c>
      <c r="Q2950" s="2" t="s">
        <v>99</v>
      </c>
      <c r="R2950" s="2" t="s">
        <v>100</v>
      </c>
      <c r="S2950" s="2" t="s">
        <v>9961</v>
      </c>
      <c r="T2950" s="2" t="s">
        <v>9205</v>
      </c>
      <c r="U2950" s="2" t="s">
        <v>1228</v>
      </c>
      <c r="V2950" s="2" t="s">
        <v>3451</v>
      </c>
      <c r="W2950" s="2" t="s">
        <v>609</v>
      </c>
      <c r="X2950" s="2" t="s">
        <v>142</v>
      </c>
      <c r="Y2950" s="2" t="s">
        <v>9312</v>
      </c>
      <c r="Z2950" s="4">
        <v>3</v>
      </c>
      <c r="AA2950" s="4">
        <f>=ROUNDDOWN(0.25,0)</f>
      </c>
      <c r="AB2950" s="5">
        <v>12</v>
      </c>
      <c r="AC2950" s="2" t="s">
        <v>1142</v>
      </c>
      <c r="AD2950" s="4">
        <v>128</v>
      </c>
      <c r="AE2950" s="4">
        <v>378</v>
      </c>
      <c r="AF2950" s="6">
        <v>65</v>
      </c>
      <c r="AG2950" s="6"/>
      <c r="AH2950" s="7">
        <v>0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/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/>
      <c r="BJ2950" s="4"/>
      <c r="BK2950" s="8"/>
      <c r="BL2950" s="2" t="s">
        <v>100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5674</v>
      </c>
      <c r="BX2950" s="2" t="s">
        <v>1051</v>
      </c>
      <c r="BY2950" s="2" t="s">
        <v>112</v>
      </c>
      <c r="BZ2950" s="2" t="s">
        <v>149</v>
      </c>
    </row>
    <row r="2951">
      <c r="A2951" s="2" t="s">
        <v>9964</v>
      </c>
      <c r="B2951" s="2" t="s">
        <v>9043</v>
      </c>
      <c r="C2951" s="2" t="s">
        <v>3449</v>
      </c>
      <c r="D2951" s="2" t="s">
        <v>9044</v>
      </c>
      <c r="E2951" s="2" t="s">
        <v>9045</v>
      </c>
      <c r="F2951" s="2" t="s">
        <v>9923</v>
      </c>
      <c r="G2951" s="2" t="s">
        <v>9923</v>
      </c>
      <c r="H2951" s="2" t="s">
        <v>9923</v>
      </c>
      <c r="I2951" s="2" t="s">
        <v>9924</v>
      </c>
      <c r="J2951" s="2" t="s">
        <v>1443</v>
      </c>
      <c r="K2951" s="2" t="s">
        <v>9965</v>
      </c>
      <c r="L2951" s="3">
        <v>14.89</v>
      </c>
      <c r="M2951" s="3">
        <v>15.63</v>
      </c>
      <c r="N2951" s="3">
        <v>31.99</v>
      </c>
      <c r="O2951" s="2" t="s">
        <v>97</v>
      </c>
      <c r="P2951" s="2" t="s">
        <v>98</v>
      </c>
      <c r="Q2951" s="2" t="s">
        <v>99</v>
      </c>
      <c r="R2951" s="2" t="s">
        <v>100</v>
      </c>
      <c r="S2951" s="2" t="s">
        <v>9966</v>
      </c>
      <c r="T2951" s="2" t="s">
        <v>9205</v>
      </c>
      <c r="U2951" s="2" t="s">
        <v>901</v>
      </c>
      <c r="V2951" s="2" t="s">
        <v>3451</v>
      </c>
      <c r="W2951" s="2" t="s">
        <v>609</v>
      </c>
      <c r="X2951" s="2" t="s">
        <v>142</v>
      </c>
      <c r="Y2951" s="2" t="s">
        <v>9312</v>
      </c>
      <c r="Z2951" s="4">
        <v>217</v>
      </c>
      <c r="AA2951" s="4">
        <f>=ROUNDDOWN(12.7647058823529,0)</f>
      </c>
      <c r="AB2951" s="5">
        <v>17</v>
      </c>
      <c r="AC2951" s="2" t="s">
        <v>1142</v>
      </c>
      <c r="AD2951" s="4">
        <v>111</v>
      </c>
      <c r="AE2951" s="4">
        <v>479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100</v>
      </c>
      <c r="AW2951" s="8" t="s">
        <v>100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/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/>
      <c r="BJ2951" s="4">
        <v>10</v>
      </c>
      <c r="BK2951" s="8">
        <v>172.53</v>
      </c>
      <c r="BL2951" s="2" t="s">
        <v>2053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9967</v>
      </c>
      <c r="BV2951" s="2" t="s">
        <v>97</v>
      </c>
      <c r="BW2951" s="2" t="s">
        <v>5674</v>
      </c>
      <c r="BX2951" s="2" t="s">
        <v>9951</v>
      </c>
      <c r="BY2951" s="2" t="s">
        <v>112</v>
      </c>
      <c r="BZ2951" s="2" t="s">
        <v>149</v>
      </c>
    </row>
    <row r="2952">
      <c r="A2952" s="2" t="s">
        <v>9968</v>
      </c>
      <c r="B2952" s="2" t="s">
        <v>9043</v>
      </c>
      <c r="C2952" s="2" t="s">
        <v>3449</v>
      </c>
      <c r="D2952" s="2" t="s">
        <v>9044</v>
      </c>
      <c r="E2952" s="2" t="s">
        <v>9045</v>
      </c>
      <c r="F2952" s="2" t="s">
        <v>9923</v>
      </c>
      <c r="G2952" s="2" t="s">
        <v>9923</v>
      </c>
      <c r="H2952" s="2" t="s">
        <v>9923</v>
      </c>
      <c r="I2952" s="2" t="s">
        <v>9924</v>
      </c>
      <c r="J2952" s="2" t="s">
        <v>490</v>
      </c>
      <c r="K2952" s="2" t="s">
        <v>9965</v>
      </c>
      <c r="L2952" s="3">
        <v>19.13</v>
      </c>
      <c r="M2952" s="3">
        <v>20.09</v>
      </c>
      <c r="N2952" s="3">
        <v>42.99</v>
      </c>
      <c r="O2952" s="2" t="s">
        <v>97</v>
      </c>
      <c r="P2952" s="2" t="s">
        <v>98</v>
      </c>
      <c r="Q2952" s="2" t="s">
        <v>99</v>
      </c>
      <c r="R2952" s="2" t="s">
        <v>100</v>
      </c>
      <c r="S2952" s="2" t="s">
        <v>9966</v>
      </c>
      <c r="T2952" s="2" t="s">
        <v>9205</v>
      </c>
      <c r="U2952" s="2" t="s">
        <v>1228</v>
      </c>
      <c r="V2952" s="2" t="s">
        <v>3451</v>
      </c>
      <c r="W2952" s="2" t="s">
        <v>609</v>
      </c>
      <c r="X2952" s="2" t="s">
        <v>142</v>
      </c>
      <c r="Y2952" s="2" t="s">
        <v>9312</v>
      </c>
      <c r="Z2952" s="4"/>
      <c r="AA2952" s="4">
        <f>=ROUNDDOWN({0},0)</f>
      </c>
      <c r="AB2952" s="5">
        <v>12</v>
      </c>
      <c r="AC2952" s="2" t="s">
        <v>1142</v>
      </c>
      <c r="AD2952" s="4">
        <v>127</v>
      </c>
      <c r="AE2952" s="4">
        <v>394</v>
      </c>
      <c r="AF2952" s="6">
        <v>65</v>
      </c>
      <c r="AG2952" s="6"/>
      <c r="AH2952" s="7">
        <v>0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/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/>
      <c r="BJ2952" s="4"/>
      <c r="BK2952" s="8"/>
      <c r="BL2952" s="2" t="s">
        <v>100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5674</v>
      </c>
      <c r="BX2952" s="2" t="s">
        <v>1428</v>
      </c>
      <c r="BY2952" s="2" t="s">
        <v>112</v>
      </c>
      <c r="BZ2952" s="2" t="s">
        <v>149</v>
      </c>
    </row>
    <row r="2953">
      <c r="A2953" s="2" t="s">
        <v>9969</v>
      </c>
      <c r="B2953" s="2" t="s">
        <v>9043</v>
      </c>
      <c r="C2953" s="2" t="s">
        <v>3449</v>
      </c>
      <c r="D2953" s="2" t="s">
        <v>9044</v>
      </c>
      <c r="E2953" s="2" t="s">
        <v>9045</v>
      </c>
      <c r="F2953" s="2" t="s">
        <v>9923</v>
      </c>
      <c r="G2953" s="2" t="s">
        <v>9923</v>
      </c>
      <c r="H2953" s="2" t="s">
        <v>9923</v>
      </c>
      <c r="I2953" s="2" t="s">
        <v>9924</v>
      </c>
      <c r="J2953" s="2" t="s">
        <v>95</v>
      </c>
      <c r="K2953" s="2" t="s">
        <v>9965</v>
      </c>
      <c r="L2953" s="3">
        <v>21.27</v>
      </c>
      <c r="M2953" s="3">
        <v>22.33</v>
      </c>
      <c r="N2953" s="3">
        <v>47.99</v>
      </c>
      <c r="O2953" s="2" t="s">
        <v>97</v>
      </c>
      <c r="P2953" s="2" t="s">
        <v>98</v>
      </c>
      <c r="Q2953" s="2" t="s">
        <v>99</v>
      </c>
      <c r="R2953" s="2" t="s">
        <v>100</v>
      </c>
      <c r="S2953" s="2" t="s">
        <v>9966</v>
      </c>
      <c r="T2953" s="2" t="s">
        <v>9205</v>
      </c>
      <c r="U2953" s="2" t="s">
        <v>1228</v>
      </c>
      <c r="V2953" s="2" t="s">
        <v>3451</v>
      </c>
      <c r="W2953" s="2" t="s">
        <v>609</v>
      </c>
      <c r="X2953" s="2" t="s">
        <v>142</v>
      </c>
      <c r="Y2953" s="2" t="s">
        <v>9312</v>
      </c>
      <c r="Z2953" s="4"/>
      <c r="AA2953" s="4">
        <f>=ROUNDDOWN({0},0)</f>
      </c>
      <c r="AB2953" s="5">
        <v>16</v>
      </c>
      <c r="AC2953" s="2" t="s">
        <v>1142</v>
      </c>
      <c r="AD2953" s="4">
        <v>164</v>
      </c>
      <c r="AE2953" s="4">
        <v>478</v>
      </c>
      <c r="AF2953" s="6">
        <v>65</v>
      </c>
      <c r="AG2953" s="6"/>
      <c r="AH2953" s="7">
        <v>0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/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/>
      <c r="BJ2953" s="4"/>
      <c r="BK2953" s="8"/>
      <c r="BL2953" s="2" t="s">
        <v>100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5674</v>
      </c>
      <c r="BX2953" s="2" t="s">
        <v>9951</v>
      </c>
      <c r="BY2953" s="2" t="s">
        <v>112</v>
      </c>
      <c r="BZ2953" s="2" t="s">
        <v>149</v>
      </c>
    </row>
    <row r="2954">
      <c r="A2954" s="2" t="s">
        <v>9970</v>
      </c>
      <c r="B2954" s="2" t="s">
        <v>9043</v>
      </c>
      <c r="C2954" s="2" t="s">
        <v>3449</v>
      </c>
      <c r="D2954" s="2" t="s">
        <v>9044</v>
      </c>
      <c r="E2954" s="2" t="s">
        <v>9045</v>
      </c>
      <c r="F2954" s="2" t="s">
        <v>9923</v>
      </c>
      <c r="G2954" s="2" t="s">
        <v>9923</v>
      </c>
      <c r="H2954" s="2" t="s">
        <v>9923</v>
      </c>
      <c r="I2954" s="2" t="s">
        <v>9924</v>
      </c>
      <c r="J2954" s="2" t="s">
        <v>1443</v>
      </c>
      <c r="K2954" s="2" t="s">
        <v>9971</v>
      </c>
      <c r="L2954" s="3">
        <v>14.89</v>
      </c>
      <c r="M2954" s="3">
        <v>15.63</v>
      </c>
      <c r="N2954" s="3">
        <v>31.99</v>
      </c>
      <c r="O2954" s="2" t="s">
        <v>97</v>
      </c>
      <c r="P2954" s="2" t="s">
        <v>98</v>
      </c>
      <c r="Q2954" s="2" t="s">
        <v>99</v>
      </c>
      <c r="R2954" s="2" t="s">
        <v>100</v>
      </c>
      <c r="S2954" s="2" t="s">
        <v>9972</v>
      </c>
      <c r="T2954" s="2" t="s">
        <v>9205</v>
      </c>
      <c r="U2954" s="2" t="s">
        <v>901</v>
      </c>
      <c r="V2954" s="2" t="s">
        <v>4636</v>
      </c>
      <c r="W2954" s="2" t="s">
        <v>609</v>
      </c>
      <c r="X2954" s="2" t="s">
        <v>142</v>
      </c>
      <c r="Y2954" s="2" t="s">
        <v>9927</v>
      </c>
      <c r="Z2954" s="4"/>
      <c r="AA2954" s="4">
        <f>=ROUNDDOWN({0},0)</f>
      </c>
      <c r="AB2954" s="5">
        <v>16</v>
      </c>
      <c r="AC2954" s="2" t="s">
        <v>1142</v>
      </c>
      <c r="AD2954" s="4">
        <v>170</v>
      </c>
      <c r="AE2954" s="4">
        <v>492</v>
      </c>
      <c r="AF2954" s="6">
        <v>65</v>
      </c>
      <c r="AG2954" s="6"/>
      <c r="AH2954" s="7">
        <v>0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100</v>
      </c>
      <c r="AW2954" s="8" t="s">
        <v>100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/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/>
      <c r="BJ2954" s="4"/>
      <c r="BK2954" s="8"/>
      <c r="BL2954" s="2" t="s">
        <v>100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5674</v>
      </c>
      <c r="BX2954" s="2" t="s">
        <v>1834</v>
      </c>
      <c r="BY2954" s="2" t="s">
        <v>112</v>
      </c>
      <c r="BZ2954" s="2" t="s">
        <v>149</v>
      </c>
    </row>
    <row r="2955">
      <c r="A2955" s="2" t="s">
        <v>9973</v>
      </c>
      <c r="B2955" s="2" t="s">
        <v>9043</v>
      </c>
      <c r="C2955" s="2" t="s">
        <v>3449</v>
      </c>
      <c r="D2955" s="2" t="s">
        <v>9044</v>
      </c>
      <c r="E2955" s="2" t="s">
        <v>9045</v>
      </c>
      <c r="F2955" s="2" t="s">
        <v>9923</v>
      </c>
      <c r="G2955" s="2" t="s">
        <v>9923</v>
      </c>
      <c r="H2955" s="2" t="s">
        <v>9923</v>
      </c>
      <c r="I2955" s="2" t="s">
        <v>9924</v>
      </c>
      <c r="J2955" s="2" t="s">
        <v>1806</v>
      </c>
      <c r="K2955" s="2" t="s">
        <v>9971</v>
      </c>
      <c r="L2955" s="3">
        <v>15.22</v>
      </c>
      <c r="M2955" s="3">
        <v>15.98</v>
      </c>
      <c r="N2955" s="3">
        <v>32.99</v>
      </c>
      <c r="O2955" s="2" t="s">
        <v>97</v>
      </c>
      <c r="P2955" s="2" t="s">
        <v>98</v>
      </c>
      <c r="Q2955" s="2" t="s">
        <v>99</v>
      </c>
      <c r="R2955" s="2" t="s">
        <v>100</v>
      </c>
      <c r="S2955" s="2" t="s">
        <v>9972</v>
      </c>
      <c r="T2955" s="2" t="s">
        <v>9205</v>
      </c>
      <c r="U2955" s="2" t="s">
        <v>901</v>
      </c>
      <c r="V2955" s="2" t="s">
        <v>4636</v>
      </c>
      <c r="W2955" s="2" t="s">
        <v>609</v>
      </c>
      <c r="X2955" s="2" t="s">
        <v>142</v>
      </c>
      <c r="Y2955" s="2" t="s">
        <v>9927</v>
      </c>
      <c r="Z2955" s="4">
        <v>1</v>
      </c>
      <c r="AA2955" s="4">
        <f>=ROUNDDOWN(0.142857142857143,0)</f>
      </c>
      <c r="AB2955" s="5">
        <v>7</v>
      </c>
      <c r="AC2955" s="2" t="s">
        <v>1142</v>
      </c>
      <c r="AD2955" s="4">
        <v>81</v>
      </c>
      <c r="AE2955" s="4">
        <v>216</v>
      </c>
      <c r="AF2955" s="6">
        <v>65</v>
      </c>
      <c r="AG2955" s="6"/>
      <c r="AH2955" s="7">
        <v>0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/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/>
      <c r="BJ2955" s="4"/>
      <c r="BK2955" s="8"/>
      <c r="BL2955" s="2" t="s">
        <v>100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109</v>
      </c>
      <c r="BV2955" s="2" t="s">
        <v>97</v>
      </c>
      <c r="BW2955" s="2" t="s">
        <v>5674</v>
      </c>
      <c r="BX2955" s="2" t="s">
        <v>4779</v>
      </c>
      <c r="BY2955" s="2" t="s">
        <v>112</v>
      </c>
      <c r="BZ2955" s="2" t="s">
        <v>149</v>
      </c>
    </row>
    <row r="2956">
      <c r="A2956" s="2" t="s">
        <v>9974</v>
      </c>
      <c r="B2956" s="2" t="s">
        <v>9043</v>
      </c>
      <c r="C2956" s="2" t="s">
        <v>3449</v>
      </c>
      <c r="D2956" s="2" t="s">
        <v>9044</v>
      </c>
      <c r="E2956" s="2" t="s">
        <v>9045</v>
      </c>
      <c r="F2956" s="2" t="s">
        <v>9923</v>
      </c>
      <c r="G2956" s="2" t="s">
        <v>9923</v>
      </c>
      <c r="H2956" s="2" t="s">
        <v>9923</v>
      </c>
      <c r="I2956" s="2" t="s">
        <v>9924</v>
      </c>
      <c r="J2956" s="2" t="s">
        <v>490</v>
      </c>
      <c r="K2956" s="2" t="s">
        <v>9971</v>
      </c>
      <c r="L2956" s="3">
        <v>19.13</v>
      </c>
      <c r="M2956" s="3">
        <v>20.09</v>
      </c>
      <c r="N2956" s="3">
        <v>42.99</v>
      </c>
      <c r="O2956" s="2" t="s">
        <v>97</v>
      </c>
      <c r="P2956" s="2" t="s">
        <v>98</v>
      </c>
      <c r="Q2956" s="2" t="s">
        <v>99</v>
      </c>
      <c r="R2956" s="2" t="s">
        <v>100</v>
      </c>
      <c r="S2956" s="2" t="s">
        <v>9972</v>
      </c>
      <c r="T2956" s="2" t="s">
        <v>9205</v>
      </c>
      <c r="U2956" s="2" t="s">
        <v>1228</v>
      </c>
      <c r="V2956" s="2" t="s">
        <v>4636</v>
      </c>
      <c r="W2956" s="2" t="s">
        <v>609</v>
      </c>
      <c r="X2956" s="2" t="s">
        <v>142</v>
      </c>
      <c r="Y2956" s="2" t="s">
        <v>9927</v>
      </c>
      <c r="Z2956" s="4"/>
      <c r="AA2956" s="4">
        <f>=ROUNDDOWN({0},0)</f>
      </c>
      <c r="AB2956" s="5">
        <v>12</v>
      </c>
      <c r="AC2956" s="2" t="s">
        <v>1142</v>
      </c>
      <c r="AD2956" s="4">
        <v>124</v>
      </c>
      <c r="AE2956" s="4">
        <v>348</v>
      </c>
      <c r="AF2956" s="6">
        <v>65</v>
      </c>
      <c r="AG2956" s="6"/>
      <c r="AH2956" s="7">
        <v>0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/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/>
      <c r="BJ2956" s="4"/>
      <c r="BK2956" s="8"/>
      <c r="BL2956" s="2" t="s">
        <v>100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5674</v>
      </c>
      <c r="BX2956" s="2" t="s">
        <v>1532</v>
      </c>
      <c r="BY2956" s="2" t="s">
        <v>112</v>
      </c>
      <c r="BZ2956" s="2" t="s">
        <v>149</v>
      </c>
    </row>
    <row r="2957">
      <c r="A2957" s="2" t="s">
        <v>9975</v>
      </c>
      <c r="B2957" s="2" t="s">
        <v>9043</v>
      </c>
      <c r="C2957" s="2" t="s">
        <v>3449</v>
      </c>
      <c r="D2957" s="2" t="s">
        <v>9044</v>
      </c>
      <c r="E2957" s="2" t="s">
        <v>9045</v>
      </c>
      <c r="F2957" s="2" t="s">
        <v>9923</v>
      </c>
      <c r="G2957" s="2" t="s">
        <v>9923</v>
      </c>
      <c r="H2957" s="2" t="s">
        <v>9923</v>
      </c>
      <c r="I2957" s="2" t="s">
        <v>9924</v>
      </c>
      <c r="J2957" s="2" t="s">
        <v>95</v>
      </c>
      <c r="K2957" s="2" t="s">
        <v>9971</v>
      </c>
      <c r="L2957" s="3">
        <v>21.27</v>
      </c>
      <c r="M2957" s="3">
        <v>22.33</v>
      </c>
      <c r="N2957" s="3">
        <v>47.99</v>
      </c>
      <c r="O2957" s="2" t="s">
        <v>97</v>
      </c>
      <c r="P2957" s="2" t="s">
        <v>98</v>
      </c>
      <c r="Q2957" s="2" t="s">
        <v>99</v>
      </c>
      <c r="R2957" s="2" t="s">
        <v>100</v>
      </c>
      <c r="S2957" s="2" t="s">
        <v>9972</v>
      </c>
      <c r="T2957" s="2" t="s">
        <v>9205</v>
      </c>
      <c r="U2957" s="2" t="s">
        <v>1228</v>
      </c>
      <c r="V2957" s="2" t="s">
        <v>4636</v>
      </c>
      <c r="W2957" s="2" t="s">
        <v>609</v>
      </c>
      <c r="X2957" s="2" t="s">
        <v>142</v>
      </c>
      <c r="Y2957" s="2" t="s">
        <v>9927</v>
      </c>
      <c r="Z2957" s="4"/>
      <c r="AA2957" s="4">
        <f>=ROUNDDOWN({0},0)</f>
      </c>
      <c r="AB2957" s="5">
        <v>11</v>
      </c>
      <c r="AC2957" s="2" t="s">
        <v>1142</v>
      </c>
      <c r="AD2957" s="4">
        <v>114</v>
      </c>
      <c r="AE2957" s="4">
        <v>332</v>
      </c>
      <c r="AF2957" s="6">
        <v>65</v>
      </c>
      <c r="AG2957" s="6"/>
      <c r="AH2957" s="7">
        <v>0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100</v>
      </c>
      <c r="AW2957" s="8" t="s">
        <v>100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/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/>
      <c r="BJ2957" s="4"/>
      <c r="BK2957" s="8"/>
      <c r="BL2957" s="2" t="s">
        <v>100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5674</v>
      </c>
      <c r="BX2957" s="2" t="s">
        <v>199</v>
      </c>
      <c r="BY2957" s="2" t="s">
        <v>112</v>
      </c>
      <c r="BZ2957" s="2" t="s">
        <v>149</v>
      </c>
    </row>
    <row r="2958">
      <c r="A2958" s="2" t="s">
        <v>9976</v>
      </c>
      <c r="B2958" s="2" t="s">
        <v>9043</v>
      </c>
      <c r="C2958" s="2" t="s">
        <v>3449</v>
      </c>
      <c r="D2958" s="2" t="s">
        <v>9044</v>
      </c>
      <c r="E2958" s="2" t="s">
        <v>9045</v>
      </c>
      <c r="F2958" s="2" t="s">
        <v>9923</v>
      </c>
      <c r="G2958" s="2" t="s">
        <v>9923</v>
      </c>
      <c r="H2958" s="2" t="s">
        <v>9923</v>
      </c>
      <c r="I2958" s="2" t="s">
        <v>9924</v>
      </c>
      <c r="J2958" s="2" t="s">
        <v>1443</v>
      </c>
      <c r="K2958" s="2" t="s">
        <v>9977</v>
      </c>
      <c r="L2958" s="3">
        <v>14.89</v>
      </c>
      <c r="M2958" s="3">
        <v>15.63</v>
      </c>
      <c r="N2958" s="3">
        <v>31.99</v>
      </c>
      <c r="O2958" s="2" t="s">
        <v>97</v>
      </c>
      <c r="P2958" s="2" t="s">
        <v>98</v>
      </c>
      <c r="Q2958" s="2" t="s">
        <v>99</v>
      </c>
      <c r="R2958" s="2" t="s">
        <v>100</v>
      </c>
      <c r="S2958" s="2" t="s">
        <v>9978</v>
      </c>
      <c r="T2958" s="2" t="s">
        <v>9205</v>
      </c>
      <c r="U2958" s="2" t="s">
        <v>901</v>
      </c>
      <c r="V2958" s="2" t="s">
        <v>3451</v>
      </c>
      <c r="W2958" s="2" t="s">
        <v>142</v>
      </c>
      <c r="X2958" s="2" t="s">
        <v>100</v>
      </c>
      <c r="Y2958" s="2" t="s">
        <v>9312</v>
      </c>
      <c r="Z2958" s="4"/>
      <c r="AA2958" s="4">
        <f>=ROUNDDOWN({0},0)</f>
      </c>
      <c r="AB2958" s="5">
        <v>29</v>
      </c>
      <c r="AC2958" s="2" t="s">
        <v>1142</v>
      </c>
      <c r="AD2958" s="4">
        <v>286</v>
      </c>
      <c r="AE2958" s="4">
        <v>867</v>
      </c>
      <c r="AF2958" s="6">
        <v>65</v>
      </c>
      <c r="AG2958" s="6"/>
      <c r="AH2958" s="7">
        <v>0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/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/>
      <c r="BJ2958" s="4"/>
      <c r="BK2958" s="8"/>
      <c r="BL2958" s="2" t="s">
        <v>100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5674</v>
      </c>
      <c r="BX2958" s="2" t="s">
        <v>4402</v>
      </c>
      <c r="BY2958" s="2" t="s">
        <v>112</v>
      </c>
      <c r="BZ2958" s="2" t="s">
        <v>149</v>
      </c>
    </row>
    <row r="2959">
      <c r="A2959" s="2" t="s">
        <v>9979</v>
      </c>
      <c r="B2959" s="2" t="s">
        <v>9043</v>
      </c>
      <c r="C2959" s="2" t="s">
        <v>3449</v>
      </c>
      <c r="D2959" s="2" t="s">
        <v>9044</v>
      </c>
      <c r="E2959" s="2" t="s">
        <v>9045</v>
      </c>
      <c r="F2959" s="2" t="s">
        <v>9923</v>
      </c>
      <c r="G2959" s="2" t="s">
        <v>9923</v>
      </c>
      <c r="H2959" s="2" t="s">
        <v>9923</v>
      </c>
      <c r="I2959" s="2" t="s">
        <v>9924</v>
      </c>
      <c r="J2959" s="2" t="s">
        <v>1806</v>
      </c>
      <c r="K2959" s="2" t="s">
        <v>9977</v>
      </c>
      <c r="L2959" s="3">
        <v>15.22</v>
      </c>
      <c r="M2959" s="3">
        <v>15.98</v>
      </c>
      <c r="N2959" s="3">
        <v>32.99</v>
      </c>
      <c r="O2959" s="2" t="s">
        <v>97</v>
      </c>
      <c r="P2959" s="2" t="s">
        <v>98</v>
      </c>
      <c r="Q2959" s="2" t="s">
        <v>99</v>
      </c>
      <c r="R2959" s="2" t="s">
        <v>100</v>
      </c>
      <c r="S2959" s="2" t="s">
        <v>9978</v>
      </c>
      <c r="T2959" s="2" t="s">
        <v>9205</v>
      </c>
      <c r="U2959" s="2" t="s">
        <v>901</v>
      </c>
      <c r="V2959" s="2" t="s">
        <v>3451</v>
      </c>
      <c r="W2959" s="2" t="s">
        <v>609</v>
      </c>
      <c r="X2959" s="2" t="s">
        <v>142</v>
      </c>
      <c r="Y2959" s="2" t="s">
        <v>9312</v>
      </c>
      <c r="Z2959" s="4"/>
      <c r="AA2959" s="4">
        <f>=ROUNDDOWN({0},0)</f>
      </c>
      <c r="AB2959" s="5">
        <v>17</v>
      </c>
      <c r="AC2959" s="2" t="s">
        <v>1142</v>
      </c>
      <c r="AD2959" s="4">
        <v>173</v>
      </c>
      <c r="AE2959" s="4">
        <v>495</v>
      </c>
      <c r="AF2959" s="6">
        <v>65</v>
      </c>
      <c r="AG2959" s="6"/>
      <c r="AH2959" s="7">
        <v>0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100</v>
      </c>
      <c r="AW2959" s="8" t="s">
        <v>100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/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/>
      <c r="BJ2959" s="4"/>
      <c r="BK2959" s="8"/>
      <c r="BL2959" s="2" t="s">
        <v>100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5674</v>
      </c>
      <c r="BX2959" s="2" t="s">
        <v>1428</v>
      </c>
      <c r="BY2959" s="2" t="s">
        <v>112</v>
      </c>
      <c r="BZ2959" s="2" t="s">
        <v>149</v>
      </c>
    </row>
    <row r="2960">
      <c r="A2960" s="2" t="s">
        <v>9980</v>
      </c>
      <c r="B2960" s="2" t="s">
        <v>9043</v>
      </c>
      <c r="C2960" s="2" t="s">
        <v>3449</v>
      </c>
      <c r="D2960" s="2" t="s">
        <v>9044</v>
      </c>
      <c r="E2960" s="2" t="s">
        <v>9045</v>
      </c>
      <c r="F2960" s="2" t="s">
        <v>9923</v>
      </c>
      <c r="G2960" s="2" t="s">
        <v>9923</v>
      </c>
      <c r="H2960" s="2" t="s">
        <v>9923</v>
      </c>
      <c r="I2960" s="2" t="s">
        <v>9924</v>
      </c>
      <c r="J2960" s="2" t="s">
        <v>490</v>
      </c>
      <c r="K2960" s="2" t="s">
        <v>9977</v>
      </c>
      <c r="L2960" s="3">
        <v>19.13</v>
      </c>
      <c r="M2960" s="3">
        <v>20.09</v>
      </c>
      <c r="N2960" s="3">
        <v>42.99</v>
      </c>
      <c r="O2960" s="2" t="s">
        <v>97</v>
      </c>
      <c r="P2960" s="2" t="s">
        <v>98</v>
      </c>
      <c r="Q2960" s="2" t="s">
        <v>99</v>
      </c>
      <c r="R2960" s="2" t="s">
        <v>100</v>
      </c>
      <c r="S2960" s="2" t="s">
        <v>9978</v>
      </c>
      <c r="T2960" s="2" t="s">
        <v>9205</v>
      </c>
      <c r="U2960" s="2" t="s">
        <v>1228</v>
      </c>
      <c r="V2960" s="2" t="s">
        <v>3451</v>
      </c>
      <c r="W2960" s="2" t="s">
        <v>609</v>
      </c>
      <c r="X2960" s="2" t="s">
        <v>142</v>
      </c>
      <c r="Y2960" s="2" t="s">
        <v>9312</v>
      </c>
      <c r="Z2960" s="4"/>
      <c r="AA2960" s="4">
        <f>=ROUNDDOWN({0},0)</f>
      </c>
      <c r="AB2960" s="5">
        <v>16</v>
      </c>
      <c r="AC2960" s="2" t="s">
        <v>1142</v>
      </c>
      <c r="AD2960" s="4">
        <v>161</v>
      </c>
      <c r="AE2960" s="4">
        <v>467</v>
      </c>
      <c r="AF2960" s="6">
        <v>65</v>
      </c>
      <c r="AG2960" s="6"/>
      <c r="AH2960" s="7">
        <v>0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/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/>
      <c r="BJ2960" s="4"/>
      <c r="BK2960" s="8"/>
      <c r="BL2960" s="2" t="s">
        <v>100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109</v>
      </c>
      <c r="BV2960" s="2" t="s">
        <v>97</v>
      </c>
      <c r="BW2960" s="2" t="s">
        <v>5674</v>
      </c>
      <c r="BX2960" s="2" t="s">
        <v>1428</v>
      </c>
      <c r="BY2960" s="2" t="s">
        <v>112</v>
      </c>
      <c r="BZ2960" s="2" t="s">
        <v>149</v>
      </c>
    </row>
    <row r="2961">
      <c r="A2961" s="2" t="s">
        <v>9981</v>
      </c>
      <c r="B2961" s="2" t="s">
        <v>9043</v>
      </c>
      <c r="C2961" s="2" t="s">
        <v>3449</v>
      </c>
      <c r="D2961" s="2" t="s">
        <v>9044</v>
      </c>
      <c r="E2961" s="2" t="s">
        <v>9045</v>
      </c>
      <c r="F2961" s="2" t="s">
        <v>9923</v>
      </c>
      <c r="G2961" s="2" t="s">
        <v>9923</v>
      </c>
      <c r="H2961" s="2" t="s">
        <v>9923</v>
      </c>
      <c r="I2961" s="2" t="s">
        <v>9924</v>
      </c>
      <c r="J2961" s="2" t="s">
        <v>95</v>
      </c>
      <c r="K2961" s="2" t="s">
        <v>9977</v>
      </c>
      <c r="L2961" s="3">
        <v>21.27</v>
      </c>
      <c r="M2961" s="3">
        <v>22.33</v>
      </c>
      <c r="N2961" s="3">
        <v>47.99</v>
      </c>
      <c r="O2961" s="2" t="s">
        <v>97</v>
      </c>
      <c r="P2961" s="2" t="s">
        <v>98</v>
      </c>
      <c r="Q2961" s="2" t="s">
        <v>99</v>
      </c>
      <c r="R2961" s="2" t="s">
        <v>100</v>
      </c>
      <c r="S2961" s="2" t="s">
        <v>9978</v>
      </c>
      <c r="T2961" s="2" t="s">
        <v>9205</v>
      </c>
      <c r="U2961" s="2" t="s">
        <v>1228</v>
      </c>
      <c r="V2961" s="2" t="s">
        <v>3451</v>
      </c>
      <c r="W2961" s="2" t="s">
        <v>609</v>
      </c>
      <c r="X2961" s="2" t="s">
        <v>142</v>
      </c>
      <c r="Y2961" s="2" t="s">
        <v>9312</v>
      </c>
      <c r="Z2961" s="4">
        <v>2</v>
      </c>
      <c r="AA2961" s="4">
        <f>=ROUNDDOWN(0.117647058823529,0)</f>
      </c>
      <c r="AB2961" s="5">
        <v>17</v>
      </c>
      <c r="AC2961" s="2" t="s">
        <v>1142</v>
      </c>
      <c r="AD2961" s="4">
        <v>171</v>
      </c>
      <c r="AE2961" s="4">
        <v>458</v>
      </c>
      <c r="AF2961" s="6">
        <v>65</v>
      </c>
      <c r="AG2961" s="6"/>
      <c r="AH2961" s="7">
        <v>0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100</v>
      </c>
      <c r="AW2961" s="8" t="s">
        <v>100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/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/>
      <c r="BJ2961" s="4"/>
      <c r="BK2961" s="8"/>
      <c r="BL2961" s="2" t="s">
        <v>100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5674</v>
      </c>
      <c r="BX2961" s="2" t="s">
        <v>9951</v>
      </c>
      <c r="BY2961" s="2" t="s">
        <v>112</v>
      </c>
      <c r="BZ2961" s="2" t="s">
        <v>149</v>
      </c>
    </row>
    <row r="2962">
      <c r="A2962" s="2" t="s">
        <v>9982</v>
      </c>
      <c r="B2962" s="2" t="s">
        <v>9043</v>
      </c>
      <c r="C2962" s="2" t="s">
        <v>3449</v>
      </c>
      <c r="D2962" s="2" t="s">
        <v>9044</v>
      </c>
      <c r="E2962" s="2" t="s">
        <v>9045</v>
      </c>
      <c r="F2962" s="2" t="s">
        <v>9923</v>
      </c>
      <c r="G2962" s="2" t="s">
        <v>9923</v>
      </c>
      <c r="H2962" s="2" t="s">
        <v>9923</v>
      </c>
      <c r="I2962" s="2" t="s">
        <v>9924</v>
      </c>
      <c r="J2962" s="2" t="s">
        <v>1443</v>
      </c>
      <c r="K2962" s="2" t="s">
        <v>9983</v>
      </c>
      <c r="L2962" s="3">
        <v>14.89</v>
      </c>
      <c r="M2962" s="3">
        <v>15.63</v>
      </c>
      <c r="N2962" s="3">
        <v>31.99</v>
      </c>
      <c r="O2962" s="2" t="s">
        <v>97</v>
      </c>
      <c r="P2962" s="2" t="s">
        <v>156</v>
      </c>
      <c r="Q2962" s="2" t="s">
        <v>99</v>
      </c>
      <c r="R2962" s="2" t="s">
        <v>100</v>
      </c>
      <c r="S2962" s="2" t="s">
        <v>9984</v>
      </c>
      <c r="T2962" s="2" t="s">
        <v>9205</v>
      </c>
      <c r="U2962" s="2" t="s">
        <v>901</v>
      </c>
      <c r="V2962" s="2" t="s">
        <v>4636</v>
      </c>
      <c r="W2962" s="2" t="s">
        <v>609</v>
      </c>
      <c r="X2962" s="2" t="s">
        <v>142</v>
      </c>
      <c r="Y2962" s="2" t="s">
        <v>9927</v>
      </c>
      <c r="Z2962" s="4"/>
      <c r="AA2962" s="4">
        <f>=ROUNDDOWN({0},0)</f>
      </c>
      <c r="AB2962" s="5">
        <v>39</v>
      </c>
      <c r="AC2962" s="2" t="s">
        <v>1142</v>
      </c>
      <c r="AD2962" s="4">
        <v>378</v>
      </c>
      <c r="AE2962" s="4">
        <v>1104</v>
      </c>
      <c r="AF2962" s="6">
        <v>65</v>
      </c>
      <c r="AG2962" s="6"/>
      <c r="AH2962" s="7">
        <v>0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100</v>
      </c>
      <c r="AW2962" s="8" t="s">
        <v>100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/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/>
      <c r="BJ2962" s="4"/>
      <c r="BK2962" s="8"/>
      <c r="BL2962" s="2" t="s">
        <v>100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5674</v>
      </c>
      <c r="BX2962" s="2" t="s">
        <v>5851</v>
      </c>
      <c r="BY2962" s="2" t="s">
        <v>112</v>
      </c>
      <c r="BZ2962" s="2" t="s">
        <v>149</v>
      </c>
    </row>
    <row r="2963">
      <c r="A2963" s="2" t="s">
        <v>9985</v>
      </c>
      <c r="B2963" s="2" t="s">
        <v>9043</v>
      </c>
      <c r="C2963" s="2" t="s">
        <v>3449</v>
      </c>
      <c r="D2963" s="2" t="s">
        <v>9044</v>
      </c>
      <c r="E2963" s="2" t="s">
        <v>9045</v>
      </c>
      <c r="F2963" s="2" t="s">
        <v>9923</v>
      </c>
      <c r="G2963" s="2" t="s">
        <v>9923</v>
      </c>
      <c r="H2963" s="2" t="s">
        <v>9923</v>
      </c>
      <c r="I2963" s="2" t="s">
        <v>9924</v>
      </c>
      <c r="J2963" s="2" t="s">
        <v>1806</v>
      </c>
      <c r="K2963" s="2" t="s">
        <v>9983</v>
      </c>
      <c r="L2963" s="3">
        <v>15.22</v>
      </c>
      <c r="M2963" s="3">
        <v>15.98</v>
      </c>
      <c r="N2963" s="3">
        <v>32.99</v>
      </c>
      <c r="O2963" s="2" t="s">
        <v>97</v>
      </c>
      <c r="P2963" s="2" t="s">
        <v>98</v>
      </c>
      <c r="Q2963" s="2" t="s">
        <v>99</v>
      </c>
      <c r="R2963" s="2" t="s">
        <v>100</v>
      </c>
      <c r="S2963" s="2" t="s">
        <v>9984</v>
      </c>
      <c r="T2963" s="2" t="s">
        <v>9205</v>
      </c>
      <c r="U2963" s="2" t="s">
        <v>901</v>
      </c>
      <c r="V2963" s="2" t="s">
        <v>4636</v>
      </c>
      <c r="W2963" s="2" t="s">
        <v>609</v>
      </c>
      <c r="X2963" s="2" t="s">
        <v>142</v>
      </c>
      <c r="Y2963" s="2" t="s">
        <v>9927</v>
      </c>
      <c r="Z2963" s="4"/>
      <c r="AA2963" s="4">
        <f>=ROUNDDOWN({0},0)</f>
      </c>
      <c r="AB2963" s="5">
        <v>13</v>
      </c>
      <c r="AC2963" s="2" t="s">
        <v>1142</v>
      </c>
      <c r="AD2963" s="4">
        <v>132</v>
      </c>
      <c r="AE2963" s="4">
        <v>374</v>
      </c>
      <c r="AF2963" s="6">
        <v>65</v>
      </c>
      <c r="AG2963" s="6"/>
      <c r="AH2963" s="7">
        <v>0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/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/>
      <c r="BJ2963" s="4"/>
      <c r="BK2963" s="8"/>
      <c r="BL2963" s="2" t="s">
        <v>100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109</v>
      </c>
      <c r="BV2963" s="2" t="s">
        <v>97</v>
      </c>
      <c r="BW2963" s="2" t="s">
        <v>5674</v>
      </c>
      <c r="BX2963" s="2" t="s">
        <v>4967</v>
      </c>
      <c r="BY2963" s="2" t="s">
        <v>112</v>
      </c>
      <c r="BZ2963" s="2" t="s">
        <v>149</v>
      </c>
    </row>
    <row r="2964">
      <c r="A2964" s="2" t="s">
        <v>9986</v>
      </c>
      <c r="B2964" s="2" t="s">
        <v>9043</v>
      </c>
      <c r="C2964" s="2" t="s">
        <v>3449</v>
      </c>
      <c r="D2964" s="2" t="s">
        <v>9044</v>
      </c>
      <c r="E2964" s="2" t="s">
        <v>9045</v>
      </c>
      <c r="F2964" s="2" t="s">
        <v>9923</v>
      </c>
      <c r="G2964" s="2" t="s">
        <v>9923</v>
      </c>
      <c r="H2964" s="2" t="s">
        <v>9923</v>
      </c>
      <c r="I2964" s="2" t="s">
        <v>9924</v>
      </c>
      <c r="J2964" s="2" t="s">
        <v>490</v>
      </c>
      <c r="K2964" s="2" t="s">
        <v>9983</v>
      </c>
      <c r="L2964" s="3">
        <v>19.13</v>
      </c>
      <c r="M2964" s="3">
        <v>20.09</v>
      </c>
      <c r="N2964" s="3">
        <v>42.99</v>
      </c>
      <c r="O2964" s="2" t="s">
        <v>97</v>
      </c>
      <c r="P2964" s="2" t="s">
        <v>98</v>
      </c>
      <c r="Q2964" s="2" t="s">
        <v>99</v>
      </c>
      <c r="R2964" s="2" t="s">
        <v>100</v>
      </c>
      <c r="S2964" s="2" t="s">
        <v>9984</v>
      </c>
      <c r="T2964" s="2" t="s">
        <v>9205</v>
      </c>
      <c r="U2964" s="2" t="s">
        <v>1228</v>
      </c>
      <c r="V2964" s="2" t="s">
        <v>4636</v>
      </c>
      <c r="W2964" s="2" t="s">
        <v>609</v>
      </c>
      <c r="X2964" s="2" t="s">
        <v>142</v>
      </c>
      <c r="Y2964" s="2" t="s">
        <v>9927</v>
      </c>
      <c r="Z2964" s="4"/>
      <c r="AA2964" s="4">
        <f>=ROUNDDOWN({0},0)</f>
      </c>
      <c r="AB2964" s="5">
        <v>20</v>
      </c>
      <c r="AC2964" s="2" t="s">
        <v>1142</v>
      </c>
      <c r="AD2964" s="4">
        <v>204</v>
      </c>
      <c r="AE2964" s="4">
        <v>607</v>
      </c>
      <c r="AF2964" s="6">
        <v>65</v>
      </c>
      <c r="AG2964" s="6"/>
      <c r="AH2964" s="7">
        <v>0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100</v>
      </c>
      <c r="AW2964" s="8" t="s">
        <v>100</v>
      </c>
      <c r="AX2964" s="4" t="s">
        <v>100</v>
      </c>
      <c r="AY2964" s="8" t="s">
        <v>100</v>
      </c>
      <c r="AZ2964" s="7" t="s">
        <v>100</v>
      </c>
      <c r="BA2964" s="7" t="s">
        <v>100</v>
      </c>
      <c r="BB2964" s="7"/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/>
      <c r="BJ2964" s="4"/>
      <c r="BK2964" s="8"/>
      <c r="BL2964" s="2" t="s">
        <v>100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5674</v>
      </c>
      <c r="BX2964" s="2" t="s">
        <v>9050</v>
      </c>
      <c r="BY2964" s="2" t="s">
        <v>112</v>
      </c>
      <c r="BZ2964" s="2" t="s">
        <v>149</v>
      </c>
    </row>
    <row r="2965">
      <c r="A2965" s="2" t="s">
        <v>9987</v>
      </c>
      <c r="B2965" s="2" t="s">
        <v>9043</v>
      </c>
      <c r="C2965" s="2" t="s">
        <v>3449</v>
      </c>
      <c r="D2965" s="2" t="s">
        <v>9044</v>
      </c>
      <c r="E2965" s="2" t="s">
        <v>9045</v>
      </c>
      <c r="F2965" s="2" t="s">
        <v>9923</v>
      </c>
      <c r="G2965" s="2" t="s">
        <v>9923</v>
      </c>
      <c r="H2965" s="2" t="s">
        <v>9923</v>
      </c>
      <c r="I2965" s="2" t="s">
        <v>9924</v>
      </c>
      <c r="J2965" s="2" t="s">
        <v>95</v>
      </c>
      <c r="K2965" s="2" t="s">
        <v>9983</v>
      </c>
      <c r="L2965" s="3">
        <v>21.27</v>
      </c>
      <c r="M2965" s="3">
        <v>22.33</v>
      </c>
      <c r="N2965" s="3">
        <v>47.99</v>
      </c>
      <c r="O2965" s="2" t="s">
        <v>97</v>
      </c>
      <c r="P2965" s="2" t="s">
        <v>98</v>
      </c>
      <c r="Q2965" s="2" t="s">
        <v>99</v>
      </c>
      <c r="R2965" s="2" t="s">
        <v>100</v>
      </c>
      <c r="S2965" s="2" t="s">
        <v>9984</v>
      </c>
      <c r="T2965" s="2" t="s">
        <v>9205</v>
      </c>
      <c r="U2965" s="2" t="s">
        <v>1228</v>
      </c>
      <c r="V2965" s="2" t="s">
        <v>4636</v>
      </c>
      <c r="W2965" s="2" t="s">
        <v>609</v>
      </c>
      <c r="X2965" s="2" t="s">
        <v>142</v>
      </c>
      <c r="Y2965" s="2" t="s">
        <v>9927</v>
      </c>
      <c r="Z2965" s="4"/>
      <c r="AA2965" s="4">
        <f>=ROUNDDOWN({0},0)</f>
      </c>
      <c r="AB2965" s="5">
        <v>22</v>
      </c>
      <c r="AC2965" s="2" t="s">
        <v>1142</v>
      </c>
      <c r="AD2965" s="4">
        <v>225</v>
      </c>
      <c r="AE2965" s="4">
        <v>656</v>
      </c>
      <c r="AF2965" s="6">
        <v>65</v>
      </c>
      <c r="AG2965" s="6"/>
      <c r="AH2965" s="7">
        <v>0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100</v>
      </c>
      <c r="AW2965" s="8" t="s">
        <v>100</v>
      </c>
      <c r="AX2965" s="4" t="s">
        <v>100</v>
      </c>
      <c r="AY2965" s="8" t="s">
        <v>100</v>
      </c>
      <c r="AZ2965" s="7" t="s">
        <v>100</v>
      </c>
      <c r="BA2965" s="7" t="s">
        <v>100</v>
      </c>
      <c r="BB2965" s="7"/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/>
      <c r="BJ2965" s="4"/>
      <c r="BK2965" s="8"/>
      <c r="BL2965" s="2" t="s">
        <v>100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5674</v>
      </c>
      <c r="BX2965" s="2" t="s">
        <v>199</v>
      </c>
      <c r="BY2965" s="2" t="s">
        <v>112</v>
      </c>
      <c r="BZ2965" s="2" t="s">
        <v>149</v>
      </c>
    </row>
    <row r="2966">
      <c r="A2966" s="2" t="s">
        <v>9988</v>
      </c>
      <c r="B2966" s="2" t="s">
        <v>9043</v>
      </c>
      <c r="C2966" s="2" t="s">
        <v>3449</v>
      </c>
      <c r="D2966" s="2" t="s">
        <v>9044</v>
      </c>
      <c r="E2966" s="2" t="s">
        <v>9045</v>
      </c>
      <c r="F2966" s="2" t="s">
        <v>9989</v>
      </c>
      <c r="G2966" s="2" t="s">
        <v>9989</v>
      </c>
      <c r="H2966" s="2" t="s">
        <v>9989</v>
      </c>
      <c r="I2966" s="2" t="s">
        <v>9627</v>
      </c>
      <c r="J2966" s="2" t="s">
        <v>1443</v>
      </c>
      <c r="K2966" s="2" t="s">
        <v>9990</v>
      </c>
      <c r="L2966" s="3">
        <v>11.95</v>
      </c>
      <c r="M2966" s="3">
        <v>12.55</v>
      </c>
      <c r="N2966" s="3">
        <v>24.99</v>
      </c>
      <c r="O2966" s="2" t="s">
        <v>97</v>
      </c>
      <c r="P2966" s="2" t="s">
        <v>98</v>
      </c>
      <c r="Q2966" s="2" t="s">
        <v>99</v>
      </c>
      <c r="R2966" s="2" t="s">
        <v>100</v>
      </c>
      <c r="S2966" s="2" t="s">
        <v>9991</v>
      </c>
      <c r="T2966" s="2" t="s">
        <v>438</v>
      </c>
      <c r="U2966" s="2" t="s">
        <v>901</v>
      </c>
      <c r="V2966" s="2" t="s">
        <v>192</v>
      </c>
      <c r="W2966" s="2" t="s">
        <v>609</v>
      </c>
      <c r="X2966" s="2" t="s">
        <v>100</v>
      </c>
      <c r="Y2966" s="2" t="s">
        <v>9992</v>
      </c>
      <c r="Z2966" s="4">
        <v>25</v>
      </c>
      <c r="AA2966" s="4">
        <f>=ROUNDDOWN(4.16666666666667,0)</f>
      </c>
      <c r="AB2966" s="5">
        <v>6</v>
      </c>
      <c r="AC2966" s="2" t="s">
        <v>312</v>
      </c>
      <c r="AD2966" s="4">
        <v>40</v>
      </c>
      <c r="AE2966" s="4">
        <v>140</v>
      </c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100</v>
      </c>
      <c r="AW2966" s="8" t="s">
        <v>100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/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/>
      <c r="BJ2966" s="4">
        <v>11</v>
      </c>
      <c r="BK2966" s="8">
        <v>148.64</v>
      </c>
      <c r="BL2966" s="2" t="s">
        <v>5201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171</v>
      </c>
      <c r="BV2966" s="2" t="s">
        <v>97</v>
      </c>
      <c r="BW2966" s="2" t="s">
        <v>100</v>
      </c>
      <c r="BX2966" s="2" t="s">
        <v>100</v>
      </c>
      <c r="BY2966" s="2" t="s">
        <v>112</v>
      </c>
      <c r="BZ2966" s="2" t="s">
        <v>100</v>
      </c>
    </row>
    <row r="2967">
      <c r="A2967" s="2" t="s">
        <v>9993</v>
      </c>
      <c r="B2967" s="2" t="s">
        <v>9043</v>
      </c>
      <c r="C2967" s="2" t="s">
        <v>3449</v>
      </c>
      <c r="D2967" s="2" t="s">
        <v>9044</v>
      </c>
      <c r="E2967" s="2" t="s">
        <v>9045</v>
      </c>
      <c r="F2967" s="2" t="s">
        <v>9989</v>
      </c>
      <c r="G2967" s="2" t="s">
        <v>9989</v>
      </c>
      <c r="H2967" s="2" t="s">
        <v>9989</v>
      </c>
      <c r="I2967" s="2" t="s">
        <v>9627</v>
      </c>
      <c r="J2967" s="2" t="s">
        <v>490</v>
      </c>
      <c r="K2967" s="2" t="s">
        <v>9990</v>
      </c>
      <c r="L2967" s="3">
        <v>13.55</v>
      </c>
      <c r="M2967" s="3">
        <v>14.23</v>
      </c>
      <c r="N2967" s="3">
        <v>27.99</v>
      </c>
      <c r="O2967" s="2" t="s">
        <v>97</v>
      </c>
      <c r="P2967" s="2" t="s">
        <v>98</v>
      </c>
      <c r="Q2967" s="2" t="s">
        <v>99</v>
      </c>
      <c r="R2967" s="2" t="s">
        <v>100</v>
      </c>
      <c r="S2967" s="2" t="s">
        <v>9991</v>
      </c>
      <c r="T2967" s="2" t="s">
        <v>438</v>
      </c>
      <c r="U2967" s="2" t="s">
        <v>1228</v>
      </c>
      <c r="V2967" s="2" t="s">
        <v>192</v>
      </c>
      <c r="W2967" s="2" t="s">
        <v>609</v>
      </c>
      <c r="X2967" s="2" t="s">
        <v>100</v>
      </c>
      <c r="Y2967" s="2" t="s">
        <v>9992</v>
      </c>
      <c r="Z2967" s="4">
        <v>57</v>
      </c>
      <c r="AA2967" s="4">
        <f>=ROUNDDOWN(7.125,0)</f>
      </c>
      <c r="AB2967" s="5">
        <v>8</v>
      </c>
      <c r="AC2967" s="2" t="s">
        <v>312</v>
      </c>
      <c r="AD2967" s="4">
        <v>110</v>
      </c>
      <c r="AE2967" s="4">
        <v>270</v>
      </c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100</v>
      </c>
      <c r="AW2967" s="8" t="s">
        <v>100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/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/>
      <c r="BJ2967" s="4">
        <v>30</v>
      </c>
      <c r="BK2967" s="8">
        <v>436.19</v>
      </c>
      <c r="BL2967" s="2" t="s">
        <v>4125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171</v>
      </c>
      <c r="BV2967" s="2" t="s">
        <v>97</v>
      </c>
      <c r="BW2967" s="2" t="s">
        <v>100</v>
      </c>
      <c r="BX2967" s="2" t="s">
        <v>100</v>
      </c>
      <c r="BY2967" s="2" t="s">
        <v>112</v>
      </c>
      <c r="BZ2967" s="2" t="s">
        <v>100</v>
      </c>
    </row>
    <row r="2968">
      <c r="A2968" s="2" t="s">
        <v>9994</v>
      </c>
      <c r="B2968" s="2" t="s">
        <v>9043</v>
      </c>
      <c r="C2968" s="2" t="s">
        <v>3449</v>
      </c>
      <c r="D2968" s="2" t="s">
        <v>9044</v>
      </c>
      <c r="E2968" s="2" t="s">
        <v>9045</v>
      </c>
      <c r="F2968" s="2" t="s">
        <v>9989</v>
      </c>
      <c r="G2968" s="2" t="s">
        <v>9989</v>
      </c>
      <c r="H2968" s="2" t="s">
        <v>9989</v>
      </c>
      <c r="I2968" s="2" t="s">
        <v>9627</v>
      </c>
      <c r="J2968" s="2" t="s">
        <v>95</v>
      </c>
      <c r="K2968" s="2" t="s">
        <v>9990</v>
      </c>
      <c r="L2968" s="3">
        <v>14.75</v>
      </c>
      <c r="M2968" s="3">
        <v>15.49</v>
      </c>
      <c r="N2968" s="3">
        <v>29.99</v>
      </c>
      <c r="O2968" s="2" t="s">
        <v>97</v>
      </c>
      <c r="P2968" s="2" t="s">
        <v>98</v>
      </c>
      <c r="Q2968" s="2" t="s">
        <v>99</v>
      </c>
      <c r="R2968" s="2" t="s">
        <v>100</v>
      </c>
      <c r="S2968" s="2" t="s">
        <v>9991</v>
      </c>
      <c r="T2968" s="2" t="s">
        <v>438</v>
      </c>
      <c r="U2968" s="2" t="s">
        <v>1228</v>
      </c>
      <c r="V2968" s="2" t="s">
        <v>192</v>
      </c>
      <c r="W2968" s="2" t="s">
        <v>609</v>
      </c>
      <c r="X2968" s="2" t="s">
        <v>100</v>
      </c>
      <c r="Y2968" s="2" t="s">
        <v>9992</v>
      </c>
      <c r="Z2968" s="4"/>
      <c r="AA2968" s="4">
        <f>=ROUNDDOWN({0},0)</f>
      </c>
      <c r="AB2968" s="5">
        <v>19</v>
      </c>
      <c r="AC2968" s="2" t="s">
        <v>312</v>
      </c>
      <c r="AD2968" s="4">
        <v>140</v>
      </c>
      <c r="AE2968" s="4">
        <v>495</v>
      </c>
      <c r="AF2968" s="6">
        <v>65</v>
      </c>
      <c r="AG2968" s="6"/>
      <c r="AH2968" s="7">
        <v>0.2581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100</v>
      </c>
      <c r="AW2968" s="8" t="s">
        <v>100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/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/>
      <c r="BJ2968" s="4">
        <v>80</v>
      </c>
      <c r="BK2968" s="8">
        <v>1344.25</v>
      </c>
      <c r="BL2968" s="2" t="s">
        <v>9995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171</v>
      </c>
      <c r="BV2968" s="2" t="s">
        <v>97</v>
      </c>
      <c r="BW2968" s="2" t="s">
        <v>100</v>
      </c>
      <c r="BX2968" s="2" t="s">
        <v>100</v>
      </c>
      <c r="BY2968" s="2" t="s">
        <v>112</v>
      </c>
      <c r="BZ2968" s="2" t="s">
        <v>100</v>
      </c>
    </row>
    <row r="2969">
      <c r="A2969" s="2" t="s">
        <v>9996</v>
      </c>
      <c r="B2969" s="2" t="s">
        <v>9043</v>
      </c>
      <c r="C2969" s="2" t="s">
        <v>3449</v>
      </c>
      <c r="D2969" s="2" t="s">
        <v>9044</v>
      </c>
      <c r="E2969" s="2" t="s">
        <v>9045</v>
      </c>
      <c r="F2969" s="2" t="s">
        <v>9989</v>
      </c>
      <c r="G2969" s="2" t="s">
        <v>9989</v>
      </c>
      <c r="H2969" s="2" t="s">
        <v>9989</v>
      </c>
      <c r="I2969" s="2" t="s">
        <v>9627</v>
      </c>
      <c r="J2969" s="2" t="s">
        <v>114</v>
      </c>
      <c r="K2969" s="2" t="s">
        <v>9990</v>
      </c>
      <c r="L2969" s="3">
        <v>16.35</v>
      </c>
      <c r="M2969" s="3">
        <v>17.17</v>
      </c>
      <c r="N2969" s="3">
        <v>34.99</v>
      </c>
      <c r="O2969" s="2" t="s">
        <v>97</v>
      </c>
      <c r="P2969" s="2" t="s">
        <v>98</v>
      </c>
      <c r="Q2969" s="2" t="s">
        <v>99</v>
      </c>
      <c r="R2969" s="2" t="s">
        <v>100</v>
      </c>
      <c r="S2969" s="2" t="s">
        <v>9991</v>
      </c>
      <c r="T2969" s="2" t="s">
        <v>438</v>
      </c>
      <c r="U2969" s="2" t="s">
        <v>1228</v>
      </c>
      <c r="V2969" s="2" t="s">
        <v>192</v>
      </c>
      <c r="W2969" s="2" t="s">
        <v>609</v>
      </c>
      <c r="X2969" s="2" t="s">
        <v>100</v>
      </c>
      <c r="Y2969" s="2" t="s">
        <v>9992</v>
      </c>
      <c r="Z2969" s="4"/>
      <c r="AA2969" s="4">
        <f>=ROUNDDOWN({0},0)</f>
      </c>
      <c r="AB2969" s="5">
        <v>11</v>
      </c>
      <c r="AC2969" s="2" t="s">
        <v>312</v>
      </c>
      <c r="AD2969" s="4">
        <v>40</v>
      </c>
      <c r="AE2969" s="4">
        <v>260</v>
      </c>
      <c r="AF2969" s="6">
        <v>65</v>
      </c>
      <c r="AG2969" s="6"/>
      <c r="AH2969" s="7">
        <v>0.9677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100</v>
      </c>
      <c r="AW2969" s="8" t="s">
        <v>100</v>
      </c>
      <c r="AX2969" s="4" t="s">
        <v>100</v>
      </c>
      <c r="AY2969" s="8" t="s">
        <v>100</v>
      </c>
      <c r="AZ2969" s="7" t="s">
        <v>100</v>
      </c>
      <c r="BA2969" s="7" t="s">
        <v>100</v>
      </c>
      <c r="BB2969" s="7"/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/>
      <c r="BJ2969" s="4">
        <v>66</v>
      </c>
      <c r="BK2969" s="8">
        <v>1229.74</v>
      </c>
      <c r="BL2969" s="2" t="s">
        <v>9997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171</v>
      </c>
      <c r="BV2969" s="2" t="s">
        <v>97</v>
      </c>
      <c r="BW2969" s="2" t="s">
        <v>100</v>
      </c>
      <c r="BX2969" s="2" t="s">
        <v>100</v>
      </c>
      <c r="BY2969" s="2" t="s">
        <v>112</v>
      </c>
      <c r="BZ2969" s="2" t="s">
        <v>100</v>
      </c>
    </row>
    <row r="2970">
      <c r="A2970" s="2" t="s">
        <v>9998</v>
      </c>
      <c r="B2970" s="2" t="s">
        <v>9043</v>
      </c>
      <c r="C2970" s="2" t="s">
        <v>3449</v>
      </c>
      <c r="D2970" s="2" t="s">
        <v>9044</v>
      </c>
      <c r="E2970" s="2" t="s">
        <v>9045</v>
      </c>
      <c r="F2970" s="2" t="s">
        <v>9989</v>
      </c>
      <c r="G2970" s="2" t="s">
        <v>9989</v>
      </c>
      <c r="H2970" s="2" t="s">
        <v>9989</v>
      </c>
      <c r="I2970" s="2" t="s">
        <v>9627</v>
      </c>
      <c r="J2970" s="2" t="s">
        <v>1443</v>
      </c>
      <c r="K2970" s="2" t="s">
        <v>9999</v>
      </c>
      <c r="L2970" s="3">
        <v>11.95</v>
      </c>
      <c r="M2970" s="3">
        <v>12.55</v>
      </c>
      <c r="N2970" s="3">
        <v>24.99</v>
      </c>
      <c r="O2970" s="2" t="s">
        <v>97</v>
      </c>
      <c r="P2970" s="2" t="s">
        <v>98</v>
      </c>
      <c r="Q2970" s="2" t="s">
        <v>99</v>
      </c>
      <c r="R2970" s="2" t="s">
        <v>100</v>
      </c>
      <c r="S2970" s="2" t="s">
        <v>10000</v>
      </c>
      <c r="T2970" s="2" t="s">
        <v>438</v>
      </c>
      <c r="U2970" s="2" t="s">
        <v>901</v>
      </c>
      <c r="V2970" s="2" t="s">
        <v>3038</v>
      </c>
      <c r="W2970" s="2" t="s">
        <v>609</v>
      </c>
      <c r="X2970" s="2" t="s">
        <v>100</v>
      </c>
      <c r="Y2970" s="2" t="s">
        <v>9992</v>
      </c>
      <c r="Z2970" s="4">
        <v>94</v>
      </c>
      <c r="AA2970" s="4">
        <f>=ROUNDDOWN(23.5,0)</f>
      </c>
      <c r="AB2970" s="5">
        <v>4</v>
      </c>
      <c r="AC2970" s="2" t="s">
        <v>1452</v>
      </c>
      <c r="AD2970" s="4">
        <v>40</v>
      </c>
      <c r="AE2970" s="4">
        <v>130</v>
      </c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100</v>
      </c>
      <c r="AW2970" s="8" t="s">
        <v>100</v>
      </c>
      <c r="AX2970" s="4" t="s">
        <v>100</v>
      </c>
      <c r="AY2970" s="8" t="s">
        <v>100</v>
      </c>
      <c r="AZ2970" s="7" t="s">
        <v>100</v>
      </c>
      <c r="BA2970" s="7" t="s">
        <v>100</v>
      </c>
      <c r="BB2970" s="7"/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/>
      <c r="BJ2970" s="4">
        <v>10</v>
      </c>
      <c r="BK2970" s="8">
        <v>127.94</v>
      </c>
      <c r="BL2970" s="2" t="s">
        <v>4125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171</v>
      </c>
      <c r="BV2970" s="2" t="s">
        <v>97</v>
      </c>
      <c r="BW2970" s="2" t="s">
        <v>100</v>
      </c>
      <c r="BX2970" s="2" t="s">
        <v>100</v>
      </c>
      <c r="BY2970" s="2" t="s">
        <v>112</v>
      </c>
      <c r="BZ2970" s="2" t="s">
        <v>100</v>
      </c>
    </row>
    <row r="2971">
      <c r="A2971" s="2" t="s">
        <v>10001</v>
      </c>
      <c r="B2971" s="2" t="s">
        <v>9043</v>
      </c>
      <c r="C2971" s="2" t="s">
        <v>3449</v>
      </c>
      <c r="D2971" s="2" t="s">
        <v>9044</v>
      </c>
      <c r="E2971" s="2" t="s">
        <v>9045</v>
      </c>
      <c r="F2971" s="2" t="s">
        <v>9989</v>
      </c>
      <c r="G2971" s="2" t="s">
        <v>9989</v>
      </c>
      <c r="H2971" s="2" t="s">
        <v>9989</v>
      </c>
      <c r="I2971" s="2" t="s">
        <v>9627</v>
      </c>
      <c r="J2971" s="2" t="s">
        <v>490</v>
      </c>
      <c r="K2971" s="2" t="s">
        <v>9999</v>
      </c>
      <c r="L2971" s="3">
        <v>13.55</v>
      </c>
      <c r="M2971" s="3">
        <v>14.23</v>
      </c>
      <c r="N2971" s="3">
        <v>27.99</v>
      </c>
      <c r="O2971" s="2" t="s">
        <v>97</v>
      </c>
      <c r="P2971" s="2" t="s">
        <v>98</v>
      </c>
      <c r="Q2971" s="2" t="s">
        <v>99</v>
      </c>
      <c r="R2971" s="2" t="s">
        <v>100</v>
      </c>
      <c r="S2971" s="2" t="s">
        <v>10000</v>
      </c>
      <c r="T2971" s="2" t="s">
        <v>438</v>
      </c>
      <c r="U2971" s="2" t="s">
        <v>1228</v>
      </c>
      <c r="V2971" s="2" t="s">
        <v>3038</v>
      </c>
      <c r="W2971" s="2" t="s">
        <v>609</v>
      </c>
      <c r="X2971" s="2" t="s">
        <v>100</v>
      </c>
      <c r="Y2971" s="2" t="s">
        <v>9992</v>
      </c>
      <c r="Z2971" s="4">
        <v>132</v>
      </c>
      <c r="AA2971" s="4">
        <f>=ROUNDDOWN(18.8571428571429,0)</f>
      </c>
      <c r="AB2971" s="5">
        <v>7</v>
      </c>
      <c r="AC2971" s="2" t="s">
        <v>3082</v>
      </c>
      <c r="AD2971" s="4">
        <v>50</v>
      </c>
      <c r="AE2971" s="4">
        <v>50</v>
      </c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100</v>
      </c>
      <c r="AW2971" s="8" t="s">
        <v>100</v>
      </c>
      <c r="AX2971" s="4" t="s">
        <v>100</v>
      </c>
      <c r="AY2971" s="8" t="s">
        <v>100</v>
      </c>
      <c r="AZ2971" s="7" t="s">
        <v>100</v>
      </c>
      <c r="BA2971" s="7" t="s">
        <v>100</v>
      </c>
      <c r="BB2971" s="7"/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/>
      <c r="BJ2971" s="4">
        <v>14</v>
      </c>
      <c r="BK2971" s="8">
        <v>205.24</v>
      </c>
      <c r="BL2971" s="2" t="s">
        <v>710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171</v>
      </c>
      <c r="BV2971" s="2" t="s">
        <v>97</v>
      </c>
      <c r="BW2971" s="2" t="s">
        <v>100</v>
      </c>
      <c r="BX2971" s="2" t="s">
        <v>100</v>
      </c>
      <c r="BY2971" s="2" t="s">
        <v>112</v>
      </c>
      <c r="BZ2971" s="2" t="s">
        <v>100</v>
      </c>
    </row>
    <row r="2972">
      <c r="A2972" s="2" t="s">
        <v>10002</v>
      </c>
      <c r="B2972" s="2" t="s">
        <v>9043</v>
      </c>
      <c r="C2972" s="2" t="s">
        <v>3449</v>
      </c>
      <c r="D2972" s="2" t="s">
        <v>9044</v>
      </c>
      <c r="E2972" s="2" t="s">
        <v>9045</v>
      </c>
      <c r="F2972" s="2" t="s">
        <v>9989</v>
      </c>
      <c r="G2972" s="2" t="s">
        <v>9989</v>
      </c>
      <c r="H2972" s="2" t="s">
        <v>9989</v>
      </c>
      <c r="I2972" s="2" t="s">
        <v>9627</v>
      </c>
      <c r="J2972" s="2" t="s">
        <v>95</v>
      </c>
      <c r="K2972" s="2" t="s">
        <v>9999</v>
      </c>
      <c r="L2972" s="3">
        <v>14.75</v>
      </c>
      <c r="M2972" s="3">
        <v>15.49</v>
      </c>
      <c r="N2972" s="3">
        <v>29.99</v>
      </c>
      <c r="O2972" s="2" t="s">
        <v>97</v>
      </c>
      <c r="P2972" s="2" t="s">
        <v>98</v>
      </c>
      <c r="Q2972" s="2" t="s">
        <v>99</v>
      </c>
      <c r="R2972" s="2" t="s">
        <v>100</v>
      </c>
      <c r="S2972" s="2" t="s">
        <v>10000</v>
      </c>
      <c r="T2972" s="2" t="s">
        <v>438</v>
      </c>
      <c r="U2972" s="2" t="s">
        <v>1228</v>
      </c>
      <c r="V2972" s="2" t="s">
        <v>3038</v>
      </c>
      <c r="W2972" s="2" t="s">
        <v>609</v>
      </c>
      <c r="X2972" s="2" t="s">
        <v>100</v>
      </c>
      <c r="Y2972" s="2" t="s">
        <v>9992</v>
      </c>
      <c r="Z2972" s="4">
        <v>79</v>
      </c>
      <c r="AA2972" s="4">
        <f>=ROUNDDOWN(6.58333333333333,0)</f>
      </c>
      <c r="AB2972" s="5">
        <v>12</v>
      </c>
      <c r="AC2972" s="2" t="s">
        <v>1452</v>
      </c>
      <c r="AD2972" s="4">
        <v>100</v>
      </c>
      <c r="AE2972" s="4">
        <v>230</v>
      </c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100</v>
      </c>
      <c r="AW2972" s="8" t="s">
        <v>100</v>
      </c>
      <c r="AX2972" s="4" t="s">
        <v>100</v>
      </c>
      <c r="AY2972" s="8" t="s">
        <v>100</v>
      </c>
      <c r="AZ2972" s="7" t="s">
        <v>100</v>
      </c>
      <c r="BA2972" s="7" t="s">
        <v>100</v>
      </c>
      <c r="BB2972" s="7"/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/>
      <c r="BJ2972" s="4">
        <v>26</v>
      </c>
      <c r="BK2972" s="8">
        <v>424.77</v>
      </c>
      <c r="BL2972" s="2" t="s">
        <v>4856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171</v>
      </c>
      <c r="BV2972" s="2" t="s">
        <v>97</v>
      </c>
      <c r="BW2972" s="2" t="s">
        <v>100</v>
      </c>
      <c r="BX2972" s="2" t="s">
        <v>100</v>
      </c>
      <c r="BY2972" s="2" t="s">
        <v>112</v>
      </c>
      <c r="BZ2972" s="2" t="s">
        <v>100</v>
      </c>
    </row>
    <row r="2973">
      <c r="A2973" s="2" t="s">
        <v>10003</v>
      </c>
      <c r="B2973" s="2" t="s">
        <v>9043</v>
      </c>
      <c r="C2973" s="2" t="s">
        <v>3449</v>
      </c>
      <c r="D2973" s="2" t="s">
        <v>9044</v>
      </c>
      <c r="E2973" s="2" t="s">
        <v>9045</v>
      </c>
      <c r="F2973" s="2" t="s">
        <v>9989</v>
      </c>
      <c r="G2973" s="2" t="s">
        <v>9989</v>
      </c>
      <c r="H2973" s="2" t="s">
        <v>9989</v>
      </c>
      <c r="I2973" s="2" t="s">
        <v>9627</v>
      </c>
      <c r="J2973" s="2" t="s">
        <v>114</v>
      </c>
      <c r="K2973" s="2" t="s">
        <v>9999</v>
      </c>
      <c r="L2973" s="3">
        <v>16.35</v>
      </c>
      <c r="M2973" s="3">
        <v>17.17</v>
      </c>
      <c r="N2973" s="3">
        <v>34.99</v>
      </c>
      <c r="O2973" s="2" t="s">
        <v>97</v>
      </c>
      <c r="P2973" s="2" t="s">
        <v>98</v>
      </c>
      <c r="Q2973" s="2" t="s">
        <v>99</v>
      </c>
      <c r="R2973" s="2" t="s">
        <v>100</v>
      </c>
      <c r="S2973" s="2" t="s">
        <v>10000</v>
      </c>
      <c r="T2973" s="2" t="s">
        <v>438</v>
      </c>
      <c r="U2973" s="2" t="s">
        <v>1228</v>
      </c>
      <c r="V2973" s="2" t="s">
        <v>3038</v>
      </c>
      <c r="W2973" s="2" t="s">
        <v>609</v>
      </c>
      <c r="X2973" s="2" t="s">
        <v>100</v>
      </c>
      <c r="Y2973" s="2" t="s">
        <v>9992</v>
      </c>
      <c r="Z2973" s="4">
        <v>20</v>
      </c>
      <c r="AA2973" s="4">
        <f>=ROUNDDOWN(3.33333333333333,0)</f>
      </c>
      <c r="AB2973" s="5">
        <v>6</v>
      </c>
      <c r="AC2973" s="2" t="s">
        <v>1452</v>
      </c>
      <c r="AD2973" s="4">
        <v>90</v>
      </c>
      <c r="AE2973" s="4">
        <v>190</v>
      </c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100</v>
      </c>
      <c r="AW2973" s="8" t="s">
        <v>100</v>
      </c>
      <c r="AX2973" s="4" t="s">
        <v>100</v>
      </c>
      <c r="AY2973" s="8" t="s">
        <v>100</v>
      </c>
      <c r="AZ2973" s="7" t="s">
        <v>100</v>
      </c>
      <c r="BA2973" s="7" t="s">
        <v>100</v>
      </c>
      <c r="BB2973" s="7"/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/>
      <c r="BJ2973" s="4">
        <v>17</v>
      </c>
      <c r="BK2973" s="8">
        <v>311.8</v>
      </c>
      <c r="BL2973" s="2" t="s">
        <v>4499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171</v>
      </c>
      <c r="BV2973" s="2" t="s">
        <v>97</v>
      </c>
      <c r="BW2973" s="2" t="s">
        <v>100</v>
      </c>
      <c r="BX2973" s="2" t="s">
        <v>100</v>
      </c>
      <c r="BY2973" s="2" t="s">
        <v>112</v>
      </c>
      <c r="BZ2973" s="2" t="s">
        <v>100</v>
      </c>
    </row>
    <row r="2974">
      <c r="A2974" s="2" t="s">
        <v>10004</v>
      </c>
      <c r="B2974" s="2" t="s">
        <v>9043</v>
      </c>
      <c r="C2974" s="2" t="s">
        <v>4466</v>
      </c>
      <c r="D2974" s="2" t="s">
        <v>9044</v>
      </c>
      <c r="E2974" s="2" t="s">
        <v>9045</v>
      </c>
      <c r="F2974" s="2" t="s">
        <v>10005</v>
      </c>
      <c r="G2974" s="2" t="s">
        <v>10005</v>
      </c>
      <c r="H2974" s="2" t="s">
        <v>10005</v>
      </c>
      <c r="I2974" s="2" t="s">
        <v>9875</v>
      </c>
      <c r="J2974" s="2" t="s">
        <v>1443</v>
      </c>
      <c r="K2974" s="2" t="s">
        <v>10006</v>
      </c>
      <c r="L2974" s="3">
        <v>14.89</v>
      </c>
      <c r="M2974" s="3">
        <v>15.63</v>
      </c>
      <c r="N2974" s="3">
        <v>31.99</v>
      </c>
      <c r="O2974" s="2" t="s">
        <v>97</v>
      </c>
      <c r="P2974" s="2" t="s">
        <v>98</v>
      </c>
      <c r="Q2974" s="2" t="s">
        <v>99</v>
      </c>
      <c r="R2974" s="2" t="s">
        <v>100</v>
      </c>
      <c r="S2974" s="2" t="s">
        <v>10007</v>
      </c>
      <c r="T2974" s="2" t="s">
        <v>9205</v>
      </c>
      <c r="U2974" s="2" t="s">
        <v>100</v>
      </c>
      <c r="V2974" s="2" t="s">
        <v>473</v>
      </c>
      <c r="W2974" s="2" t="s">
        <v>609</v>
      </c>
      <c r="X2974" s="2" t="s">
        <v>100</v>
      </c>
      <c r="Y2974" s="2" t="s">
        <v>499</v>
      </c>
      <c r="Z2974" s="4">
        <v>3</v>
      </c>
      <c r="AA2974" s="4">
        <f>=ROUNDDOWN(0.0882352941176471,0)</f>
      </c>
      <c r="AB2974" s="5">
        <v>34</v>
      </c>
      <c r="AC2974" s="2" t="s">
        <v>1142</v>
      </c>
      <c r="AD2974" s="4">
        <v>341</v>
      </c>
      <c r="AE2974" s="4">
        <v>937</v>
      </c>
      <c r="AF2974" s="6">
        <v>65</v>
      </c>
      <c r="AG2974" s="6"/>
      <c r="AH2974" s="7">
        <v>0.6452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>
        <v>9</v>
      </c>
      <c r="AQ2974" s="8">
        <v>146.97</v>
      </c>
      <c r="AR2974" s="4"/>
      <c r="AS2974" s="8"/>
      <c r="AT2974" s="7"/>
      <c r="AU2974" s="7"/>
      <c r="AV2974" s="4">
        <v>12</v>
      </c>
      <c r="AW2974" s="8">
        <v>207.38</v>
      </c>
      <c r="AX2974" s="4" t="s">
        <v>100</v>
      </c>
      <c r="AY2974" s="8" t="s">
        <v>100</v>
      </c>
      <c r="AZ2974" s="7" t="s">
        <v>100</v>
      </c>
      <c r="BA2974" s="7" t="s">
        <v>100</v>
      </c>
      <c r="BB2974" s="7">
        <v>0.7087</v>
      </c>
      <c r="BC2974" s="4">
        <v>25</v>
      </c>
      <c r="BD2974" s="8">
        <v>474.09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>
        <v>0.4374</v>
      </c>
      <c r="BJ2974" s="4">
        <v>49</v>
      </c>
      <c r="BK2974" s="8">
        <v>810.35</v>
      </c>
      <c r="BL2974" s="2" t="s">
        <v>10008</v>
      </c>
      <c r="BM2974" s="7">
        <v>0.1837</v>
      </c>
      <c r="BN2974" s="7">
        <v>0.1814</v>
      </c>
      <c r="BO2974" s="4">
        <v>9</v>
      </c>
      <c r="BP2974" s="8">
        <v>146.97</v>
      </c>
      <c r="BQ2974" s="4"/>
      <c r="BR2974" s="8"/>
      <c r="BS2974" s="7"/>
      <c r="BT2974" s="7"/>
      <c r="BU2974" s="2" t="s">
        <v>109</v>
      </c>
      <c r="BV2974" s="2" t="s">
        <v>97</v>
      </c>
      <c r="BW2974" s="2" t="s">
        <v>1792</v>
      </c>
      <c r="BX2974" s="2" t="s">
        <v>10009</v>
      </c>
      <c r="BY2974" s="2" t="s">
        <v>112</v>
      </c>
      <c r="BZ2974" s="2" t="s">
        <v>100</v>
      </c>
    </row>
    <row r="2975">
      <c r="A2975" s="2" t="s">
        <v>10010</v>
      </c>
      <c r="B2975" s="2" t="s">
        <v>9043</v>
      </c>
      <c r="C2975" s="2" t="s">
        <v>4466</v>
      </c>
      <c r="D2975" s="2" t="s">
        <v>9044</v>
      </c>
      <c r="E2975" s="2" t="s">
        <v>9045</v>
      </c>
      <c r="F2975" s="2" t="s">
        <v>10005</v>
      </c>
      <c r="G2975" s="2" t="s">
        <v>10005</v>
      </c>
      <c r="H2975" s="2" t="s">
        <v>10005</v>
      </c>
      <c r="I2975" s="2" t="s">
        <v>9875</v>
      </c>
      <c r="J2975" s="2" t="s">
        <v>1806</v>
      </c>
      <c r="K2975" s="2" t="s">
        <v>10006</v>
      </c>
      <c r="L2975" s="3">
        <v>16.16</v>
      </c>
      <c r="M2975" s="3">
        <v>16.97</v>
      </c>
      <c r="N2975" s="3">
        <v>34.99</v>
      </c>
      <c r="O2975" s="2" t="s">
        <v>97</v>
      </c>
      <c r="P2975" s="2" t="s">
        <v>98</v>
      </c>
      <c r="Q2975" s="2" t="s">
        <v>99</v>
      </c>
      <c r="R2975" s="2" t="s">
        <v>100</v>
      </c>
      <c r="S2975" s="2" t="s">
        <v>10007</v>
      </c>
      <c r="T2975" s="2" t="s">
        <v>9205</v>
      </c>
      <c r="U2975" s="2" t="s">
        <v>100</v>
      </c>
      <c r="V2975" s="2" t="s">
        <v>473</v>
      </c>
      <c r="W2975" s="2" t="s">
        <v>609</v>
      </c>
      <c r="X2975" s="2" t="s">
        <v>100</v>
      </c>
      <c r="Y2975" s="2" t="s">
        <v>499</v>
      </c>
      <c r="Z2975" s="4"/>
      <c r="AA2975" s="4">
        <f>=ROUNDDOWN({0},0)</f>
      </c>
      <c r="AB2975" s="5">
        <v>32</v>
      </c>
      <c r="AC2975" s="2" t="s">
        <v>1142</v>
      </c>
      <c r="AD2975" s="4">
        <v>320</v>
      </c>
      <c r="AE2975" s="4">
        <v>889</v>
      </c>
      <c r="AF2975" s="6">
        <v>65</v>
      </c>
      <c r="AG2975" s="6"/>
      <c r="AH2975" s="7">
        <v>0.1613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>
        <v>2</v>
      </c>
      <c r="AQ2975" s="8">
        <v>35.92</v>
      </c>
      <c r="AR2975" s="4"/>
      <c r="AS2975" s="8"/>
      <c r="AT2975" s="7"/>
      <c r="AU2975" s="7"/>
      <c r="AV2975" s="4" t="s">
        <v>100</v>
      </c>
      <c r="AW2975" s="8" t="s">
        <v>100</v>
      </c>
      <c r="AX2975" s="4" t="s">
        <v>100</v>
      </c>
      <c r="AY2975" s="8" t="s">
        <v>100</v>
      </c>
      <c r="AZ2975" s="7" t="s">
        <v>100</v>
      </c>
      <c r="BA2975" s="7" t="s">
        <v>100</v>
      </c>
      <c r="BB2975" s="7">
        <v>0.1732</v>
      </c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 t="s">
        <v>100</v>
      </c>
      <c r="BJ2975" s="4">
        <v>17</v>
      </c>
      <c r="BK2975" s="8">
        <v>318.3</v>
      </c>
      <c r="BL2975" s="2" t="s">
        <v>10011</v>
      </c>
      <c r="BM2975" s="7">
        <v>0.1176</v>
      </c>
      <c r="BN2975" s="7">
        <v>0.1128</v>
      </c>
      <c r="BO2975" s="4">
        <v>2</v>
      </c>
      <c r="BP2975" s="8">
        <v>35.92</v>
      </c>
      <c r="BQ2975" s="4"/>
      <c r="BR2975" s="8"/>
      <c r="BS2975" s="7"/>
      <c r="BT2975" s="7"/>
      <c r="BU2975" s="2" t="s">
        <v>109</v>
      </c>
      <c r="BV2975" s="2" t="s">
        <v>97</v>
      </c>
      <c r="BW2975" s="2" t="s">
        <v>1792</v>
      </c>
      <c r="BX2975" s="2" t="s">
        <v>5499</v>
      </c>
      <c r="BY2975" s="2" t="s">
        <v>112</v>
      </c>
      <c r="BZ2975" s="2" t="s">
        <v>100</v>
      </c>
    </row>
    <row r="2976">
      <c r="A2976" s="2" t="s">
        <v>10012</v>
      </c>
      <c r="B2976" s="2" t="s">
        <v>9043</v>
      </c>
      <c r="C2976" s="2" t="s">
        <v>4466</v>
      </c>
      <c r="D2976" s="2" t="s">
        <v>9044</v>
      </c>
      <c r="E2976" s="2" t="s">
        <v>9045</v>
      </c>
      <c r="F2976" s="2" t="s">
        <v>10005</v>
      </c>
      <c r="G2976" s="2" t="s">
        <v>10005</v>
      </c>
      <c r="H2976" s="2" t="s">
        <v>10005</v>
      </c>
      <c r="I2976" s="2" t="s">
        <v>9875</v>
      </c>
      <c r="J2976" s="2" t="s">
        <v>490</v>
      </c>
      <c r="K2976" s="2" t="s">
        <v>10006</v>
      </c>
      <c r="L2976" s="3">
        <v>19.57</v>
      </c>
      <c r="M2976" s="3">
        <v>20.55</v>
      </c>
      <c r="N2976" s="3">
        <v>42.99</v>
      </c>
      <c r="O2976" s="2" t="s">
        <v>97</v>
      </c>
      <c r="P2976" s="2" t="s">
        <v>98</v>
      </c>
      <c r="Q2976" s="2" t="s">
        <v>99</v>
      </c>
      <c r="R2976" s="2" t="s">
        <v>100</v>
      </c>
      <c r="S2976" s="2" t="s">
        <v>10007</v>
      </c>
      <c r="T2976" s="2" t="s">
        <v>9205</v>
      </c>
      <c r="U2976" s="2" t="s">
        <v>100</v>
      </c>
      <c r="V2976" s="2" t="s">
        <v>473</v>
      </c>
      <c r="W2976" s="2" t="s">
        <v>609</v>
      </c>
      <c r="X2976" s="2" t="s">
        <v>100</v>
      </c>
      <c r="Y2976" s="2" t="s">
        <v>499</v>
      </c>
      <c r="Z2976" s="4"/>
      <c r="AA2976" s="4">
        <f>=ROUNDDOWN({0},0)</f>
      </c>
      <c r="AB2976" s="5">
        <v>20</v>
      </c>
      <c r="AC2976" s="2" t="s">
        <v>1142</v>
      </c>
      <c r="AD2976" s="4">
        <v>206</v>
      </c>
      <c r="AE2976" s="4">
        <v>578</v>
      </c>
      <c r="AF2976" s="6">
        <v>65</v>
      </c>
      <c r="AG2976" s="6"/>
      <c r="AH2976" s="7">
        <v>0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100</v>
      </c>
      <c r="AW2976" s="8" t="s">
        <v>100</v>
      </c>
      <c r="AX2976" s="4" t="s">
        <v>100</v>
      </c>
      <c r="AY2976" s="8" t="s">
        <v>100</v>
      </c>
      <c r="AZ2976" s="7" t="s">
        <v>100</v>
      </c>
      <c r="BA2976" s="7" t="s">
        <v>100</v>
      </c>
      <c r="BB2976" s="7"/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 t="s">
        <v>100</v>
      </c>
      <c r="BJ2976" s="4"/>
      <c r="BK2976" s="8"/>
      <c r="BL2976" s="2" t="s">
        <v>100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109</v>
      </c>
      <c r="BV2976" s="2" t="s">
        <v>97</v>
      </c>
      <c r="BW2976" s="2" t="s">
        <v>1792</v>
      </c>
      <c r="BX2976" s="2" t="s">
        <v>2598</v>
      </c>
      <c r="BY2976" s="2" t="s">
        <v>112</v>
      </c>
      <c r="BZ2976" s="2" t="s">
        <v>100</v>
      </c>
    </row>
    <row r="2977">
      <c r="A2977" s="2" t="s">
        <v>10013</v>
      </c>
      <c r="B2977" s="2" t="s">
        <v>9043</v>
      </c>
      <c r="C2977" s="2" t="s">
        <v>4466</v>
      </c>
      <c r="D2977" s="2" t="s">
        <v>9044</v>
      </c>
      <c r="E2977" s="2" t="s">
        <v>9045</v>
      </c>
      <c r="F2977" s="2" t="s">
        <v>10005</v>
      </c>
      <c r="G2977" s="2" t="s">
        <v>10005</v>
      </c>
      <c r="H2977" s="2" t="s">
        <v>10005</v>
      </c>
      <c r="I2977" s="2" t="s">
        <v>9875</v>
      </c>
      <c r="J2977" s="2" t="s">
        <v>95</v>
      </c>
      <c r="K2977" s="2" t="s">
        <v>10006</v>
      </c>
      <c r="L2977" s="3">
        <v>22.21</v>
      </c>
      <c r="M2977" s="3">
        <v>23.32</v>
      </c>
      <c r="N2977" s="3">
        <v>47.99</v>
      </c>
      <c r="O2977" s="2" t="s">
        <v>97</v>
      </c>
      <c r="P2977" s="2" t="s">
        <v>156</v>
      </c>
      <c r="Q2977" s="2" t="s">
        <v>99</v>
      </c>
      <c r="R2977" s="2" t="s">
        <v>100</v>
      </c>
      <c r="S2977" s="2" t="s">
        <v>10007</v>
      </c>
      <c r="T2977" s="2" t="s">
        <v>9205</v>
      </c>
      <c r="U2977" s="2" t="s">
        <v>100</v>
      </c>
      <c r="V2977" s="2" t="s">
        <v>473</v>
      </c>
      <c r="W2977" s="2" t="s">
        <v>609</v>
      </c>
      <c r="X2977" s="2" t="s">
        <v>100</v>
      </c>
      <c r="Y2977" s="2" t="s">
        <v>499</v>
      </c>
      <c r="Z2977" s="4">
        <v>3</v>
      </c>
      <c r="AA2977" s="4">
        <f>=ROUNDDOWN(0.09375,0)</f>
      </c>
      <c r="AB2977" s="5">
        <v>32</v>
      </c>
      <c r="AC2977" s="2" t="s">
        <v>1142</v>
      </c>
      <c r="AD2977" s="4">
        <v>319</v>
      </c>
      <c r="AE2977" s="4">
        <v>874</v>
      </c>
      <c r="AF2977" s="6">
        <v>65</v>
      </c>
      <c r="AG2977" s="6"/>
      <c r="AH2977" s="7">
        <v>0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>
        <v>1</v>
      </c>
      <c r="AQ2977" s="8">
        <v>24.49</v>
      </c>
      <c r="AR2977" s="4"/>
      <c r="AS2977" s="8"/>
      <c r="AT2977" s="7"/>
      <c r="AU2977" s="7"/>
      <c r="AV2977" s="4" t="s">
        <v>100</v>
      </c>
      <c r="AW2977" s="8" t="s">
        <v>100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>
        <v>0.1181</v>
      </c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 t="s">
        <v>100</v>
      </c>
      <c r="BJ2977" s="4">
        <v>3</v>
      </c>
      <c r="BK2977" s="8">
        <v>73.76</v>
      </c>
      <c r="BL2977" s="2" t="s">
        <v>10014</v>
      </c>
      <c r="BM2977" s="7">
        <v>0.3333</v>
      </c>
      <c r="BN2977" s="7">
        <v>0.332</v>
      </c>
      <c r="BO2977" s="4">
        <v>1</v>
      </c>
      <c r="BP2977" s="8">
        <v>24.49</v>
      </c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1792</v>
      </c>
      <c r="BX2977" s="2" t="s">
        <v>10015</v>
      </c>
      <c r="BY2977" s="2" t="s">
        <v>112</v>
      </c>
      <c r="BZ2977" s="2" t="s">
        <v>100</v>
      </c>
    </row>
    <row r="2978">
      <c r="A2978" s="2" t="s">
        <v>10016</v>
      </c>
      <c r="B2978" s="2" t="s">
        <v>9043</v>
      </c>
      <c r="C2978" s="2" t="s">
        <v>4466</v>
      </c>
      <c r="D2978" s="2" t="s">
        <v>9044</v>
      </c>
      <c r="E2978" s="2" t="s">
        <v>9045</v>
      </c>
      <c r="F2978" s="2" t="s">
        <v>10005</v>
      </c>
      <c r="G2978" s="2" t="s">
        <v>10005</v>
      </c>
      <c r="H2978" s="2" t="s">
        <v>10005</v>
      </c>
      <c r="I2978" s="2" t="s">
        <v>9875</v>
      </c>
      <c r="J2978" s="2" t="s">
        <v>114</v>
      </c>
      <c r="K2978" s="2" t="s">
        <v>10006</v>
      </c>
      <c r="L2978" s="3">
        <v>27.39</v>
      </c>
      <c r="M2978" s="3">
        <v>28.76</v>
      </c>
      <c r="N2978" s="3">
        <v>62.99</v>
      </c>
      <c r="O2978" s="2" t="s">
        <v>97</v>
      </c>
      <c r="P2978" s="2" t="s">
        <v>98</v>
      </c>
      <c r="Q2978" s="2" t="s">
        <v>99</v>
      </c>
      <c r="R2978" s="2" t="s">
        <v>100</v>
      </c>
      <c r="S2978" s="2" t="s">
        <v>10007</v>
      </c>
      <c r="T2978" s="2" t="s">
        <v>9205</v>
      </c>
      <c r="U2978" s="2" t="s">
        <v>100</v>
      </c>
      <c r="V2978" s="2" t="s">
        <v>473</v>
      </c>
      <c r="W2978" s="2" t="s">
        <v>609</v>
      </c>
      <c r="X2978" s="2" t="s">
        <v>100</v>
      </c>
      <c r="Y2978" s="2" t="s">
        <v>499</v>
      </c>
      <c r="Z2978" s="4">
        <v>21</v>
      </c>
      <c r="AA2978" s="4">
        <f>=ROUNDDOWN(1.5,0)</f>
      </c>
      <c r="AB2978" s="5">
        <v>14</v>
      </c>
      <c r="AC2978" s="2" t="s">
        <v>1142</v>
      </c>
      <c r="AD2978" s="4">
        <v>141</v>
      </c>
      <c r="AE2978" s="4">
        <v>385</v>
      </c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100</v>
      </c>
      <c r="AW2978" s="8" t="s">
        <v>100</v>
      </c>
      <c r="AX2978" s="4" t="s">
        <v>100</v>
      </c>
      <c r="AY2978" s="8" t="s">
        <v>100</v>
      </c>
      <c r="AZ2978" s="7" t="s">
        <v>100</v>
      </c>
      <c r="BA2978" s="7" t="s">
        <v>100</v>
      </c>
      <c r="BB2978" s="7"/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 t="s">
        <v>100</v>
      </c>
      <c r="BJ2978" s="4">
        <v>15</v>
      </c>
      <c r="BK2978" s="8">
        <v>460.07</v>
      </c>
      <c r="BL2978" s="2" t="s">
        <v>1271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109</v>
      </c>
      <c r="BV2978" s="2" t="s">
        <v>97</v>
      </c>
      <c r="BW2978" s="2" t="s">
        <v>1792</v>
      </c>
      <c r="BX2978" s="2" t="s">
        <v>1268</v>
      </c>
      <c r="BY2978" s="2" t="s">
        <v>112</v>
      </c>
      <c r="BZ2978" s="2" t="s">
        <v>100</v>
      </c>
    </row>
    <row r="2979">
      <c r="A2979" s="2" t="s">
        <v>10017</v>
      </c>
      <c r="B2979" s="2" t="s">
        <v>9043</v>
      </c>
      <c r="C2979" s="2" t="s">
        <v>4466</v>
      </c>
      <c r="D2979" s="2" t="s">
        <v>9044</v>
      </c>
      <c r="E2979" s="2" t="s">
        <v>9045</v>
      </c>
      <c r="F2979" s="2" t="s">
        <v>10005</v>
      </c>
      <c r="G2979" s="2" t="s">
        <v>10005</v>
      </c>
      <c r="H2979" s="2" t="s">
        <v>10005</v>
      </c>
      <c r="I2979" s="2" t="s">
        <v>9875</v>
      </c>
      <c r="J2979" s="2" t="s">
        <v>1443</v>
      </c>
      <c r="K2979" s="2" t="s">
        <v>10018</v>
      </c>
      <c r="L2979" s="3">
        <v>14.89</v>
      </c>
      <c r="M2979" s="3">
        <v>15.63</v>
      </c>
      <c r="N2979" s="3">
        <v>31.99</v>
      </c>
      <c r="O2979" s="2" t="s">
        <v>97</v>
      </c>
      <c r="P2979" s="2" t="s">
        <v>139</v>
      </c>
      <c r="Q2979" s="2" t="s">
        <v>99</v>
      </c>
      <c r="R2979" s="2" t="s">
        <v>100</v>
      </c>
      <c r="S2979" s="2" t="s">
        <v>10019</v>
      </c>
      <c r="T2979" s="2" t="s">
        <v>9205</v>
      </c>
      <c r="U2979" s="2" t="s">
        <v>100</v>
      </c>
      <c r="V2979" s="2" t="s">
        <v>269</v>
      </c>
      <c r="W2979" s="2" t="s">
        <v>609</v>
      </c>
      <c r="X2979" s="2" t="s">
        <v>100</v>
      </c>
      <c r="Y2979" s="2" t="s">
        <v>3452</v>
      </c>
      <c r="Z2979" s="4"/>
      <c r="AA2979" s="4">
        <f>=ROUNDDOWN({0},0)</f>
      </c>
      <c r="AB2979" s="5">
        <v>58</v>
      </c>
      <c r="AC2979" s="2" t="s">
        <v>1468</v>
      </c>
      <c r="AD2979" s="4">
        <v>574</v>
      </c>
      <c r="AE2979" s="4">
        <v>1667</v>
      </c>
      <c r="AF2979" s="6">
        <v>65</v>
      </c>
      <c r="AG2979" s="6"/>
      <c r="AH2979" s="7">
        <v>0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>
        <v>5</v>
      </c>
      <c r="AW2979" s="8">
        <v>113.76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/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>
        <v>0.24</v>
      </c>
      <c r="BJ2979" s="4"/>
      <c r="BK2979" s="8"/>
      <c r="BL2979" s="2" t="s">
        <v>100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109</v>
      </c>
      <c r="BV2979" s="2" t="s">
        <v>97</v>
      </c>
      <c r="BW2979" s="2" t="s">
        <v>1792</v>
      </c>
      <c r="BX2979" s="2" t="s">
        <v>1030</v>
      </c>
      <c r="BY2979" s="2" t="s">
        <v>112</v>
      </c>
      <c r="BZ2979" s="2" t="s">
        <v>149</v>
      </c>
    </row>
    <row r="2980">
      <c r="A2980" s="2" t="s">
        <v>10020</v>
      </c>
      <c r="B2980" s="2" t="s">
        <v>9043</v>
      </c>
      <c r="C2980" s="2" t="s">
        <v>4466</v>
      </c>
      <c r="D2980" s="2" t="s">
        <v>9044</v>
      </c>
      <c r="E2980" s="2" t="s">
        <v>9045</v>
      </c>
      <c r="F2980" s="2" t="s">
        <v>10005</v>
      </c>
      <c r="G2980" s="2" t="s">
        <v>10005</v>
      </c>
      <c r="H2980" s="2" t="s">
        <v>10005</v>
      </c>
      <c r="I2980" s="2" t="s">
        <v>9875</v>
      </c>
      <c r="J2980" s="2" t="s">
        <v>1806</v>
      </c>
      <c r="K2980" s="2" t="s">
        <v>10018</v>
      </c>
      <c r="L2980" s="3">
        <v>16.16</v>
      </c>
      <c r="M2980" s="3">
        <v>16.97</v>
      </c>
      <c r="N2980" s="3">
        <v>34.99</v>
      </c>
      <c r="O2980" s="2" t="s">
        <v>97</v>
      </c>
      <c r="P2980" s="2" t="s">
        <v>156</v>
      </c>
      <c r="Q2980" s="2" t="s">
        <v>99</v>
      </c>
      <c r="R2980" s="2" t="s">
        <v>100</v>
      </c>
      <c r="S2980" s="2" t="s">
        <v>10019</v>
      </c>
      <c r="T2980" s="2" t="s">
        <v>9205</v>
      </c>
      <c r="U2980" s="2" t="s">
        <v>901</v>
      </c>
      <c r="V2980" s="2" t="s">
        <v>269</v>
      </c>
      <c r="W2980" s="2" t="s">
        <v>609</v>
      </c>
      <c r="X2980" s="2" t="s">
        <v>100</v>
      </c>
      <c r="Y2980" s="2" t="s">
        <v>1886</v>
      </c>
      <c r="Z2980" s="4">
        <v>3</v>
      </c>
      <c r="AA2980" s="4">
        <f>=ROUNDDOWN(0.0461538461538462,0)</f>
      </c>
      <c r="AB2980" s="5">
        <v>65</v>
      </c>
      <c r="AC2980" s="2" t="s">
        <v>1468</v>
      </c>
      <c r="AD2980" s="4">
        <v>630</v>
      </c>
      <c r="AE2980" s="4">
        <v>1788</v>
      </c>
      <c r="AF2980" s="6">
        <v>65</v>
      </c>
      <c r="AG2980" s="6"/>
      <c r="AH2980" s="7">
        <v>0.7097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3</v>
      </c>
      <c r="AQ2980" s="8">
        <v>53.88</v>
      </c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>
        <v>0.4736</v>
      </c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 t="s">
        <v>100</v>
      </c>
      <c r="BJ2980" s="4">
        <v>67</v>
      </c>
      <c r="BK2980" s="8">
        <v>1220.9</v>
      </c>
      <c r="BL2980" s="2" t="s">
        <v>10021</v>
      </c>
      <c r="BM2980" s="7">
        <v>0.0448</v>
      </c>
      <c r="BN2980" s="7">
        <v>0.0441</v>
      </c>
      <c r="BO2980" s="4">
        <v>3</v>
      </c>
      <c r="BP2980" s="8">
        <v>53.88</v>
      </c>
      <c r="BQ2980" s="4"/>
      <c r="BR2980" s="8"/>
      <c r="BS2980" s="7"/>
      <c r="BT2980" s="7"/>
      <c r="BU2980" s="2" t="s">
        <v>109</v>
      </c>
      <c r="BV2980" s="2" t="s">
        <v>97</v>
      </c>
      <c r="BW2980" s="2" t="s">
        <v>1792</v>
      </c>
      <c r="BX2980" s="2" t="s">
        <v>10022</v>
      </c>
      <c r="BY2980" s="2" t="s">
        <v>112</v>
      </c>
      <c r="BZ2980" s="2" t="s">
        <v>149</v>
      </c>
    </row>
    <row r="2981">
      <c r="A2981" s="2" t="s">
        <v>10023</v>
      </c>
      <c r="B2981" s="2" t="s">
        <v>9043</v>
      </c>
      <c r="C2981" s="2" t="s">
        <v>4466</v>
      </c>
      <c r="D2981" s="2" t="s">
        <v>9044</v>
      </c>
      <c r="E2981" s="2" t="s">
        <v>9045</v>
      </c>
      <c r="F2981" s="2" t="s">
        <v>10005</v>
      </c>
      <c r="G2981" s="2" t="s">
        <v>10005</v>
      </c>
      <c r="H2981" s="2" t="s">
        <v>10005</v>
      </c>
      <c r="I2981" s="2" t="s">
        <v>9875</v>
      </c>
      <c r="J2981" s="2" t="s">
        <v>95</v>
      </c>
      <c r="K2981" s="2" t="s">
        <v>10018</v>
      </c>
      <c r="L2981" s="3">
        <v>22.21</v>
      </c>
      <c r="M2981" s="3">
        <v>23.32</v>
      </c>
      <c r="N2981" s="3">
        <v>47.99</v>
      </c>
      <c r="O2981" s="2" t="s">
        <v>97</v>
      </c>
      <c r="P2981" s="2" t="s">
        <v>317</v>
      </c>
      <c r="Q2981" s="2" t="s">
        <v>99</v>
      </c>
      <c r="R2981" s="2" t="s">
        <v>100</v>
      </c>
      <c r="S2981" s="2" t="s">
        <v>10019</v>
      </c>
      <c r="T2981" s="2" t="s">
        <v>9205</v>
      </c>
      <c r="U2981" s="2" t="s">
        <v>100</v>
      </c>
      <c r="V2981" s="2" t="s">
        <v>269</v>
      </c>
      <c r="W2981" s="2" t="s">
        <v>609</v>
      </c>
      <c r="X2981" s="2" t="s">
        <v>100</v>
      </c>
      <c r="Y2981" s="2" t="s">
        <v>144</v>
      </c>
      <c r="Z2981" s="4"/>
      <c r="AA2981" s="4">
        <f>=ROUNDDOWN({0},0)</f>
      </c>
      <c r="AB2981" s="5">
        <v>74</v>
      </c>
      <c r="AC2981" s="2" t="s">
        <v>1468</v>
      </c>
      <c r="AD2981" s="4">
        <v>718</v>
      </c>
      <c r="AE2981" s="4">
        <v>2000</v>
      </c>
      <c r="AF2981" s="6">
        <v>65</v>
      </c>
      <c r="AG2981" s="6"/>
      <c r="AH2981" s="7">
        <v>0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/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 t="s">
        <v>100</v>
      </c>
      <c r="BJ2981" s="4"/>
      <c r="BK2981" s="8"/>
      <c r="BL2981" s="2" t="s">
        <v>100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109</v>
      </c>
      <c r="BV2981" s="2" t="s">
        <v>97</v>
      </c>
      <c r="BW2981" s="2" t="s">
        <v>1792</v>
      </c>
      <c r="BX2981" s="2" t="s">
        <v>1725</v>
      </c>
      <c r="BY2981" s="2" t="s">
        <v>112</v>
      </c>
      <c r="BZ2981" s="2" t="s">
        <v>149</v>
      </c>
    </row>
    <row r="2982">
      <c r="A2982" s="2" t="s">
        <v>10024</v>
      </c>
      <c r="B2982" s="2" t="s">
        <v>9043</v>
      </c>
      <c r="C2982" s="2" t="s">
        <v>4466</v>
      </c>
      <c r="D2982" s="2" t="s">
        <v>9044</v>
      </c>
      <c r="E2982" s="2" t="s">
        <v>9045</v>
      </c>
      <c r="F2982" s="2" t="s">
        <v>10005</v>
      </c>
      <c r="G2982" s="2" t="s">
        <v>10005</v>
      </c>
      <c r="H2982" s="2" t="s">
        <v>10005</v>
      </c>
      <c r="I2982" s="2" t="s">
        <v>9875</v>
      </c>
      <c r="J2982" s="2" t="s">
        <v>114</v>
      </c>
      <c r="K2982" s="2" t="s">
        <v>10018</v>
      </c>
      <c r="L2982" s="3">
        <v>27.39</v>
      </c>
      <c r="M2982" s="3">
        <v>28.76</v>
      </c>
      <c r="N2982" s="3">
        <v>62.99</v>
      </c>
      <c r="O2982" s="2" t="s">
        <v>97</v>
      </c>
      <c r="P2982" s="2" t="s">
        <v>98</v>
      </c>
      <c r="Q2982" s="2" t="s">
        <v>99</v>
      </c>
      <c r="R2982" s="2" t="s">
        <v>100</v>
      </c>
      <c r="S2982" s="2" t="s">
        <v>10019</v>
      </c>
      <c r="T2982" s="2" t="s">
        <v>9205</v>
      </c>
      <c r="U2982" s="2" t="s">
        <v>100</v>
      </c>
      <c r="V2982" s="2" t="s">
        <v>269</v>
      </c>
      <c r="W2982" s="2" t="s">
        <v>609</v>
      </c>
      <c r="X2982" s="2" t="s">
        <v>100</v>
      </c>
      <c r="Y2982" s="2" t="s">
        <v>144</v>
      </c>
      <c r="Z2982" s="4">
        <v>18</v>
      </c>
      <c r="AA2982" s="4">
        <f>=ROUNDDOWN(0.461538461538462,0)</f>
      </c>
      <c r="AB2982" s="5">
        <v>39</v>
      </c>
      <c r="AC2982" s="2" t="s">
        <v>1468</v>
      </c>
      <c r="AD2982" s="4">
        <v>382</v>
      </c>
      <c r="AE2982" s="4">
        <v>1143</v>
      </c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2</v>
      </c>
      <c r="AQ2982" s="8">
        <v>59.88</v>
      </c>
      <c r="AR2982" s="4"/>
      <c r="AS2982" s="8"/>
      <c r="AT2982" s="7"/>
      <c r="AU2982" s="7"/>
      <c r="AV2982" s="4" t="s">
        <v>100</v>
      </c>
      <c r="AW2982" s="8" t="s">
        <v>100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>
        <v>0.5264</v>
      </c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 t="s">
        <v>100</v>
      </c>
      <c r="BJ2982" s="4">
        <v>36</v>
      </c>
      <c r="BK2982" s="8">
        <v>1076.37</v>
      </c>
      <c r="BL2982" s="2" t="s">
        <v>10025</v>
      </c>
      <c r="BM2982" s="7">
        <v>0.0556</v>
      </c>
      <c r="BN2982" s="7">
        <v>0.0556</v>
      </c>
      <c r="BO2982" s="4">
        <v>2</v>
      </c>
      <c r="BP2982" s="8">
        <v>59.88</v>
      </c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1792</v>
      </c>
      <c r="BX2982" s="2" t="s">
        <v>10026</v>
      </c>
      <c r="BY2982" s="2" t="s">
        <v>112</v>
      </c>
      <c r="BZ2982" s="2" t="s">
        <v>100</v>
      </c>
    </row>
    <row r="2983">
      <c r="A2983" s="2" t="s">
        <v>10027</v>
      </c>
      <c r="B2983" s="2" t="s">
        <v>9043</v>
      </c>
      <c r="C2983" s="2" t="s">
        <v>4466</v>
      </c>
      <c r="D2983" s="2" t="s">
        <v>9044</v>
      </c>
      <c r="E2983" s="2" t="s">
        <v>9045</v>
      </c>
      <c r="F2983" s="2" t="s">
        <v>10005</v>
      </c>
      <c r="G2983" s="2" t="s">
        <v>10005</v>
      </c>
      <c r="H2983" s="2" t="s">
        <v>10005</v>
      </c>
      <c r="I2983" s="2" t="s">
        <v>9875</v>
      </c>
      <c r="J2983" s="2" t="s">
        <v>118</v>
      </c>
      <c r="K2983" s="2" t="s">
        <v>10018</v>
      </c>
      <c r="L2983" s="3">
        <v>27.39</v>
      </c>
      <c r="M2983" s="3">
        <v>28.76</v>
      </c>
      <c r="N2983" s="3">
        <v>62.99</v>
      </c>
      <c r="O2983" s="2" t="s">
        <v>97</v>
      </c>
      <c r="P2983" s="2" t="s">
        <v>98</v>
      </c>
      <c r="Q2983" s="2" t="s">
        <v>99</v>
      </c>
      <c r="R2983" s="2" t="s">
        <v>100</v>
      </c>
      <c r="S2983" s="2" t="s">
        <v>10019</v>
      </c>
      <c r="T2983" s="2" t="s">
        <v>9205</v>
      </c>
      <c r="U2983" s="2" t="s">
        <v>100</v>
      </c>
      <c r="V2983" s="2" t="s">
        <v>269</v>
      </c>
      <c r="W2983" s="2" t="s">
        <v>609</v>
      </c>
      <c r="X2983" s="2" t="s">
        <v>100</v>
      </c>
      <c r="Y2983" s="2" t="s">
        <v>1886</v>
      </c>
      <c r="Z2983" s="4">
        <v>2</v>
      </c>
      <c r="AA2983" s="4">
        <f>=ROUNDDOWN(0.08,0)</f>
      </c>
      <c r="AB2983" s="5">
        <v>25</v>
      </c>
      <c r="AC2983" s="2" t="s">
        <v>1468</v>
      </c>
      <c r="AD2983" s="4">
        <v>254</v>
      </c>
      <c r="AE2983" s="4">
        <v>727</v>
      </c>
      <c r="AF2983" s="6">
        <v>65</v>
      </c>
      <c r="AG2983" s="6"/>
      <c r="AH2983" s="7">
        <v>0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 t="s">
        <v>100</v>
      </c>
      <c r="AW2983" s="8" t="s">
        <v>100</v>
      </c>
      <c r="AX2983" s="4" t="s">
        <v>100</v>
      </c>
      <c r="AY2983" s="8" t="s">
        <v>100</v>
      </c>
      <c r="AZ2983" s="7" t="s">
        <v>100</v>
      </c>
      <c r="BA2983" s="7" t="s">
        <v>100</v>
      </c>
      <c r="BB2983" s="7"/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 t="s">
        <v>100</v>
      </c>
      <c r="BJ2983" s="4"/>
      <c r="BK2983" s="8"/>
      <c r="BL2983" s="2" t="s">
        <v>100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109</v>
      </c>
      <c r="BV2983" s="2" t="s">
        <v>97</v>
      </c>
      <c r="BW2983" s="2" t="s">
        <v>1792</v>
      </c>
      <c r="BX2983" s="2" t="s">
        <v>5709</v>
      </c>
      <c r="BY2983" s="2" t="s">
        <v>112</v>
      </c>
      <c r="BZ2983" s="2" t="s">
        <v>149</v>
      </c>
    </row>
    <row r="2984">
      <c r="A2984" s="2" t="s">
        <v>10028</v>
      </c>
      <c r="B2984" s="2" t="s">
        <v>9043</v>
      </c>
      <c r="C2984" s="2" t="s">
        <v>4466</v>
      </c>
      <c r="D2984" s="2" t="s">
        <v>9044</v>
      </c>
      <c r="E2984" s="2" t="s">
        <v>9045</v>
      </c>
      <c r="F2984" s="2" t="s">
        <v>10005</v>
      </c>
      <c r="G2984" s="2" t="s">
        <v>10005</v>
      </c>
      <c r="H2984" s="2" t="s">
        <v>10005</v>
      </c>
      <c r="I2984" s="2" t="s">
        <v>9875</v>
      </c>
      <c r="J2984" s="2" t="s">
        <v>490</v>
      </c>
      <c r="K2984" s="2" t="s">
        <v>10029</v>
      </c>
      <c r="L2984" s="3">
        <v>19.57</v>
      </c>
      <c r="M2984" s="3">
        <v>20.55</v>
      </c>
      <c r="N2984" s="3">
        <v>42.99</v>
      </c>
      <c r="O2984" s="2" t="s">
        <v>97</v>
      </c>
      <c r="P2984" s="2" t="s">
        <v>123</v>
      </c>
      <c r="Q2984" s="2" t="s">
        <v>99</v>
      </c>
      <c r="R2984" s="2" t="s">
        <v>100</v>
      </c>
      <c r="S2984" s="2" t="s">
        <v>10030</v>
      </c>
      <c r="T2984" s="2" t="s">
        <v>9205</v>
      </c>
      <c r="U2984" s="2" t="s">
        <v>1228</v>
      </c>
      <c r="V2984" s="2" t="s">
        <v>4677</v>
      </c>
      <c r="W2984" s="2" t="s">
        <v>609</v>
      </c>
      <c r="X2984" s="2" t="s">
        <v>270</v>
      </c>
      <c r="Y2984" s="2" t="s">
        <v>10031</v>
      </c>
      <c r="Z2984" s="4">
        <v>25</v>
      </c>
      <c r="AA2984" s="4">
        <f>=ROUNDDOWN(0.531914893617021,0)</f>
      </c>
      <c r="AB2984" s="5">
        <v>47</v>
      </c>
      <c r="AC2984" s="2" t="s">
        <v>1468</v>
      </c>
      <c r="AD2984" s="4">
        <v>460</v>
      </c>
      <c r="AE2984" s="4">
        <v>1374</v>
      </c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1</v>
      </c>
      <c r="AQ2984" s="8">
        <v>21.77</v>
      </c>
      <c r="AR2984" s="4"/>
      <c r="AS2984" s="8"/>
      <c r="AT2984" s="7"/>
      <c r="AU2984" s="7"/>
      <c r="AV2984" s="4">
        <v>2</v>
      </c>
      <c r="AW2984" s="8">
        <v>51.71</v>
      </c>
      <c r="AX2984" s="4" t="s">
        <v>100</v>
      </c>
      <c r="AY2984" s="8" t="s">
        <v>100</v>
      </c>
      <c r="AZ2984" s="7" t="s">
        <v>100</v>
      </c>
      <c r="BA2984" s="7" t="s">
        <v>100</v>
      </c>
      <c r="BB2984" s="7">
        <v>0.421</v>
      </c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>
        <v>0.1091</v>
      </c>
      <c r="BJ2984" s="4">
        <v>33</v>
      </c>
      <c r="BK2984" s="8">
        <v>721.57</v>
      </c>
      <c r="BL2984" s="2" t="s">
        <v>10032</v>
      </c>
      <c r="BM2984" s="7">
        <v>0.0303</v>
      </c>
      <c r="BN2984" s="7">
        <v>0.0302</v>
      </c>
      <c r="BO2984" s="4">
        <v>1</v>
      </c>
      <c r="BP2984" s="8">
        <v>21.77</v>
      </c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10033</v>
      </c>
      <c r="BX2984" s="2" t="s">
        <v>1606</v>
      </c>
      <c r="BY2984" s="2" t="s">
        <v>112</v>
      </c>
      <c r="BZ2984" s="2" t="s">
        <v>100</v>
      </c>
    </row>
    <row r="2985">
      <c r="A2985" s="2" t="s">
        <v>10034</v>
      </c>
      <c r="B2985" s="2" t="s">
        <v>9043</v>
      </c>
      <c r="C2985" s="2" t="s">
        <v>4466</v>
      </c>
      <c r="D2985" s="2" t="s">
        <v>9044</v>
      </c>
      <c r="E2985" s="2" t="s">
        <v>9045</v>
      </c>
      <c r="F2985" s="2" t="s">
        <v>10005</v>
      </c>
      <c r="G2985" s="2" t="s">
        <v>10005</v>
      </c>
      <c r="H2985" s="2" t="s">
        <v>10005</v>
      </c>
      <c r="I2985" s="2" t="s">
        <v>9875</v>
      </c>
      <c r="J2985" s="2" t="s">
        <v>95</v>
      </c>
      <c r="K2985" s="2" t="s">
        <v>10029</v>
      </c>
      <c r="L2985" s="3">
        <v>22.21</v>
      </c>
      <c r="M2985" s="3">
        <v>23.32</v>
      </c>
      <c r="N2985" s="3">
        <v>47.99</v>
      </c>
      <c r="O2985" s="2" t="s">
        <v>97</v>
      </c>
      <c r="P2985" s="2" t="s">
        <v>139</v>
      </c>
      <c r="Q2985" s="2" t="s">
        <v>99</v>
      </c>
      <c r="R2985" s="2" t="s">
        <v>100</v>
      </c>
      <c r="S2985" s="2" t="s">
        <v>10030</v>
      </c>
      <c r="T2985" s="2" t="s">
        <v>9205</v>
      </c>
      <c r="U2985" s="2" t="s">
        <v>1228</v>
      </c>
      <c r="V2985" s="2" t="s">
        <v>4677</v>
      </c>
      <c r="W2985" s="2" t="s">
        <v>609</v>
      </c>
      <c r="X2985" s="2" t="s">
        <v>270</v>
      </c>
      <c r="Y2985" s="2" t="s">
        <v>10031</v>
      </c>
      <c r="Z2985" s="4">
        <v>2</v>
      </c>
      <c r="AA2985" s="4">
        <f>=ROUNDDOWN(0.0232558139534884,0)</f>
      </c>
      <c r="AB2985" s="5">
        <v>86</v>
      </c>
      <c r="AC2985" s="2" t="s">
        <v>1468</v>
      </c>
      <c r="AD2985" s="4">
        <v>832</v>
      </c>
      <c r="AE2985" s="4">
        <v>2575</v>
      </c>
      <c r="AF2985" s="6">
        <v>65</v>
      </c>
      <c r="AG2985" s="6"/>
      <c r="AH2985" s="7">
        <v>0.0323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 t="s">
        <v>100</v>
      </c>
      <c r="AW2985" s="8" t="s">
        <v>100</v>
      </c>
      <c r="AX2985" s="4" t="s">
        <v>100</v>
      </c>
      <c r="AY2985" s="8" t="s">
        <v>100</v>
      </c>
      <c r="AZ2985" s="7" t="s">
        <v>100</v>
      </c>
      <c r="BA2985" s="7" t="s">
        <v>100</v>
      </c>
      <c r="BB2985" s="7"/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 t="s">
        <v>100</v>
      </c>
      <c r="BJ2985" s="4">
        <v>8</v>
      </c>
      <c r="BK2985" s="8">
        <v>194.09</v>
      </c>
      <c r="BL2985" s="2" t="s">
        <v>10035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109</v>
      </c>
      <c r="BV2985" s="2" t="s">
        <v>97</v>
      </c>
      <c r="BW2985" s="2" t="s">
        <v>10033</v>
      </c>
      <c r="BX2985" s="2" t="s">
        <v>1218</v>
      </c>
      <c r="BY2985" s="2" t="s">
        <v>112</v>
      </c>
      <c r="BZ2985" s="2" t="s">
        <v>100</v>
      </c>
    </row>
    <row r="2986">
      <c r="A2986" s="2" t="s">
        <v>10036</v>
      </c>
      <c r="B2986" s="2" t="s">
        <v>9043</v>
      </c>
      <c r="C2986" s="2" t="s">
        <v>4466</v>
      </c>
      <c r="D2986" s="2" t="s">
        <v>9044</v>
      </c>
      <c r="E2986" s="2" t="s">
        <v>9045</v>
      </c>
      <c r="F2986" s="2" t="s">
        <v>10005</v>
      </c>
      <c r="G2986" s="2" t="s">
        <v>10005</v>
      </c>
      <c r="H2986" s="2" t="s">
        <v>10005</v>
      </c>
      <c r="I2986" s="2" t="s">
        <v>9875</v>
      </c>
      <c r="J2986" s="2" t="s">
        <v>114</v>
      </c>
      <c r="K2986" s="2" t="s">
        <v>10029</v>
      </c>
      <c r="L2986" s="3">
        <v>27.39</v>
      </c>
      <c r="M2986" s="3">
        <v>28.76</v>
      </c>
      <c r="N2986" s="3">
        <v>62.99</v>
      </c>
      <c r="O2986" s="2" t="s">
        <v>97</v>
      </c>
      <c r="P2986" s="2" t="s">
        <v>98</v>
      </c>
      <c r="Q2986" s="2" t="s">
        <v>99</v>
      </c>
      <c r="R2986" s="2" t="s">
        <v>100</v>
      </c>
      <c r="S2986" s="2" t="s">
        <v>10030</v>
      </c>
      <c r="T2986" s="2" t="s">
        <v>9205</v>
      </c>
      <c r="U2986" s="2" t="s">
        <v>1228</v>
      </c>
      <c r="V2986" s="2" t="s">
        <v>4677</v>
      </c>
      <c r="W2986" s="2" t="s">
        <v>609</v>
      </c>
      <c r="X2986" s="2" t="s">
        <v>270</v>
      </c>
      <c r="Y2986" s="2" t="s">
        <v>10031</v>
      </c>
      <c r="Z2986" s="4">
        <v>3</v>
      </c>
      <c r="AA2986" s="4">
        <f>=ROUNDDOWN(0.1,0)</f>
      </c>
      <c r="AB2986" s="5">
        <v>30</v>
      </c>
      <c r="AC2986" s="2" t="s">
        <v>1468</v>
      </c>
      <c r="AD2986" s="4">
        <v>296</v>
      </c>
      <c r="AE2986" s="4">
        <v>834</v>
      </c>
      <c r="AF2986" s="6">
        <v>65</v>
      </c>
      <c r="AG2986" s="6"/>
      <c r="AH2986" s="7">
        <v>0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1</v>
      </c>
      <c r="AQ2986" s="8">
        <v>29.94</v>
      </c>
      <c r="AR2986" s="4"/>
      <c r="AS2986" s="8"/>
      <c r="AT2986" s="7"/>
      <c r="AU2986" s="7"/>
      <c r="AV2986" s="4" t="s">
        <v>100</v>
      </c>
      <c r="AW2986" s="8" t="s">
        <v>100</v>
      </c>
      <c r="AX2986" s="4" t="s">
        <v>100</v>
      </c>
      <c r="AY2986" s="8" t="s">
        <v>100</v>
      </c>
      <c r="AZ2986" s="7" t="s">
        <v>100</v>
      </c>
      <c r="BA2986" s="7" t="s">
        <v>100</v>
      </c>
      <c r="BB2986" s="7">
        <v>0.579</v>
      </c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 t="s">
        <v>100</v>
      </c>
      <c r="BJ2986" s="4">
        <v>3</v>
      </c>
      <c r="BK2986" s="8">
        <v>88.8</v>
      </c>
      <c r="BL2986" s="2" t="s">
        <v>10037</v>
      </c>
      <c r="BM2986" s="7">
        <v>0.3333</v>
      </c>
      <c r="BN2986" s="7">
        <v>0.3372</v>
      </c>
      <c r="BO2986" s="4">
        <v>1</v>
      </c>
      <c r="BP2986" s="8">
        <v>29.94</v>
      </c>
      <c r="BQ2986" s="4"/>
      <c r="BR2986" s="8"/>
      <c r="BS2986" s="7"/>
      <c r="BT2986" s="7"/>
      <c r="BU2986" s="2" t="s">
        <v>109</v>
      </c>
      <c r="BV2986" s="2" t="s">
        <v>97</v>
      </c>
      <c r="BW2986" s="2" t="s">
        <v>10033</v>
      </c>
      <c r="BX2986" s="2" t="s">
        <v>8590</v>
      </c>
      <c r="BY2986" s="2" t="s">
        <v>112</v>
      </c>
      <c r="BZ2986" s="2" t="s">
        <v>100</v>
      </c>
    </row>
    <row r="2987">
      <c r="A2987" s="2" t="s">
        <v>10038</v>
      </c>
      <c r="B2987" s="2" t="s">
        <v>9043</v>
      </c>
      <c r="C2987" s="2" t="s">
        <v>4466</v>
      </c>
      <c r="D2987" s="2" t="s">
        <v>9044</v>
      </c>
      <c r="E2987" s="2" t="s">
        <v>9045</v>
      </c>
      <c r="F2987" s="2" t="s">
        <v>10005</v>
      </c>
      <c r="G2987" s="2" t="s">
        <v>10005</v>
      </c>
      <c r="H2987" s="2" t="s">
        <v>10005</v>
      </c>
      <c r="I2987" s="2" t="s">
        <v>9875</v>
      </c>
      <c r="J2987" s="2" t="s">
        <v>1443</v>
      </c>
      <c r="K2987" s="2" t="s">
        <v>10039</v>
      </c>
      <c r="L2987" s="3">
        <v>14.89</v>
      </c>
      <c r="M2987" s="3">
        <v>15.63</v>
      </c>
      <c r="N2987" s="3">
        <v>31.99</v>
      </c>
      <c r="O2987" s="2" t="s">
        <v>97</v>
      </c>
      <c r="P2987" s="2" t="s">
        <v>98</v>
      </c>
      <c r="Q2987" s="2" t="s">
        <v>99</v>
      </c>
      <c r="R2987" s="2" t="s">
        <v>100</v>
      </c>
      <c r="S2987" s="2" t="s">
        <v>10040</v>
      </c>
      <c r="T2987" s="2" t="s">
        <v>9205</v>
      </c>
      <c r="U2987" s="2" t="s">
        <v>100</v>
      </c>
      <c r="V2987" s="2" t="s">
        <v>3451</v>
      </c>
      <c r="W2987" s="2" t="s">
        <v>609</v>
      </c>
      <c r="X2987" s="2" t="s">
        <v>100</v>
      </c>
      <c r="Y2987" s="2" t="s">
        <v>503</v>
      </c>
      <c r="Z2987" s="4">
        <v>5</v>
      </c>
      <c r="AA2987" s="4">
        <f>=ROUNDDOWN(0.121951219512195,0)</f>
      </c>
      <c r="AB2987" s="5">
        <v>41</v>
      </c>
      <c r="AC2987" s="2" t="s">
        <v>1142</v>
      </c>
      <c r="AD2987" s="4">
        <v>401</v>
      </c>
      <c r="AE2987" s="4">
        <v>1111</v>
      </c>
      <c r="AF2987" s="6">
        <v>65</v>
      </c>
      <c r="AG2987" s="6"/>
      <c r="AH2987" s="7">
        <v>0.4194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3</v>
      </c>
      <c r="AQ2987" s="8">
        <v>48.99</v>
      </c>
      <c r="AR2987" s="4"/>
      <c r="AS2987" s="8"/>
      <c r="AT2987" s="7"/>
      <c r="AU2987" s="7"/>
      <c r="AV2987" s="4">
        <v>3</v>
      </c>
      <c r="AW2987" s="8">
        <v>48.99</v>
      </c>
      <c r="AX2987" s="4" t="s">
        <v>100</v>
      </c>
      <c r="AY2987" s="8" t="s">
        <v>100</v>
      </c>
      <c r="AZ2987" s="7" t="s">
        <v>100</v>
      </c>
      <c r="BA2987" s="7" t="s">
        <v>100</v>
      </c>
      <c r="BB2987" s="7">
        <v>1</v>
      </c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>
        <v>0.1033</v>
      </c>
      <c r="BJ2987" s="4">
        <v>54</v>
      </c>
      <c r="BK2987" s="8">
        <v>924.17</v>
      </c>
      <c r="BL2987" s="2" t="s">
        <v>10041</v>
      </c>
      <c r="BM2987" s="7">
        <v>0.0556</v>
      </c>
      <c r="BN2987" s="7">
        <v>0.053</v>
      </c>
      <c r="BO2987" s="4">
        <v>3</v>
      </c>
      <c r="BP2987" s="8">
        <v>48.99</v>
      </c>
      <c r="BQ2987" s="4"/>
      <c r="BR2987" s="8"/>
      <c r="BS2987" s="7"/>
      <c r="BT2987" s="7"/>
      <c r="BU2987" s="2" t="s">
        <v>109</v>
      </c>
      <c r="BV2987" s="2" t="s">
        <v>97</v>
      </c>
      <c r="BW2987" s="2" t="s">
        <v>1792</v>
      </c>
      <c r="BX2987" s="2" t="s">
        <v>1230</v>
      </c>
      <c r="BY2987" s="2" t="s">
        <v>112</v>
      </c>
      <c r="BZ2987" s="2" t="s">
        <v>100</v>
      </c>
    </row>
    <row r="2988">
      <c r="A2988" s="2" t="s">
        <v>10042</v>
      </c>
      <c r="B2988" s="2" t="s">
        <v>9043</v>
      </c>
      <c r="C2988" s="2" t="s">
        <v>4466</v>
      </c>
      <c r="D2988" s="2" t="s">
        <v>9044</v>
      </c>
      <c r="E2988" s="2" t="s">
        <v>9045</v>
      </c>
      <c r="F2988" s="2" t="s">
        <v>10005</v>
      </c>
      <c r="G2988" s="2" t="s">
        <v>10005</v>
      </c>
      <c r="H2988" s="2" t="s">
        <v>10005</v>
      </c>
      <c r="I2988" s="2" t="s">
        <v>9875</v>
      </c>
      <c r="J2988" s="2" t="s">
        <v>1806</v>
      </c>
      <c r="K2988" s="2" t="s">
        <v>10039</v>
      </c>
      <c r="L2988" s="3">
        <v>16.16</v>
      </c>
      <c r="M2988" s="3">
        <v>16.97</v>
      </c>
      <c r="N2988" s="3">
        <v>34.99</v>
      </c>
      <c r="O2988" s="2" t="s">
        <v>97</v>
      </c>
      <c r="P2988" s="2" t="s">
        <v>123</v>
      </c>
      <c r="Q2988" s="2" t="s">
        <v>99</v>
      </c>
      <c r="R2988" s="2" t="s">
        <v>100</v>
      </c>
      <c r="S2988" s="2" t="s">
        <v>10040</v>
      </c>
      <c r="T2988" s="2" t="s">
        <v>9205</v>
      </c>
      <c r="U2988" s="2" t="s">
        <v>100</v>
      </c>
      <c r="V2988" s="2" t="s">
        <v>3451</v>
      </c>
      <c r="W2988" s="2" t="s">
        <v>609</v>
      </c>
      <c r="X2988" s="2" t="s">
        <v>100</v>
      </c>
      <c r="Y2988" s="2" t="s">
        <v>2715</v>
      </c>
      <c r="Z2988" s="4"/>
      <c r="AA2988" s="4">
        <f>=ROUNDDOWN({0},0)</f>
      </c>
      <c r="AB2988" s="5">
        <v>43</v>
      </c>
      <c r="AC2988" s="2" t="s">
        <v>1142</v>
      </c>
      <c r="AD2988" s="4">
        <v>428</v>
      </c>
      <c r="AE2988" s="4">
        <v>1229</v>
      </c>
      <c r="AF2988" s="6">
        <v>65</v>
      </c>
      <c r="AG2988" s="6"/>
      <c r="AH2988" s="7">
        <v>0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 t="s">
        <v>100</v>
      </c>
      <c r="AW2988" s="8" t="s">
        <v>100</v>
      </c>
      <c r="AX2988" s="4" t="s">
        <v>100</v>
      </c>
      <c r="AY2988" s="8" t="s">
        <v>100</v>
      </c>
      <c r="AZ2988" s="7" t="s">
        <v>100</v>
      </c>
      <c r="BA2988" s="7" t="s">
        <v>100</v>
      </c>
      <c r="BB2988" s="7"/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 t="s">
        <v>100</v>
      </c>
      <c r="BJ2988" s="4"/>
      <c r="BK2988" s="8"/>
      <c r="BL2988" s="2" t="s">
        <v>100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109</v>
      </c>
      <c r="BV2988" s="2" t="s">
        <v>97</v>
      </c>
      <c r="BW2988" s="2" t="s">
        <v>1792</v>
      </c>
      <c r="BX2988" s="2" t="s">
        <v>1268</v>
      </c>
      <c r="BY2988" s="2" t="s">
        <v>112</v>
      </c>
      <c r="BZ2988" s="2" t="s">
        <v>100</v>
      </c>
    </row>
    <row r="2989">
      <c r="A2989" s="2" t="s">
        <v>10043</v>
      </c>
      <c r="B2989" s="2" t="s">
        <v>9043</v>
      </c>
      <c r="C2989" s="2" t="s">
        <v>4466</v>
      </c>
      <c r="D2989" s="2" t="s">
        <v>9044</v>
      </c>
      <c r="E2989" s="2" t="s">
        <v>9045</v>
      </c>
      <c r="F2989" s="2" t="s">
        <v>10005</v>
      </c>
      <c r="G2989" s="2" t="s">
        <v>10005</v>
      </c>
      <c r="H2989" s="2" t="s">
        <v>10005</v>
      </c>
      <c r="I2989" s="2" t="s">
        <v>9875</v>
      </c>
      <c r="J2989" s="2" t="s">
        <v>490</v>
      </c>
      <c r="K2989" s="2" t="s">
        <v>10039</v>
      </c>
      <c r="L2989" s="3">
        <v>19.57</v>
      </c>
      <c r="M2989" s="3">
        <v>20.55</v>
      </c>
      <c r="N2989" s="3">
        <v>42.99</v>
      </c>
      <c r="O2989" s="2" t="s">
        <v>97</v>
      </c>
      <c r="P2989" s="2" t="s">
        <v>156</v>
      </c>
      <c r="Q2989" s="2" t="s">
        <v>99</v>
      </c>
      <c r="R2989" s="2" t="s">
        <v>100</v>
      </c>
      <c r="S2989" s="2" t="s">
        <v>10040</v>
      </c>
      <c r="T2989" s="2" t="s">
        <v>9205</v>
      </c>
      <c r="U2989" s="2" t="s">
        <v>100</v>
      </c>
      <c r="V2989" s="2" t="s">
        <v>3451</v>
      </c>
      <c r="W2989" s="2" t="s">
        <v>609</v>
      </c>
      <c r="X2989" s="2" t="s">
        <v>100</v>
      </c>
      <c r="Y2989" s="2" t="s">
        <v>503</v>
      </c>
      <c r="Z2989" s="4">
        <v>3</v>
      </c>
      <c r="AA2989" s="4">
        <f>=ROUNDDOWN(0.06,0)</f>
      </c>
      <c r="AB2989" s="5">
        <v>50</v>
      </c>
      <c r="AC2989" s="2" t="s">
        <v>1142</v>
      </c>
      <c r="AD2989" s="4">
        <v>485</v>
      </c>
      <c r="AE2989" s="4">
        <v>1396</v>
      </c>
      <c r="AF2989" s="6">
        <v>65</v>
      </c>
      <c r="AG2989" s="6"/>
      <c r="AH2989" s="7">
        <v>0.2903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100</v>
      </c>
      <c r="AW2989" s="8" t="s">
        <v>100</v>
      </c>
      <c r="AX2989" s="4" t="s">
        <v>100</v>
      </c>
      <c r="AY2989" s="8" t="s">
        <v>100</v>
      </c>
      <c r="AZ2989" s="7" t="s">
        <v>100</v>
      </c>
      <c r="BA2989" s="7" t="s">
        <v>100</v>
      </c>
      <c r="BB2989" s="7"/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 t="s">
        <v>100</v>
      </c>
      <c r="BJ2989" s="4">
        <v>14</v>
      </c>
      <c r="BK2989" s="8">
        <v>303.73</v>
      </c>
      <c r="BL2989" s="2" t="s">
        <v>10044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109</v>
      </c>
      <c r="BV2989" s="2" t="s">
        <v>97</v>
      </c>
      <c r="BW2989" s="2" t="s">
        <v>1792</v>
      </c>
      <c r="BX2989" s="2" t="s">
        <v>4348</v>
      </c>
      <c r="BY2989" s="2" t="s">
        <v>112</v>
      </c>
      <c r="BZ2989" s="2" t="s">
        <v>100</v>
      </c>
    </row>
    <row r="2990">
      <c r="A2990" s="2" t="s">
        <v>10045</v>
      </c>
      <c r="B2990" s="2" t="s">
        <v>9043</v>
      </c>
      <c r="C2990" s="2" t="s">
        <v>4466</v>
      </c>
      <c r="D2990" s="2" t="s">
        <v>9044</v>
      </c>
      <c r="E2990" s="2" t="s">
        <v>9045</v>
      </c>
      <c r="F2990" s="2" t="s">
        <v>10005</v>
      </c>
      <c r="G2990" s="2" t="s">
        <v>10005</v>
      </c>
      <c r="H2990" s="2" t="s">
        <v>10005</v>
      </c>
      <c r="I2990" s="2" t="s">
        <v>9875</v>
      </c>
      <c r="J2990" s="2" t="s">
        <v>95</v>
      </c>
      <c r="K2990" s="2" t="s">
        <v>10039</v>
      </c>
      <c r="L2990" s="3">
        <v>22.21</v>
      </c>
      <c r="M2990" s="3">
        <v>23.32</v>
      </c>
      <c r="N2990" s="3">
        <v>47.99</v>
      </c>
      <c r="O2990" s="2" t="s">
        <v>97</v>
      </c>
      <c r="P2990" s="2" t="s">
        <v>317</v>
      </c>
      <c r="Q2990" s="2" t="s">
        <v>99</v>
      </c>
      <c r="R2990" s="2" t="s">
        <v>100</v>
      </c>
      <c r="S2990" s="2" t="s">
        <v>10040</v>
      </c>
      <c r="T2990" s="2" t="s">
        <v>9205</v>
      </c>
      <c r="U2990" s="2" t="s">
        <v>100</v>
      </c>
      <c r="V2990" s="2" t="s">
        <v>3451</v>
      </c>
      <c r="W2990" s="2" t="s">
        <v>609</v>
      </c>
      <c r="X2990" s="2" t="s">
        <v>100</v>
      </c>
      <c r="Y2990" s="2" t="s">
        <v>2715</v>
      </c>
      <c r="Z2990" s="4"/>
      <c r="AA2990" s="4">
        <f>=ROUNDDOWN({0},0)</f>
      </c>
      <c r="AB2990" s="5">
        <v>125</v>
      </c>
      <c r="AC2990" s="2" t="s">
        <v>1142</v>
      </c>
      <c r="AD2990" s="4">
        <v>1203</v>
      </c>
      <c r="AE2990" s="4">
        <v>3503</v>
      </c>
      <c r="AF2990" s="6">
        <v>65</v>
      </c>
      <c r="AG2990" s="6"/>
      <c r="AH2990" s="7">
        <v>0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100</v>
      </c>
      <c r="AW2990" s="8" t="s">
        <v>100</v>
      </c>
      <c r="AX2990" s="4" t="s">
        <v>100</v>
      </c>
      <c r="AY2990" s="8" t="s">
        <v>100</v>
      </c>
      <c r="AZ2990" s="7" t="s">
        <v>100</v>
      </c>
      <c r="BA2990" s="7" t="s">
        <v>100</v>
      </c>
      <c r="BB2990" s="7"/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 t="s">
        <v>100</v>
      </c>
      <c r="BJ2990" s="4"/>
      <c r="BK2990" s="8"/>
      <c r="BL2990" s="2" t="s">
        <v>100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109</v>
      </c>
      <c r="BV2990" s="2" t="s">
        <v>97</v>
      </c>
      <c r="BW2990" s="2" t="s">
        <v>1792</v>
      </c>
      <c r="BX2990" s="2" t="s">
        <v>1230</v>
      </c>
      <c r="BY2990" s="2" t="s">
        <v>112</v>
      </c>
      <c r="BZ2990" s="2" t="s">
        <v>100</v>
      </c>
    </row>
    <row r="2991">
      <c r="A2991" s="2" t="s">
        <v>10046</v>
      </c>
      <c r="B2991" s="2" t="s">
        <v>9043</v>
      </c>
      <c r="C2991" s="2" t="s">
        <v>4466</v>
      </c>
      <c r="D2991" s="2" t="s">
        <v>9044</v>
      </c>
      <c r="E2991" s="2" t="s">
        <v>9045</v>
      </c>
      <c r="F2991" s="2" t="s">
        <v>10005</v>
      </c>
      <c r="G2991" s="2" t="s">
        <v>10005</v>
      </c>
      <c r="H2991" s="2" t="s">
        <v>10005</v>
      </c>
      <c r="I2991" s="2" t="s">
        <v>9875</v>
      </c>
      <c r="J2991" s="2" t="s">
        <v>114</v>
      </c>
      <c r="K2991" s="2" t="s">
        <v>10039</v>
      </c>
      <c r="L2991" s="3">
        <v>27.39</v>
      </c>
      <c r="M2991" s="3">
        <v>28.76</v>
      </c>
      <c r="N2991" s="3">
        <v>62.99</v>
      </c>
      <c r="O2991" s="2" t="s">
        <v>97</v>
      </c>
      <c r="P2991" s="2" t="s">
        <v>98</v>
      </c>
      <c r="Q2991" s="2" t="s">
        <v>99</v>
      </c>
      <c r="R2991" s="2" t="s">
        <v>100</v>
      </c>
      <c r="S2991" s="2" t="s">
        <v>10040</v>
      </c>
      <c r="T2991" s="2" t="s">
        <v>9205</v>
      </c>
      <c r="U2991" s="2" t="s">
        <v>100</v>
      </c>
      <c r="V2991" s="2" t="s">
        <v>3451</v>
      </c>
      <c r="W2991" s="2" t="s">
        <v>609</v>
      </c>
      <c r="X2991" s="2" t="s">
        <v>100</v>
      </c>
      <c r="Y2991" s="2" t="s">
        <v>503</v>
      </c>
      <c r="Z2991" s="4">
        <v>109</v>
      </c>
      <c r="AA2991" s="4">
        <f>=ROUNDDOWN(2.86842105263158,0)</f>
      </c>
      <c r="AB2991" s="5">
        <v>38</v>
      </c>
      <c r="AC2991" s="2" t="s">
        <v>1142</v>
      </c>
      <c r="AD2991" s="4">
        <v>377</v>
      </c>
      <c r="AE2991" s="4">
        <v>1063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100</v>
      </c>
      <c r="AW2991" s="8" t="s">
        <v>100</v>
      </c>
      <c r="AX2991" s="4" t="s">
        <v>100</v>
      </c>
      <c r="AY2991" s="8" t="s">
        <v>100</v>
      </c>
      <c r="AZ2991" s="7" t="s">
        <v>100</v>
      </c>
      <c r="BA2991" s="7" t="s">
        <v>100</v>
      </c>
      <c r="BB2991" s="7"/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 t="s">
        <v>100</v>
      </c>
      <c r="BJ2991" s="4">
        <v>46</v>
      </c>
      <c r="BK2991" s="8">
        <v>1375.14</v>
      </c>
      <c r="BL2991" s="2" t="s">
        <v>328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1792</v>
      </c>
      <c r="BX2991" s="2" t="s">
        <v>2128</v>
      </c>
      <c r="BY2991" s="2" t="s">
        <v>112</v>
      </c>
      <c r="BZ2991" s="2" t="s">
        <v>100</v>
      </c>
    </row>
    <row r="2992">
      <c r="A2992" s="2" t="s">
        <v>10047</v>
      </c>
      <c r="B2992" s="2" t="s">
        <v>9043</v>
      </c>
      <c r="C2992" s="2" t="s">
        <v>4466</v>
      </c>
      <c r="D2992" s="2" t="s">
        <v>9044</v>
      </c>
      <c r="E2992" s="2" t="s">
        <v>9045</v>
      </c>
      <c r="F2992" s="2" t="s">
        <v>10005</v>
      </c>
      <c r="G2992" s="2" t="s">
        <v>10005</v>
      </c>
      <c r="H2992" s="2" t="s">
        <v>10005</v>
      </c>
      <c r="I2992" s="2" t="s">
        <v>9875</v>
      </c>
      <c r="J2992" s="2" t="s">
        <v>118</v>
      </c>
      <c r="K2992" s="2" t="s">
        <v>10039</v>
      </c>
      <c r="L2992" s="3">
        <v>27.39</v>
      </c>
      <c r="M2992" s="3">
        <v>28.76</v>
      </c>
      <c r="N2992" s="3">
        <v>62.99</v>
      </c>
      <c r="O2992" s="2" t="s">
        <v>97</v>
      </c>
      <c r="P2992" s="2" t="s">
        <v>98</v>
      </c>
      <c r="Q2992" s="2" t="s">
        <v>99</v>
      </c>
      <c r="R2992" s="2" t="s">
        <v>100</v>
      </c>
      <c r="S2992" s="2" t="s">
        <v>10040</v>
      </c>
      <c r="T2992" s="2" t="s">
        <v>9205</v>
      </c>
      <c r="U2992" s="2" t="s">
        <v>100</v>
      </c>
      <c r="V2992" s="2" t="s">
        <v>3451</v>
      </c>
      <c r="W2992" s="2" t="s">
        <v>609</v>
      </c>
      <c r="X2992" s="2" t="s">
        <v>100</v>
      </c>
      <c r="Y2992" s="2" t="s">
        <v>503</v>
      </c>
      <c r="Z2992" s="4">
        <v>3</v>
      </c>
      <c r="AA2992" s="4">
        <f>=ROUNDDOWN(0.12,0)</f>
      </c>
      <c r="AB2992" s="5">
        <v>25</v>
      </c>
      <c r="AC2992" s="2" t="s">
        <v>1142</v>
      </c>
      <c r="AD2992" s="4">
        <v>253</v>
      </c>
      <c r="AE2992" s="4">
        <v>723</v>
      </c>
      <c r="AF2992" s="6">
        <v>65</v>
      </c>
      <c r="AG2992" s="6"/>
      <c r="AH2992" s="7">
        <v>0.9355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100</v>
      </c>
      <c r="AW2992" s="8" t="s">
        <v>100</v>
      </c>
      <c r="AX2992" s="4" t="s">
        <v>100</v>
      </c>
      <c r="AY2992" s="8" t="s">
        <v>100</v>
      </c>
      <c r="AZ2992" s="7" t="s">
        <v>100</v>
      </c>
      <c r="BA2992" s="7" t="s">
        <v>100</v>
      </c>
      <c r="BB2992" s="7"/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 t="s">
        <v>100</v>
      </c>
      <c r="BJ2992" s="4">
        <v>23</v>
      </c>
      <c r="BK2992" s="8">
        <v>704.23</v>
      </c>
      <c r="BL2992" s="2" t="s">
        <v>1271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1792</v>
      </c>
      <c r="BX2992" s="2" t="s">
        <v>10048</v>
      </c>
      <c r="BY2992" s="2" t="s">
        <v>112</v>
      </c>
      <c r="BZ2992" s="2" t="s">
        <v>100</v>
      </c>
    </row>
    <row r="2993">
      <c r="A2993" s="2" t="s">
        <v>10049</v>
      </c>
      <c r="B2993" s="2" t="s">
        <v>9043</v>
      </c>
      <c r="C2993" s="2" t="s">
        <v>4466</v>
      </c>
      <c r="D2993" s="2" t="s">
        <v>9044</v>
      </c>
      <c r="E2993" s="2" t="s">
        <v>9045</v>
      </c>
      <c r="F2993" s="2" t="s">
        <v>10005</v>
      </c>
      <c r="G2993" s="2" t="s">
        <v>10005</v>
      </c>
      <c r="H2993" s="2" t="s">
        <v>10005</v>
      </c>
      <c r="I2993" s="2" t="s">
        <v>9875</v>
      </c>
      <c r="J2993" s="2" t="s">
        <v>1443</v>
      </c>
      <c r="K2993" s="2" t="s">
        <v>10050</v>
      </c>
      <c r="L2993" s="3">
        <v>14.89</v>
      </c>
      <c r="M2993" s="3">
        <v>15.63</v>
      </c>
      <c r="N2993" s="3">
        <v>31.99</v>
      </c>
      <c r="O2993" s="2" t="s">
        <v>97</v>
      </c>
      <c r="P2993" s="2" t="s">
        <v>98</v>
      </c>
      <c r="Q2993" s="2" t="s">
        <v>99</v>
      </c>
      <c r="R2993" s="2" t="s">
        <v>100</v>
      </c>
      <c r="S2993" s="2" t="s">
        <v>10051</v>
      </c>
      <c r="T2993" s="2" t="s">
        <v>9205</v>
      </c>
      <c r="U2993" s="2" t="s">
        <v>100</v>
      </c>
      <c r="V2993" s="2" t="s">
        <v>269</v>
      </c>
      <c r="W2993" s="2" t="s">
        <v>609</v>
      </c>
      <c r="X2993" s="2" t="s">
        <v>100</v>
      </c>
      <c r="Y2993" s="2" t="s">
        <v>499</v>
      </c>
      <c r="Z2993" s="4">
        <v>1</v>
      </c>
      <c r="AA2993" s="4">
        <f>=ROUNDDOWN(0.0178571428571429,0)</f>
      </c>
      <c r="AB2993" s="5">
        <v>56</v>
      </c>
      <c r="AC2993" s="2" t="s">
        <v>1142</v>
      </c>
      <c r="AD2993" s="4">
        <v>551</v>
      </c>
      <c r="AE2993" s="4">
        <v>1650</v>
      </c>
      <c r="AF2993" s="6">
        <v>65</v>
      </c>
      <c r="AG2993" s="6"/>
      <c r="AH2993" s="7">
        <v>0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>
        <v>2</v>
      </c>
      <c r="AW2993" s="8">
        <v>35.92</v>
      </c>
      <c r="AX2993" s="4" t="s">
        <v>100</v>
      </c>
      <c r="AY2993" s="8" t="s">
        <v>100</v>
      </c>
      <c r="AZ2993" s="7" t="s">
        <v>100</v>
      </c>
      <c r="BA2993" s="7" t="s">
        <v>100</v>
      </c>
      <c r="BB2993" s="7"/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>
        <v>0.0758</v>
      </c>
      <c r="BJ2993" s="4"/>
      <c r="BK2993" s="8"/>
      <c r="BL2993" s="2" t="s">
        <v>100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109</v>
      </c>
      <c r="BV2993" s="2" t="s">
        <v>97</v>
      </c>
      <c r="BW2993" s="2" t="s">
        <v>1792</v>
      </c>
      <c r="BX2993" s="2" t="s">
        <v>227</v>
      </c>
      <c r="BY2993" s="2" t="s">
        <v>112</v>
      </c>
      <c r="BZ2993" s="2" t="s">
        <v>100</v>
      </c>
    </row>
    <row r="2994">
      <c r="A2994" s="2" t="s">
        <v>10052</v>
      </c>
      <c r="B2994" s="2" t="s">
        <v>9043</v>
      </c>
      <c r="C2994" s="2" t="s">
        <v>4466</v>
      </c>
      <c r="D2994" s="2" t="s">
        <v>9044</v>
      </c>
      <c r="E2994" s="2" t="s">
        <v>9045</v>
      </c>
      <c r="F2994" s="2" t="s">
        <v>10005</v>
      </c>
      <c r="G2994" s="2" t="s">
        <v>10005</v>
      </c>
      <c r="H2994" s="2" t="s">
        <v>10005</v>
      </c>
      <c r="I2994" s="2" t="s">
        <v>9875</v>
      </c>
      <c r="J2994" s="2" t="s">
        <v>1806</v>
      </c>
      <c r="K2994" s="2" t="s">
        <v>10050</v>
      </c>
      <c r="L2994" s="3">
        <v>16.16</v>
      </c>
      <c r="M2994" s="3">
        <v>16.97</v>
      </c>
      <c r="N2994" s="3">
        <v>34.99</v>
      </c>
      <c r="O2994" s="2" t="s">
        <v>97</v>
      </c>
      <c r="P2994" s="2" t="s">
        <v>98</v>
      </c>
      <c r="Q2994" s="2" t="s">
        <v>99</v>
      </c>
      <c r="R2994" s="2" t="s">
        <v>100</v>
      </c>
      <c r="S2994" s="2" t="s">
        <v>10051</v>
      </c>
      <c r="T2994" s="2" t="s">
        <v>9205</v>
      </c>
      <c r="U2994" s="2" t="s">
        <v>100</v>
      </c>
      <c r="V2994" s="2" t="s">
        <v>269</v>
      </c>
      <c r="W2994" s="2" t="s">
        <v>609</v>
      </c>
      <c r="X2994" s="2" t="s">
        <v>100</v>
      </c>
      <c r="Y2994" s="2" t="s">
        <v>499</v>
      </c>
      <c r="Z2994" s="4">
        <v>3</v>
      </c>
      <c r="AA2994" s="4">
        <f>=ROUNDDOWN(0.0681818181818182,0)</f>
      </c>
      <c r="AB2994" s="5">
        <v>44</v>
      </c>
      <c r="AC2994" s="2" t="s">
        <v>1142</v>
      </c>
      <c r="AD2994" s="4">
        <v>431</v>
      </c>
      <c r="AE2994" s="4">
        <v>1213</v>
      </c>
      <c r="AF2994" s="6">
        <v>65</v>
      </c>
      <c r="AG2994" s="6"/>
      <c r="AH2994" s="7">
        <v>0.129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2</v>
      </c>
      <c r="AQ2994" s="8">
        <v>35.92</v>
      </c>
      <c r="AR2994" s="4"/>
      <c r="AS2994" s="8"/>
      <c r="AT2994" s="7"/>
      <c r="AU2994" s="7"/>
      <c r="AV2994" s="4" t="s">
        <v>100</v>
      </c>
      <c r="AW2994" s="8" t="s">
        <v>100</v>
      </c>
      <c r="AX2994" s="4" t="s">
        <v>100</v>
      </c>
      <c r="AY2994" s="8" t="s">
        <v>100</v>
      </c>
      <c r="AZ2994" s="7" t="s">
        <v>100</v>
      </c>
      <c r="BA2994" s="7" t="s">
        <v>100</v>
      </c>
      <c r="BB2994" s="7">
        <v>1</v>
      </c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 t="s">
        <v>100</v>
      </c>
      <c r="BJ2994" s="4">
        <v>13</v>
      </c>
      <c r="BK2994" s="8">
        <v>234.88</v>
      </c>
      <c r="BL2994" s="2" t="s">
        <v>10053</v>
      </c>
      <c r="BM2994" s="7">
        <v>0.1538</v>
      </c>
      <c r="BN2994" s="7">
        <v>0.1529</v>
      </c>
      <c r="BO2994" s="4">
        <v>2</v>
      </c>
      <c r="BP2994" s="8">
        <v>35.92</v>
      </c>
      <c r="BQ2994" s="4"/>
      <c r="BR2994" s="8"/>
      <c r="BS2994" s="7"/>
      <c r="BT2994" s="7"/>
      <c r="BU2994" s="2" t="s">
        <v>109</v>
      </c>
      <c r="BV2994" s="2" t="s">
        <v>97</v>
      </c>
      <c r="BW2994" s="2" t="s">
        <v>1792</v>
      </c>
      <c r="BX2994" s="2" t="s">
        <v>8885</v>
      </c>
      <c r="BY2994" s="2" t="s">
        <v>112</v>
      </c>
      <c r="BZ2994" s="2" t="s">
        <v>100</v>
      </c>
    </row>
    <row r="2995">
      <c r="A2995" s="2" t="s">
        <v>10054</v>
      </c>
      <c r="B2995" s="2" t="s">
        <v>9043</v>
      </c>
      <c r="C2995" s="2" t="s">
        <v>4466</v>
      </c>
      <c r="D2995" s="2" t="s">
        <v>9044</v>
      </c>
      <c r="E2995" s="2" t="s">
        <v>9045</v>
      </c>
      <c r="F2995" s="2" t="s">
        <v>10005</v>
      </c>
      <c r="G2995" s="2" t="s">
        <v>10005</v>
      </c>
      <c r="H2995" s="2" t="s">
        <v>10005</v>
      </c>
      <c r="I2995" s="2" t="s">
        <v>9875</v>
      </c>
      <c r="J2995" s="2" t="s">
        <v>490</v>
      </c>
      <c r="K2995" s="2" t="s">
        <v>10050</v>
      </c>
      <c r="L2995" s="3">
        <v>19.57</v>
      </c>
      <c r="M2995" s="3">
        <v>20.55</v>
      </c>
      <c r="N2995" s="3">
        <v>42.99</v>
      </c>
      <c r="O2995" s="2" t="s">
        <v>97</v>
      </c>
      <c r="P2995" s="2" t="s">
        <v>98</v>
      </c>
      <c r="Q2995" s="2" t="s">
        <v>99</v>
      </c>
      <c r="R2995" s="2" t="s">
        <v>100</v>
      </c>
      <c r="S2995" s="2" t="s">
        <v>10051</v>
      </c>
      <c r="T2995" s="2" t="s">
        <v>9205</v>
      </c>
      <c r="U2995" s="2" t="s">
        <v>100</v>
      </c>
      <c r="V2995" s="2" t="s">
        <v>269</v>
      </c>
      <c r="W2995" s="2" t="s">
        <v>609</v>
      </c>
      <c r="X2995" s="2" t="s">
        <v>100</v>
      </c>
      <c r="Y2995" s="2" t="s">
        <v>499</v>
      </c>
      <c r="Z2995" s="4">
        <v>159</v>
      </c>
      <c r="AA2995" s="4">
        <f>=ROUNDDOWN(3.8780487804878,0)</f>
      </c>
      <c r="AB2995" s="5">
        <v>41</v>
      </c>
      <c r="AC2995" s="2" t="s">
        <v>1142</v>
      </c>
      <c r="AD2995" s="4">
        <v>405</v>
      </c>
      <c r="AE2995" s="4">
        <v>1169</v>
      </c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 t="s">
        <v>100</v>
      </c>
      <c r="AW2995" s="8" t="s">
        <v>100</v>
      </c>
      <c r="AX2995" s="4" t="s">
        <v>100</v>
      </c>
      <c r="AY2995" s="8" t="s">
        <v>100</v>
      </c>
      <c r="AZ2995" s="7" t="s">
        <v>100</v>
      </c>
      <c r="BA2995" s="7" t="s">
        <v>100</v>
      </c>
      <c r="BB2995" s="7"/>
      <c r="BC2995" s="4" t="s">
        <v>100</v>
      </c>
      <c r="BD2995" s="8" t="s">
        <v>100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 t="s">
        <v>100</v>
      </c>
      <c r="BJ2995" s="4">
        <v>20</v>
      </c>
      <c r="BK2995" s="8">
        <v>441.71</v>
      </c>
      <c r="BL2995" s="2" t="s">
        <v>10055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1792</v>
      </c>
      <c r="BX2995" s="2" t="s">
        <v>10056</v>
      </c>
      <c r="BY2995" s="2" t="s">
        <v>112</v>
      </c>
      <c r="BZ2995" s="2" t="s">
        <v>100</v>
      </c>
    </row>
    <row r="2996">
      <c r="A2996" s="2" t="s">
        <v>10057</v>
      </c>
      <c r="B2996" s="2" t="s">
        <v>9043</v>
      </c>
      <c r="C2996" s="2" t="s">
        <v>4466</v>
      </c>
      <c r="D2996" s="2" t="s">
        <v>9044</v>
      </c>
      <c r="E2996" s="2" t="s">
        <v>9045</v>
      </c>
      <c r="F2996" s="2" t="s">
        <v>10005</v>
      </c>
      <c r="G2996" s="2" t="s">
        <v>10005</v>
      </c>
      <c r="H2996" s="2" t="s">
        <v>10005</v>
      </c>
      <c r="I2996" s="2" t="s">
        <v>9875</v>
      </c>
      <c r="J2996" s="2" t="s">
        <v>95</v>
      </c>
      <c r="K2996" s="2" t="s">
        <v>10050</v>
      </c>
      <c r="L2996" s="3">
        <v>22.21</v>
      </c>
      <c r="M2996" s="3">
        <v>23.32</v>
      </c>
      <c r="N2996" s="3">
        <v>47.99</v>
      </c>
      <c r="O2996" s="2" t="s">
        <v>97</v>
      </c>
      <c r="P2996" s="2" t="s">
        <v>156</v>
      </c>
      <c r="Q2996" s="2" t="s">
        <v>99</v>
      </c>
      <c r="R2996" s="2" t="s">
        <v>100</v>
      </c>
      <c r="S2996" s="2" t="s">
        <v>10051</v>
      </c>
      <c r="T2996" s="2" t="s">
        <v>9205</v>
      </c>
      <c r="U2996" s="2" t="s">
        <v>100</v>
      </c>
      <c r="V2996" s="2" t="s">
        <v>269</v>
      </c>
      <c r="W2996" s="2" t="s">
        <v>609</v>
      </c>
      <c r="X2996" s="2" t="s">
        <v>100</v>
      </c>
      <c r="Y2996" s="2" t="s">
        <v>499</v>
      </c>
      <c r="Z2996" s="4"/>
      <c r="AA2996" s="4">
        <f>=ROUNDDOWN({0},0)</f>
      </c>
      <c r="AB2996" s="5">
        <v>45</v>
      </c>
      <c r="AC2996" s="2" t="s">
        <v>1142</v>
      </c>
      <c r="AD2996" s="4">
        <v>441</v>
      </c>
      <c r="AE2996" s="4">
        <v>1267</v>
      </c>
      <c r="AF2996" s="6">
        <v>65</v>
      </c>
      <c r="AG2996" s="6"/>
      <c r="AH2996" s="7">
        <v>0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 t="s">
        <v>100</v>
      </c>
      <c r="AW2996" s="8" t="s">
        <v>100</v>
      </c>
      <c r="AX2996" s="4" t="s">
        <v>100</v>
      </c>
      <c r="AY2996" s="8" t="s">
        <v>100</v>
      </c>
      <c r="AZ2996" s="7" t="s">
        <v>100</v>
      </c>
      <c r="BA2996" s="7" t="s">
        <v>100</v>
      </c>
      <c r="BB2996" s="7"/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 t="s">
        <v>100</v>
      </c>
      <c r="BJ2996" s="4"/>
      <c r="BK2996" s="8"/>
      <c r="BL2996" s="2" t="s">
        <v>100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1792</v>
      </c>
      <c r="BX2996" s="2" t="s">
        <v>10058</v>
      </c>
      <c r="BY2996" s="2" t="s">
        <v>112</v>
      </c>
      <c r="BZ2996" s="2" t="s">
        <v>100</v>
      </c>
    </row>
    <row r="2997">
      <c r="A2997" s="2" t="s">
        <v>10059</v>
      </c>
      <c r="B2997" s="2" t="s">
        <v>9043</v>
      </c>
      <c r="C2997" s="2" t="s">
        <v>4466</v>
      </c>
      <c r="D2997" s="2" t="s">
        <v>9044</v>
      </c>
      <c r="E2997" s="2" t="s">
        <v>9045</v>
      </c>
      <c r="F2997" s="2" t="s">
        <v>10005</v>
      </c>
      <c r="G2997" s="2" t="s">
        <v>10005</v>
      </c>
      <c r="H2997" s="2" t="s">
        <v>10005</v>
      </c>
      <c r="I2997" s="2" t="s">
        <v>9875</v>
      </c>
      <c r="J2997" s="2" t="s">
        <v>114</v>
      </c>
      <c r="K2997" s="2" t="s">
        <v>10050</v>
      </c>
      <c r="L2997" s="3">
        <v>27.39</v>
      </c>
      <c r="M2997" s="3">
        <v>28.76</v>
      </c>
      <c r="N2997" s="3">
        <v>62.99</v>
      </c>
      <c r="O2997" s="2" t="s">
        <v>97</v>
      </c>
      <c r="P2997" s="2" t="s">
        <v>98</v>
      </c>
      <c r="Q2997" s="2" t="s">
        <v>99</v>
      </c>
      <c r="R2997" s="2" t="s">
        <v>100</v>
      </c>
      <c r="S2997" s="2" t="s">
        <v>10051</v>
      </c>
      <c r="T2997" s="2" t="s">
        <v>9205</v>
      </c>
      <c r="U2997" s="2" t="s">
        <v>100</v>
      </c>
      <c r="V2997" s="2" t="s">
        <v>269</v>
      </c>
      <c r="W2997" s="2" t="s">
        <v>609</v>
      </c>
      <c r="X2997" s="2" t="s">
        <v>100</v>
      </c>
      <c r="Y2997" s="2" t="s">
        <v>499</v>
      </c>
      <c r="Z2997" s="4">
        <v>32</v>
      </c>
      <c r="AA2997" s="4">
        <f>=ROUNDDOWN(1.45454545454545,0)</f>
      </c>
      <c r="AB2997" s="5">
        <v>22</v>
      </c>
      <c r="AC2997" s="2" t="s">
        <v>1142</v>
      </c>
      <c r="AD2997" s="4">
        <v>220</v>
      </c>
      <c r="AE2997" s="4">
        <v>601</v>
      </c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 t="s">
        <v>100</v>
      </c>
      <c r="AW2997" s="8" t="s">
        <v>100</v>
      </c>
      <c r="AX2997" s="4" t="s">
        <v>100</v>
      </c>
      <c r="AY2997" s="8" t="s">
        <v>100</v>
      </c>
      <c r="AZ2997" s="7" t="s">
        <v>100</v>
      </c>
      <c r="BA2997" s="7" t="s">
        <v>100</v>
      </c>
      <c r="BB2997" s="7"/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 t="s">
        <v>100</v>
      </c>
      <c r="BJ2997" s="4">
        <v>10</v>
      </c>
      <c r="BK2997" s="8">
        <v>297.86</v>
      </c>
      <c r="BL2997" s="2" t="s">
        <v>10060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1792</v>
      </c>
      <c r="BX2997" s="2" t="s">
        <v>10061</v>
      </c>
      <c r="BY2997" s="2" t="s">
        <v>112</v>
      </c>
      <c r="BZ2997" s="2" t="s">
        <v>100</v>
      </c>
    </row>
    <row r="2998">
      <c r="A2998" s="2" t="s">
        <v>10062</v>
      </c>
      <c r="B2998" s="2" t="s">
        <v>9043</v>
      </c>
      <c r="C2998" s="2" t="s">
        <v>4466</v>
      </c>
      <c r="D2998" s="2" t="s">
        <v>9044</v>
      </c>
      <c r="E2998" s="2" t="s">
        <v>9045</v>
      </c>
      <c r="F2998" s="2" t="s">
        <v>10005</v>
      </c>
      <c r="G2998" s="2" t="s">
        <v>10005</v>
      </c>
      <c r="H2998" s="2" t="s">
        <v>10005</v>
      </c>
      <c r="I2998" s="2" t="s">
        <v>9875</v>
      </c>
      <c r="J2998" s="2" t="s">
        <v>1443</v>
      </c>
      <c r="K2998" s="2" t="s">
        <v>10063</v>
      </c>
      <c r="L2998" s="3">
        <v>14.89</v>
      </c>
      <c r="M2998" s="3">
        <v>15.63</v>
      </c>
      <c r="N2998" s="3">
        <v>31.99</v>
      </c>
      <c r="O2998" s="2" t="s">
        <v>97</v>
      </c>
      <c r="P2998" s="2" t="s">
        <v>139</v>
      </c>
      <c r="Q2998" s="2" t="s">
        <v>99</v>
      </c>
      <c r="R2998" s="2" t="s">
        <v>100</v>
      </c>
      <c r="S2998" s="2" t="s">
        <v>10064</v>
      </c>
      <c r="T2998" s="2" t="s">
        <v>9205</v>
      </c>
      <c r="U2998" s="2" t="s">
        <v>901</v>
      </c>
      <c r="V2998" s="2" t="s">
        <v>4636</v>
      </c>
      <c r="W2998" s="2" t="s">
        <v>609</v>
      </c>
      <c r="X2998" s="2" t="s">
        <v>142</v>
      </c>
      <c r="Y2998" s="2" t="s">
        <v>4879</v>
      </c>
      <c r="Z2998" s="4">
        <v>3</v>
      </c>
      <c r="AA2998" s="4">
        <f>=ROUNDDOWN(0.0375,0)</f>
      </c>
      <c r="AB2998" s="5">
        <v>80</v>
      </c>
      <c r="AC2998" s="2" t="s">
        <v>1468</v>
      </c>
      <c r="AD2998" s="4">
        <v>784</v>
      </c>
      <c r="AE2998" s="4">
        <v>2208</v>
      </c>
      <c r="AF2998" s="6">
        <v>65</v>
      </c>
      <c r="AG2998" s="6"/>
      <c r="AH2998" s="7">
        <v>0.0968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1</v>
      </c>
      <c r="AQ2998" s="8">
        <v>16.33</v>
      </c>
      <c r="AR2998" s="4"/>
      <c r="AS2998" s="8"/>
      <c r="AT2998" s="7"/>
      <c r="AU2998" s="7"/>
      <c r="AV2998" s="4">
        <v>1</v>
      </c>
      <c r="AW2998" s="8">
        <v>16.33</v>
      </c>
      <c r="AX2998" s="4" t="s">
        <v>100</v>
      </c>
      <c r="AY2998" s="8" t="s">
        <v>100</v>
      </c>
      <c r="AZ2998" s="7" t="s">
        <v>100</v>
      </c>
      <c r="BA2998" s="7" t="s">
        <v>100</v>
      </c>
      <c r="BB2998" s="7">
        <v>1</v>
      </c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>
        <v>0.0344</v>
      </c>
      <c r="BJ2998" s="4">
        <v>8</v>
      </c>
      <c r="BK2998" s="8">
        <v>133.23</v>
      </c>
      <c r="BL2998" s="2" t="s">
        <v>10065</v>
      </c>
      <c r="BM2998" s="7">
        <v>0.125</v>
      </c>
      <c r="BN2998" s="7">
        <v>0.1226</v>
      </c>
      <c r="BO2998" s="4">
        <v>1</v>
      </c>
      <c r="BP2998" s="8">
        <v>16.33</v>
      </c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3254</v>
      </c>
      <c r="BX2998" s="2" t="s">
        <v>4921</v>
      </c>
      <c r="BY2998" s="2" t="s">
        <v>112</v>
      </c>
      <c r="BZ2998" s="2" t="s">
        <v>100</v>
      </c>
    </row>
    <row r="2999">
      <c r="A2999" s="2" t="s">
        <v>10066</v>
      </c>
      <c r="B2999" s="2" t="s">
        <v>9043</v>
      </c>
      <c r="C2999" s="2" t="s">
        <v>4466</v>
      </c>
      <c r="D2999" s="2" t="s">
        <v>9044</v>
      </c>
      <c r="E2999" s="2" t="s">
        <v>9045</v>
      </c>
      <c r="F2999" s="2" t="s">
        <v>10005</v>
      </c>
      <c r="G2999" s="2" t="s">
        <v>10005</v>
      </c>
      <c r="H2999" s="2" t="s">
        <v>10005</v>
      </c>
      <c r="I2999" s="2" t="s">
        <v>9875</v>
      </c>
      <c r="J2999" s="2" t="s">
        <v>490</v>
      </c>
      <c r="K2999" s="2" t="s">
        <v>10063</v>
      </c>
      <c r="L2999" s="3">
        <v>19.57</v>
      </c>
      <c r="M2999" s="3">
        <v>20.55</v>
      </c>
      <c r="N2999" s="3">
        <v>42.99</v>
      </c>
      <c r="O2999" s="2" t="s">
        <v>97</v>
      </c>
      <c r="P2999" s="2" t="s">
        <v>317</v>
      </c>
      <c r="Q2999" s="2" t="s">
        <v>99</v>
      </c>
      <c r="R2999" s="2" t="s">
        <v>100</v>
      </c>
      <c r="S2999" s="2" t="s">
        <v>10064</v>
      </c>
      <c r="T2999" s="2" t="s">
        <v>9205</v>
      </c>
      <c r="U2999" s="2" t="s">
        <v>1228</v>
      </c>
      <c r="V2999" s="2" t="s">
        <v>4636</v>
      </c>
      <c r="W2999" s="2" t="s">
        <v>609</v>
      </c>
      <c r="X2999" s="2" t="s">
        <v>142</v>
      </c>
      <c r="Y2999" s="2" t="s">
        <v>4879</v>
      </c>
      <c r="Z2999" s="4">
        <v>3</v>
      </c>
      <c r="AA2999" s="4">
        <f>=ROUNDDOWN(0.0428571428571429,0)</f>
      </c>
      <c r="AB2999" s="5">
        <v>70</v>
      </c>
      <c r="AC2999" s="2" t="s">
        <v>1468</v>
      </c>
      <c r="AD2999" s="4">
        <v>682</v>
      </c>
      <c r="AE2999" s="4">
        <v>1962</v>
      </c>
      <c r="AF2999" s="6">
        <v>65</v>
      </c>
      <c r="AG2999" s="6"/>
      <c r="AH2999" s="7">
        <v>0.0968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100</v>
      </c>
      <c r="AW2999" s="8" t="s">
        <v>100</v>
      </c>
      <c r="AX2999" s="4" t="s">
        <v>100</v>
      </c>
      <c r="AY2999" s="8" t="s">
        <v>100</v>
      </c>
      <c r="AZ2999" s="7" t="s">
        <v>100</v>
      </c>
      <c r="BA2999" s="7" t="s">
        <v>100</v>
      </c>
      <c r="BB2999" s="7"/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 t="s">
        <v>100</v>
      </c>
      <c r="BJ2999" s="4">
        <v>4</v>
      </c>
      <c r="BK2999" s="8">
        <v>86.75</v>
      </c>
      <c r="BL2999" s="2" t="s">
        <v>5847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4967</v>
      </c>
      <c r="BX2999" s="2" t="s">
        <v>10067</v>
      </c>
      <c r="BY2999" s="2" t="s">
        <v>112</v>
      </c>
      <c r="BZ2999" s="2" t="s">
        <v>100</v>
      </c>
    </row>
    <row r="3000">
      <c r="A3000" s="2" t="s">
        <v>10068</v>
      </c>
      <c r="B3000" s="2" t="s">
        <v>9043</v>
      </c>
      <c r="C3000" s="2" t="s">
        <v>4466</v>
      </c>
      <c r="D3000" s="2" t="s">
        <v>9044</v>
      </c>
      <c r="E3000" s="2" t="s">
        <v>9045</v>
      </c>
      <c r="F3000" s="2" t="s">
        <v>10005</v>
      </c>
      <c r="G3000" s="2" t="s">
        <v>10005</v>
      </c>
      <c r="H3000" s="2" t="s">
        <v>10005</v>
      </c>
      <c r="I3000" s="2" t="s">
        <v>9875</v>
      </c>
      <c r="J3000" s="2" t="s">
        <v>95</v>
      </c>
      <c r="K3000" s="2" t="s">
        <v>10063</v>
      </c>
      <c r="L3000" s="3">
        <v>22.21</v>
      </c>
      <c r="M3000" s="3">
        <v>23.32</v>
      </c>
      <c r="N3000" s="3">
        <v>47.99</v>
      </c>
      <c r="O3000" s="2" t="s">
        <v>97</v>
      </c>
      <c r="P3000" s="2" t="s">
        <v>139</v>
      </c>
      <c r="Q3000" s="2" t="s">
        <v>99</v>
      </c>
      <c r="R3000" s="2" t="s">
        <v>100</v>
      </c>
      <c r="S3000" s="2" t="s">
        <v>10064</v>
      </c>
      <c r="T3000" s="2" t="s">
        <v>9205</v>
      </c>
      <c r="U3000" s="2" t="s">
        <v>1228</v>
      </c>
      <c r="V3000" s="2" t="s">
        <v>4636</v>
      </c>
      <c r="W3000" s="2" t="s">
        <v>609</v>
      </c>
      <c r="X3000" s="2" t="s">
        <v>142</v>
      </c>
      <c r="Y3000" s="2" t="s">
        <v>4879</v>
      </c>
      <c r="Z3000" s="4"/>
      <c r="AA3000" s="4">
        <f>=ROUNDDOWN({0},0)</f>
      </c>
      <c r="AB3000" s="5">
        <v>63</v>
      </c>
      <c r="AC3000" s="2" t="s">
        <v>1468</v>
      </c>
      <c r="AD3000" s="4">
        <v>608</v>
      </c>
      <c r="AE3000" s="4">
        <v>1680</v>
      </c>
      <c r="AF3000" s="6">
        <v>65</v>
      </c>
      <c r="AG3000" s="6"/>
      <c r="AH3000" s="7">
        <v>0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100</v>
      </c>
      <c r="AW3000" s="8" t="s">
        <v>100</v>
      </c>
      <c r="AX3000" s="4" t="s">
        <v>100</v>
      </c>
      <c r="AY3000" s="8" t="s">
        <v>100</v>
      </c>
      <c r="AZ3000" s="7" t="s">
        <v>100</v>
      </c>
      <c r="BA3000" s="7" t="s">
        <v>100</v>
      </c>
      <c r="BB3000" s="7"/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 t="s">
        <v>100</v>
      </c>
      <c r="BJ3000" s="4">
        <v>8</v>
      </c>
      <c r="BK3000" s="8">
        <v>200.77</v>
      </c>
      <c r="BL3000" s="2" t="s">
        <v>6590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314</v>
      </c>
      <c r="BX3000" s="2" t="s">
        <v>910</v>
      </c>
      <c r="BY3000" s="2" t="s">
        <v>112</v>
      </c>
      <c r="BZ3000" s="2" t="s">
        <v>100</v>
      </c>
    </row>
    <row r="3001">
      <c r="A3001" s="2" t="s">
        <v>10069</v>
      </c>
      <c r="B3001" s="2" t="s">
        <v>9043</v>
      </c>
      <c r="C3001" s="2" t="s">
        <v>4466</v>
      </c>
      <c r="D3001" s="2" t="s">
        <v>9044</v>
      </c>
      <c r="E3001" s="2" t="s">
        <v>9045</v>
      </c>
      <c r="F3001" s="2" t="s">
        <v>10005</v>
      </c>
      <c r="G3001" s="2" t="s">
        <v>10005</v>
      </c>
      <c r="H3001" s="2" t="s">
        <v>10005</v>
      </c>
      <c r="I3001" s="2" t="s">
        <v>9875</v>
      </c>
      <c r="J3001" s="2" t="s">
        <v>114</v>
      </c>
      <c r="K3001" s="2" t="s">
        <v>10063</v>
      </c>
      <c r="L3001" s="3">
        <v>27.39</v>
      </c>
      <c r="M3001" s="3">
        <v>28.76</v>
      </c>
      <c r="N3001" s="3">
        <v>62.99</v>
      </c>
      <c r="O3001" s="2" t="s">
        <v>97</v>
      </c>
      <c r="P3001" s="2" t="s">
        <v>156</v>
      </c>
      <c r="Q3001" s="2" t="s">
        <v>99</v>
      </c>
      <c r="R3001" s="2" t="s">
        <v>100</v>
      </c>
      <c r="S3001" s="2" t="s">
        <v>10064</v>
      </c>
      <c r="T3001" s="2" t="s">
        <v>9205</v>
      </c>
      <c r="U3001" s="2" t="s">
        <v>1228</v>
      </c>
      <c r="V3001" s="2" t="s">
        <v>4636</v>
      </c>
      <c r="W3001" s="2" t="s">
        <v>609</v>
      </c>
      <c r="X3001" s="2" t="s">
        <v>142</v>
      </c>
      <c r="Y3001" s="2" t="s">
        <v>4879</v>
      </c>
      <c r="Z3001" s="4">
        <v>3</v>
      </c>
      <c r="AA3001" s="4">
        <f>=ROUNDDOWN(0.111111111111111,0)</f>
      </c>
      <c r="AB3001" s="5">
        <v>27</v>
      </c>
      <c r="AC3001" s="2" t="s">
        <v>1468</v>
      </c>
      <c r="AD3001" s="4">
        <v>269</v>
      </c>
      <c r="AE3001" s="4">
        <v>741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100</v>
      </c>
      <c r="AW3001" s="8" t="s">
        <v>100</v>
      </c>
      <c r="AX3001" s="4" t="s">
        <v>100</v>
      </c>
      <c r="AY3001" s="8" t="s">
        <v>100</v>
      </c>
      <c r="AZ3001" s="7" t="s">
        <v>100</v>
      </c>
      <c r="BA3001" s="7" t="s">
        <v>100</v>
      </c>
      <c r="BB3001" s="7"/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 t="s">
        <v>100</v>
      </c>
      <c r="BJ3001" s="4">
        <v>31</v>
      </c>
      <c r="BK3001" s="8">
        <v>957.33</v>
      </c>
      <c r="BL3001" s="2" t="s">
        <v>1271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109</v>
      </c>
      <c r="BV3001" s="2" t="s">
        <v>97</v>
      </c>
      <c r="BW3001" s="2" t="s">
        <v>10033</v>
      </c>
      <c r="BX3001" s="2" t="s">
        <v>1921</v>
      </c>
      <c r="BY3001" s="2" t="s">
        <v>112</v>
      </c>
      <c r="BZ3001" s="2" t="s">
        <v>100</v>
      </c>
    </row>
    <row r="3002">
      <c r="A3002" s="2" t="s">
        <v>10070</v>
      </c>
      <c r="B3002" s="2" t="s">
        <v>9043</v>
      </c>
      <c r="C3002" s="2" t="s">
        <v>4466</v>
      </c>
      <c r="D3002" s="2" t="s">
        <v>9044</v>
      </c>
      <c r="E3002" s="2" t="s">
        <v>9045</v>
      </c>
      <c r="F3002" s="2" t="s">
        <v>10005</v>
      </c>
      <c r="G3002" s="2" t="s">
        <v>10005</v>
      </c>
      <c r="H3002" s="2" t="s">
        <v>10005</v>
      </c>
      <c r="I3002" s="2" t="s">
        <v>9875</v>
      </c>
      <c r="J3002" s="2" t="s">
        <v>1443</v>
      </c>
      <c r="K3002" s="2" t="s">
        <v>10071</v>
      </c>
      <c r="L3002" s="3">
        <v>14.89</v>
      </c>
      <c r="M3002" s="3">
        <v>15.63</v>
      </c>
      <c r="N3002" s="3">
        <v>31.99</v>
      </c>
      <c r="O3002" s="2" t="s">
        <v>97</v>
      </c>
      <c r="P3002" s="2" t="s">
        <v>156</v>
      </c>
      <c r="Q3002" s="2" t="s">
        <v>99</v>
      </c>
      <c r="R3002" s="2" t="s">
        <v>100</v>
      </c>
      <c r="S3002" s="2" t="s">
        <v>10072</v>
      </c>
      <c r="T3002" s="2" t="s">
        <v>9205</v>
      </c>
      <c r="U3002" s="2" t="s">
        <v>901</v>
      </c>
      <c r="V3002" s="2" t="s">
        <v>4677</v>
      </c>
      <c r="W3002" s="2" t="s">
        <v>609</v>
      </c>
      <c r="X3002" s="2" t="s">
        <v>270</v>
      </c>
      <c r="Y3002" s="2" t="s">
        <v>10031</v>
      </c>
      <c r="Z3002" s="4"/>
      <c r="AA3002" s="4">
        <f>=ROUNDDOWN({0},0)</f>
      </c>
      <c r="AB3002" s="5">
        <v>46</v>
      </c>
      <c r="AC3002" s="2" t="s">
        <v>1468</v>
      </c>
      <c r="AD3002" s="4">
        <v>456</v>
      </c>
      <c r="AE3002" s="4">
        <v>1308</v>
      </c>
      <c r="AF3002" s="6">
        <v>65</v>
      </c>
      <c r="AG3002" s="6"/>
      <c r="AH3002" s="7">
        <v>0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100</v>
      </c>
      <c r="AW3002" s="8" t="s">
        <v>100</v>
      </c>
      <c r="AX3002" s="4" t="s">
        <v>100</v>
      </c>
      <c r="AY3002" s="8" t="s">
        <v>100</v>
      </c>
      <c r="AZ3002" s="7" t="s">
        <v>100</v>
      </c>
      <c r="BA3002" s="7" t="s">
        <v>100</v>
      </c>
      <c r="BB3002" s="7"/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 t="s">
        <v>100</v>
      </c>
      <c r="BJ3002" s="4"/>
      <c r="BK3002" s="8"/>
      <c r="BL3002" s="2" t="s">
        <v>100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109</v>
      </c>
      <c r="BV3002" s="2" t="s">
        <v>97</v>
      </c>
      <c r="BW3002" s="2" t="s">
        <v>10033</v>
      </c>
      <c r="BX3002" s="2" t="s">
        <v>10073</v>
      </c>
      <c r="BY3002" s="2" t="s">
        <v>112</v>
      </c>
      <c r="BZ3002" s="2" t="s">
        <v>100</v>
      </c>
    </row>
    <row r="3003">
      <c r="A3003" s="2" t="s">
        <v>10074</v>
      </c>
      <c r="B3003" s="2" t="s">
        <v>9043</v>
      </c>
      <c r="C3003" s="2" t="s">
        <v>4466</v>
      </c>
      <c r="D3003" s="2" t="s">
        <v>9044</v>
      </c>
      <c r="E3003" s="2" t="s">
        <v>9045</v>
      </c>
      <c r="F3003" s="2" t="s">
        <v>10005</v>
      </c>
      <c r="G3003" s="2" t="s">
        <v>10005</v>
      </c>
      <c r="H3003" s="2" t="s">
        <v>10005</v>
      </c>
      <c r="I3003" s="2" t="s">
        <v>9875</v>
      </c>
      <c r="J3003" s="2" t="s">
        <v>490</v>
      </c>
      <c r="K3003" s="2" t="s">
        <v>10071</v>
      </c>
      <c r="L3003" s="3">
        <v>19.57</v>
      </c>
      <c r="M3003" s="3">
        <v>20.55</v>
      </c>
      <c r="N3003" s="3">
        <v>42.99</v>
      </c>
      <c r="O3003" s="2" t="s">
        <v>97</v>
      </c>
      <c r="P3003" s="2" t="s">
        <v>139</v>
      </c>
      <c r="Q3003" s="2" t="s">
        <v>99</v>
      </c>
      <c r="R3003" s="2" t="s">
        <v>100</v>
      </c>
      <c r="S3003" s="2" t="s">
        <v>10072</v>
      </c>
      <c r="T3003" s="2" t="s">
        <v>9205</v>
      </c>
      <c r="U3003" s="2" t="s">
        <v>1228</v>
      </c>
      <c r="V3003" s="2" t="s">
        <v>4677</v>
      </c>
      <c r="W3003" s="2" t="s">
        <v>609</v>
      </c>
      <c r="X3003" s="2" t="s">
        <v>270</v>
      </c>
      <c r="Y3003" s="2" t="s">
        <v>10031</v>
      </c>
      <c r="Z3003" s="4"/>
      <c r="AA3003" s="4">
        <f>=ROUNDDOWN({0},0)</f>
      </c>
      <c r="AB3003" s="5">
        <v>49</v>
      </c>
      <c r="AC3003" s="2" t="s">
        <v>1468</v>
      </c>
      <c r="AD3003" s="4">
        <v>477</v>
      </c>
      <c r="AE3003" s="4">
        <v>1387</v>
      </c>
      <c r="AF3003" s="6">
        <v>65</v>
      </c>
      <c r="AG3003" s="6"/>
      <c r="AH3003" s="7">
        <v>0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 t="s">
        <v>100</v>
      </c>
      <c r="AW3003" s="8" t="s">
        <v>100</v>
      </c>
      <c r="AX3003" s="4" t="s">
        <v>100</v>
      </c>
      <c r="AY3003" s="8" t="s">
        <v>100</v>
      </c>
      <c r="AZ3003" s="7" t="s">
        <v>100</v>
      </c>
      <c r="BA3003" s="7" t="s">
        <v>100</v>
      </c>
      <c r="BB3003" s="7"/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 t="s">
        <v>100</v>
      </c>
      <c r="BJ3003" s="4">
        <v>1</v>
      </c>
      <c r="BK3003" s="8">
        <v>20.55</v>
      </c>
      <c r="BL3003" s="2" t="s">
        <v>3477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109</v>
      </c>
      <c r="BV3003" s="2" t="s">
        <v>97</v>
      </c>
      <c r="BW3003" s="2" t="s">
        <v>10033</v>
      </c>
      <c r="BX3003" s="2" t="s">
        <v>1555</v>
      </c>
      <c r="BY3003" s="2" t="s">
        <v>112</v>
      </c>
      <c r="BZ3003" s="2" t="s">
        <v>100</v>
      </c>
    </row>
    <row r="3004">
      <c r="A3004" s="2" t="s">
        <v>10075</v>
      </c>
      <c r="B3004" s="2" t="s">
        <v>9043</v>
      </c>
      <c r="C3004" s="2" t="s">
        <v>4466</v>
      </c>
      <c r="D3004" s="2" t="s">
        <v>9044</v>
      </c>
      <c r="E3004" s="2" t="s">
        <v>9045</v>
      </c>
      <c r="F3004" s="2" t="s">
        <v>10005</v>
      </c>
      <c r="G3004" s="2" t="s">
        <v>10005</v>
      </c>
      <c r="H3004" s="2" t="s">
        <v>10005</v>
      </c>
      <c r="I3004" s="2" t="s">
        <v>9875</v>
      </c>
      <c r="J3004" s="2" t="s">
        <v>95</v>
      </c>
      <c r="K3004" s="2" t="s">
        <v>10071</v>
      </c>
      <c r="L3004" s="3">
        <v>22.21</v>
      </c>
      <c r="M3004" s="3">
        <v>23.32</v>
      </c>
      <c r="N3004" s="3">
        <v>47.99</v>
      </c>
      <c r="O3004" s="2" t="s">
        <v>97</v>
      </c>
      <c r="P3004" s="2" t="s">
        <v>123</v>
      </c>
      <c r="Q3004" s="2" t="s">
        <v>99</v>
      </c>
      <c r="R3004" s="2" t="s">
        <v>100</v>
      </c>
      <c r="S3004" s="2" t="s">
        <v>10072</v>
      </c>
      <c r="T3004" s="2" t="s">
        <v>9205</v>
      </c>
      <c r="U3004" s="2" t="s">
        <v>1228</v>
      </c>
      <c r="V3004" s="2" t="s">
        <v>4677</v>
      </c>
      <c r="W3004" s="2" t="s">
        <v>609</v>
      </c>
      <c r="X3004" s="2" t="s">
        <v>270</v>
      </c>
      <c r="Y3004" s="2" t="s">
        <v>10031</v>
      </c>
      <c r="Z3004" s="4"/>
      <c r="AA3004" s="4">
        <f>=ROUNDDOWN({0},0)</f>
      </c>
      <c r="AB3004" s="5">
        <v>63</v>
      </c>
      <c r="AC3004" s="2" t="s">
        <v>1468</v>
      </c>
      <c r="AD3004" s="4">
        <v>609</v>
      </c>
      <c r="AE3004" s="4">
        <v>1795</v>
      </c>
      <c r="AF3004" s="6">
        <v>65</v>
      </c>
      <c r="AG3004" s="6"/>
      <c r="AH3004" s="7">
        <v>0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 t="s">
        <v>100</v>
      </c>
      <c r="AW3004" s="8" t="s">
        <v>100</v>
      </c>
      <c r="AX3004" s="4" t="s">
        <v>100</v>
      </c>
      <c r="AY3004" s="8" t="s">
        <v>100</v>
      </c>
      <c r="AZ3004" s="7" t="s">
        <v>100</v>
      </c>
      <c r="BA3004" s="7" t="s">
        <v>100</v>
      </c>
      <c r="BB3004" s="7"/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 t="s">
        <v>100</v>
      </c>
      <c r="BJ3004" s="4"/>
      <c r="BK3004" s="8"/>
      <c r="BL3004" s="2" t="s">
        <v>100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10033</v>
      </c>
      <c r="BX3004" s="2" t="s">
        <v>10076</v>
      </c>
      <c r="BY3004" s="2" t="s">
        <v>112</v>
      </c>
      <c r="BZ3004" s="2" t="s">
        <v>100</v>
      </c>
    </row>
    <row r="3005">
      <c r="A3005" s="2" t="s">
        <v>10077</v>
      </c>
      <c r="B3005" s="2" t="s">
        <v>9043</v>
      </c>
      <c r="C3005" s="2" t="s">
        <v>4466</v>
      </c>
      <c r="D3005" s="2" t="s">
        <v>9044</v>
      </c>
      <c r="E3005" s="2" t="s">
        <v>9045</v>
      </c>
      <c r="F3005" s="2" t="s">
        <v>10005</v>
      </c>
      <c r="G3005" s="2" t="s">
        <v>10005</v>
      </c>
      <c r="H3005" s="2" t="s">
        <v>10005</v>
      </c>
      <c r="I3005" s="2" t="s">
        <v>9875</v>
      </c>
      <c r="J3005" s="2" t="s">
        <v>114</v>
      </c>
      <c r="K3005" s="2" t="s">
        <v>10071</v>
      </c>
      <c r="L3005" s="3">
        <v>27.39</v>
      </c>
      <c r="M3005" s="3">
        <v>28.76</v>
      </c>
      <c r="N3005" s="3">
        <v>62.99</v>
      </c>
      <c r="O3005" s="2" t="s">
        <v>97</v>
      </c>
      <c r="P3005" s="2" t="s">
        <v>98</v>
      </c>
      <c r="Q3005" s="2" t="s">
        <v>99</v>
      </c>
      <c r="R3005" s="2" t="s">
        <v>100</v>
      </c>
      <c r="S3005" s="2" t="s">
        <v>10072</v>
      </c>
      <c r="T3005" s="2" t="s">
        <v>9205</v>
      </c>
      <c r="U3005" s="2" t="s">
        <v>1228</v>
      </c>
      <c r="V3005" s="2" t="s">
        <v>4677</v>
      </c>
      <c r="W3005" s="2" t="s">
        <v>609</v>
      </c>
      <c r="X3005" s="2" t="s">
        <v>270</v>
      </c>
      <c r="Y3005" s="2" t="s">
        <v>10031</v>
      </c>
      <c r="Z3005" s="4"/>
      <c r="AA3005" s="4">
        <f>=ROUNDDOWN({0},0)</f>
      </c>
      <c r="AB3005" s="5">
        <v>23</v>
      </c>
      <c r="AC3005" s="2" t="s">
        <v>1468</v>
      </c>
      <c r="AD3005" s="4">
        <v>234</v>
      </c>
      <c r="AE3005" s="4">
        <v>655</v>
      </c>
      <c r="AF3005" s="6">
        <v>65</v>
      </c>
      <c r="AG3005" s="6"/>
      <c r="AH3005" s="7">
        <v>0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 t="s">
        <v>100</v>
      </c>
      <c r="AW3005" s="8" t="s">
        <v>100</v>
      </c>
      <c r="AX3005" s="4" t="s">
        <v>100</v>
      </c>
      <c r="AY3005" s="8" t="s">
        <v>100</v>
      </c>
      <c r="AZ3005" s="7" t="s">
        <v>100</v>
      </c>
      <c r="BA3005" s="7" t="s">
        <v>100</v>
      </c>
      <c r="BB3005" s="7"/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 t="s">
        <v>100</v>
      </c>
      <c r="BJ3005" s="4"/>
      <c r="BK3005" s="8"/>
      <c r="BL3005" s="2" t="s">
        <v>100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109</v>
      </c>
      <c r="BV3005" s="2" t="s">
        <v>97</v>
      </c>
      <c r="BW3005" s="2" t="s">
        <v>10033</v>
      </c>
      <c r="BX3005" s="2" t="s">
        <v>4967</v>
      </c>
      <c r="BY3005" s="2" t="s">
        <v>112</v>
      </c>
      <c r="BZ3005" s="2" t="s">
        <v>100</v>
      </c>
    </row>
    <row r="3006">
      <c r="A3006" s="2" t="s">
        <v>10078</v>
      </c>
      <c r="B3006" s="2" t="s">
        <v>9043</v>
      </c>
      <c r="C3006" s="2" t="s">
        <v>4466</v>
      </c>
      <c r="D3006" s="2" t="s">
        <v>9044</v>
      </c>
      <c r="E3006" s="2" t="s">
        <v>9045</v>
      </c>
      <c r="F3006" s="2" t="s">
        <v>10005</v>
      </c>
      <c r="G3006" s="2" t="s">
        <v>10005</v>
      </c>
      <c r="H3006" s="2" t="s">
        <v>10005</v>
      </c>
      <c r="I3006" s="2" t="s">
        <v>9875</v>
      </c>
      <c r="J3006" s="2" t="s">
        <v>1806</v>
      </c>
      <c r="K3006" s="2" t="s">
        <v>10079</v>
      </c>
      <c r="L3006" s="3">
        <v>16.16</v>
      </c>
      <c r="M3006" s="3">
        <v>16.97</v>
      </c>
      <c r="N3006" s="3">
        <v>34.99</v>
      </c>
      <c r="O3006" s="2" t="s">
        <v>97</v>
      </c>
      <c r="P3006" s="2" t="s">
        <v>98</v>
      </c>
      <c r="Q3006" s="2" t="s">
        <v>99</v>
      </c>
      <c r="R3006" s="2" t="s">
        <v>100</v>
      </c>
      <c r="S3006" s="2" t="s">
        <v>10080</v>
      </c>
      <c r="T3006" s="2" t="s">
        <v>9205</v>
      </c>
      <c r="U3006" s="2" t="s">
        <v>100</v>
      </c>
      <c r="V3006" s="2" t="s">
        <v>3451</v>
      </c>
      <c r="W3006" s="2" t="s">
        <v>609</v>
      </c>
      <c r="X3006" s="2" t="s">
        <v>100</v>
      </c>
      <c r="Y3006" s="2" t="s">
        <v>503</v>
      </c>
      <c r="Z3006" s="4">
        <v>8</v>
      </c>
      <c r="AA3006" s="4">
        <f>=ROUNDDOWN(0.533333333333333,0)</f>
      </c>
      <c r="AB3006" s="5">
        <v>15</v>
      </c>
      <c r="AC3006" s="2" t="s">
        <v>1142</v>
      </c>
      <c r="AD3006" s="4">
        <v>155</v>
      </c>
      <c r="AE3006" s="4">
        <v>453</v>
      </c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100</v>
      </c>
      <c r="AW3006" s="8" t="s">
        <v>100</v>
      </c>
      <c r="AX3006" s="4" t="s">
        <v>100</v>
      </c>
      <c r="AY3006" s="8" t="s">
        <v>100</v>
      </c>
      <c r="AZ3006" s="7" t="s">
        <v>100</v>
      </c>
      <c r="BA3006" s="7" t="s">
        <v>100</v>
      </c>
      <c r="BB3006" s="7"/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 t="s">
        <v>100</v>
      </c>
      <c r="BJ3006" s="4">
        <v>16</v>
      </c>
      <c r="BK3006" s="8">
        <v>291.46</v>
      </c>
      <c r="BL3006" s="2" t="s">
        <v>10081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109</v>
      </c>
      <c r="BV3006" s="2" t="s">
        <v>97</v>
      </c>
      <c r="BW3006" s="2" t="s">
        <v>1792</v>
      </c>
      <c r="BX3006" s="2" t="s">
        <v>10082</v>
      </c>
      <c r="BY3006" s="2" t="s">
        <v>112</v>
      </c>
      <c r="BZ3006" s="2" t="s">
        <v>149</v>
      </c>
    </row>
    <row r="3007">
      <c r="A3007" s="2" t="s">
        <v>10083</v>
      </c>
      <c r="B3007" s="2" t="s">
        <v>9043</v>
      </c>
      <c r="C3007" s="2" t="s">
        <v>4466</v>
      </c>
      <c r="D3007" s="2" t="s">
        <v>9044</v>
      </c>
      <c r="E3007" s="2" t="s">
        <v>9045</v>
      </c>
      <c r="F3007" s="2" t="s">
        <v>10005</v>
      </c>
      <c r="G3007" s="2" t="s">
        <v>10005</v>
      </c>
      <c r="H3007" s="2" t="s">
        <v>10005</v>
      </c>
      <c r="I3007" s="2" t="s">
        <v>9875</v>
      </c>
      <c r="J3007" s="2" t="s">
        <v>490</v>
      </c>
      <c r="K3007" s="2" t="s">
        <v>10079</v>
      </c>
      <c r="L3007" s="3">
        <v>19.57</v>
      </c>
      <c r="M3007" s="3">
        <v>20.55</v>
      </c>
      <c r="N3007" s="3">
        <v>42.99</v>
      </c>
      <c r="O3007" s="2" t="s">
        <v>97</v>
      </c>
      <c r="P3007" s="2" t="s">
        <v>98</v>
      </c>
      <c r="Q3007" s="2" t="s">
        <v>99</v>
      </c>
      <c r="R3007" s="2" t="s">
        <v>100</v>
      </c>
      <c r="S3007" s="2" t="s">
        <v>10080</v>
      </c>
      <c r="T3007" s="2" t="s">
        <v>9205</v>
      </c>
      <c r="U3007" s="2" t="s">
        <v>1228</v>
      </c>
      <c r="V3007" s="2" t="s">
        <v>3451</v>
      </c>
      <c r="W3007" s="2" t="s">
        <v>609</v>
      </c>
      <c r="X3007" s="2" t="s">
        <v>100</v>
      </c>
      <c r="Y3007" s="2" t="s">
        <v>503</v>
      </c>
      <c r="Z3007" s="4"/>
      <c r="AA3007" s="4">
        <f>=ROUNDDOWN({0},0)</f>
      </c>
      <c r="AB3007" s="5">
        <v>25</v>
      </c>
      <c r="AC3007" s="2" t="s">
        <v>1142</v>
      </c>
      <c r="AD3007" s="4">
        <v>251</v>
      </c>
      <c r="AE3007" s="4">
        <v>740</v>
      </c>
      <c r="AF3007" s="6">
        <v>65</v>
      </c>
      <c r="AG3007" s="6"/>
      <c r="AH3007" s="7">
        <v>0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100</v>
      </c>
      <c r="AW3007" s="8" t="s">
        <v>100</v>
      </c>
      <c r="AX3007" s="4" t="s">
        <v>100</v>
      </c>
      <c r="AY3007" s="8" t="s">
        <v>100</v>
      </c>
      <c r="AZ3007" s="7" t="s">
        <v>100</v>
      </c>
      <c r="BA3007" s="7" t="s">
        <v>100</v>
      </c>
      <c r="BB3007" s="7"/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 t="s">
        <v>100</v>
      </c>
      <c r="BJ3007" s="4"/>
      <c r="BK3007" s="8"/>
      <c r="BL3007" s="2" t="s">
        <v>100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1792</v>
      </c>
      <c r="BX3007" s="2" t="s">
        <v>10084</v>
      </c>
      <c r="BY3007" s="2" t="s">
        <v>112</v>
      </c>
      <c r="BZ3007" s="2" t="s">
        <v>149</v>
      </c>
    </row>
    <row r="3008">
      <c r="A3008" s="2" t="s">
        <v>10085</v>
      </c>
      <c r="B3008" s="2" t="s">
        <v>9043</v>
      </c>
      <c r="C3008" s="2" t="s">
        <v>4466</v>
      </c>
      <c r="D3008" s="2" t="s">
        <v>9044</v>
      </c>
      <c r="E3008" s="2" t="s">
        <v>9045</v>
      </c>
      <c r="F3008" s="2" t="s">
        <v>10005</v>
      </c>
      <c r="G3008" s="2" t="s">
        <v>10005</v>
      </c>
      <c r="H3008" s="2" t="s">
        <v>10005</v>
      </c>
      <c r="I3008" s="2" t="s">
        <v>9875</v>
      </c>
      <c r="J3008" s="2" t="s">
        <v>95</v>
      </c>
      <c r="K3008" s="2" t="s">
        <v>10079</v>
      </c>
      <c r="L3008" s="3">
        <v>22.21</v>
      </c>
      <c r="M3008" s="3">
        <v>23.32</v>
      </c>
      <c r="N3008" s="3">
        <v>47.99</v>
      </c>
      <c r="O3008" s="2" t="s">
        <v>97</v>
      </c>
      <c r="P3008" s="2" t="s">
        <v>156</v>
      </c>
      <c r="Q3008" s="2" t="s">
        <v>99</v>
      </c>
      <c r="R3008" s="2" t="s">
        <v>100</v>
      </c>
      <c r="S3008" s="2" t="s">
        <v>10080</v>
      </c>
      <c r="T3008" s="2" t="s">
        <v>9205</v>
      </c>
      <c r="U3008" s="2" t="s">
        <v>1228</v>
      </c>
      <c r="V3008" s="2" t="s">
        <v>3451</v>
      </c>
      <c r="W3008" s="2" t="s">
        <v>609</v>
      </c>
      <c r="X3008" s="2" t="s">
        <v>100</v>
      </c>
      <c r="Y3008" s="2" t="s">
        <v>503</v>
      </c>
      <c r="Z3008" s="4"/>
      <c r="AA3008" s="4">
        <f>=ROUNDDOWN({0},0)</f>
      </c>
      <c r="AB3008" s="5">
        <v>40</v>
      </c>
      <c r="AC3008" s="2" t="s">
        <v>1142</v>
      </c>
      <c r="AD3008" s="4">
        <v>392</v>
      </c>
      <c r="AE3008" s="4">
        <v>1192</v>
      </c>
      <c r="AF3008" s="6">
        <v>65</v>
      </c>
      <c r="AG3008" s="6"/>
      <c r="AH3008" s="7">
        <v>0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 t="s">
        <v>100</v>
      </c>
      <c r="AW3008" s="8" t="s">
        <v>100</v>
      </c>
      <c r="AX3008" s="4" t="s">
        <v>100</v>
      </c>
      <c r="AY3008" s="8" t="s">
        <v>100</v>
      </c>
      <c r="AZ3008" s="7" t="s">
        <v>100</v>
      </c>
      <c r="BA3008" s="7" t="s">
        <v>100</v>
      </c>
      <c r="BB3008" s="7"/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 t="s">
        <v>100</v>
      </c>
      <c r="BJ3008" s="4"/>
      <c r="BK3008" s="8"/>
      <c r="BL3008" s="2" t="s">
        <v>100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1792</v>
      </c>
      <c r="BX3008" s="2" t="s">
        <v>7045</v>
      </c>
      <c r="BY3008" s="2" t="s">
        <v>112</v>
      </c>
      <c r="BZ3008" s="2" t="s">
        <v>149</v>
      </c>
    </row>
    <row r="3009">
      <c r="A3009" s="2" t="s">
        <v>10086</v>
      </c>
      <c r="B3009" s="2" t="s">
        <v>9043</v>
      </c>
      <c r="C3009" s="2" t="s">
        <v>4466</v>
      </c>
      <c r="D3009" s="2" t="s">
        <v>9044</v>
      </c>
      <c r="E3009" s="2" t="s">
        <v>9045</v>
      </c>
      <c r="F3009" s="2" t="s">
        <v>10005</v>
      </c>
      <c r="G3009" s="2" t="s">
        <v>10005</v>
      </c>
      <c r="H3009" s="2" t="s">
        <v>10005</v>
      </c>
      <c r="I3009" s="2" t="s">
        <v>9875</v>
      </c>
      <c r="J3009" s="2" t="s">
        <v>114</v>
      </c>
      <c r="K3009" s="2" t="s">
        <v>10079</v>
      </c>
      <c r="L3009" s="3">
        <v>27.39</v>
      </c>
      <c r="M3009" s="3">
        <v>28.76</v>
      </c>
      <c r="N3009" s="3">
        <v>62.99</v>
      </c>
      <c r="O3009" s="2" t="s">
        <v>97</v>
      </c>
      <c r="P3009" s="2" t="s">
        <v>98</v>
      </c>
      <c r="Q3009" s="2" t="s">
        <v>99</v>
      </c>
      <c r="R3009" s="2" t="s">
        <v>100</v>
      </c>
      <c r="S3009" s="2" t="s">
        <v>10080</v>
      </c>
      <c r="T3009" s="2" t="s">
        <v>9205</v>
      </c>
      <c r="U3009" s="2" t="s">
        <v>1228</v>
      </c>
      <c r="V3009" s="2" t="s">
        <v>3451</v>
      </c>
      <c r="W3009" s="2" t="s">
        <v>609</v>
      </c>
      <c r="X3009" s="2" t="s">
        <v>100</v>
      </c>
      <c r="Y3009" s="2" t="s">
        <v>503</v>
      </c>
      <c r="Z3009" s="4">
        <v>410</v>
      </c>
      <c r="AA3009" s="4">
        <f>=ROUNDDOWN(29.2857142857143,0)</f>
      </c>
      <c r="AB3009" s="5">
        <v>14</v>
      </c>
      <c r="AC3009" s="2" t="s">
        <v>3033</v>
      </c>
      <c r="AD3009" s="4">
        <v>123</v>
      </c>
      <c r="AE3009" s="4">
        <v>123</v>
      </c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 t="s">
        <v>100</v>
      </c>
      <c r="AW3009" s="8" t="s">
        <v>100</v>
      </c>
      <c r="AX3009" s="4" t="s">
        <v>100</v>
      </c>
      <c r="AY3009" s="8" t="s">
        <v>100</v>
      </c>
      <c r="AZ3009" s="7" t="s">
        <v>100</v>
      </c>
      <c r="BA3009" s="7" t="s">
        <v>100</v>
      </c>
      <c r="BB3009" s="7"/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 t="s">
        <v>100</v>
      </c>
      <c r="BJ3009" s="4">
        <v>17</v>
      </c>
      <c r="BK3009" s="8">
        <v>518.75</v>
      </c>
      <c r="BL3009" s="2" t="s">
        <v>9811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109</v>
      </c>
      <c r="BV3009" s="2" t="s">
        <v>97</v>
      </c>
      <c r="BW3009" s="2" t="s">
        <v>1792</v>
      </c>
      <c r="BX3009" s="2" t="s">
        <v>1230</v>
      </c>
      <c r="BY3009" s="2" t="s">
        <v>112</v>
      </c>
      <c r="BZ3009" s="2" t="s">
        <v>100</v>
      </c>
    </row>
    <row r="3010">
      <c r="A3010" s="2" t="s">
        <v>10087</v>
      </c>
      <c r="B3010" s="2" t="s">
        <v>9043</v>
      </c>
      <c r="C3010" s="2" t="s">
        <v>4466</v>
      </c>
      <c r="D3010" s="2" t="s">
        <v>9044</v>
      </c>
      <c r="E3010" s="2" t="s">
        <v>9045</v>
      </c>
      <c r="F3010" s="2" t="s">
        <v>10005</v>
      </c>
      <c r="G3010" s="2" t="s">
        <v>10005</v>
      </c>
      <c r="H3010" s="2" t="s">
        <v>10005</v>
      </c>
      <c r="I3010" s="2" t="s">
        <v>9875</v>
      </c>
      <c r="J3010" s="2" t="s">
        <v>118</v>
      </c>
      <c r="K3010" s="2" t="s">
        <v>10079</v>
      </c>
      <c r="L3010" s="3">
        <v>27.39</v>
      </c>
      <c r="M3010" s="3">
        <v>28.76</v>
      </c>
      <c r="N3010" s="3">
        <v>62.99</v>
      </c>
      <c r="O3010" s="2" t="s">
        <v>97</v>
      </c>
      <c r="P3010" s="2" t="s">
        <v>98</v>
      </c>
      <c r="Q3010" s="2" t="s">
        <v>99</v>
      </c>
      <c r="R3010" s="2" t="s">
        <v>100</v>
      </c>
      <c r="S3010" s="2" t="s">
        <v>10080</v>
      </c>
      <c r="T3010" s="2" t="s">
        <v>9205</v>
      </c>
      <c r="U3010" s="2" t="s">
        <v>100</v>
      </c>
      <c r="V3010" s="2" t="s">
        <v>3451</v>
      </c>
      <c r="W3010" s="2" t="s">
        <v>609</v>
      </c>
      <c r="X3010" s="2" t="s">
        <v>100</v>
      </c>
      <c r="Y3010" s="2" t="s">
        <v>503</v>
      </c>
      <c r="Z3010" s="4"/>
      <c r="AA3010" s="4">
        <f>=ROUNDDOWN({0},0)</f>
      </c>
      <c r="AB3010" s="5">
        <v>10</v>
      </c>
      <c r="AC3010" s="2" t="s">
        <v>1142</v>
      </c>
      <c r="AD3010" s="4">
        <v>110</v>
      </c>
      <c r="AE3010" s="4">
        <v>333</v>
      </c>
      <c r="AF3010" s="6">
        <v>65</v>
      </c>
      <c r="AG3010" s="6"/>
      <c r="AH3010" s="7">
        <v>0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 t="s">
        <v>100</v>
      </c>
      <c r="AW3010" s="8" t="s">
        <v>100</v>
      </c>
      <c r="AX3010" s="4" t="s">
        <v>100</v>
      </c>
      <c r="AY3010" s="8" t="s">
        <v>100</v>
      </c>
      <c r="AZ3010" s="7" t="s">
        <v>100</v>
      </c>
      <c r="BA3010" s="7" t="s">
        <v>100</v>
      </c>
      <c r="BB3010" s="7"/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 t="s">
        <v>100</v>
      </c>
      <c r="BJ3010" s="4"/>
      <c r="BK3010" s="8"/>
      <c r="BL3010" s="2" t="s">
        <v>100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1792</v>
      </c>
      <c r="BX3010" s="2" t="s">
        <v>1268</v>
      </c>
      <c r="BY3010" s="2" t="s">
        <v>112</v>
      </c>
      <c r="BZ3010" s="2" t="s">
        <v>149</v>
      </c>
    </row>
    <row r="3011">
      <c r="A3011" s="2" t="s">
        <v>10088</v>
      </c>
      <c r="B3011" s="2" t="s">
        <v>9043</v>
      </c>
      <c r="C3011" s="2" t="s">
        <v>4466</v>
      </c>
      <c r="D3011" s="2" t="s">
        <v>9044</v>
      </c>
      <c r="E3011" s="2" t="s">
        <v>9045</v>
      </c>
      <c r="F3011" s="2" t="s">
        <v>10005</v>
      </c>
      <c r="G3011" s="2" t="s">
        <v>10005</v>
      </c>
      <c r="H3011" s="2" t="s">
        <v>10005</v>
      </c>
      <c r="I3011" s="2" t="s">
        <v>9875</v>
      </c>
      <c r="J3011" s="2" t="s">
        <v>1806</v>
      </c>
      <c r="K3011" s="2" t="s">
        <v>2507</v>
      </c>
      <c r="L3011" s="3">
        <v>16.16</v>
      </c>
      <c r="M3011" s="3">
        <v>16.97</v>
      </c>
      <c r="N3011" s="3">
        <v>34.99</v>
      </c>
      <c r="O3011" s="2" t="s">
        <v>97</v>
      </c>
      <c r="P3011" s="2" t="s">
        <v>98</v>
      </c>
      <c r="Q3011" s="2" t="s">
        <v>99</v>
      </c>
      <c r="R3011" s="2" t="s">
        <v>100</v>
      </c>
      <c r="S3011" s="2" t="s">
        <v>10089</v>
      </c>
      <c r="T3011" s="2" t="s">
        <v>9205</v>
      </c>
      <c r="U3011" s="2" t="s">
        <v>901</v>
      </c>
      <c r="V3011" s="2" t="s">
        <v>4636</v>
      </c>
      <c r="W3011" s="2" t="s">
        <v>609</v>
      </c>
      <c r="X3011" s="2" t="s">
        <v>142</v>
      </c>
      <c r="Y3011" s="2" t="s">
        <v>9927</v>
      </c>
      <c r="Z3011" s="4"/>
      <c r="AA3011" s="4">
        <f>=ROUNDDOWN({0},0)</f>
      </c>
      <c r="AB3011" s="5">
        <v>26</v>
      </c>
      <c r="AC3011" s="2" t="s">
        <v>1142</v>
      </c>
      <c r="AD3011" s="4">
        <v>260</v>
      </c>
      <c r="AE3011" s="4">
        <v>696</v>
      </c>
      <c r="AF3011" s="6">
        <v>65</v>
      </c>
      <c r="AG3011" s="6"/>
      <c r="AH3011" s="7">
        <v>0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 t="s">
        <v>100</v>
      </c>
      <c r="AW3011" s="8" t="s">
        <v>100</v>
      </c>
      <c r="AX3011" s="4" t="s">
        <v>100</v>
      </c>
      <c r="AY3011" s="8" t="s">
        <v>100</v>
      </c>
      <c r="AZ3011" s="7" t="s">
        <v>100</v>
      </c>
      <c r="BA3011" s="7" t="s">
        <v>100</v>
      </c>
      <c r="BB3011" s="7"/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 t="s">
        <v>100</v>
      </c>
      <c r="BJ3011" s="4"/>
      <c r="BK3011" s="8"/>
      <c r="BL3011" s="2" t="s">
        <v>100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1124</v>
      </c>
      <c r="BX3011" s="2" t="s">
        <v>10090</v>
      </c>
      <c r="BY3011" s="2" t="s">
        <v>112</v>
      </c>
      <c r="BZ3011" s="2" t="s">
        <v>100</v>
      </c>
    </row>
    <row r="3012">
      <c r="A3012" s="2" t="s">
        <v>10091</v>
      </c>
      <c r="B3012" s="2" t="s">
        <v>9043</v>
      </c>
      <c r="C3012" s="2" t="s">
        <v>4466</v>
      </c>
      <c r="D3012" s="2" t="s">
        <v>9044</v>
      </c>
      <c r="E3012" s="2" t="s">
        <v>9045</v>
      </c>
      <c r="F3012" s="2" t="s">
        <v>10005</v>
      </c>
      <c r="G3012" s="2" t="s">
        <v>10005</v>
      </c>
      <c r="H3012" s="2" t="s">
        <v>10005</v>
      </c>
      <c r="I3012" s="2" t="s">
        <v>9875</v>
      </c>
      <c r="J3012" s="2" t="s">
        <v>490</v>
      </c>
      <c r="K3012" s="2" t="s">
        <v>2507</v>
      </c>
      <c r="L3012" s="3">
        <v>19.57</v>
      </c>
      <c r="M3012" s="3">
        <v>20.55</v>
      </c>
      <c r="N3012" s="3">
        <v>42.99</v>
      </c>
      <c r="O3012" s="2" t="s">
        <v>97</v>
      </c>
      <c r="P3012" s="2" t="s">
        <v>156</v>
      </c>
      <c r="Q3012" s="2" t="s">
        <v>99</v>
      </c>
      <c r="R3012" s="2" t="s">
        <v>100</v>
      </c>
      <c r="S3012" s="2" t="s">
        <v>10089</v>
      </c>
      <c r="T3012" s="2" t="s">
        <v>9205</v>
      </c>
      <c r="U3012" s="2" t="s">
        <v>1228</v>
      </c>
      <c r="V3012" s="2" t="s">
        <v>4636</v>
      </c>
      <c r="W3012" s="2" t="s">
        <v>609</v>
      </c>
      <c r="X3012" s="2" t="s">
        <v>142</v>
      </c>
      <c r="Y3012" s="2" t="s">
        <v>9927</v>
      </c>
      <c r="Z3012" s="4"/>
      <c r="AA3012" s="4">
        <f>=ROUNDDOWN({0},0)</f>
      </c>
      <c r="AB3012" s="5">
        <v>41</v>
      </c>
      <c r="AC3012" s="2" t="s">
        <v>1142</v>
      </c>
      <c r="AD3012" s="4">
        <v>398</v>
      </c>
      <c r="AE3012" s="4">
        <v>1191</v>
      </c>
      <c r="AF3012" s="6">
        <v>65</v>
      </c>
      <c r="AG3012" s="6"/>
      <c r="AH3012" s="7">
        <v>0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 t="s">
        <v>100</v>
      </c>
      <c r="AW3012" s="8" t="s">
        <v>100</v>
      </c>
      <c r="AX3012" s="4" t="s">
        <v>100</v>
      </c>
      <c r="AY3012" s="8" t="s">
        <v>100</v>
      </c>
      <c r="AZ3012" s="7" t="s">
        <v>100</v>
      </c>
      <c r="BA3012" s="7" t="s">
        <v>100</v>
      </c>
      <c r="BB3012" s="7"/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 t="s">
        <v>100</v>
      </c>
      <c r="BJ3012" s="4"/>
      <c r="BK3012" s="8"/>
      <c r="BL3012" s="2" t="s">
        <v>100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4891</v>
      </c>
      <c r="BX3012" s="2" t="s">
        <v>8574</v>
      </c>
      <c r="BY3012" s="2" t="s">
        <v>112</v>
      </c>
      <c r="BZ3012" s="2" t="s">
        <v>100</v>
      </c>
    </row>
    <row r="3013">
      <c r="A3013" s="2" t="s">
        <v>10092</v>
      </c>
      <c r="B3013" s="2" t="s">
        <v>9043</v>
      </c>
      <c r="C3013" s="2" t="s">
        <v>4466</v>
      </c>
      <c r="D3013" s="2" t="s">
        <v>9044</v>
      </c>
      <c r="E3013" s="2" t="s">
        <v>9045</v>
      </c>
      <c r="F3013" s="2" t="s">
        <v>10005</v>
      </c>
      <c r="G3013" s="2" t="s">
        <v>10005</v>
      </c>
      <c r="H3013" s="2" t="s">
        <v>10005</v>
      </c>
      <c r="I3013" s="2" t="s">
        <v>9875</v>
      </c>
      <c r="J3013" s="2" t="s">
        <v>95</v>
      </c>
      <c r="K3013" s="2" t="s">
        <v>2507</v>
      </c>
      <c r="L3013" s="3">
        <v>22.21</v>
      </c>
      <c r="M3013" s="3">
        <v>23.32</v>
      </c>
      <c r="N3013" s="3">
        <v>47.99</v>
      </c>
      <c r="O3013" s="2" t="s">
        <v>97</v>
      </c>
      <c r="P3013" s="2" t="s">
        <v>156</v>
      </c>
      <c r="Q3013" s="2" t="s">
        <v>99</v>
      </c>
      <c r="R3013" s="2" t="s">
        <v>100</v>
      </c>
      <c r="S3013" s="2" t="s">
        <v>10089</v>
      </c>
      <c r="T3013" s="2" t="s">
        <v>9205</v>
      </c>
      <c r="U3013" s="2" t="s">
        <v>1228</v>
      </c>
      <c r="V3013" s="2" t="s">
        <v>4636</v>
      </c>
      <c r="W3013" s="2" t="s">
        <v>609</v>
      </c>
      <c r="X3013" s="2" t="s">
        <v>142</v>
      </c>
      <c r="Y3013" s="2" t="s">
        <v>9927</v>
      </c>
      <c r="Z3013" s="4"/>
      <c r="AA3013" s="4">
        <f>=ROUNDDOWN({0},0)</f>
      </c>
      <c r="AB3013" s="5">
        <v>39</v>
      </c>
      <c r="AC3013" s="2" t="s">
        <v>1142</v>
      </c>
      <c r="AD3013" s="4">
        <v>387</v>
      </c>
      <c r="AE3013" s="4">
        <v>1068</v>
      </c>
      <c r="AF3013" s="6">
        <v>65</v>
      </c>
      <c r="AG3013" s="6"/>
      <c r="AH3013" s="7">
        <v>0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 t="s">
        <v>100</v>
      </c>
      <c r="AW3013" s="8" t="s">
        <v>100</v>
      </c>
      <c r="AX3013" s="4" t="s">
        <v>100</v>
      </c>
      <c r="AY3013" s="8" t="s">
        <v>100</v>
      </c>
      <c r="AZ3013" s="7" t="s">
        <v>100</v>
      </c>
      <c r="BA3013" s="7" t="s">
        <v>100</v>
      </c>
      <c r="BB3013" s="7"/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 t="s">
        <v>100</v>
      </c>
      <c r="BJ3013" s="4"/>
      <c r="BK3013" s="8"/>
      <c r="BL3013" s="2" t="s">
        <v>100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109</v>
      </c>
      <c r="BV3013" s="2" t="s">
        <v>97</v>
      </c>
      <c r="BW3013" s="2" t="s">
        <v>10033</v>
      </c>
      <c r="BX3013" s="2" t="s">
        <v>7939</v>
      </c>
      <c r="BY3013" s="2" t="s">
        <v>112</v>
      </c>
      <c r="BZ3013" s="2" t="s">
        <v>100</v>
      </c>
    </row>
    <row r="3014">
      <c r="A3014" s="2" t="s">
        <v>10093</v>
      </c>
      <c r="B3014" s="2" t="s">
        <v>9043</v>
      </c>
      <c r="C3014" s="2" t="s">
        <v>4466</v>
      </c>
      <c r="D3014" s="2" t="s">
        <v>9044</v>
      </c>
      <c r="E3014" s="2" t="s">
        <v>9045</v>
      </c>
      <c r="F3014" s="2" t="s">
        <v>10005</v>
      </c>
      <c r="G3014" s="2" t="s">
        <v>10005</v>
      </c>
      <c r="H3014" s="2" t="s">
        <v>10005</v>
      </c>
      <c r="I3014" s="2" t="s">
        <v>9875</v>
      </c>
      <c r="J3014" s="2" t="s">
        <v>114</v>
      </c>
      <c r="K3014" s="2" t="s">
        <v>2507</v>
      </c>
      <c r="L3014" s="3">
        <v>27.39</v>
      </c>
      <c r="M3014" s="3">
        <v>28.76</v>
      </c>
      <c r="N3014" s="3">
        <v>62.99</v>
      </c>
      <c r="O3014" s="2" t="s">
        <v>97</v>
      </c>
      <c r="P3014" s="2" t="s">
        <v>98</v>
      </c>
      <c r="Q3014" s="2" t="s">
        <v>99</v>
      </c>
      <c r="R3014" s="2" t="s">
        <v>100</v>
      </c>
      <c r="S3014" s="2" t="s">
        <v>10089</v>
      </c>
      <c r="T3014" s="2" t="s">
        <v>9205</v>
      </c>
      <c r="U3014" s="2" t="s">
        <v>1228</v>
      </c>
      <c r="V3014" s="2" t="s">
        <v>4636</v>
      </c>
      <c r="W3014" s="2" t="s">
        <v>609</v>
      </c>
      <c r="X3014" s="2" t="s">
        <v>142</v>
      </c>
      <c r="Y3014" s="2" t="s">
        <v>9927</v>
      </c>
      <c r="Z3014" s="4"/>
      <c r="AA3014" s="4">
        <f>=ROUNDDOWN({0},0)</f>
      </c>
      <c r="AB3014" s="5">
        <v>16</v>
      </c>
      <c r="AC3014" s="2" t="s">
        <v>1142</v>
      </c>
      <c r="AD3014" s="4">
        <v>163</v>
      </c>
      <c r="AE3014" s="4">
        <v>440</v>
      </c>
      <c r="AF3014" s="6">
        <v>65</v>
      </c>
      <c r="AG3014" s="6"/>
      <c r="AH3014" s="7">
        <v>0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 t="s">
        <v>100</v>
      </c>
      <c r="AW3014" s="8" t="s">
        <v>100</v>
      </c>
      <c r="AX3014" s="4" t="s">
        <v>100</v>
      </c>
      <c r="AY3014" s="8" t="s">
        <v>100</v>
      </c>
      <c r="AZ3014" s="7" t="s">
        <v>100</v>
      </c>
      <c r="BA3014" s="7" t="s">
        <v>100</v>
      </c>
      <c r="BB3014" s="7"/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 t="s">
        <v>100</v>
      </c>
      <c r="BJ3014" s="4"/>
      <c r="BK3014" s="8"/>
      <c r="BL3014" s="2" t="s">
        <v>100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109</v>
      </c>
      <c r="BV3014" s="2" t="s">
        <v>97</v>
      </c>
      <c r="BW3014" s="2" t="s">
        <v>10033</v>
      </c>
      <c r="BX3014" s="2" t="s">
        <v>10094</v>
      </c>
      <c r="BY3014" s="2" t="s">
        <v>112</v>
      </c>
      <c r="BZ3014" s="2" t="s">
        <v>100</v>
      </c>
    </row>
    <row r="3015">
      <c r="A3015" s="2" t="s">
        <v>10095</v>
      </c>
      <c r="B3015" s="2" t="s">
        <v>9043</v>
      </c>
      <c r="C3015" s="2" t="s">
        <v>4466</v>
      </c>
      <c r="D3015" s="2" t="s">
        <v>9044</v>
      </c>
      <c r="E3015" s="2" t="s">
        <v>9045</v>
      </c>
      <c r="F3015" s="2" t="s">
        <v>10005</v>
      </c>
      <c r="G3015" s="2" t="s">
        <v>10005</v>
      </c>
      <c r="H3015" s="2" t="s">
        <v>10005</v>
      </c>
      <c r="I3015" s="2" t="s">
        <v>9875</v>
      </c>
      <c r="J3015" s="2" t="s">
        <v>1443</v>
      </c>
      <c r="K3015" s="2" t="s">
        <v>10096</v>
      </c>
      <c r="L3015" s="3">
        <v>14.89</v>
      </c>
      <c r="M3015" s="3">
        <v>15.63</v>
      </c>
      <c r="N3015" s="3">
        <v>31.99</v>
      </c>
      <c r="O3015" s="2" t="s">
        <v>97</v>
      </c>
      <c r="P3015" s="2" t="s">
        <v>98</v>
      </c>
      <c r="Q3015" s="2" t="s">
        <v>99</v>
      </c>
      <c r="R3015" s="2" t="s">
        <v>100</v>
      </c>
      <c r="S3015" s="2" t="s">
        <v>10097</v>
      </c>
      <c r="T3015" s="2" t="s">
        <v>9205</v>
      </c>
      <c r="U3015" s="2" t="s">
        <v>901</v>
      </c>
      <c r="V3015" s="2" t="s">
        <v>3451</v>
      </c>
      <c r="W3015" s="2" t="s">
        <v>609</v>
      </c>
      <c r="X3015" s="2" t="s">
        <v>270</v>
      </c>
      <c r="Y3015" s="2" t="s">
        <v>10031</v>
      </c>
      <c r="Z3015" s="4"/>
      <c r="AA3015" s="4">
        <f>=ROUNDDOWN({0},0)</f>
      </c>
      <c r="AB3015" s="5">
        <v>47</v>
      </c>
      <c r="AC3015" s="2" t="s">
        <v>1142</v>
      </c>
      <c r="AD3015" s="4">
        <v>459</v>
      </c>
      <c r="AE3015" s="4">
        <v>1360</v>
      </c>
      <c r="AF3015" s="6">
        <v>65</v>
      </c>
      <c r="AG3015" s="6"/>
      <c r="AH3015" s="7">
        <v>0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100</v>
      </c>
      <c r="AW3015" s="8" t="s">
        <v>100</v>
      </c>
      <c r="AX3015" s="4" t="s">
        <v>100</v>
      </c>
      <c r="AY3015" s="8" t="s">
        <v>100</v>
      </c>
      <c r="AZ3015" s="7" t="s">
        <v>100</v>
      </c>
      <c r="BA3015" s="7" t="s">
        <v>100</v>
      </c>
      <c r="BB3015" s="7"/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 t="s">
        <v>100</v>
      </c>
      <c r="BJ3015" s="4"/>
      <c r="BK3015" s="8"/>
      <c r="BL3015" s="2" t="s">
        <v>100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109</v>
      </c>
      <c r="BV3015" s="2" t="s">
        <v>97</v>
      </c>
      <c r="BW3015" s="2" t="s">
        <v>10033</v>
      </c>
      <c r="BX3015" s="2" t="s">
        <v>204</v>
      </c>
      <c r="BY3015" s="2" t="s">
        <v>112</v>
      </c>
      <c r="BZ3015" s="2" t="s">
        <v>100</v>
      </c>
    </row>
    <row r="3016">
      <c r="A3016" s="2" t="s">
        <v>10098</v>
      </c>
      <c r="B3016" s="2" t="s">
        <v>9043</v>
      </c>
      <c r="C3016" s="2" t="s">
        <v>4466</v>
      </c>
      <c r="D3016" s="2" t="s">
        <v>9044</v>
      </c>
      <c r="E3016" s="2" t="s">
        <v>9045</v>
      </c>
      <c r="F3016" s="2" t="s">
        <v>10005</v>
      </c>
      <c r="G3016" s="2" t="s">
        <v>10005</v>
      </c>
      <c r="H3016" s="2" t="s">
        <v>10005</v>
      </c>
      <c r="I3016" s="2" t="s">
        <v>9875</v>
      </c>
      <c r="J3016" s="2" t="s">
        <v>490</v>
      </c>
      <c r="K3016" s="2" t="s">
        <v>10096</v>
      </c>
      <c r="L3016" s="3">
        <v>19.57</v>
      </c>
      <c r="M3016" s="3">
        <v>20.55</v>
      </c>
      <c r="N3016" s="3">
        <v>42.99</v>
      </c>
      <c r="O3016" s="2" t="s">
        <v>97</v>
      </c>
      <c r="P3016" s="2" t="s">
        <v>98</v>
      </c>
      <c r="Q3016" s="2" t="s">
        <v>99</v>
      </c>
      <c r="R3016" s="2" t="s">
        <v>100</v>
      </c>
      <c r="S3016" s="2" t="s">
        <v>10097</v>
      </c>
      <c r="T3016" s="2" t="s">
        <v>9205</v>
      </c>
      <c r="U3016" s="2" t="s">
        <v>1228</v>
      </c>
      <c r="V3016" s="2" t="s">
        <v>3451</v>
      </c>
      <c r="W3016" s="2" t="s">
        <v>609</v>
      </c>
      <c r="X3016" s="2" t="s">
        <v>270</v>
      </c>
      <c r="Y3016" s="2" t="s">
        <v>10031</v>
      </c>
      <c r="Z3016" s="4"/>
      <c r="AA3016" s="4">
        <f>=ROUNDDOWN({0},0)</f>
      </c>
      <c r="AB3016" s="5">
        <v>37</v>
      </c>
      <c r="AC3016" s="2" t="s">
        <v>1142</v>
      </c>
      <c r="AD3016" s="4">
        <v>371</v>
      </c>
      <c r="AE3016" s="4">
        <v>1073</v>
      </c>
      <c r="AF3016" s="6">
        <v>65</v>
      </c>
      <c r="AG3016" s="6"/>
      <c r="AH3016" s="7">
        <v>0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100</v>
      </c>
      <c r="AW3016" s="8" t="s">
        <v>100</v>
      </c>
      <c r="AX3016" s="4" t="s">
        <v>100</v>
      </c>
      <c r="AY3016" s="8" t="s">
        <v>100</v>
      </c>
      <c r="AZ3016" s="7" t="s">
        <v>100</v>
      </c>
      <c r="BA3016" s="7" t="s">
        <v>100</v>
      </c>
      <c r="BB3016" s="7"/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 t="s">
        <v>100</v>
      </c>
      <c r="BJ3016" s="4"/>
      <c r="BK3016" s="8"/>
      <c r="BL3016" s="2" t="s">
        <v>100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10033</v>
      </c>
      <c r="BX3016" s="2" t="s">
        <v>9269</v>
      </c>
      <c r="BY3016" s="2" t="s">
        <v>112</v>
      </c>
      <c r="BZ3016" s="2" t="s">
        <v>100</v>
      </c>
    </row>
    <row r="3017">
      <c r="A3017" s="2" t="s">
        <v>10099</v>
      </c>
      <c r="B3017" s="2" t="s">
        <v>9043</v>
      </c>
      <c r="C3017" s="2" t="s">
        <v>4466</v>
      </c>
      <c r="D3017" s="2" t="s">
        <v>9044</v>
      </c>
      <c r="E3017" s="2" t="s">
        <v>9045</v>
      </c>
      <c r="F3017" s="2" t="s">
        <v>10005</v>
      </c>
      <c r="G3017" s="2" t="s">
        <v>10005</v>
      </c>
      <c r="H3017" s="2" t="s">
        <v>10005</v>
      </c>
      <c r="I3017" s="2" t="s">
        <v>9875</v>
      </c>
      <c r="J3017" s="2" t="s">
        <v>95</v>
      </c>
      <c r="K3017" s="2" t="s">
        <v>10096</v>
      </c>
      <c r="L3017" s="3">
        <v>22.21</v>
      </c>
      <c r="M3017" s="3">
        <v>23.32</v>
      </c>
      <c r="N3017" s="3">
        <v>47.99</v>
      </c>
      <c r="O3017" s="2" t="s">
        <v>97</v>
      </c>
      <c r="P3017" s="2" t="s">
        <v>123</v>
      </c>
      <c r="Q3017" s="2" t="s">
        <v>99</v>
      </c>
      <c r="R3017" s="2" t="s">
        <v>100</v>
      </c>
      <c r="S3017" s="2" t="s">
        <v>10097</v>
      </c>
      <c r="T3017" s="2" t="s">
        <v>9205</v>
      </c>
      <c r="U3017" s="2" t="s">
        <v>1228</v>
      </c>
      <c r="V3017" s="2" t="s">
        <v>3451</v>
      </c>
      <c r="W3017" s="2" t="s">
        <v>609</v>
      </c>
      <c r="X3017" s="2" t="s">
        <v>270</v>
      </c>
      <c r="Y3017" s="2" t="s">
        <v>10031</v>
      </c>
      <c r="Z3017" s="4">
        <v>1</v>
      </c>
      <c r="AA3017" s="4">
        <f>=ROUNDDOWN(0.0175438596491228,0)</f>
      </c>
      <c r="AB3017" s="5">
        <v>57</v>
      </c>
      <c r="AC3017" s="2" t="s">
        <v>1142</v>
      </c>
      <c r="AD3017" s="4">
        <v>559</v>
      </c>
      <c r="AE3017" s="4">
        <v>1720</v>
      </c>
      <c r="AF3017" s="6">
        <v>65</v>
      </c>
      <c r="AG3017" s="6"/>
      <c r="AH3017" s="7">
        <v>0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100</v>
      </c>
      <c r="AW3017" s="8" t="s">
        <v>100</v>
      </c>
      <c r="AX3017" s="4" t="s">
        <v>100</v>
      </c>
      <c r="AY3017" s="8" t="s">
        <v>100</v>
      </c>
      <c r="AZ3017" s="7" t="s">
        <v>100</v>
      </c>
      <c r="BA3017" s="7" t="s">
        <v>100</v>
      </c>
      <c r="BB3017" s="7"/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 t="s">
        <v>100</v>
      </c>
      <c r="BJ3017" s="4"/>
      <c r="BK3017" s="8"/>
      <c r="BL3017" s="2" t="s">
        <v>100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10033</v>
      </c>
      <c r="BX3017" s="2" t="s">
        <v>10100</v>
      </c>
      <c r="BY3017" s="2" t="s">
        <v>112</v>
      </c>
      <c r="BZ3017" s="2" t="s">
        <v>100</v>
      </c>
    </row>
    <row r="3018">
      <c r="A3018" s="2" t="s">
        <v>10101</v>
      </c>
      <c r="B3018" s="2" t="s">
        <v>9043</v>
      </c>
      <c r="C3018" s="2" t="s">
        <v>4466</v>
      </c>
      <c r="D3018" s="2" t="s">
        <v>9044</v>
      </c>
      <c r="E3018" s="2" t="s">
        <v>9045</v>
      </c>
      <c r="F3018" s="2" t="s">
        <v>10005</v>
      </c>
      <c r="G3018" s="2" t="s">
        <v>10005</v>
      </c>
      <c r="H3018" s="2" t="s">
        <v>10005</v>
      </c>
      <c r="I3018" s="2" t="s">
        <v>9875</v>
      </c>
      <c r="J3018" s="2" t="s">
        <v>114</v>
      </c>
      <c r="K3018" s="2" t="s">
        <v>10096</v>
      </c>
      <c r="L3018" s="3">
        <v>27.39</v>
      </c>
      <c r="M3018" s="3">
        <v>28.76</v>
      </c>
      <c r="N3018" s="3">
        <v>62.99</v>
      </c>
      <c r="O3018" s="2" t="s">
        <v>97</v>
      </c>
      <c r="P3018" s="2" t="s">
        <v>98</v>
      </c>
      <c r="Q3018" s="2" t="s">
        <v>99</v>
      </c>
      <c r="R3018" s="2" t="s">
        <v>100</v>
      </c>
      <c r="S3018" s="2" t="s">
        <v>10097</v>
      </c>
      <c r="T3018" s="2" t="s">
        <v>9205</v>
      </c>
      <c r="U3018" s="2" t="s">
        <v>1228</v>
      </c>
      <c r="V3018" s="2" t="s">
        <v>3451</v>
      </c>
      <c r="W3018" s="2" t="s">
        <v>609</v>
      </c>
      <c r="X3018" s="2" t="s">
        <v>270</v>
      </c>
      <c r="Y3018" s="2" t="s">
        <v>10031</v>
      </c>
      <c r="Z3018" s="4"/>
      <c r="AA3018" s="4">
        <f>=ROUNDDOWN({0},0)</f>
      </c>
      <c r="AB3018" s="5">
        <v>18</v>
      </c>
      <c r="AC3018" s="2" t="s">
        <v>1142</v>
      </c>
      <c r="AD3018" s="4">
        <v>179</v>
      </c>
      <c r="AE3018" s="4">
        <v>519</v>
      </c>
      <c r="AF3018" s="6">
        <v>65</v>
      </c>
      <c r="AG3018" s="6"/>
      <c r="AH3018" s="7">
        <v>0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100</v>
      </c>
      <c r="AW3018" s="8" t="s">
        <v>100</v>
      </c>
      <c r="AX3018" s="4" t="s">
        <v>100</v>
      </c>
      <c r="AY3018" s="8" t="s">
        <v>100</v>
      </c>
      <c r="AZ3018" s="7" t="s">
        <v>100</v>
      </c>
      <c r="BA3018" s="7" t="s">
        <v>100</v>
      </c>
      <c r="BB3018" s="7"/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 t="s">
        <v>100</v>
      </c>
      <c r="BJ3018" s="4"/>
      <c r="BK3018" s="8"/>
      <c r="BL3018" s="2" t="s">
        <v>100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10033</v>
      </c>
      <c r="BX3018" s="2" t="s">
        <v>4699</v>
      </c>
      <c r="BY3018" s="2" t="s">
        <v>112</v>
      </c>
      <c r="BZ3018" s="2" t="s">
        <v>100</v>
      </c>
    </row>
    <row r="3019">
      <c r="A3019" s="2" t="s">
        <v>10102</v>
      </c>
      <c r="B3019" s="2" t="s">
        <v>9043</v>
      </c>
      <c r="C3019" s="2" t="s">
        <v>4466</v>
      </c>
      <c r="D3019" s="2" t="s">
        <v>9044</v>
      </c>
      <c r="E3019" s="2" t="s">
        <v>9045</v>
      </c>
      <c r="F3019" s="2" t="s">
        <v>10005</v>
      </c>
      <c r="G3019" s="2" t="s">
        <v>10005</v>
      </c>
      <c r="H3019" s="2" t="s">
        <v>10005</v>
      </c>
      <c r="I3019" s="2" t="s">
        <v>9875</v>
      </c>
      <c r="J3019" s="2" t="s">
        <v>1443</v>
      </c>
      <c r="K3019" s="2" t="s">
        <v>10103</v>
      </c>
      <c r="L3019" s="3">
        <v>14.89</v>
      </c>
      <c r="M3019" s="3">
        <v>15.63</v>
      </c>
      <c r="N3019" s="3">
        <v>31.99</v>
      </c>
      <c r="O3019" s="2" t="s">
        <v>97</v>
      </c>
      <c r="P3019" s="2" t="s">
        <v>123</v>
      </c>
      <c r="Q3019" s="2" t="s">
        <v>99</v>
      </c>
      <c r="R3019" s="2" t="s">
        <v>100</v>
      </c>
      <c r="S3019" s="2" t="s">
        <v>10104</v>
      </c>
      <c r="T3019" s="2" t="s">
        <v>9205</v>
      </c>
      <c r="U3019" s="2" t="s">
        <v>100</v>
      </c>
      <c r="V3019" s="2" t="s">
        <v>3451</v>
      </c>
      <c r="W3019" s="2" t="s">
        <v>609</v>
      </c>
      <c r="X3019" s="2" t="s">
        <v>100</v>
      </c>
      <c r="Y3019" s="2" t="s">
        <v>503</v>
      </c>
      <c r="Z3019" s="4">
        <v>2</v>
      </c>
      <c r="AA3019" s="4">
        <f>=ROUNDDOWN(0.04,0)</f>
      </c>
      <c r="AB3019" s="5">
        <v>50</v>
      </c>
      <c r="AC3019" s="2" t="s">
        <v>1142</v>
      </c>
      <c r="AD3019" s="4">
        <v>485</v>
      </c>
      <c r="AE3019" s="4">
        <v>1428</v>
      </c>
      <c r="AF3019" s="6">
        <v>65</v>
      </c>
      <c r="AG3019" s="6"/>
      <c r="AH3019" s="7">
        <v>0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 t="s">
        <v>100</v>
      </c>
      <c r="AW3019" s="8" t="s">
        <v>100</v>
      </c>
      <c r="AX3019" s="4" t="s">
        <v>100</v>
      </c>
      <c r="AY3019" s="8" t="s">
        <v>100</v>
      </c>
      <c r="AZ3019" s="7" t="s">
        <v>100</v>
      </c>
      <c r="BA3019" s="7" t="s">
        <v>100</v>
      </c>
      <c r="BB3019" s="7"/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 t="s">
        <v>100</v>
      </c>
      <c r="BJ3019" s="4"/>
      <c r="BK3019" s="8"/>
      <c r="BL3019" s="2" t="s">
        <v>100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1792</v>
      </c>
      <c r="BX3019" s="2" t="s">
        <v>8885</v>
      </c>
      <c r="BY3019" s="2" t="s">
        <v>112</v>
      </c>
      <c r="BZ3019" s="2" t="s">
        <v>149</v>
      </c>
    </row>
    <row r="3020">
      <c r="A3020" s="2" t="s">
        <v>10105</v>
      </c>
      <c r="B3020" s="2" t="s">
        <v>9043</v>
      </c>
      <c r="C3020" s="2" t="s">
        <v>4466</v>
      </c>
      <c r="D3020" s="2" t="s">
        <v>9044</v>
      </c>
      <c r="E3020" s="2" t="s">
        <v>9045</v>
      </c>
      <c r="F3020" s="2" t="s">
        <v>10005</v>
      </c>
      <c r="G3020" s="2" t="s">
        <v>10005</v>
      </c>
      <c r="H3020" s="2" t="s">
        <v>10005</v>
      </c>
      <c r="I3020" s="2" t="s">
        <v>9875</v>
      </c>
      <c r="J3020" s="2" t="s">
        <v>1806</v>
      </c>
      <c r="K3020" s="2" t="s">
        <v>10103</v>
      </c>
      <c r="L3020" s="3">
        <v>16.16</v>
      </c>
      <c r="M3020" s="3">
        <v>16.97</v>
      </c>
      <c r="N3020" s="3">
        <v>34.99</v>
      </c>
      <c r="O3020" s="2" t="s">
        <v>97</v>
      </c>
      <c r="P3020" s="2" t="s">
        <v>98</v>
      </c>
      <c r="Q3020" s="2" t="s">
        <v>99</v>
      </c>
      <c r="R3020" s="2" t="s">
        <v>100</v>
      </c>
      <c r="S3020" s="2" t="s">
        <v>10104</v>
      </c>
      <c r="T3020" s="2" t="s">
        <v>9205</v>
      </c>
      <c r="U3020" s="2" t="s">
        <v>100</v>
      </c>
      <c r="V3020" s="2" t="s">
        <v>3451</v>
      </c>
      <c r="W3020" s="2" t="s">
        <v>609</v>
      </c>
      <c r="X3020" s="2" t="s">
        <v>100</v>
      </c>
      <c r="Y3020" s="2" t="s">
        <v>503</v>
      </c>
      <c r="Z3020" s="4">
        <v>2</v>
      </c>
      <c r="AA3020" s="4">
        <f>=ROUNDDOWN(0.0833333333333333,0)</f>
      </c>
      <c r="AB3020" s="5">
        <v>24</v>
      </c>
      <c r="AC3020" s="2" t="s">
        <v>1142</v>
      </c>
      <c r="AD3020" s="4">
        <v>241</v>
      </c>
      <c r="AE3020" s="4">
        <v>661</v>
      </c>
      <c r="AF3020" s="6">
        <v>65</v>
      </c>
      <c r="AG3020" s="6"/>
      <c r="AH3020" s="7">
        <v>0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100</v>
      </c>
      <c r="AW3020" s="8" t="s">
        <v>100</v>
      </c>
      <c r="AX3020" s="4" t="s">
        <v>100</v>
      </c>
      <c r="AY3020" s="8" t="s">
        <v>100</v>
      </c>
      <c r="AZ3020" s="7" t="s">
        <v>100</v>
      </c>
      <c r="BA3020" s="7" t="s">
        <v>100</v>
      </c>
      <c r="BB3020" s="7"/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 t="s">
        <v>100</v>
      </c>
      <c r="BJ3020" s="4">
        <v>1</v>
      </c>
      <c r="BK3020" s="8">
        <v>34.99</v>
      </c>
      <c r="BL3020" s="2" t="s">
        <v>3783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1792</v>
      </c>
      <c r="BX3020" s="2" t="s">
        <v>8885</v>
      </c>
      <c r="BY3020" s="2" t="s">
        <v>112</v>
      </c>
      <c r="BZ3020" s="2" t="s">
        <v>149</v>
      </c>
    </row>
    <row r="3021">
      <c r="A3021" s="2" t="s">
        <v>10106</v>
      </c>
      <c r="B3021" s="2" t="s">
        <v>9043</v>
      </c>
      <c r="C3021" s="2" t="s">
        <v>4466</v>
      </c>
      <c r="D3021" s="2" t="s">
        <v>9044</v>
      </c>
      <c r="E3021" s="2" t="s">
        <v>9045</v>
      </c>
      <c r="F3021" s="2" t="s">
        <v>10005</v>
      </c>
      <c r="G3021" s="2" t="s">
        <v>10005</v>
      </c>
      <c r="H3021" s="2" t="s">
        <v>10005</v>
      </c>
      <c r="I3021" s="2" t="s">
        <v>9875</v>
      </c>
      <c r="J3021" s="2" t="s">
        <v>95</v>
      </c>
      <c r="K3021" s="2" t="s">
        <v>10103</v>
      </c>
      <c r="L3021" s="3">
        <v>22.21</v>
      </c>
      <c r="M3021" s="3">
        <v>23.32</v>
      </c>
      <c r="N3021" s="3">
        <v>47.99</v>
      </c>
      <c r="O3021" s="2" t="s">
        <v>97</v>
      </c>
      <c r="P3021" s="2" t="s">
        <v>156</v>
      </c>
      <c r="Q3021" s="2" t="s">
        <v>99</v>
      </c>
      <c r="R3021" s="2" t="s">
        <v>100</v>
      </c>
      <c r="S3021" s="2" t="s">
        <v>10104</v>
      </c>
      <c r="T3021" s="2" t="s">
        <v>9205</v>
      </c>
      <c r="U3021" s="2" t="s">
        <v>100</v>
      </c>
      <c r="V3021" s="2" t="s">
        <v>3451</v>
      </c>
      <c r="W3021" s="2" t="s">
        <v>609</v>
      </c>
      <c r="X3021" s="2" t="s">
        <v>100</v>
      </c>
      <c r="Y3021" s="2" t="s">
        <v>503</v>
      </c>
      <c r="Z3021" s="4">
        <v>1</v>
      </c>
      <c r="AA3021" s="4">
        <f>=ROUNDDOWN(0.0303030303030303,0)</f>
      </c>
      <c r="AB3021" s="5">
        <v>33</v>
      </c>
      <c r="AC3021" s="2" t="s">
        <v>1142</v>
      </c>
      <c r="AD3021" s="4">
        <v>325</v>
      </c>
      <c r="AE3021" s="4">
        <v>923</v>
      </c>
      <c r="AF3021" s="6">
        <v>65</v>
      </c>
      <c r="AG3021" s="6"/>
      <c r="AH3021" s="7">
        <v>0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 t="s">
        <v>100</v>
      </c>
      <c r="AW3021" s="8" t="s">
        <v>100</v>
      </c>
      <c r="AX3021" s="4" t="s">
        <v>100</v>
      </c>
      <c r="AY3021" s="8" t="s">
        <v>100</v>
      </c>
      <c r="AZ3021" s="7" t="s">
        <v>100</v>
      </c>
      <c r="BA3021" s="7" t="s">
        <v>100</v>
      </c>
      <c r="BB3021" s="7"/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 t="s">
        <v>100</v>
      </c>
      <c r="BJ3021" s="4"/>
      <c r="BK3021" s="8"/>
      <c r="BL3021" s="2" t="s">
        <v>100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109</v>
      </c>
      <c r="BV3021" s="2" t="s">
        <v>97</v>
      </c>
      <c r="BW3021" s="2" t="s">
        <v>1792</v>
      </c>
      <c r="BX3021" s="2" t="s">
        <v>10107</v>
      </c>
      <c r="BY3021" s="2" t="s">
        <v>112</v>
      </c>
      <c r="BZ3021" s="2" t="s">
        <v>149</v>
      </c>
    </row>
    <row r="3022">
      <c r="A3022" s="2" t="s">
        <v>10108</v>
      </c>
      <c r="B3022" s="2" t="s">
        <v>9043</v>
      </c>
      <c r="C3022" s="2" t="s">
        <v>4466</v>
      </c>
      <c r="D3022" s="2" t="s">
        <v>9044</v>
      </c>
      <c r="E3022" s="2" t="s">
        <v>9045</v>
      </c>
      <c r="F3022" s="2" t="s">
        <v>10005</v>
      </c>
      <c r="G3022" s="2" t="s">
        <v>10005</v>
      </c>
      <c r="H3022" s="2" t="s">
        <v>10005</v>
      </c>
      <c r="I3022" s="2" t="s">
        <v>9875</v>
      </c>
      <c r="J3022" s="2" t="s">
        <v>114</v>
      </c>
      <c r="K3022" s="2" t="s">
        <v>10103</v>
      </c>
      <c r="L3022" s="3">
        <v>27.39</v>
      </c>
      <c r="M3022" s="3">
        <v>28.76</v>
      </c>
      <c r="N3022" s="3">
        <v>62.99</v>
      </c>
      <c r="O3022" s="2" t="s">
        <v>97</v>
      </c>
      <c r="P3022" s="2" t="s">
        <v>98</v>
      </c>
      <c r="Q3022" s="2" t="s">
        <v>99</v>
      </c>
      <c r="R3022" s="2" t="s">
        <v>100</v>
      </c>
      <c r="S3022" s="2" t="s">
        <v>10104</v>
      </c>
      <c r="T3022" s="2" t="s">
        <v>9205</v>
      </c>
      <c r="U3022" s="2" t="s">
        <v>100</v>
      </c>
      <c r="V3022" s="2" t="s">
        <v>3451</v>
      </c>
      <c r="W3022" s="2" t="s">
        <v>609</v>
      </c>
      <c r="X3022" s="2" t="s">
        <v>100</v>
      </c>
      <c r="Y3022" s="2" t="s">
        <v>503</v>
      </c>
      <c r="Z3022" s="4">
        <v>3</v>
      </c>
      <c r="AA3022" s="4">
        <f>=ROUNDDOWN(0.1875,0)</f>
      </c>
      <c r="AB3022" s="5">
        <v>16</v>
      </c>
      <c r="AC3022" s="2" t="s">
        <v>1142</v>
      </c>
      <c r="AD3022" s="4">
        <v>164</v>
      </c>
      <c r="AE3022" s="4">
        <v>443</v>
      </c>
      <c r="AF3022" s="6">
        <v>65</v>
      </c>
      <c r="AG3022" s="6"/>
      <c r="AH3022" s="7">
        <v>0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/>
      <c r="AQ3022" s="8"/>
      <c r="AR3022" s="4"/>
      <c r="AS3022" s="8"/>
      <c r="AT3022" s="7"/>
      <c r="AU3022" s="7"/>
      <c r="AV3022" s="4" t="s">
        <v>100</v>
      </c>
      <c r="AW3022" s="8" t="s">
        <v>100</v>
      </c>
      <c r="AX3022" s="4" t="s">
        <v>100</v>
      </c>
      <c r="AY3022" s="8" t="s">
        <v>100</v>
      </c>
      <c r="AZ3022" s="7" t="s">
        <v>100</v>
      </c>
      <c r="BA3022" s="7" t="s">
        <v>100</v>
      </c>
      <c r="BB3022" s="7"/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 t="s">
        <v>100</v>
      </c>
      <c r="BJ3022" s="4"/>
      <c r="BK3022" s="8"/>
      <c r="BL3022" s="2" t="s">
        <v>100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1792</v>
      </c>
      <c r="BX3022" s="2" t="s">
        <v>10109</v>
      </c>
      <c r="BY3022" s="2" t="s">
        <v>112</v>
      </c>
      <c r="BZ3022" s="2" t="s">
        <v>149</v>
      </c>
    </row>
    <row r="3023">
      <c r="A3023" s="2" t="s">
        <v>10110</v>
      </c>
      <c r="B3023" s="2" t="s">
        <v>9043</v>
      </c>
      <c r="C3023" s="2" t="s">
        <v>4466</v>
      </c>
      <c r="D3023" s="2" t="s">
        <v>9044</v>
      </c>
      <c r="E3023" s="2" t="s">
        <v>9045</v>
      </c>
      <c r="F3023" s="2" t="s">
        <v>10005</v>
      </c>
      <c r="G3023" s="2" t="s">
        <v>10005</v>
      </c>
      <c r="H3023" s="2" t="s">
        <v>10005</v>
      </c>
      <c r="I3023" s="2" t="s">
        <v>9875</v>
      </c>
      <c r="J3023" s="2" t="s">
        <v>1443</v>
      </c>
      <c r="K3023" s="2" t="s">
        <v>10111</v>
      </c>
      <c r="L3023" s="3">
        <v>14.89</v>
      </c>
      <c r="M3023" s="3">
        <v>15.63</v>
      </c>
      <c r="N3023" s="3">
        <v>31.99</v>
      </c>
      <c r="O3023" s="2" t="s">
        <v>97</v>
      </c>
      <c r="P3023" s="2" t="s">
        <v>98</v>
      </c>
      <c r="Q3023" s="2" t="s">
        <v>99</v>
      </c>
      <c r="R3023" s="2" t="s">
        <v>100</v>
      </c>
      <c r="S3023" s="2" t="s">
        <v>10112</v>
      </c>
      <c r="T3023" s="2" t="s">
        <v>9205</v>
      </c>
      <c r="U3023" s="2" t="s">
        <v>100</v>
      </c>
      <c r="V3023" s="2" t="s">
        <v>461</v>
      </c>
      <c r="W3023" s="2" t="s">
        <v>609</v>
      </c>
      <c r="X3023" s="2" t="s">
        <v>100</v>
      </c>
      <c r="Y3023" s="2" t="s">
        <v>144</v>
      </c>
      <c r="Z3023" s="4"/>
      <c r="AA3023" s="4">
        <f>=ROUNDDOWN({0},0)</f>
      </c>
      <c r="AB3023" s="5">
        <v>47</v>
      </c>
      <c r="AC3023" s="2" t="s">
        <v>1142</v>
      </c>
      <c r="AD3023" s="4">
        <v>466</v>
      </c>
      <c r="AE3023" s="4">
        <v>1394</v>
      </c>
      <c r="AF3023" s="6">
        <v>65</v>
      </c>
      <c r="AG3023" s="6"/>
      <c r="AH3023" s="7">
        <v>0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 t="s">
        <v>100</v>
      </c>
      <c r="AW3023" s="8" t="s">
        <v>100</v>
      </c>
      <c r="AX3023" s="4" t="s">
        <v>100</v>
      </c>
      <c r="AY3023" s="8" t="s">
        <v>100</v>
      </c>
      <c r="AZ3023" s="7" t="s">
        <v>100</v>
      </c>
      <c r="BA3023" s="7" t="s">
        <v>100</v>
      </c>
      <c r="BB3023" s="7"/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 t="s">
        <v>100</v>
      </c>
      <c r="BJ3023" s="4"/>
      <c r="BK3023" s="8"/>
      <c r="BL3023" s="2" t="s">
        <v>100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1792</v>
      </c>
      <c r="BX3023" s="2" t="s">
        <v>1030</v>
      </c>
      <c r="BY3023" s="2" t="s">
        <v>112</v>
      </c>
      <c r="BZ3023" s="2" t="s">
        <v>100</v>
      </c>
    </row>
    <row r="3024">
      <c r="A3024" s="2" t="s">
        <v>10113</v>
      </c>
      <c r="B3024" s="2" t="s">
        <v>9043</v>
      </c>
      <c r="C3024" s="2" t="s">
        <v>4466</v>
      </c>
      <c r="D3024" s="2" t="s">
        <v>9044</v>
      </c>
      <c r="E3024" s="2" t="s">
        <v>9045</v>
      </c>
      <c r="F3024" s="2" t="s">
        <v>10005</v>
      </c>
      <c r="G3024" s="2" t="s">
        <v>10005</v>
      </c>
      <c r="H3024" s="2" t="s">
        <v>10005</v>
      </c>
      <c r="I3024" s="2" t="s">
        <v>9875</v>
      </c>
      <c r="J3024" s="2" t="s">
        <v>490</v>
      </c>
      <c r="K3024" s="2" t="s">
        <v>10111</v>
      </c>
      <c r="L3024" s="3">
        <v>19.57</v>
      </c>
      <c r="M3024" s="3">
        <v>20.55</v>
      </c>
      <c r="N3024" s="3">
        <v>42.99</v>
      </c>
      <c r="O3024" s="2" t="s">
        <v>97</v>
      </c>
      <c r="P3024" s="2" t="s">
        <v>156</v>
      </c>
      <c r="Q3024" s="2" t="s">
        <v>99</v>
      </c>
      <c r="R3024" s="2" t="s">
        <v>100</v>
      </c>
      <c r="S3024" s="2" t="s">
        <v>10112</v>
      </c>
      <c r="T3024" s="2" t="s">
        <v>9205</v>
      </c>
      <c r="U3024" s="2" t="s">
        <v>100</v>
      </c>
      <c r="V3024" s="2" t="s">
        <v>461</v>
      </c>
      <c r="W3024" s="2" t="s">
        <v>609</v>
      </c>
      <c r="X3024" s="2" t="s">
        <v>100</v>
      </c>
      <c r="Y3024" s="2" t="s">
        <v>144</v>
      </c>
      <c r="Z3024" s="4"/>
      <c r="AA3024" s="4">
        <f>=ROUNDDOWN({0},0)</f>
      </c>
      <c r="AB3024" s="5">
        <v>33</v>
      </c>
      <c r="AC3024" s="2" t="s">
        <v>1142</v>
      </c>
      <c r="AD3024" s="4">
        <v>333</v>
      </c>
      <c r="AE3024" s="4">
        <v>970</v>
      </c>
      <c r="AF3024" s="6">
        <v>65</v>
      </c>
      <c r="AG3024" s="6"/>
      <c r="AH3024" s="7">
        <v>0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 t="s">
        <v>100</v>
      </c>
      <c r="AW3024" s="8" t="s">
        <v>100</v>
      </c>
      <c r="AX3024" s="4" t="s">
        <v>100</v>
      </c>
      <c r="AY3024" s="8" t="s">
        <v>100</v>
      </c>
      <c r="AZ3024" s="7" t="s">
        <v>100</v>
      </c>
      <c r="BA3024" s="7" t="s">
        <v>100</v>
      </c>
      <c r="BB3024" s="7"/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 t="s">
        <v>100</v>
      </c>
      <c r="BJ3024" s="4"/>
      <c r="BK3024" s="8"/>
      <c r="BL3024" s="2" t="s">
        <v>100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1792</v>
      </c>
      <c r="BX3024" s="2" t="s">
        <v>10084</v>
      </c>
      <c r="BY3024" s="2" t="s">
        <v>112</v>
      </c>
      <c r="BZ3024" s="2" t="s">
        <v>100</v>
      </c>
    </row>
    <row r="3025">
      <c r="A3025" s="2" t="s">
        <v>10114</v>
      </c>
      <c r="B3025" s="2" t="s">
        <v>9043</v>
      </c>
      <c r="C3025" s="2" t="s">
        <v>4466</v>
      </c>
      <c r="D3025" s="2" t="s">
        <v>9044</v>
      </c>
      <c r="E3025" s="2" t="s">
        <v>9045</v>
      </c>
      <c r="F3025" s="2" t="s">
        <v>10005</v>
      </c>
      <c r="G3025" s="2" t="s">
        <v>10005</v>
      </c>
      <c r="H3025" s="2" t="s">
        <v>10005</v>
      </c>
      <c r="I3025" s="2" t="s">
        <v>9875</v>
      </c>
      <c r="J3025" s="2" t="s">
        <v>95</v>
      </c>
      <c r="K3025" s="2" t="s">
        <v>10111</v>
      </c>
      <c r="L3025" s="3">
        <v>22.21</v>
      </c>
      <c r="M3025" s="3">
        <v>23.32</v>
      </c>
      <c r="N3025" s="3">
        <v>47.99</v>
      </c>
      <c r="O3025" s="2" t="s">
        <v>97</v>
      </c>
      <c r="P3025" s="2" t="s">
        <v>156</v>
      </c>
      <c r="Q3025" s="2" t="s">
        <v>99</v>
      </c>
      <c r="R3025" s="2" t="s">
        <v>100</v>
      </c>
      <c r="S3025" s="2" t="s">
        <v>10112</v>
      </c>
      <c r="T3025" s="2" t="s">
        <v>9205</v>
      </c>
      <c r="U3025" s="2" t="s">
        <v>100</v>
      </c>
      <c r="V3025" s="2" t="s">
        <v>461</v>
      </c>
      <c r="W3025" s="2" t="s">
        <v>609</v>
      </c>
      <c r="X3025" s="2" t="s">
        <v>100</v>
      </c>
      <c r="Y3025" s="2" t="s">
        <v>144</v>
      </c>
      <c r="Z3025" s="4"/>
      <c r="AA3025" s="4">
        <f>=ROUNDDOWN({0},0)</f>
      </c>
      <c r="AB3025" s="5">
        <v>47</v>
      </c>
      <c r="AC3025" s="2" t="s">
        <v>1142</v>
      </c>
      <c r="AD3025" s="4">
        <v>469</v>
      </c>
      <c r="AE3025" s="4">
        <v>1361</v>
      </c>
      <c r="AF3025" s="6">
        <v>65</v>
      </c>
      <c r="AG3025" s="6"/>
      <c r="AH3025" s="7">
        <v>0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 t="s">
        <v>100</v>
      </c>
      <c r="AW3025" s="8" t="s">
        <v>100</v>
      </c>
      <c r="AX3025" s="4" t="s">
        <v>100</v>
      </c>
      <c r="AY3025" s="8" t="s">
        <v>100</v>
      </c>
      <c r="AZ3025" s="7" t="s">
        <v>100</v>
      </c>
      <c r="BA3025" s="7" t="s">
        <v>100</v>
      </c>
      <c r="BB3025" s="7"/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 t="s">
        <v>100</v>
      </c>
      <c r="BJ3025" s="4"/>
      <c r="BK3025" s="8"/>
      <c r="BL3025" s="2" t="s">
        <v>100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1792</v>
      </c>
      <c r="BX3025" s="2" t="s">
        <v>6599</v>
      </c>
      <c r="BY3025" s="2" t="s">
        <v>112</v>
      </c>
      <c r="BZ3025" s="2" t="s">
        <v>100</v>
      </c>
    </row>
    <row r="3026">
      <c r="A3026" s="2" t="s">
        <v>10115</v>
      </c>
      <c r="B3026" s="2" t="s">
        <v>9043</v>
      </c>
      <c r="C3026" s="2" t="s">
        <v>4466</v>
      </c>
      <c r="D3026" s="2" t="s">
        <v>9044</v>
      </c>
      <c r="E3026" s="2" t="s">
        <v>9045</v>
      </c>
      <c r="F3026" s="2" t="s">
        <v>10005</v>
      </c>
      <c r="G3026" s="2" t="s">
        <v>10005</v>
      </c>
      <c r="H3026" s="2" t="s">
        <v>10005</v>
      </c>
      <c r="I3026" s="2" t="s">
        <v>9875</v>
      </c>
      <c r="J3026" s="2" t="s">
        <v>114</v>
      </c>
      <c r="K3026" s="2" t="s">
        <v>10111</v>
      </c>
      <c r="L3026" s="3">
        <v>27.39</v>
      </c>
      <c r="M3026" s="3">
        <v>28.76</v>
      </c>
      <c r="N3026" s="3">
        <v>62.99</v>
      </c>
      <c r="O3026" s="2" t="s">
        <v>97</v>
      </c>
      <c r="P3026" s="2" t="s">
        <v>98</v>
      </c>
      <c r="Q3026" s="2" t="s">
        <v>99</v>
      </c>
      <c r="R3026" s="2" t="s">
        <v>100</v>
      </c>
      <c r="S3026" s="2" t="s">
        <v>10112</v>
      </c>
      <c r="T3026" s="2" t="s">
        <v>9205</v>
      </c>
      <c r="U3026" s="2" t="s">
        <v>100</v>
      </c>
      <c r="V3026" s="2" t="s">
        <v>461</v>
      </c>
      <c r="W3026" s="2" t="s">
        <v>609</v>
      </c>
      <c r="X3026" s="2" t="s">
        <v>100</v>
      </c>
      <c r="Y3026" s="2" t="s">
        <v>144</v>
      </c>
      <c r="Z3026" s="4"/>
      <c r="AA3026" s="4">
        <f>=ROUNDDOWN({0},0)</f>
      </c>
      <c r="AB3026" s="5">
        <v>19</v>
      </c>
      <c r="AC3026" s="2" t="s">
        <v>1142</v>
      </c>
      <c r="AD3026" s="4">
        <v>186</v>
      </c>
      <c r="AE3026" s="4">
        <v>516</v>
      </c>
      <c r="AF3026" s="6">
        <v>65</v>
      </c>
      <c r="AG3026" s="6"/>
      <c r="AH3026" s="7">
        <v>0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/>
      <c r="AQ3026" s="8"/>
      <c r="AR3026" s="4"/>
      <c r="AS3026" s="8"/>
      <c r="AT3026" s="7"/>
      <c r="AU3026" s="7"/>
      <c r="AV3026" s="4" t="s">
        <v>100</v>
      </c>
      <c r="AW3026" s="8" t="s">
        <v>100</v>
      </c>
      <c r="AX3026" s="4" t="s">
        <v>100</v>
      </c>
      <c r="AY3026" s="8" t="s">
        <v>100</v>
      </c>
      <c r="AZ3026" s="7" t="s">
        <v>100</v>
      </c>
      <c r="BA3026" s="7" t="s">
        <v>100</v>
      </c>
      <c r="BB3026" s="7"/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 t="s">
        <v>100</v>
      </c>
      <c r="BJ3026" s="4"/>
      <c r="BK3026" s="8"/>
      <c r="BL3026" s="2" t="s">
        <v>100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1792</v>
      </c>
      <c r="BX3026" s="2" t="s">
        <v>10109</v>
      </c>
      <c r="BY3026" s="2" t="s">
        <v>112</v>
      </c>
      <c r="BZ3026" s="2" t="s">
        <v>100</v>
      </c>
    </row>
    <row r="3027">
      <c r="A3027" s="2" t="s">
        <v>10116</v>
      </c>
      <c r="B3027" s="2" t="s">
        <v>9043</v>
      </c>
      <c r="C3027" s="2" t="s">
        <v>4466</v>
      </c>
      <c r="D3027" s="2" t="s">
        <v>9044</v>
      </c>
      <c r="E3027" s="2" t="s">
        <v>9045</v>
      </c>
      <c r="F3027" s="2" t="s">
        <v>10005</v>
      </c>
      <c r="G3027" s="2" t="s">
        <v>10005</v>
      </c>
      <c r="H3027" s="2" t="s">
        <v>10005</v>
      </c>
      <c r="I3027" s="2" t="s">
        <v>9875</v>
      </c>
      <c r="J3027" s="2" t="s">
        <v>1443</v>
      </c>
      <c r="K3027" s="2" t="s">
        <v>10117</v>
      </c>
      <c r="L3027" s="3">
        <v>14.89</v>
      </c>
      <c r="M3027" s="3">
        <v>15.63</v>
      </c>
      <c r="N3027" s="3">
        <v>31.99</v>
      </c>
      <c r="O3027" s="2" t="s">
        <v>97</v>
      </c>
      <c r="P3027" s="2" t="s">
        <v>98</v>
      </c>
      <c r="Q3027" s="2" t="s">
        <v>99</v>
      </c>
      <c r="R3027" s="2" t="s">
        <v>100</v>
      </c>
      <c r="S3027" s="2" t="s">
        <v>10118</v>
      </c>
      <c r="T3027" s="2" t="s">
        <v>9205</v>
      </c>
      <c r="U3027" s="2" t="s">
        <v>901</v>
      </c>
      <c r="V3027" s="2" t="s">
        <v>3451</v>
      </c>
      <c r="W3027" s="2" t="s">
        <v>270</v>
      </c>
      <c r="X3027" s="2" t="s">
        <v>609</v>
      </c>
      <c r="Y3027" s="2" t="s">
        <v>9212</v>
      </c>
      <c r="Z3027" s="4">
        <v>363</v>
      </c>
      <c r="AA3027" s="4">
        <f>=ROUNDDOWN(30.25,0)</f>
      </c>
      <c r="AB3027" s="5">
        <v>12</v>
      </c>
      <c r="AC3027" s="2" t="s">
        <v>100</v>
      </c>
      <c r="AD3027" s="4"/>
      <c r="AE3027" s="4"/>
      <c r="AF3027" s="6">
        <v>74</v>
      </c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 t="s">
        <v>100</v>
      </c>
      <c r="AW3027" s="8" t="s">
        <v>100</v>
      </c>
      <c r="AX3027" s="4" t="s">
        <v>100</v>
      </c>
      <c r="AY3027" s="8" t="s">
        <v>100</v>
      </c>
      <c r="AZ3027" s="7" t="s">
        <v>100</v>
      </c>
      <c r="BA3027" s="7" t="s">
        <v>100</v>
      </c>
      <c r="BB3027" s="7"/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 t="s">
        <v>100</v>
      </c>
      <c r="BJ3027" s="4">
        <v>27</v>
      </c>
      <c r="BK3027" s="8">
        <v>445.51</v>
      </c>
      <c r="BL3027" s="2" t="s">
        <v>10119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171</v>
      </c>
      <c r="BV3027" s="2" t="s">
        <v>97</v>
      </c>
      <c r="BW3027" s="2" t="s">
        <v>100</v>
      </c>
      <c r="BX3027" s="2" t="s">
        <v>100</v>
      </c>
      <c r="BY3027" s="2" t="s">
        <v>112</v>
      </c>
      <c r="BZ3027" s="2" t="s">
        <v>100</v>
      </c>
    </row>
    <row r="3028">
      <c r="A3028" s="2" t="s">
        <v>10120</v>
      </c>
      <c r="B3028" s="2" t="s">
        <v>9043</v>
      </c>
      <c r="C3028" s="2" t="s">
        <v>4466</v>
      </c>
      <c r="D3028" s="2" t="s">
        <v>9044</v>
      </c>
      <c r="E3028" s="2" t="s">
        <v>9045</v>
      </c>
      <c r="F3028" s="2" t="s">
        <v>10005</v>
      </c>
      <c r="G3028" s="2" t="s">
        <v>10005</v>
      </c>
      <c r="H3028" s="2" t="s">
        <v>10005</v>
      </c>
      <c r="I3028" s="2" t="s">
        <v>9875</v>
      </c>
      <c r="J3028" s="2" t="s">
        <v>1806</v>
      </c>
      <c r="K3028" s="2" t="s">
        <v>10117</v>
      </c>
      <c r="L3028" s="3">
        <v>16.16</v>
      </c>
      <c r="M3028" s="3">
        <v>16.97</v>
      </c>
      <c r="N3028" s="3">
        <v>34.99</v>
      </c>
      <c r="O3028" s="2" t="s">
        <v>97</v>
      </c>
      <c r="P3028" s="2" t="s">
        <v>98</v>
      </c>
      <c r="Q3028" s="2" t="s">
        <v>99</v>
      </c>
      <c r="R3028" s="2" t="s">
        <v>100</v>
      </c>
      <c r="S3028" s="2" t="s">
        <v>10118</v>
      </c>
      <c r="T3028" s="2" t="s">
        <v>9205</v>
      </c>
      <c r="U3028" s="2" t="s">
        <v>901</v>
      </c>
      <c r="V3028" s="2" t="s">
        <v>3451</v>
      </c>
      <c r="W3028" s="2" t="s">
        <v>270</v>
      </c>
      <c r="X3028" s="2" t="s">
        <v>609</v>
      </c>
      <c r="Y3028" s="2" t="s">
        <v>9212</v>
      </c>
      <c r="Z3028" s="4">
        <v>549</v>
      </c>
      <c r="AA3028" s="4">
        <f>=ROUNDDOWN(68.625,0)</f>
      </c>
      <c r="AB3028" s="5">
        <v>8</v>
      </c>
      <c r="AC3028" s="2" t="s">
        <v>100</v>
      </c>
      <c r="AD3028" s="4"/>
      <c r="AE3028" s="4"/>
      <c r="AF3028" s="6">
        <v>74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 t="s">
        <v>100</v>
      </c>
      <c r="AW3028" s="8" t="s">
        <v>100</v>
      </c>
      <c r="AX3028" s="4" t="s">
        <v>100</v>
      </c>
      <c r="AY3028" s="8" t="s">
        <v>100</v>
      </c>
      <c r="AZ3028" s="7" t="s">
        <v>100</v>
      </c>
      <c r="BA3028" s="7" t="s">
        <v>100</v>
      </c>
      <c r="BB3028" s="7"/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 t="s">
        <v>100</v>
      </c>
      <c r="BJ3028" s="4">
        <v>6</v>
      </c>
      <c r="BK3028" s="8">
        <v>131.59</v>
      </c>
      <c r="BL3028" s="2" t="s">
        <v>10121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171</v>
      </c>
      <c r="BV3028" s="2" t="s">
        <v>97</v>
      </c>
      <c r="BW3028" s="2" t="s">
        <v>100</v>
      </c>
      <c r="BX3028" s="2" t="s">
        <v>100</v>
      </c>
      <c r="BY3028" s="2" t="s">
        <v>112</v>
      </c>
      <c r="BZ3028" s="2" t="s">
        <v>100</v>
      </c>
    </row>
    <row r="3029">
      <c r="A3029" s="2" t="s">
        <v>10122</v>
      </c>
      <c r="B3029" s="2" t="s">
        <v>9043</v>
      </c>
      <c r="C3029" s="2" t="s">
        <v>4466</v>
      </c>
      <c r="D3029" s="2" t="s">
        <v>9044</v>
      </c>
      <c r="E3029" s="2" t="s">
        <v>9045</v>
      </c>
      <c r="F3029" s="2" t="s">
        <v>10005</v>
      </c>
      <c r="G3029" s="2" t="s">
        <v>10005</v>
      </c>
      <c r="H3029" s="2" t="s">
        <v>10005</v>
      </c>
      <c r="I3029" s="2" t="s">
        <v>9875</v>
      </c>
      <c r="J3029" s="2" t="s">
        <v>490</v>
      </c>
      <c r="K3029" s="2" t="s">
        <v>10117</v>
      </c>
      <c r="L3029" s="3">
        <v>19.57</v>
      </c>
      <c r="M3029" s="3">
        <v>20.55</v>
      </c>
      <c r="N3029" s="3">
        <v>42.99</v>
      </c>
      <c r="O3029" s="2" t="s">
        <v>97</v>
      </c>
      <c r="P3029" s="2" t="s">
        <v>98</v>
      </c>
      <c r="Q3029" s="2" t="s">
        <v>99</v>
      </c>
      <c r="R3029" s="2" t="s">
        <v>100</v>
      </c>
      <c r="S3029" s="2" t="s">
        <v>10118</v>
      </c>
      <c r="T3029" s="2" t="s">
        <v>9205</v>
      </c>
      <c r="U3029" s="2" t="s">
        <v>1228</v>
      </c>
      <c r="V3029" s="2" t="s">
        <v>3451</v>
      </c>
      <c r="W3029" s="2" t="s">
        <v>270</v>
      </c>
      <c r="X3029" s="2" t="s">
        <v>609</v>
      </c>
      <c r="Y3029" s="2" t="s">
        <v>9212</v>
      </c>
      <c r="Z3029" s="4">
        <v>467</v>
      </c>
      <c r="AA3029" s="4">
        <f>=ROUNDDOWN(46.7,0)</f>
      </c>
      <c r="AB3029" s="5">
        <v>10</v>
      </c>
      <c r="AC3029" s="2" t="s">
        <v>100</v>
      </c>
      <c r="AD3029" s="4"/>
      <c r="AE3029" s="4"/>
      <c r="AF3029" s="6">
        <v>74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 t="s">
        <v>100</v>
      </c>
      <c r="AW3029" s="8" t="s">
        <v>100</v>
      </c>
      <c r="AX3029" s="4" t="s">
        <v>100</v>
      </c>
      <c r="AY3029" s="8" t="s">
        <v>100</v>
      </c>
      <c r="AZ3029" s="7" t="s">
        <v>100</v>
      </c>
      <c r="BA3029" s="7" t="s">
        <v>100</v>
      </c>
      <c r="BB3029" s="7"/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 t="s">
        <v>100</v>
      </c>
      <c r="BJ3029" s="4">
        <v>1</v>
      </c>
      <c r="BK3029" s="8">
        <v>21.57</v>
      </c>
      <c r="BL3029" s="2" t="s">
        <v>4176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171</v>
      </c>
      <c r="BV3029" s="2" t="s">
        <v>97</v>
      </c>
      <c r="BW3029" s="2" t="s">
        <v>100</v>
      </c>
      <c r="BX3029" s="2" t="s">
        <v>100</v>
      </c>
      <c r="BY3029" s="2" t="s">
        <v>112</v>
      </c>
      <c r="BZ3029" s="2" t="s">
        <v>100</v>
      </c>
    </row>
    <row r="3030">
      <c r="A3030" s="2" t="s">
        <v>10123</v>
      </c>
      <c r="B3030" s="2" t="s">
        <v>9043</v>
      </c>
      <c r="C3030" s="2" t="s">
        <v>4466</v>
      </c>
      <c r="D3030" s="2" t="s">
        <v>9044</v>
      </c>
      <c r="E3030" s="2" t="s">
        <v>9045</v>
      </c>
      <c r="F3030" s="2" t="s">
        <v>10005</v>
      </c>
      <c r="G3030" s="2" t="s">
        <v>10005</v>
      </c>
      <c r="H3030" s="2" t="s">
        <v>10005</v>
      </c>
      <c r="I3030" s="2" t="s">
        <v>9875</v>
      </c>
      <c r="J3030" s="2" t="s">
        <v>95</v>
      </c>
      <c r="K3030" s="2" t="s">
        <v>10117</v>
      </c>
      <c r="L3030" s="3">
        <v>22.21</v>
      </c>
      <c r="M3030" s="3">
        <v>23.32</v>
      </c>
      <c r="N3030" s="3">
        <v>47.99</v>
      </c>
      <c r="O3030" s="2" t="s">
        <v>97</v>
      </c>
      <c r="P3030" s="2" t="s">
        <v>156</v>
      </c>
      <c r="Q3030" s="2" t="s">
        <v>99</v>
      </c>
      <c r="R3030" s="2" t="s">
        <v>100</v>
      </c>
      <c r="S3030" s="2" t="s">
        <v>10118</v>
      </c>
      <c r="T3030" s="2" t="s">
        <v>9205</v>
      </c>
      <c r="U3030" s="2" t="s">
        <v>1228</v>
      </c>
      <c r="V3030" s="2" t="s">
        <v>3451</v>
      </c>
      <c r="W3030" s="2" t="s">
        <v>270</v>
      </c>
      <c r="X3030" s="2" t="s">
        <v>609</v>
      </c>
      <c r="Y3030" s="2" t="s">
        <v>9212</v>
      </c>
      <c r="Z3030" s="4">
        <v>100</v>
      </c>
      <c r="AA3030" s="4">
        <f>=ROUNDDOWN(6.25,0)</f>
      </c>
      <c r="AB3030" s="5">
        <v>16</v>
      </c>
      <c r="AC3030" s="2" t="s">
        <v>1142</v>
      </c>
      <c r="AD3030" s="4">
        <v>165</v>
      </c>
      <c r="AE3030" s="4">
        <v>476</v>
      </c>
      <c r="AF3030" s="6">
        <v>74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 t="s">
        <v>100</v>
      </c>
      <c r="AW3030" s="8" t="s">
        <v>100</v>
      </c>
      <c r="AX3030" s="4" t="s">
        <v>100</v>
      </c>
      <c r="AY3030" s="8" t="s">
        <v>100</v>
      </c>
      <c r="AZ3030" s="7" t="s">
        <v>100</v>
      </c>
      <c r="BA3030" s="7" t="s">
        <v>100</v>
      </c>
      <c r="BB3030" s="7"/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 t="s">
        <v>100</v>
      </c>
      <c r="BJ3030" s="4">
        <v>12</v>
      </c>
      <c r="BK3030" s="8">
        <v>287.86</v>
      </c>
      <c r="BL3030" s="2" t="s">
        <v>4269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171</v>
      </c>
      <c r="BV3030" s="2" t="s">
        <v>97</v>
      </c>
      <c r="BW3030" s="2" t="s">
        <v>100</v>
      </c>
      <c r="BX3030" s="2" t="s">
        <v>100</v>
      </c>
      <c r="BY3030" s="2" t="s">
        <v>112</v>
      </c>
      <c r="BZ3030" s="2" t="s">
        <v>100</v>
      </c>
    </row>
    <row r="3031">
      <c r="A3031" s="2" t="s">
        <v>10124</v>
      </c>
      <c r="B3031" s="2" t="s">
        <v>9043</v>
      </c>
      <c r="C3031" s="2" t="s">
        <v>4466</v>
      </c>
      <c r="D3031" s="2" t="s">
        <v>9044</v>
      </c>
      <c r="E3031" s="2" t="s">
        <v>9045</v>
      </c>
      <c r="F3031" s="2" t="s">
        <v>10005</v>
      </c>
      <c r="G3031" s="2" t="s">
        <v>10005</v>
      </c>
      <c r="H3031" s="2" t="s">
        <v>10005</v>
      </c>
      <c r="I3031" s="2" t="s">
        <v>9875</v>
      </c>
      <c r="J3031" s="2" t="s">
        <v>114</v>
      </c>
      <c r="K3031" s="2" t="s">
        <v>10117</v>
      </c>
      <c r="L3031" s="3">
        <v>27.39</v>
      </c>
      <c r="M3031" s="3">
        <v>28.76</v>
      </c>
      <c r="N3031" s="3">
        <v>62.99</v>
      </c>
      <c r="O3031" s="2" t="s">
        <v>97</v>
      </c>
      <c r="P3031" s="2" t="s">
        <v>98</v>
      </c>
      <c r="Q3031" s="2" t="s">
        <v>99</v>
      </c>
      <c r="R3031" s="2" t="s">
        <v>100</v>
      </c>
      <c r="S3031" s="2" t="s">
        <v>10118</v>
      </c>
      <c r="T3031" s="2" t="s">
        <v>9205</v>
      </c>
      <c r="U3031" s="2" t="s">
        <v>1228</v>
      </c>
      <c r="V3031" s="2" t="s">
        <v>3451</v>
      </c>
      <c r="W3031" s="2" t="s">
        <v>270</v>
      </c>
      <c r="X3031" s="2" t="s">
        <v>609</v>
      </c>
      <c r="Y3031" s="2" t="s">
        <v>9212</v>
      </c>
      <c r="Z3031" s="4">
        <v>226</v>
      </c>
      <c r="AA3031" s="4">
        <f>=ROUNDDOWN(45.2,0)</f>
      </c>
      <c r="AB3031" s="5">
        <v>5</v>
      </c>
      <c r="AC3031" s="2" t="s">
        <v>3033</v>
      </c>
      <c r="AD3031" s="4">
        <v>22</v>
      </c>
      <c r="AE3031" s="4">
        <v>22</v>
      </c>
      <c r="AF3031" s="6">
        <v>74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 t="s">
        <v>100</v>
      </c>
      <c r="AW3031" s="8" t="s">
        <v>100</v>
      </c>
      <c r="AX3031" s="4" t="s">
        <v>100</v>
      </c>
      <c r="AY3031" s="8" t="s">
        <v>100</v>
      </c>
      <c r="AZ3031" s="7" t="s">
        <v>100</v>
      </c>
      <c r="BA3031" s="7" t="s">
        <v>100</v>
      </c>
      <c r="BB3031" s="7"/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 t="s">
        <v>100</v>
      </c>
      <c r="BJ3031" s="4">
        <v>4</v>
      </c>
      <c r="BK3031" s="8">
        <v>129.24</v>
      </c>
      <c r="BL3031" s="2" t="s">
        <v>1821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171</v>
      </c>
      <c r="BV3031" s="2" t="s">
        <v>97</v>
      </c>
      <c r="BW3031" s="2" t="s">
        <v>100</v>
      </c>
      <c r="BX3031" s="2" t="s">
        <v>100</v>
      </c>
      <c r="BY3031" s="2" t="s">
        <v>112</v>
      </c>
      <c r="BZ3031" s="2" t="s">
        <v>100</v>
      </c>
    </row>
    <row r="3032">
      <c r="A3032" s="2" t="s">
        <v>10125</v>
      </c>
      <c r="B3032" s="2" t="s">
        <v>9043</v>
      </c>
      <c r="C3032" s="2" t="s">
        <v>4466</v>
      </c>
      <c r="D3032" s="2" t="s">
        <v>9044</v>
      </c>
      <c r="E3032" s="2" t="s">
        <v>9045</v>
      </c>
      <c r="F3032" s="2" t="s">
        <v>10005</v>
      </c>
      <c r="G3032" s="2" t="s">
        <v>10005</v>
      </c>
      <c r="H3032" s="2" t="s">
        <v>10005</v>
      </c>
      <c r="I3032" s="2" t="s">
        <v>9875</v>
      </c>
      <c r="J3032" s="2" t="s">
        <v>118</v>
      </c>
      <c r="K3032" s="2" t="s">
        <v>10117</v>
      </c>
      <c r="L3032" s="3">
        <v>27.39</v>
      </c>
      <c r="M3032" s="3">
        <v>28.76</v>
      </c>
      <c r="N3032" s="3">
        <v>62.99</v>
      </c>
      <c r="O3032" s="2" t="s">
        <v>97</v>
      </c>
      <c r="P3032" s="2" t="s">
        <v>98</v>
      </c>
      <c r="Q3032" s="2" t="s">
        <v>99</v>
      </c>
      <c r="R3032" s="2" t="s">
        <v>100</v>
      </c>
      <c r="S3032" s="2" t="s">
        <v>10118</v>
      </c>
      <c r="T3032" s="2" t="s">
        <v>9205</v>
      </c>
      <c r="U3032" s="2" t="s">
        <v>1228</v>
      </c>
      <c r="V3032" s="2" t="s">
        <v>3451</v>
      </c>
      <c r="W3032" s="2" t="s">
        <v>270</v>
      </c>
      <c r="X3032" s="2" t="s">
        <v>609</v>
      </c>
      <c r="Y3032" s="2" t="s">
        <v>9212</v>
      </c>
      <c r="Z3032" s="4">
        <v>136</v>
      </c>
      <c r="AA3032" s="4">
        <f>=ROUNDDOWN(27.2,0)</f>
      </c>
      <c r="AB3032" s="5">
        <v>5</v>
      </c>
      <c r="AC3032" s="2" t="s">
        <v>3033</v>
      </c>
      <c r="AD3032" s="4">
        <v>68</v>
      </c>
      <c r="AE3032" s="4">
        <v>68</v>
      </c>
      <c r="AF3032" s="6">
        <v>74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 t="s">
        <v>100</v>
      </c>
      <c r="AW3032" s="8" t="s">
        <v>100</v>
      </c>
      <c r="AX3032" s="4" t="s">
        <v>100</v>
      </c>
      <c r="AY3032" s="8" t="s">
        <v>100</v>
      </c>
      <c r="AZ3032" s="7" t="s">
        <v>100</v>
      </c>
      <c r="BA3032" s="7" t="s">
        <v>100</v>
      </c>
      <c r="BB3032" s="7"/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 t="s">
        <v>100</v>
      </c>
      <c r="BJ3032" s="4">
        <v>6</v>
      </c>
      <c r="BK3032" s="8">
        <v>176.56</v>
      </c>
      <c r="BL3032" s="2" t="s">
        <v>9659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171</v>
      </c>
      <c r="BV3032" s="2" t="s">
        <v>97</v>
      </c>
      <c r="BW3032" s="2" t="s">
        <v>100</v>
      </c>
      <c r="BX3032" s="2" t="s">
        <v>100</v>
      </c>
      <c r="BY3032" s="2" t="s">
        <v>112</v>
      </c>
      <c r="BZ3032" s="2" t="s">
        <v>100</v>
      </c>
    </row>
    <row r="3033">
      <c r="A3033" s="2" t="s">
        <v>10126</v>
      </c>
      <c r="B3033" s="2" t="s">
        <v>9043</v>
      </c>
      <c r="C3033" s="2" t="s">
        <v>4466</v>
      </c>
      <c r="D3033" s="2" t="s">
        <v>9044</v>
      </c>
      <c r="E3033" s="2" t="s">
        <v>9045</v>
      </c>
      <c r="F3033" s="2" t="s">
        <v>10005</v>
      </c>
      <c r="G3033" s="2" t="s">
        <v>10005</v>
      </c>
      <c r="H3033" s="2" t="s">
        <v>10005</v>
      </c>
      <c r="I3033" s="2" t="s">
        <v>9875</v>
      </c>
      <c r="J3033" s="2" t="s">
        <v>1443</v>
      </c>
      <c r="K3033" s="2" t="s">
        <v>10127</v>
      </c>
      <c r="L3033" s="3">
        <v>14.89</v>
      </c>
      <c r="M3033" s="3">
        <v>15.63</v>
      </c>
      <c r="N3033" s="3">
        <v>31.99</v>
      </c>
      <c r="O3033" s="2" t="s">
        <v>97</v>
      </c>
      <c r="P3033" s="2" t="s">
        <v>98</v>
      </c>
      <c r="Q3033" s="2" t="s">
        <v>99</v>
      </c>
      <c r="R3033" s="2" t="s">
        <v>100</v>
      </c>
      <c r="S3033" s="2" t="s">
        <v>10128</v>
      </c>
      <c r="T3033" s="2" t="s">
        <v>9205</v>
      </c>
      <c r="U3033" s="2" t="s">
        <v>901</v>
      </c>
      <c r="V3033" s="2" t="s">
        <v>3451</v>
      </c>
      <c r="W3033" s="2" t="s">
        <v>270</v>
      </c>
      <c r="X3033" s="2" t="s">
        <v>609</v>
      </c>
      <c r="Y3033" s="2" t="s">
        <v>9243</v>
      </c>
      <c r="Z3033" s="4">
        <v>371</v>
      </c>
      <c r="AA3033" s="4">
        <f>=ROUNDDOWN(24.7333333333333,0)</f>
      </c>
      <c r="AB3033" s="5">
        <v>15</v>
      </c>
      <c r="AC3033" s="2" t="s">
        <v>3033</v>
      </c>
      <c r="AD3033" s="4">
        <v>193</v>
      </c>
      <c r="AE3033" s="4">
        <v>193</v>
      </c>
      <c r="AF3033" s="6">
        <v>74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 t="s">
        <v>100</v>
      </c>
      <c r="AW3033" s="8" t="s">
        <v>100</v>
      </c>
      <c r="AX3033" s="4" t="s">
        <v>100</v>
      </c>
      <c r="AY3033" s="8" t="s">
        <v>100</v>
      </c>
      <c r="AZ3033" s="7" t="s">
        <v>100</v>
      </c>
      <c r="BA3033" s="7" t="s">
        <v>100</v>
      </c>
      <c r="BB3033" s="7"/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 t="s">
        <v>100</v>
      </c>
      <c r="BJ3033" s="4">
        <v>11</v>
      </c>
      <c r="BK3033" s="8">
        <v>176.9</v>
      </c>
      <c r="BL3033" s="2" t="s">
        <v>5056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171</v>
      </c>
      <c r="BV3033" s="2" t="s">
        <v>97</v>
      </c>
      <c r="BW3033" s="2" t="s">
        <v>100</v>
      </c>
      <c r="BX3033" s="2" t="s">
        <v>100</v>
      </c>
      <c r="BY3033" s="2" t="s">
        <v>112</v>
      </c>
      <c r="BZ3033" s="2" t="s">
        <v>100</v>
      </c>
    </row>
    <row r="3034">
      <c r="A3034" s="2" t="s">
        <v>10129</v>
      </c>
      <c r="B3034" s="2" t="s">
        <v>9043</v>
      </c>
      <c r="C3034" s="2" t="s">
        <v>4466</v>
      </c>
      <c r="D3034" s="2" t="s">
        <v>9044</v>
      </c>
      <c r="E3034" s="2" t="s">
        <v>9045</v>
      </c>
      <c r="F3034" s="2" t="s">
        <v>10005</v>
      </c>
      <c r="G3034" s="2" t="s">
        <v>10005</v>
      </c>
      <c r="H3034" s="2" t="s">
        <v>10005</v>
      </c>
      <c r="I3034" s="2" t="s">
        <v>9875</v>
      </c>
      <c r="J3034" s="2" t="s">
        <v>1806</v>
      </c>
      <c r="K3034" s="2" t="s">
        <v>10127</v>
      </c>
      <c r="L3034" s="3">
        <v>16.16</v>
      </c>
      <c r="M3034" s="3">
        <v>16.97</v>
      </c>
      <c r="N3034" s="3">
        <v>34.99</v>
      </c>
      <c r="O3034" s="2" t="s">
        <v>97</v>
      </c>
      <c r="P3034" s="2" t="s">
        <v>98</v>
      </c>
      <c r="Q3034" s="2" t="s">
        <v>99</v>
      </c>
      <c r="R3034" s="2" t="s">
        <v>100</v>
      </c>
      <c r="S3034" s="2" t="s">
        <v>10128</v>
      </c>
      <c r="T3034" s="2" t="s">
        <v>9205</v>
      </c>
      <c r="U3034" s="2" t="s">
        <v>901</v>
      </c>
      <c r="V3034" s="2" t="s">
        <v>3451</v>
      </c>
      <c r="W3034" s="2" t="s">
        <v>270</v>
      </c>
      <c r="X3034" s="2" t="s">
        <v>609</v>
      </c>
      <c r="Y3034" s="2" t="s">
        <v>9243</v>
      </c>
      <c r="Z3034" s="4">
        <v>333</v>
      </c>
      <c r="AA3034" s="4">
        <f>=ROUNDDOWN(37,0)</f>
      </c>
      <c r="AB3034" s="5">
        <v>9</v>
      </c>
      <c r="AC3034" s="2" t="s">
        <v>100</v>
      </c>
      <c r="AD3034" s="4"/>
      <c r="AE3034" s="4"/>
      <c r="AF3034" s="6">
        <v>74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 t="s">
        <v>100</v>
      </c>
      <c r="AW3034" s="8" t="s">
        <v>100</v>
      </c>
      <c r="AX3034" s="4" t="s">
        <v>100</v>
      </c>
      <c r="AY3034" s="8" t="s">
        <v>100</v>
      </c>
      <c r="AZ3034" s="7" t="s">
        <v>100</v>
      </c>
      <c r="BA3034" s="7" t="s">
        <v>100</v>
      </c>
      <c r="BB3034" s="7"/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 t="s">
        <v>100</v>
      </c>
      <c r="BJ3034" s="4">
        <v>2</v>
      </c>
      <c r="BK3034" s="8">
        <v>38</v>
      </c>
      <c r="BL3034" s="2" t="s">
        <v>1655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171</v>
      </c>
      <c r="BV3034" s="2" t="s">
        <v>97</v>
      </c>
      <c r="BW3034" s="2" t="s">
        <v>100</v>
      </c>
      <c r="BX3034" s="2" t="s">
        <v>100</v>
      </c>
      <c r="BY3034" s="2" t="s">
        <v>112</v>
      </c>
      <c r="BZ3034" s="2" t="s">
        <v>100</v>
      </c>
    </row>
    <row r="3035">
      <c r="A3035" s="2" t="s">
        <v>10130</v>
      </c>
      <c r="B3035" s="2" t="s">
        <v>9043</v>
      </c>
      <c r="C3035" s="2" t="s">
        <v>4466</v>
      </c>
      <c r="D3035" s="2" t="s">
        <v>9044</v>
      </c>
      <c r="E3035" s="2" t="s">
        <v>9045</v>
      </c>
      <c r="F3035" s="2" t="s">
        <v>10005</v>
      </c>
      <c r="G3035" s="2" t="s">
        <v>10005</v>
      </c>
      <c r="H3035" s="2" t="s">
        <v>10005</v>
      </c>
      <c r="I3035" s="2" t="s">
        <v>9875</v>
      </c>
      <c r="J3035" s="2" t="s">
        <v>490</v>
      </c>
      <c r="K3035" s="2" t="s">
        <v>10127</v>
      </c>
      <c r="L3035" s="3">
        <v>19.57</v>
      </c>
      <c r="M3035" s="3">
        <v>20.55</v>
      </c>
      <c r="N3035" s="3">
        <v>42.99</v>
      </c>
      <c r="O3035" s="2" t="s">
        <v>97</v>
      </c>
      <c r="P3035" s="2" t="s">
        <v>98</v>
      </c>
      <c r="Q3035" s="2" t="s">
        <v>99</v>
      </c>
      <c r="R3035" s="2" t="s">
        <v>100</v>
      </c>
      <c r="S3035" s="2" t="s">
        <v>10128</v>
      </c>
      <c r="T3035" s="2" t="s">
        <v>9205</v>
      </c>
      <c r="U3035" s="2" t="s">
        <v>1228</v>
      </c>
      <c r="V3035" s="2" t="s">
        <v>3451</v>
      </c>
      <c r="W3035" s="2" t="s">
        <v>270</v>
      </c>
      <c r="X3035" s="2" t="s">
        <v>609</v>
      </c>
      <c r="Y3035" s="2" t="s">
        <v>9243</v>
      </c>
      <c r="Z3035" s="4">
        <v>1</v>
      </c>
      <c r="AA3035" s="4">
        <f>=ROUNDDOWN(0.0555555555555556,0)</f>
      </c>
      <c r="AB3035" s="5">
        <v>18</v>
      </c>
      <c r="AC3035" s="2" t="s">
        <v>1142</v>
      </c>
      <c r="AD3035" s="4">
        <v>182</v>
      </c>
      <c r="AE3035" s="4">
        <v>512</v>
      </c>
      <c r="AF3035" s="6">
        <v>74</v>
      </c>
      <c r="AG3035" s="6"/>
      <c r="AH3035" s="7">
        <v>0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 t="s">
        <v>100</v>
      </c>
      <c r="AW3035" s="8" t="s">
        <v>100</v>
      </c>
      <c r="AX3035" s="4" t="s">
        <v>100</v>
      </c>
      <c r="AY3035" s="8" t="s">
        <v>100</v>
      </c>
      <c r="AZ3035" s="7" t="s">
        <v>100</v>
      </c>
      <c r="BA3035" s="7" t="s">
        <v>100</v>
      </c>
      <c r="BB3035" s="7"/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 t="s">
        <v>100</v>
      </c>
      <c r="BJ3035" s="4"/>
      <c r="BK3035" s="8"/>
      <c r="BL3035" s="2" t="s">
        <v>100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171</v>
      </c>
      <c r="BV3035" s="2" t="s">
        <v>97</v>
      </c>
      <c r="BW3035" s="2" t="s">
        <v>100</v>
      </c>
      <c r="BX3035" s="2" t="s">
        <v>100</v>
      </c>
      <c r="BY3035" s="2" t="s">
        <v>112</v>
      </c>
      <c r="BZ3035" s="2" t="s">
        <v>100</v>
      </c>
    </row>
    <row r="3036">
      <c r="A3036" s="2" t="s">
        <v>10131</v>
      </c>
      <c r="B3036" s="2" t="s">
        <v>9043</v>
      </c>
      <c r="C3036" s="2" t="s">
        <v>4466</v>
      </c>
      <c r="D3036" s="2" t="s">
        <v>9044</v>
      </c>
      <c r="E3036" s="2" t="s">
        <v>9045</v>
      </c>
      <c r="F3036" s="2" t="s">
        <v>10005</v>
      </c>
      <c r="G3036" s="2" t="s">
        <v>10005</v>
      </c>
      <c r="H3036" s="2" t="s">
        <v>10005</v>
      </c>
      <c r="I3036" s="2" t="s">
        <v>9875</v>
      </c>
      <c r="J3036" s="2" t="s">
        <v>95</v>
      </c>
      <c r="K3036" s="2" t="s">
        <v>10127</v>
      </c>
      <c r="L3036" s="3">
        <v>22.21</v>
      </c>
      <c r="M3036" s="3">
        <v>23.32</v>
      </c>
      <c r="N3036" s="3">
        <v>47.99</v>
      </c>
      <c r="O3036" s="2" t="s">
        <v>97</v>
      </c>
      <c r="P3036" s="2" t="s">
        <v>123</v>
      </c>
      <c r="Q3036" s="2" t="s">
        <v>99</v>
      </c>
      <c r="R3036" s="2" t="s">
        <v>100</v>
      </c>
      <c r="S3036" s="2" t="s">
        <v>10128</v>
      </c>
      <c r="T3036" s="2" t="s">
        <v>9205</v>
      </c>
      <c r="U3036" s="2" t="s">
        <v>1228</v>
      </c>
      <c r="V3036" s="2" t="s">
        <v>3451</v>
      </c>
      <c r="W3036" s="2" t="s">
        <v>270</v>
      </c>
      <c r="X3036" s="2" t="s">
        <v>609</v>
      </c>
      <c r="Y3036" s="2" t="s">
        <v>10132</v>
      </c>
      <c r="Z3036" s="4"/>
      <c r="AA3036" s="4">
        <f>=ROUNDDOWN({0},0)</f>
      </c>
      <c r="AB3036" s="5">
        <v>21</v>
      </c>
      <c r="AC3036" s="2" t="s">
        <v>1142</v>
      </c>
      <c r="AD3036" s="4">
        <v>215</v>
      </c>
      <c r="AE3036" s="4">
        <v>612</v>
      </c>
      <c r="AF3036" s="6">
        <v>74</v>
      </c>
      <c r="AG3036" s="6"/>
      <c r="AH3036" s="7">
        <v>0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 t="s">
        <v>100</v>
      </c>
      <c r="AW3036" s="8" t="s">
        <v>100</v>
      </c>
      <c r="AX3036" s="4" t="s">
        <v>100</v>
      </c>
      <c r="AY3036" s="8" t="s">
        <v>100</v>
      </c>
      <c r="AZ3036" s="7" t="s">
        <v>100</v>
      </c>
      <c r="BA3036" s="7" t="s">
        <v>100</v>
      </c>
      <c r="BB3036" s="7"/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 t="s">
        <v>100</v>
      </c>
      <c r="BJ3036" s="4"/>
      <c r="BK3036" s="8"/>
      <c r="BL3036" s="2" t="s">
        <v>100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171</v>
      </c>
      <c r="BV3036" s="2" t="s">
        <v>97</v>
      </c>
      <c r="BW3036" s="2" t="s">
        <v>100</v>
      </c>
      <c r="BX3036" s="2" t="s">
        <v>100</v>
      </c>
      <c r="BY3036" s="2" t="s">
        <v>112</v>
      </c>
      <c r="BZ3036" s="2" t="s">
        <v>100</v>
      </c>
    </row>
    <row r="3037">
      <c r="A3037" s="2" t="s">
        <v>10133</v>
      </c>
      <c r="B3037" s="2" t="s">
        <v>9043</v>
      </c>
      <c r="C3037" s="2" t="s">
        <v>4466</v>
      </c>
      <c r="D3037" s="2" t="s">
        <v>9044</v>
      </c>
      <c r="E3037" s="2" t="s">
        <v>9045</v>
      </c>
      <c r="F3037" s="2" t="s">
        <v>10005</v>
      </c>
      <c r="G3037" s="2" t="s">
        <v>10005</v>
      </c>
      <c r="H3037" s="2" t="s">
        <v>10005</v>
      </c>
      <c r="I3037" s="2" t="s">
        <v>9875</v>
      </c>
      <c r="J3037" s="2" t="s">
        <v>114</v>
      </c>
      <c r="K3037" s="2" t="s">
        <v>10127</v>
      </c>
      <c r="L3037" s="3">
        <v>27.39</v>
      </c>
      <c r="M3037" s="3">
        <v>28.76</v>
      </c>
      <c r="N3037" s="3">
        <v>62.99</v>
      </c>
      <c r="O3037" s="2" t="s">
        <v>97</v>
      </c>
      <c r="P3037" s="2" t="s">
        <v>98</v>
      </c>
      <c r="Q3037" s="2" t="s">
        <v>99</v>
      </c>
      <c r="R3037" s="2" t="s">
        <v>100</v>
      </c>
      <c r="S3037" s="2" t="s">
        <v>10128</v>
      </c>
      <c r="T3037" s="2" t="s">
        <v>9205</v>
      </c>
      <c r="U3037" s="2" t="s">
        <v>1228</v>
      </c>
      <c r="V3037" s="2" t="s">
        <v>3451</v>
      </c>
      <c r="W3037" s="2" t="s">
        <v>270</v>
      </c>
      <c r="X3037" s="2" t="s">
        <v>609</v>
      </c>
      <c r="Y3037" s="2" t="s">
        <v>9243</v>
      </c>
      <c r="Z3037" s="4"/>
      <c r="AA3037" s="4">
        <f>=ROUNDDOWN({0},0)</f>
      </c>
      <c r="AB3037" s="5">
        <v>9</v>
      </c>
      <c r="AC3037" s="2" t="s">
        <v>1142</v>
      </c>
      <c r="AD3037" s="4">
        <v>93</v>
      </c>
      <c r="AE3037" s="4">
        <v>272</v>
      </c>
      <c r="AF3037" s="6">
        <v>74</v>
      </c>
      <c r="AG3037" s="6"/>
      <c r="AH3037" s="7">
        <v>0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 t="s">
        <v>100</v>
      </c>
      <c r="AW3037" s="8" t="s">
        <v>100</v>
      </c>
      <c r="AX3037" s="4" t="s">
        <v>100</v>
      </c>
      <c r="AY3037" s="8" t="s">
        <v>100</v>
      </c>
      <c r="AZ3037" s="7" t="s">
        <v>100</v>
      </c>
      <c r="BA3037" s="7" t="s">
        <v>100</v>
      </c>
      <c r="BB3037" s="7"/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 t="s">
        <v>100</v>
      </c>
      <c r="BJ3037" s="4"/>
      <c r="BK3037" s="8"/>
      <c r="BL3037" s="2" t="s">
        <v>100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171</v>
      </c>
      <c r="BV3037" s="2" t="s">
        <v>97</v>
      </c>
      <c r="BW3037" s="2" t="s">
        <v>100</v>
      </c>
      <c r="BX3037" s="2" t="s">
        <v>100</v>
      </c>
      <c r="BY3037" s="2" t="s">
        <v>112</v>
      </c>
      <c r="BZ3037" s="2" t="s">
        <v>100</v>
      </c>
    </row>
    <row r="3038">
      <c r="A3038" s="2" t="s">
        <v>10134</v>
      </c>
      <c r="B3038" s="2" t="s">
        <v>9043</v>
      </c>
      <c r="C3038" s="2" t="s">
        <v>4466</v>
      </c>
      <c r="D3038" s="2" t="s">
        <v>9044</v>
      </c>
      <c r="E3038" s="2" t="s">
        <v>9045</v>
      </c>
      <c r="F3038" s="2" t="s">
        <v>10005</v>
      </c>
      <c r="G3038" s="2" t="s">
        <v>10005</v>
      </c>
      <c r="H3038" s="2" t="s">
        <v>10005</v>
      </c>
      <c r="I3038" s="2" t="s">
        <v>9875</v>
      </c>
      <c r="J3038" s="2" t="s">
        <v>118</v>
      </c>
      <c r="K3038" s="2" t="s">
        <v>10127</v>
      </c>
      <c r="L3038" s="3">
        <v>27.39</v>
      </c>
      <c r="M3038" s="3">
        <v>28.76</v>
      </c>
      <c r="N3038" s="3">
        <v>62.99</v>
      </c>
      <c r="O3038" s="2" t="s">
        <v>97</v>
      </c>
      <c r="P3038" s="2" t="s">
        <v>98</v>
      </c>
      <c r="Q3038" s="2" t="s">
        <v>99</v>
      </c>
      <c r="R3038" s="2" t="s">
        <v>100</v>
      </c>
      <c r="S3038" s="2" t="s">
        <v>10128</v>
      </c>
      <c r="T3038" s="2" t="s">
        <v>9205</v>
      </c>
      <c r="U3038" s="2" t="s">
        <v>1228</v>
      </c>
      <c r="V3038" s="2" t="s">
        <v>3451</v>
      </c>
      <c r="W3038" s="2" t="s">
        <v>270</v>
      </c>
      <c r="X3038" s="2" t="s">
        <v>609</v>
      </c>
      <c r="Y3038" s="2" t="s">
        <v>9243</v>
      </c>
      <c r="Z3038" s="4">
        <v>111</v>
      </c>
      <c r="AA3038" s="4">
        <f>=ROUNDDOWN(37,0)</f>
      </c>
      <c r="AB3038" s="5">
        <v>3</v>
      </c>
      <c r="AC3038" s="2" t="s">
        <v>3033</v>
      </c>
      <c r="AD3038" s="4">
        <v>20</v>
      </c>
      <c r="AE3038" s="4">
        <v>20</v>
      </c>
      <c r="AF3038" s="6">
        <v>74</v>
      </c>
      <c r="AG3038" s="6"/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 t="s">
        <v>100</v>
      </c>
      <c r="AW3038" s="8" t="s">
        <v>100</v>
      </c>
      <c r="AX3038" s="4" t="s">
        <v>100</v>
      </c>
      <c r="AY3038" s="8" t="s">
        <v>100</v>
      </c>
      <c r="AZ3038" s="7" t="s">
        <v>100</v>
      </c>
      <c r="BA3038" s="7" t="s">
        <v>100</v>
      </c>
      <c r="BB3038" s="7"/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 t="s">
        <v>100</v>
      </c>
      <c r="BJ3038" s="4">
        <v>4</v>
      </c>
      <c r="BK3038" s="8">
        <v>125.19</v>
      </c>
      <c r="BL3038" s="2" t="s">
        <v>1699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171</v>
      </c>
      <c r="BV3038" s="2" t="s">
        <v>97</v>
      </c>
      <c r="BW3038" s="2" t="s">
        <v>100</v>
      </c>
      <c r="BX3038" s="2" t="s">
        <v>100</v>
      </c>
      <c r="BY3038" s="2" t="s">
        <v>112</v>
      </c>
      <c r="BZ3038" s="2" t="s">
        <v>100</v>
      </c>
    </row>
    <row r="3039">
      <c r="A3039" s="2" t="s">
        <v>10135</v>
      </c>
      <c r="B3039" s="2" t="s">
        <v>9043</v>
      </c>
      <c r="C3039" s="2" t="s">
        <v>4466</v>
      </c>
      <c r="D3039" s="2" t="s">
        <v>9044</v>
      </c>
      <c r="E3039" s="2" t="s">
        <v>9045</v>
      </c>
      <c r="F3039" s="2" t="s">
        <v>10005</v>
      </c>
      <c r="G3039" s="2" t="s">
        <v>10005</v>
      </c>
      <c r="H3039" s="2" t="s">
        <v>10005</v>
      </c>
      <c r="I3039" s="2" t="s">
        <v>9875</v>
      </c>
      <c r="J3039" s="2" t="s">
        <v>1443</v>
      </c>
      <c r="K3039" s="2" t="s">
        <v>10136</v>
      </c>
      <c r="L3039" s="3">
        <v>14.89</v>
      </c>
      <c r="M3039" s="3">
        <v>15.63</v>
      </c>
      <c r="N3039" s="3">
        <v>31.99</v>
      </c>
      <c r="O3039" s="2" t="s">
        <v>97</v>
      </c>
      <c r="P3039" s="2" t="s">
        <v>98</v>
      </c>
      <c r="Q3039" s="2" t="s">
        <v>99</v>
      </c>
      <c r="R3039" s="2" t="s">
        <v>100</v>
      </c>
      <c r="S3039" s="2" t="s">
        <v>10137</v>
      </c>
      <c r="T3039" s="2" t="s">
        <v>9205</v>
      </c>
      <c r="U3039" s="2" t="s">
        <v>901</v>
      </c>
      <c r="V3039" s="2" t="s">
        <v>3451</v>
      </c>
      <c r="W3039" s="2" t="s">
        <v>609</v>
      </c>
      <c r="X3039" s="2" t="s">
        <v>270</v>
      </c>
      <c r="Y3039" s="2" t="s">
        <v>10031</v>
      </c>
      <c r="Z3039" s="4"/>
      <c r="AA3039" s="4">
        <f>=ROUNDDOWN({0},0)</f>
      </c>
      <c r="AB3039" s="5">
        <v>40</v>
      </c>
      <c r="AC3039" s="2" t="s">
        <v>1468</v>
      </c>
      <c r="AD3039" s="4">
        <v>401</v>
      </c>
      <c r="AE3039" s="4">
        <v>1155</v>
      </c>
      <c r="AF3039" s="6">
        <v>65</v>
      </c>
      <c r="AG3039" s="6"/>
      <c r="AH3039" s="7">
        <v>0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 t="s">
        <v>100</v>
      </c>
      <c r="AW3039" s="8" t="s">
        <v>100</v>
      </c>
      <c r="AX3039" s="4" t="s">
        <v>100</v>
      </c>
      <c r="AY3039" s="8" t="s">
        <v>100</v>
      </c>
      <c r="AZ3039" s="7" t="s">
        <v>100</v>
      </c>
      <c r="BA3039" s="7" t="s">
        <v>100</v>
      </c>
      <c r="BB3039" s="7"/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 t="s">
        <v>100</v>
      </c>
      <c r="BJ3039" s="4"/>
      <c r="BK3039" s="8"/>
      <c r="BL3039" s="2" t="s">
        <v>100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10033</v>
      </c>
      <c r="BX3039" s="2" t="s">
        <v>7594</v>
      </c>
      <c r="BY3039" s="2" t="s">
        <v>112</v>
      </c>
      <c r="BZ3039" s="2" t="s">
        <v>100</v>
      </c>
    </row>
    <row r="3040">
      <c r="A3040" s="2" t="s">
        <v>10138</v>
      </c>
      <c r="B3040" s="2" t="s">
        <v>9043</v>
      </c>
      <c r="C3040" s="2" t="s">
        <v>4466</v>
      </c>
      <c r="D3040" s="2" t="s">
        <v>9044</v>
      </c>
      <c r="E3040" s="2" t="s">
        <v>9045</v>
      </c>
      <c r="F3040" s="2" t="s">
        <v>10005</v>
      </c>
      <c r="G3040" s="2" t="s">
        <v>10005</v>
      </c>
      <c r="H3040" s="2" t="s">
        <v>10005</v>
      </c>
      <c r="I3040" s="2" t="s">
        <v>9875</v>
      </c>
      <c r="J3040" s="2" t="s">
        <v>490</v>
      </c>
      <c r="K3040" s="2" t="s">
        <v>10136</v>
      </c>
      <c r="L3040" s="3">
        <v>19.57</v>
      </c>
      <c r="M3040" s="3">
        <v>20.55</v>
      </c>
      <c r="N3040" s="3">
        <v>42.99</v>
      </c>
      <c r="O3040" s="2" t="s">
        <v>97</v>
      </c>
      <c r="P3040" s="2" t="s">
        <v>156</v>
      </c>
      <c r="Q3040" s="2" t="s">
        <v>99</v>
      </c>
      <c r="R3040" s="2" t="s">
        <v>100</v>
      </c>
      <c r="S3040" s="2" t="s">
        <v>10137</v>
      </c>
      <c r="T3040" s="2" t="s">
        <v>9205</v>
      </c>
      <c r="U3040" s="2" t="s">
        <v>1228</v>
      </c>
      <c r="V3040" s="2" t="s">
        <v>3451</v>
      </c>
      <c r="W3040" s="2" t="s">
        <v>609</v>
      </c>
      <c r="X3040" s="2" t="s">
        <v>270</v>
      </c>
      <c r="Y3040" s="2" t="s">
        <v>10031</v>
      </c>
      <c r="Z3040" s="4"/>
      <c r="AA3040" s="4">
        <f>=ROUNDDOWN({0},0)</f>
      </c>
      <c r="AB3040" s="5">
        <v>31</v>
      </c>
      <c r="AC3040" s="2" t="s">
        <v>1468</v>
      </c>
      <c r="AD3040" s="4">
        <v>310</v>
      </c>
      <c r="AE3040" s="4">
        <v>895</v>
      </c>
      <c r="AF3040" s="6">
        <v>65</v>
      </c>
      <c r="AG3040" s="6"/>
      <c r="AH3040" s="7">
        <v>0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 t="s">
        <v>100</v>
      </c>
      <c r="AW3040" s="8" t="s">
        <v>100</v>
      </c>
      <c r="AX3040" s="4" t="s">
        <v>100</v>
      </c>
      <c r="AY3040" s="8" t="s">
        <v>100</v>
      </c>
      <c r="AZ3040" s="7" t="s">
        <v>100</v>
      </c>
      <c r="BA3040" s="7" t="s">
        <v>100</v>
      </c>
      <c r="BB3040" s="7"/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 t="s">
        <v>100</v>
      </c>
      <c r="BJ3040" s="4"/>
      <c r="BK3040" s="8"/>
      <c r="BL3040" s="2" t="s">
        <v>100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10033</v>
      </c>
      <c r="BX3040" s="2" t="s">
        <v>8590</v>
      </c>
      <c r="BY3040" s="2" t="s">
        <v>112</v>
      </c>
      <c r="BZ3040" s="2" t="s">
        <v>100</v>
      </c>
    </row>
    <row r="3041">
      <c r="A3041" s="2" t="s">
        <v>10139</v>
      </c>
      <c r="B3041" s="2" t="s">
        <v>9043</v>
      </c>
      <c r="C3041" s="2" t="s">
        <v>4466</v>
      </c>
      <c r="D3041" s="2" t="s">
        <v>9044</v>
      </c>
      <c r="E3041" s="2" t="s">
        <v>9045</v>
      </c>
      <c r="F3041" s="2" t="s">
        <v>10005</v>
      </c>
      <c r="G3041" s="2" t="s">
        <v>10005</v>
      </c>
      <c r="H3041" s="2" t="s">
        <v>10005</v>
      </c>
      <c r="I3041" s="2" t="s">
        <v>9875</v>
      </c>
      <c r="J3041" s="2" t="s">
        <v>95</v>
      </c>
      <c r="K3041" s="2" t="s">
        <v>10136</v>
      </c>
      <c r="L3041" s="3">
        <v>22.21</v>
      </c>
      <c r="M3041" s="3">
        <v>23.32</v>
      </c>
      <c r="N3041" s="3">
        <v>47.99</v>
      </c>
      <c r="O3041" s="2" t="s">
        <v>97</v>
      </c>
      <c r="P3041" s="2" t="s">
        <v>156</v>
      </c>
      <c r="Q3041" s="2" t="s">
        <v>99</v>
      </c>
      <c r="R3041" s="2" t="s">
        <v>100</v>
      </c>
      <c r="S3041" s="2" t="s">
        <v>10137</v>
      </c>
      <c r="T3041" s="2" t="s">
        <v>9205</v>
      </c>
      <c r="U3041" s="2" t="s">
        <v>1228</v>
      </c>
      <c r="V3041" s="2" t="s">
        <v>3451</v>
      </c>
      <c r="W3041" s="2" t="s">
        <v>609</v>
      </c>
      <c r="X3041" s="2" t="s">
        <v>270</v>
      </c>
      <c r="Y3041" s="2" t="s">
        <v>10031</v>
      </c>
      <c r="Z3041" s="4"/>
      <c r="AA3041" s="4">
        <f>=ROUNDDOWN({0},0)</f>
      </c>
      <c r="AB3041" s="5">
        <v>43</v>
      </c>
      <c r="AC3041" s="2" t="s">
        <v>1468</v>
      </c>
      <c r="AD3041" s="4">
        <v>422</v>
      </c>
      <c r="AE3041" s="4">
        <v>1201</v>
      </c>
      <c r="AF3041" s="6">
        <v>65</v>
      </c>
      <c r="AG3041" s="6"/>
      <c r="AH3041" s="7">
        <v>0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 t="s">
        <v>100</v>
      </c>
      <c r="AW3041" s="8" t="s">
        <v>100</v>
      </c>
      <c r="AX3041" s="4" t="s">
        <v>100</v>
      </c>
      <c r="AY3041" s="8" t="s">
        <v>100</v>
      </c>
      <c r="AZ3041" s="7" t="s">
        <v>100</v>
      </c>
      <c r="BA3041" s="7" t="s">
        <v>100</v>
      </c>
      <c r="BB3041" s="7"/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 t="s">
        <v>100</v>
      </c>
      <c r="BJ3041" s="4"/>
      <c r="BK3041" s="8"/>
      <c r="BL3041" s="2" t="s">
        <v>100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109</v>
      </c>
      <c r="BV3041" s="2" t="s">
        <v>97</v>
      </c>
      <c r="BW3041" s="2" t="s">
        <v>10033</v>
      </c>
      <c r="BX3041" s="2" t="s">
        <v>10140</v>
      </c>
      <c r="BY3041" s="2" t="s">
        <v>112</v>
      </c>
      <c r="BZ3041" s="2" t="s">
        <v>100</v>
      </c>
    </row>
    <row r="3042">
      <c r="A3042" s="2" t="s">
        <v>10141</v>
      </c>
      <c r="B3042" s="2" t="s">
        <v>9043</v>
      </c>
      <c r="C3042" s="2" t="s">
        <v>4466</v>
      </c>
      <c r="D3042" s="2" t="s">
        <v>9044</v>
      </c>
      <c r="E3042" s="2" t="s">
        <v>9045</v>
      </c>
      <c r="F3042" s="2" t="s">
        <v>10005</v>
      </c>
      <c r="G3042" s="2" t="s">
        <v>10005</v>
      </c>
      <c r="H3042" s="2" t="s">
        <v>10005</v>
      </c>
      <c r="I3042" s="2" t="s">
        <v>9875</v>
      </c>
      <c r="J3042" s="2" t="s">
        <v>114</v>
      </c>
      <c r="K3042" s="2" t="s">
        <v>10136</v>
      </c>
      <c r="L3042" s="3">
        <v>27.39</v>
      </c>
      <c r="M3042" s="3">
        <v>28.76</v>
      </c>
      <c r="N3042" s="3">
        <v>62.99</v>
      </c>
      <c r="O3042" s="2" t="s">
        <v>97</v>
      </c>
      <c r="P3042" s="2" t="s">
        <v>98</v>
      </c>
      <c r="Q3042" s="2" t="s">
        <v>99</v>
      </c>
      <c r="R3042" s="2" t="s">
        <v>100</v>
      </c>
      <c r="S3042" s="2" t="s">
        <v>10137</v>
      </c>
      <c r="T3042" s="2" t="s">
        <v>9205</v>
      </c>
      <c r="U3042" s="2" t="s">
        <v>1228</v>
      </c>
      <c r="V3042" s="2" t="s">
        <v>3451</v>
      </c>
      <c r="W3042" s="2" t="s">
        <v>609</v>
      </c>
      <c r="X3042" s="2" t="s">
        <v>270</v>
      </c>
      <c r="Y3042" s="2" t="s">
        <v>10031</v>
      </c>
      <c r="Z3042" s="4"/>
      <c r="AA3042" s="4">
        <f>=ROUNDDOWN({0},0)</f>
      </c>
      <c r="AB3042" s="5">
        <v>15</v>
      </c>
      <c r="AC3042" s="2" t="s">
        <v>1468</v>
      </c>
      <c r="AD3042" s="4">
        <v>160</v>
      </c>
      <c r="AE3042" s="4">
        <v>448</v>
      </c>
      <c r="AF3042" s="6">
        <v>65</v>
      </c>
      <c r="AG3042" s="6"/>
      <c r="AH3042" s="7">
        <v>0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 t="s">
        <v>100</v>
      </c>
      <c r="AW3042" s="8" t="s">
        <v>100</v>
      </c>
      <c r="AX3042" s="4" t="s">
        <v>100</v>
      </c>
      <c r="AY3042" s="8" t="s">
        <v>100</v>
      </c>
      <c r="AZ3042" s="7" t="s">
        <v>100</v>
      </c>
      <c r="BA3042" s="7" t="s">
        <v>100</v>
      </c>
      <c r="BB3042" s="7"/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 t="s">
        <v>100</v>
      </c>
      <c r="BJ3042" s="4"/>
      <c r="BK3042" s="8"/>
      <c r="BL3042" s="2" t="s">
        <v>100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10033</v>
      </c>
      <c r="BX3042" s="2" t="s">
        <v>1449</v>
      </c>
      <c r="BY3042" s="2" t="s">
        <v>112</v>
      </c>
      <c r="BZ3042" s="2" t="s">
        <v>100</v>
      </c>
    </row>
    <row r="3043">
      <c r="A3043" s="2" t="s">
        <v>10142</v>
      </c>
      <c r="B3043" s="2" t="s">
        <v>9043</v>
      </c>
      <c r="C3043" s="2" t="s">
        <v>4466</v>
      </c>
      <c r="D3043" s="2" t="s">
        <v>9044</v>
      </c>
      <c r="E3043" s="2" t="s">
        <v>9045</v>
      </c>
      <c r="F3043" s="2" t="s">
        <v>10005</v>
      </c>
      <c r="G3043" s="2" t="s">
        <v>10005</v>
      </c>
      <c r="H3043" s="2" t="s">
        <v>10005</v>
      </c>
      <c r="I3043" s="2" t="s">
        <v>9875</v>
      </c>
      <c r="J3043" s="2" t="s">
        <v>1443</v>
      </c>
      <c r="K3043" s="2" t="s">
        <v>10143</v>
      </c>
      <c r="L3043" s="3">
        <v>14.89</v>
      </c>
      <c r="M3043" s="3">
        <v>15.63</v>
      </c>
      <c r="N3043" s="3">
        <v>31.99</v>
      </c>
      <c r="O3043" s="2" t="s">
        <v>97</v>
      </c>
      <c r="P3043" s="2" t="s">
        <v>98</v>
      </c>
      <c r="Q3043" s="2" t="s">
        <v>99</v>
      </c>
      <c r="R3043" s="2" t="s">
        <v>100</v>
      </c>
      <c r="S3043" s="2" t="s">
        <v>10144</v>
      </c>
      <c r="T3043" s="2" t="s">
        <v>9205</v>
      </c>
      <c r="U3043" s="2" t="s">
        <v>100</v>
      </c>
      <c r="V3043" s="2" t="s">
        <v>473</v>
      </c>
      <c r="W3043" s="2" t="s">
        <v>609</v>
      </c>
      <c r="X3043" s="2" t="s">
        <v>100</v>
      </c>
      <c r="Y3043" s="2" t="s">
        <v>499</v>
      </c>
      <c r="Z3043" s="4"/>
      <c r="AA3043" s="4">
        <f>=ROUNDDOWN({0},0)</f>
      </c>
      <c r="AB3043" s="5">
        <v>46</v>
      </c>
      <c r="AC3043" s="2" t="s">
        <v>1142</v>
      </c>
      <c r="AD3043" s="4">
        <v>458</v>
      </c>
      <c r="AE3043" s="4">
        <v>1283</v>
      </c>
      <c r="AF3043" s="6">
        <v>65</v>
      </c>
      <c r="AG3043" s="6"/>
      <c r="AH3043" s="7">
        <v>0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 t="s">
        <v>100</v>
      </c>
      <c r="AW3043" s="8" t="s">
        <v>100</v>
      </c>
      <c r="AX3043" s="4" t="s">
        <v>100</v>
      </c>
      <c r="AY3043" s="8" t="s">
        <v>100</v>
      </c>
      <c r="AZ3043" s="7" t="s">
        <v>100</v>
      </c>
      <c r="BA3043" s="7" t="s">
        <v>100</v>
      </c>
      <c r="BB3043" s="7"/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 t="s">
        <v>100</v>
      </c>
      <c r="BJ3043" s="4"/>
      <c r="BK3043" s="8"/>
      <c r="BL3043" s="2" t="s">
        <v>100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109</v>
      </c>
      <c r="BV3043" s="2" t="s">
        <v>97</v>
      </c>
      <c r="BW3043" s="2" t="s">
        <v>1792</v>
      </c>
      <c r="BX3043" s="2" t="s">
        <v>1230</v>
      </c>
      <c r="BY3043" s="2" t="s">
        <v>112</v>
      </c>
      <c r="BZ3043" s="2" t="s">
        <v>100</v>
      </c>
    </row>
    <row r="3044">
      <c r="A3044" s="2" t="s">
        <v>10145</v>
      </c>
      <c r="B3044" s="2" t="s">
        <v>9043</v>
      </c>
      <c r="C3044" s="2" t="s">
        <v>4466</v>
      </c>
      <c r="D3044" s="2" t="s">
        <v>9044</v>
      </c>
      <c r="E3044" s="2" t="s">
        <v>9045</v>
      </c>
      <c r="F3044" s="2" t="s">
        <v>10005</v>
      </c>
      <c r="G3044" s="2" t="s">
        <v>10005</v>
      </c>
      <c r="H3044" s="2" t="s">
        <v>10005</v>
      </c>
      <c r="I3044" s="2" t="s">
        <v>9875</v>
      </c>
      <c r="J3044" s="2" t="s">
        <v>1806</v>
      </c>
      <c r="K3044" s="2" t="s">
        <v>10143</v>
      </c>
      <c r="L3044" s="3">
        <v>16.16</v>
      </c>
      <c r="M3044" s="3">
        <v>16.97</v>
      </c>
      <c r="N3044" s="3">
        <v>34.99</v>
      </c>
      <c r="O3044" s="2" t="s">
        <v>97</v>
      </c>
      <c r="P3044" s="2" t="s">
        <v>98</v>
      </c>
      <c r="Q3044" s="2" t="s">
        <v>99</v>
      </c>
      <c r="R3044" s="2" t="s">
        <v>100</v>
      </c>
      <c r="S3044" s="2" t="s">
        <v>10144</v>
      </c>
      <c r="T3044" s="2" t="s">
        <v>9205</v>
      </c>
      <c r="U3044" s="2" t="s">
        <v>100</v>
      </c>
      <c r="V3044" s="2" t="s">
        <v>473</v>
      </c>
      <c r="W3044" s="2" t="s">
        <v>609</v>
      </c>
      <c r="X3044" s="2" t="s">
        <v>100</v>
      </c>
      <c r="Y3044" s="2" t="s">
        <v>499</v>
      </c>
      <c r="Z3044" s="4"/>
      <c r="AA3044" s="4">
        <f>=ROUNDDOWN({0},0)</f>
      </c>
      <c r="AB3044" s="5">
        <v>26</v>
      </c>
      <c r="AC3044" s="2" t="s">
        <v>1142</v>
      </c>
      <c r="AD3044" s="4">
        <v>259</v>
      </c>
      <c r="AE3044" s="4">
        <v>702</v>
      </c>
      <c r="AF3044" s="6">
        <v>65</v>
      </c>
      <c r="AG3044" s="6"/>
      <c r="AH3044" s="7">
        <v>0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 t="s">
        <v>100</v>
      </c>
      <c r="AW3044" s="8" t="s">
        <v>100</v>
      </c>
      <c r="AX3044" s="4" t="s">
        <v>100</v>
      </c>
      <c r="AY3044" s="8" t="s">
        <v>100</v>
      </c>
      <c r="AZ3044" s="7" t="s">
        <v>100</v>
      </c>
      <c r="BA3044" s="7" t="s">
        <v>100</v>
      </c>
      <c r="BB3044" s="7"/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 t="s">
        <v>100</v>
      </c>
      <c r="BJ3044" s="4"/>
      <c r="BK3044" s="8"/>
      <c r="BL3044" s="2" t="s">
        <v>100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1792</v>
      </c>
      <c r="BX3044" s="2" t="s">
        <v>10146</v>
      </c>
      <c r="BY3044" s="2" t="s">
        <v>112</v>
      </c>
      <c r="BZ3044" s="2" t="s">
        <v>100</v>
      </c>
    </row>
    <row r="3045">
      <c r="A3045" s="2" t="s">
        <v>10147</v>
      </c>
      <c r="B3045" s="2" t="s">
        <v>9043</v>
      </c>
      <c r="C3045" s="2" t="s">
        <v>4466</v>
      </c>
      <c r="D3045" s="2" t="s">
        <v>9044</v>
      </c>
      <c r="E3045" s="2" t="s">
        <v>9045</v>
      </c>
      <c r="F3045" s="2" t="s">
        <v>10005</v>
      </c>
      <c r="G3045" s="2" t="s">
        <v>10005</v>
      </c>
      <c r="H3045" s="2" t="s">
        <v>10005</v>
      </c>
      <c r="I3045" s="2" t="s">
        <v>9875</v>
      </c>
      <c r="J3045" s="2" t="s">
        <v>490</v>
      </c>
      <c r="K3045" s="2" t="s">
        <v>10143</v>
      </c>
      <c r="L3045" s="3">
        <v>19.57</v>
      </c>
      <c r="M3045" s="3">
        <v>20.55</v>
      </c>
      <c r="N3045" s="3">
        <v>42.99</v>
      </c>
      <c r="O3045" s="2" t="s">
        <v>97</v>
      </c>
      <c r="P3045" s="2" t="s">
        <v>98</v>
      </c>
      <c r="Q3045" s="2" t="s">
        <v>99</v>
      </c>
      <c r="R3045" s="2" t="s">
        <v>100</v>
      </c>
      <c r="S3045" s="2" t="s">
        <v>10144</v>
      </c>
      <c r="T3045" s="2" t="s">
        <v>9205</v>
      </c>
      <c r="U3045" s="2" t="s">
        <v>100</v>
      </c>
      <c r="V3045" s="2" t="s">
        <v>473</v>
      </c>
      <c r="W3045" s="2" t="s">
        <v>609</v>
      </c>
      <c r="X3045" s="2" t="s">
        <v>100</v>
      </c>
      <c r="Y3045" s="2" t="s">
        <v>499</v>
      </c>
      <c r="Z3045" s="4"/>
      <c r="AA3045" s="4">
        <f>=ROUNDDOWN({0},0)</f>
      </c>
      <c r="AB3045" s="5">
        <v>22</v>
      </c>
      <c r="AC3045" s="2" t="s">
        <v>1142</v>
      </c>
      <c r="AD3045" s="4">
        <v>218</v>
      </c>
      <c r="AE3045" s="4">
        <v>606</v>
      </c>
      <c r="AF3045" s="6">
        <v>65</v>
      </c>
      <c r="AG3045" s="6"/>
      <c r="AH3045" s="7">
        <v>0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 t="s">
        <v>100</v>
      </c>
      <c r="AW3045" s="8" t="s">
        <v>100</v>
      </c>
      <c r="AX3045" s="4" t="s">
        <v>100</v>
      </c>
      <c r="AY3045" s="8" t="s">
        <v>100</v>
      </c>
      <c r="AZ3045" s="7" t="s">
        <v>100</v>
      </c>
      <c r="BA3045" s="7" t="s">
        <v>100</v>
      </c>
      <c r="BB3045" s="7"/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 t="s">
        <v>100</v>
      </c>
      <c r="BJ3045" s="4"/>
      <c r="BK3045" s="8"/>
      <c r="BL3045" s="2" t="s">
        <v>100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1792</v>
      </c>
      <c r="BX3045" s="2" t="s">
        <v>10022</v>
      </c>
      <c r="BY3045" s="2" t="s">
        <v>112</v>
      </c>
      <c r="BZ3045" s="2" t="s">
        <v>100</v>
      </c>
    </row>
    <row r="3046">
      <c r="A3046" s="2" t="s">
        <v>10148</v>
      </c>
      <c r="B3046" s="2" t="s">
        <v>9043</v>
      </c>
      <c r="C3046" s="2" t="s">
        <v>4466</v>
      </c>
      <c r="D3046" s="2" t="s">
        <v>9044</v>
      </c>
      <c r="E3046" s="2" t="s">
        <v>9045</v>
      </c>
      <c r="F3046" s="2" t="s">
        <v>10005</v>
      </c>
      <c r="G3046" s="2" t="s">
        <v>10005</v>
      </c>
      <c r="H3046" s="2" t="s">
        <v>10005</v>
      </c>
      <c r="I3046" s="2" t="s">
        <v>9875</v>
      </c>
      <c r="J3046" s="2" t="s">
        <v>95</v>
      </c>
      <c r="K3046" s="2" t="s">
        <v>10143</v>
      </c>
      <c r="L3046" s="3">
        <v>22.21</v>
      </c>
      <c r="M3046" s="3">
        <v>23.32</v>
      </c>
      <c r="N3046" s="3">
        <v>47.99</v>
      </c>
      <c r="O3046" s="2" t="s">
        <v>97</v>
      </c>
      <c r="P3046" s="2" t="s">
        <v>98</v>
      </c>
      <c r="Q3046" s="2" t="s">
        <v>99</v>
      </c>
      <c r="R3046" s="2" t="s">
        <v>100</v>
      </c>
      <c r="S3046" s="2" t="s">
        <v>10144</v>
      </c>
      <c r="T3046" s="2" t="s">
        <v>9205</v>
      </c>
      <c r="U3046" s="2" t="s">
        <v>100</v>
      </c>
      <c r="V3046" s="2" t="s">
        <v>473</v>
      </c>
      <c r="W3046" s="2" t="s">
        <v>609</v>
      </c>
      <c r="X3046" s="2" t="s">
        <v>100</v>
      </c>
      <c r="Y3046" s="2" t="s">
        <v>499</v>
      </c>
      <c r="Z3046" s="4"/>
      <c r="AA3046" s="4">
        <f>=ROUNDDOWN({0},0)</f>
      </c>
      <c r="AB3046" s="5">
        <v>31</v>
      </c>
      <c r="AC3046" s="2" t="s">
        <v>1142</v>
      </c>
      <c r="AD3046" s="4">
        <v>304</v>
      </c>
      <c r="AE3046" s="4">
        <v>826</v>
      </c>
      <c r="AF3046" s="6">
        <v>65</v>
      </c>
      <c r="AG3046" s="6"/>
      <c r="AH3046" s="7">
        <v>0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 t="s">
        <v>100</v>
      </c>
      <c r="AW3046" s="8" t="s">
        <v>100</v>
      </c>
      <c r="AX3046" s="4" t="s">
        <v>100</v>
      </c>
      <c r="AY3046" s="8" t="s">
        <v>100</v>
      </c>
      <c r="AZ3046" s="7" t="s">
        <v>100</v>
      </c>
      <c r="BA3046" s="7" t="s">
        <v>100</v>
      </c>
      <c r="BB3046" s="7"/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 t="s">
        <v>100</v>
      </c>
      <c r="BJ3046" s="4"/>
      <c r="BK3046" s="8"/>
      <c r="BL3046" s="2" t="s">
        <v>100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1792</v>
      </c>
      <c r="BX3046" s="2" t="s">
        <v>10149</v>
      </c>
      <c r="BY3046" s="2" t="s">
        <v>112</v>
      </c>
      <c r="BZ3046" s="2" t="s">
        <v>100</v>
      </c>
    </row>
    <row r="3047">
      <c r="A3047" s="2" t="s">
        <v>10150</v>
      </c>
      <c r="B3047" s="2" t="s">
        <v>9043</v>
      </c>
      <c r="C3047" s="2" t="s">
        <v>4466</v>
      </c>
      <c r="D3047" s="2" t="s">
        <v>9044</v>
      </c>
      <c r="E3047" s="2" t="s">
        <v>9045</v>
      </c>
      <c r="F3047" s="2" t="s">
        <v>10005</v>
      </c>
      <c r="G3047" s="2" t="s">
        <v>10005</v>
      </c>
      <c r="H3047" s="2" t="s">
        <v>10005</v>
      </c>
      <c r="I3047" s="2" t="s">
        <v>9875</v>
      </c>
      <c r="J3047" s="2" t="s">
        <v>114</v>
      </c>
      <c r="K3047" s="2" t="s">
        <v>10143</v>
      </c>
      <c r="L3047" s="3">
        <v>27.39</v>
      </c>
      <c r="M3047" s="3">
        <v>28.76</v>
      </c>
      <c r="N3047" s="3">
        <v>62.99</v>
      </c>
      <c r="O3047" s="2" t="s">
        <v>97</v>
      </c>
      <c r="P3047" s="2" t="s">
        <v>98</v>
      </c>
      <c r="Q3047" s="2" t="s">
        <v>99</v>
      </c>
      <c r="R3047" s="2" t="s">
        <v>100</v>
      </c>
      <c r="S3047" s="2" t="s">
        <v>10144</v>
      </c>
      <c r="T3047" s="2" t="s">
        <v>9205</v>
      </c>
      <c r="U3047" s="2" t="s">
        <v>100</v>
      </c>
      <c r="V3047" s="2" t="s">
        <v>473</v>
      </c>
      <c r="W3047" s="2" t="s">
        <v>609</v>
      </c>
      <c r="X3047" s="2" t="s">
        <v>100</v>
      </c>
      <c r="Y3047" s="2" t="s">
        <v>499</v>
      </c>
      <c r="Z3047" s="4"/>
      <c r="AA3047" s="4">
        <f>=ROUNDDOWN({0},0)</f>
      </c>
      <c r="AB3047" s="5">
        <v>16</v>
      </c>
      <c r="AC3047" s="2" t="s">
        <v>1142</v>
      </c>
      <c r="AD3047" s="4">
        <v>165</v>
      </c>
      <c r="AE3047" s="4">
        <v>441</v>
      </c>
      <c r="AF3047" s="6">
        <v>65</v>
      </c>
      <c r="AG3047" s="6"/>
      <c r="AH3047" s="7">
        <v>0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 t="s">
        <v>100</v>
      </c>
      <c r="AW3047" s="8" t="s">
        <v>100</v>
      </c>
      <c r="AX3047" s="4" t="s">
        <v>100</v>
      </c>
      <c r="AY3047" s="8" t="s">
        <v>100</v>
      </c>
      <c r="AZ3047" s="7" t="s">
        <v>100</v>
      </c>
      <c r="BA3047" s="7" t="s">
        <v>100</v>
      </c>
      <c r="BB3047" s="7"/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 t="s">
        <v>100</v>
      </c>
      <c r="BJ3047" s="4"/>
      <c r="BK3047" s="8"/>
      <c r="BL3047" s="2" t="s">
        <v>100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1792</v>
      </c>
      <c r="BX3047" s="2" t="s">
        <v>2138</v>
      </c>
      <c r="BY3047" s="2" t="s">
        <v>112</v>
      </c>
      <c r="BZ3047" s="2" t="s">
        <v>100</v>
      </c>
    </row>
    <row r="3048">
      <c r="A3048" s="2" t="s">
        <v>10151</v>
      </c>
      <c r="B3048" s="2" t="s">
        <v>9043</v>
      </c>
      <c r="C3048" s="2" t="s">
        <v>4466</v>
      </c>
      <c r="D3048" s="2" t="s">
        <v>9044</v>
      </c>
      <c r="E3048" s="2" t="s">
        <v>9045</v>
      </c>
      <c r="F3048" s="2" t="s">
        <v>10005</v>
      </c>
      <c r="G3048" s="2" t="s">
        <v>10005</v>
      </c>
      <c r="H3048" s="2" t="s">
        <v>10005</v>
      </c>
      <c r="I3048" s="2" t="s">
        <v>9875</v>
      </c>
      <c r="J3048" s="2" t="s">
        <v>118</v>
      </c>
      <c r="K3048" s="2" t="s">
        <v>10143</v>
      </c>
      <c r="L3048" s="3">
        <v>27.39</v>
      </c>
      <c r="M3048" s="3">
        <v>28.76</v>
      </c>
      <c r="N3048" s="3">
        <v>62.99</v>
      </c>
      <c r="O3048" s="2" t="s">
        <v>97</v>
      </c>
      <c r="P3048" s="2" t="s">
        <v>98</v>
      </c>
      <c r="Q3048" s="2" t="s">
        <v>99</v>
      </c>
      <c r="R3048" s="2" t="s">
        <v>100</v>
      </c>
      <c r="S3048" s="2" t="s">
        <v>10144</v>
      </c>
      <c r="T3048" s="2" t="s">
        <v>9205</v>
      </c>
      <c r="U3048" s="2" t="s">
        <v>100</v>
      </c>
      <c r="V3048" s="2" t="s">
        <v>473</v>
      </c>
      <c r="W3048" s="2" t="s">
        <v>609</v>
      </c>
      <c r="X3048" s="2" t="s">
        <v>100</v>
      </c>
      <c r="Y3048" s="2" t="s">
        <v>499</v>
      </c>
      <c r="Z3048" s="4"/>
      <c r="AA3048" s="4">
        <f>=ROUNDDOWN({0},0)</f>
      </c>
      <c r="AB3048" s="5">
        <v>11</v>
      </c>
      <c r="AC3048" s="2" t="s">
        <v>1142</v>
      </c>
      <c r="AD3048" s="4">
        <v>113</v>
      </c>
      <c r="AE3048" s="4">
        <v>317</v>
      </c>
      <c r="AF3048" s="6">
        <v>65</v>
      </c>
      <c r="AG3048" s="6"/>
      <c r="AH3048" s="7">
        <v>0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/>
      <c r="AQ3048" s="8"/>
      <c r="AR3048" s="4"/>
      <c r="AS3048" s="8"/>
      <c r="AT3048" s="7"/>
      <c r="AU3048" s="7"/>
      <c r="AV3048" s="4" t="s">
        <v>100</v>
      </c>
      <c r="AW3048" s="8" t="s">
        <v>100</v>
      </c>
      <c r="AX3048" s="4" t="s">
        <v>100</v>
      </c>
      <c r="AY3048" s="8" t="s">
        <v>100</v>
      </c>
      <c r="AZ3048" s="7" t="s">
        <v>100</v>
      </c>
      <c r="BA3048" s="7" t="s">
        <v>100</v>
      </c>
      <c r="BB3048" s="7"/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 t="s">
        <v>100</v>
      </c>
      <c r="BJ3048" s="4"/>
      <c r="BK3048" s="8"/>
      <c r="BL3048" s="2" t="s">
        <v>100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109</v>
      </c>
      <c r="BV3048" s="2" t="s">
        <v>97</v>
      </c>
      <c r="BW3048" s="2" t="s">
        <v>1792</v>
      </c>
      <c r="BX3048" s="2" t="s">
        <v>10152</v>
      </c>
      <c r="BY3048" s="2" t="s">
        <v>112</v>
      </c>
      <c r="BZ3048" s="2" t="s">
        <v>100</v>
      </c>
    </row>
    <row r="3049">
      <c r="A3049" s="2" t="s">
        <v>10153</v>
      </c>
      <c r="B3049" s="2" t="s">
        <v>9043</v>
      </c>
      <c r="C3049" s="2" t="s">
        <v>4466</v>
      </c>
      <c r="D3049" s="2" t="s">
        <v>9044</v>
      </c>
      <c r="E3049" s="2" t="s">
        <v>9045</v>
      </c>
      <c r="F3049" s="2" t="s">
        <v>10005</v>
      </c>
      <c r="G3049" s="2" t="s">
        <v>10005</v>
      </c>
      <c r="H3049" s="2" t="s">
        <v>10005</v>
      </c>
      <c r="I3049" s="2" t="s">
        <v>9875</v>
      </c>
      <c r="J3049" s="2" t="s">
        <v>1443</v>
      </c>
      <c r="K3049" s="2" t="s">
        <v>10154</v>
      </c>
      <c r="L3049" s="3">
        <v>14.89</v>
      </c>
      <c r="M3049" s="3">
        <v>15.63</v>
      </c>
      <c r="N3049" s="3">
        <v>31.99</v>
      </c>
      <c r="O3049" s="2" t="s">
        <v>97</v>
      </c>
      <c r="P3049" s="2" t="s">
        <v>317</v>
      </c>
      <c r="Q3049" s="2" t="s">
        <v>99</v>
      </c>
      <c r="R3049" s="2" t="s">
        <v>100</v>
      </c>
      <c r="S3049" s="2" t="s">
        <v>10155</v>
      </c>
      <c r="T3049" s="2" t="s">
        <v>9205</v>
      </c>
      <c r="U3049" s="2" t="s">
        <v>901</v>
      </c>
      <c r="V3049" s="2" t="s">
        <v>3451</v>
      </c>
      <c r="W3049" s="2" t="s">
        <v>609</v>
      </c>
      <c r="X3049" s="2" t="s">
        <v>270</v>
      </c>
      <c r="Y3049" s="2" t="s">
        <v>10031</v>
      </c>
      <c r="Z3049" s="4"/>
      <c r="AA3049" s="4">
        <f>=ROUNDDOWN({0},0)</f>
      </c>
      <c r="AB3049" s="5">
        <v>106</v>
      </c>
      <c r="AC3049" s="2" t="s">
        <v>1142</v>
      </c>
      <c r="AD3049" s="4">
        <v>1019</v>
      </c>
      <c r="AE3049" s="4">
        <v>3015</v>
      </c>
      <c r="AF3049" s="6">
        <v>65</v>
      </c>
      <c r="AG3049" s="6"/>
      <c r="AH3049" s="7">
        <v>0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 t="s">
        <v>100</v>
      </c>
      <c r="AW3049" s="8" t="s">
        <v>100</v>
      </c>
      <c r="AX3049" s="4" t="s">
        <v>100</v>
      </c>
      <c r="AY3049" s="8" t="s">
        <v>100</v>
      </c>
      <c r="AZ3049" s="7" t="s">
        <v>100</v>
      </c>
      <c r="BA3049" s="7" t="s">
        <v>100</v>
      </c>
      <c r="BB3049" s="7"/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 t="s">
        <v>100</v>
      </c>
      <c r="BJ3049" s="4"/>
      <c r="BK3049" s="8"/>
      <c r="BL3049" s="2" t="s">
        <v>100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109</v>
      </c>
      <c r="BV3049" s="2" t="s">
        <v>97</v>
      </c>
      <c r="BW3049" s="2" t="s">
        <v>204</v>
      </c>
      <c r="BX3049" s="2" t="s">
        <v>10156</v>
      </c>
      <c r="BY3049" s="2" t="s">
        <v>112</v>
      </c>
      <c r="BZ3049" s="2" t="s">
        <v>100</v>
      </c>
    </row>
    <row r="3050">
      <c r="A3050" s="2" t="s">
        <v>10157</v>
      </c>
      <c r="B3050" s="2" t="s">
        <v>9043</v>
      </c>
      <c r="C3050" s="2" t="s">
        <v>4466</v>
      </c>
      <c r="D3050" s="2" t="s">
        <v>9044</v>
      </c>
      <c r="E3050" s="2" t="s">
        <v>9045</v>
      </c>
      <c r="F3050" s="2" t="s">
        <v>10005</v>
      </c>
      <c r="G3050" s="2" t="s">
        <v>10005</v>
      </c>
      <c r="H3050" s="2" t="s">
        <v>10005</v>
      </c>
      <c r="I3050" s="2" t="s">
        <v>9875</v>
      </c>
      <c r="J3050" s="2" t="s">
        <v>490</v>
      </c>
      <c r="K3050" s="2" t="s">
        <v>10154</v>
      </c>
      <c r="L3050" s="3">
        <v>19.57</v>
      </c>
      <c r="M3050" s="3">
        <v>20.55</v>
      </c>
      <c r="N3050" s="3">
        <v>42.99</v>
      </c>
      <c r="O3050" s="2" t="s">
        <v>97</v>
      </c>
      <c r="P3050" s="2" t="s">
        <v>139</v>
      </c>
      <c r="Q3050" s="2" t="s">
        <v>99</v>
      </c>
      <c r="R3050" s="2" t="s">
        <v>100</v>
      </c>
      <c r="S3050" s="2" t="s">
        <v>10155</v>
      </c>
      <c r="T3050" s="2" t="s">
        <v>9205</v>
      </c>
      <c r="U3050" s="2" t="s">
        <v>1228</v>
      </c>
      <c r="V3050" s="2" t="s">
        <v>3451</v>
      </c>
      <c r="W3050" s="2" t="s">
        <v>609</v>
      </c>
      <c r="X3050" s="2" t="s">
        <v>270</v>
      </c>
      <c r="Y3050" s="2" t="s">
        <v>10031</v>
      </c>
      <c r="Z3050" s="4">
        <v>2</v>
      </c>
      <c r="AA3050" s="4">
        <f>=ROUNDDOWN(0.028169014084507,0)</f>
      </c>
      <c r="AB3050" s="5">
        <v>71</v>
      </c>
      <c r="AC3050" s="2" t="s">
        <v>1142</v>
      </c>
      <c r="AD3050" s="4">
        <v>690</v>
      </c>
      <c r="AE3050" s="4">
        <v>2078</v>
      </c>
      <c r="AF3050" s="6">
        <v>65</v>
      </c>
      <c r="AG3050" s="6"/>
      <c r="AH3050" s="7">
        <v>0.4194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 t="s">
        <v>100</v>
      </c>
      <c r="AW3050" s="8" t="s">
        <v>100</v>
      </c>
      <c r="AX3050" s="4" t="s">
        <v>100</v>
      </c>
      <c r="AY3050" s="8" t="s">
        <v>100</v>
      </c>
      <c r="AZ3050" s="7" t="s">
        <v>100</v>
      </c>
      <c r="BA3050" s="7" t="s">
        <v>100</v>
      </c>
      <c r="BB3050" s="7"/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 t="s">
        <v>100</v>
      </c>
      <c r="BJ3050" s="4">
        <v>31</v>
      </c>
      <c r="BK3050" s="8">
        <v>664.51</v>
      </c>
      <c r="BL3050" s="2" t="s">
        <v>10060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1055</v>
      </c>
      <c r="BX3050" s="2" t="s">
        <v>9078</v>
      </c>
      <c r="BY3050" s="2" t="s">
        <v>112</v>
      </c>
      <c r="BZ3050" s="2" t="s">
        <v>100</v>
      </c>
    </row>
    <row r="3051">
      <c r="A3051" s="2" t="s">
        <v>10158</v>
      </c>
      <c r="B3051" s="2" t="s">
        <v>9043</v>
      </c>
      <c r="C3051" s="2" t="s">
        <v>4466</v>
      </c>
      <c r="D3051" s="2" t="s">
        <v>9044</v>
      </c>
      <c r="E3051" s="2" t="s">
        <v>9045</v>
      </c>
      <c r="F3051" s="2" t="s">
        <v>10005</v>
      </c>
      <c r="G3051" s="2" t="s">
        <v>10005</v>
      </c>
      <c r="H3051" s="2" t="s">
        <v>10005</v>
      </c>
      <c r="I3051" s="2" t="s">
        <v>9875</v>
      </c>
      <c r="J3051" s="2" t="s">
        <v>95</v>
      </c>
      <c r="K3051" s="2" t="s">
        <v>10154</v>
      </c>
      <c r="L3051" s="3">
        <v>22.21</v>
      </c>
      <c r="M3051" s="3">
        <v>23.32</v>
      </c>
      <c r="N3051" s="3">
        <v>47.99</v>
      </c>
      <c r="O3051" s="2" t="s">
        <v>97</v>
      </c>
      <c r="P3051" s="2" t="s">
        <v>139</v>
      </c>
      <c r="Q3051" s="2" t="s">
        <v>99</v>
      </c>
      <c r="R3051" s="2" t="s">
        <v>100</v>
      </c>
      <c r="S3051" s="2" t="s">
        <v>10155</v>
      </c>
      <c r="T3051" s="2" t="s">
        <v>9205</v>
      </c>
      <c r="U3051" s="2" t="s">
        <v>1228</v>
      </c>
      <c r="V3051" s="2" t="s">
        <v>3451</v>
      </c>
      <c r="W3051" s="2" t="s">
        <v>609</v>
      </c>
      <c r="X3051" s="2" t="s">
        <v>270</v>
      </c>
      <c r="Y3051" s="2" t="s">
        <v>10031</v>
      </c>
      <c r="Z3051" s="4">
        <v>2</v>
      </c>
      <c r="AA3051" s="4">
        <f>=ROUNDDOWN(0.03125,0)</f>
      </c>
      <c r="AB3051" s="5">
        <v>64</v>
      </c>
      <c r="AC3051" s="2" t="s">
        <v>1142</v>
      </c>
      <c r="AD3051" s="4">
        <v>618</v>
      </c>
      <c r="AE3051" s="4">
        <v>1830</v>
      </c>
      <c r="AF3051" s="6">
        <v>65</v>
      </c>
      <c r="AG3051" s="6"/>
      <c r="AH3051" s="7">
        <v>0.3226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 t="s">
        <v>100</v>
      </c>
      <c r="AW3051" s="8" t="s">
        <v>100</v>
      </c>
      <c r="AX3051" s="4" t="s">
        <v>100</v>
      </c>
      <c r="AY3051" s="8" t="s">
        <v>100</v>
      </c>
      <c r="AZ3051" s="7" t="s">
        <v>100</v>
      </c>
      <c r="BA3051" s="7" t="s">
        <v>100</v>
      </c>
      <c r="BB3051" s="7"/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 t="s">
        <v>100</v>
      </c>
      <c r="BJ3051" s="4">
        <v>63</v>
      </c>
      <c r="BK3051" s="8">
        <v>1520.89</v>
      </c>
      <c r="BL3051" s="2" t="s">
        <v>10159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10033</v>
      </c>
      <c r="BX3051" s="2" t="s">
        <v>1218</v>
      </c>
      <c r="BY3051" s="2" t="s">
        <v>112</v>
      </c>
      <c r="BZ3051" s="2" t="s">
        <v>100</v>
      </c>
    </row>
    <row r="3052">
      <c r="A3052" s="2" t="s">
        <v>10160</v>
      </c>
      <c r="B3052" s="2" t="s">
        <v>9043</v>
      </c>
      <c r="C3052" s="2" t="s">
        <v>4466</v>
      </c>
      <c r="D3052" s="2" t="s">
        <v>9044</v>
      </c>
      <c r="E3052" s="2" t="s">
        <v>9045</v>
      </c>
      <c r="F3052" s="2" t="s">
        <v>10005</v>
      </c>
      <c r="G3052" s="2" t="s">
        <v>10005</v>
      </c>
      <c r="H3052" s="2" t="s">
        <v>10005</v>
      </c>
      <c r="I3052" s="2" t="s">
        <v>9875</v>
      </c>
      <c r="J3052" s="2" t="s">
        <v>114</v>
      </c>
      <c r="K3052" s="2" t="s">
        <v>10154</v>
      </c>
      <c r="L3052" s="3">
        <v>27.39</v>
      </c>
      <c r="M3052" s="3">
        <v>28.76</v>
      </c>
      <c r="N3052" s="3">
        <v>62.99</v>
      </c>
      <c r="O3052" s="2" t="s">
        <v>97</v>
      </c>
      <c r="P3052" s="2" t="s">
        <v>98</v>
      </c>
      <c r="Q3052" s="2" t="s">
        <v>99</v>
      </c>
      <c r="R3052" s="2" t="s">
        <v>100</v>
      </c>
      <c r="S3052" s="2" t="s">
        <v>10155</v>
      </c>
      <c r="T3052" s="2" t="s">
        <v>9205</v>
      </c>
      <c r="U3052" s="2" t="s">
        <v>1228</v>
      </c>
      <c r="V3052" s="2" t="s">
        <v>3451</v>
      </c>
      <c r="W3052" s="2" t="s">
        <v>609</v>
      </c>
      <c r="X3052" s="2" t="s">
        <v>270</v>
      </c>
      <c r="Y3052" s="2" t="s">
        <v>10031</v>
      </c>
      <c r="Z3052" s="4">
        <v>51</v>
      </c>
      <c r="AA3052" s="4">
        <f>=ROUNDDOWN(1.82142857142857,0)</f>
      </c>
      <c r="AB3052" s="5">
        <v>28</v>
      </c>
      <c r="AC3052" s="2" t="s">
        <v>1142</v>
      </c>
      <c r="AD3052" s="4">
        <v>284</v>
      </c>
      <c r="AE3052" s="4">
        <v>821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 t="s">
        <v>100</v>
      </c>
      <c r="AW3052" s="8" t="s">
        <v>100</v>
      </c>
      <c r="AX3052" s="4" t="s">
        <v>100</v>
      </c>
      <c r="AY3052" s="8" t="s">
        <v>100</v>
      </c>
      <c r="AZ3052" s="7" t="s">
        <v>100</v>
      </c>
      <c r="BA3052" s="7" t="s">
        <v>100</v>
      </c>
      <c r="BB3052" s="7"/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 t="s">
        <v>100</v>
      </c>
      <c r="BJ3052" s="4">
        <v>12</v>
      </c>
      <c r="BK3052" s="8">
        <v>364.91</v>
      </c>
      <c r="BL3052" s="2" t="s">
        <v>10060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10033</v>
      </c>
      <c r="BX3052" s="2" t="s">
        <v>10161</v>
      </c>
      <c r="BY3052" s="2" t="s">
        <v>112</v>
      </c>
      <c r="BZ3052" s="2" t="s">
        <v>100</v>
      </c>
    </row>
    <row r="3053">
      <c r="A3053" s="2" t="s">
        <v>10162</v>
      </c>
      <c r="B3053" s="2" t="s">
        <v>9043</v>
      </c>
      <c r="C3053" s="2" t="s">
        <v>4466</v>
      </c>
      <c r="D3053" s="2" t="s">
        <v>9044</v>
      </c>
      <c r="E3053" s="2" t="s">
        <v>9045</v>
      </c>
      <c r="F3053" s="2" t="s">
        <v>10005</v>
      </c>
      <c r="G3053" s="2" t="s">
        <v>10005</v>
      </c>
      <c r="H3053" s="2" t="s">
        <v>10005</v>
      </c>
      <c r="I3053" s="2" t="s">
        <v>9875</v>
      </c>
      <c r="J3053" s="2" t="s">
        <v>1443</v>
      </c>
      <c r="K3053" s="2" t="s">
        <v>10163</v>
      </c>
      <c r="L3053" s="3">
        <v>14.89</v>
      </c>
      <c r="M3053" s="3">
        <v>15.63</v>
      </c>
      <c r="N3053" s="3">
        <v>31.99</v>
      </c>
      <c r="O3053" s="2" t="s">
        <v>97</v>
      </c>
      <c r="P3053" s="2" t="s">
        <v>98</v>
      </c>
      <c r="Q3053" s="2" t="s">
        <v>99</v>
      </c>
      <c r="R3053" s="2" t="s">
        <v>100</v>
      </c>
      <c r="S3053" s="2" t="s">
        <v>10164</v>
      </c>
      <c r="T3053" s="2" t="s">
        <v>9205</v>
      </c>
      <c r="U3053" s="2" t="s">
        <v>100</v>
      </c>
      <c r="V3053" s="2" t="s">
        <v>461</v>
      </c>
      <c r="W3053" s="2" t="s">
        <v>609</v>
      </c>
      <c r="X3053" s="2" t="s">
        <v>100</v>
      </c>
      <c r="Y3053" s="2" t="s">
        <v>144</v>
      </c>
      <c r="Z3053" s="4"/>
      <c r="AA3053" s="4">
        <f>=ROUNDDOWN({0},0)</f>
      </c>
      <c r="AB3053" s="5">
        <v>55</v>
      </c>
      <c r="AC3053" s="2" t="s">
        <v>1142</v>
      </c>
      <c r="AD3053" s="4">
        <v>536</v>
      </c>
      <c r="AE3053" s="4">
        <v>1559</v>
      </c>
      <c r="AF3053" s="6">
        <v>65</v>
      </c>
      <c r="AG3053" s="6"/>
      <c r="AH3053" s="7">
        <v>0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 t="s">
        <v>100</v>
      </c>
      <c r="AW3053" s="8" t="s">
        <v>100</v>
      </c>
      <c r="AX3053" s="4" t="s">
        <v>100</v>
      </c>
      <c r="AY3053" s="8" t="s">
        <v>100</v>
      </c>
      <c r="AZ3053" s="7" t="s">
        <v>100</v>
      </c>
      <c r="BA3053" s="7" t="s">
        <v>100</v>
      </c>
      <c r="BB3053" s="7"/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 t="s">
        <v>100</v>
      </c>
      <c r="BJ3053" s="4"/>
      <c r="BK3053" s="8"/>
      <c r="BL3053" s="2" t="s">
        <v>100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1792</v>
      </c>
      <c r="BX3053" s="2" t="s">
        <v>2128</v>
      </c>
      <c r="BY3053" s="2" t="s">
        <v>112</v>
      </c>
      <c r="BZ3053" s="2" t="s">
        <v>100</v>
      </c>
    </row>
    <row r="3054">
      <c r="A3054" s="2" t="s">
        <v>10165</v>
      </c>
      <c r="B3054" s="2" t="s">
        <v>9043</v>
      </c>
      <c r="C3054" s="2" t="s">
        <v>4466</v>
      </c>
      <c r="D3054" s="2" t="s">
        <v>9044</v>
      </c>
      <c r="E3054" s="2" t="s">
        <v>9045</v>
      </c>
      <c r="F3054" s="2" t="s">
        <v>10005</v>
      </c>
      <c r="G3054" s="2" t="s">
        <v>10005</v>
      </c>
      <c r="H3054" s="2" t="s">
        <v>10005</v>
      </c>
      <c r="I3054" s="2" t="s">
        <v>9875</v>
      </c>
      <c r="J3054" s="2" t="s">
        <v>490</v>
      </c>
      <c r="K3054" s="2" t="s">
        <v>10163</v>
      </c>
      <c r="L3054" s="3">
        <v>19.57</v>
      </c>
      <c r="M3054" s="3">
        <v>20.55</v>
      </c>
      <c r="N3054" s="3">
        <v>42.99</v>
      </c>
      <c r="O3054" s="2" t="s">
        <v>97</v>
      </c>
      <c r="P3054" s="2" t="s">
        <v>156</v>
      </c>
      <c r="Q3054" s="2" t="s">
        <v>99</v>
      </c>
      <c r="R3054" s="2" t="s">
        <v>100</v>
      </c>
      <c r="S3054" s="2" t="s">
        <v>10164</v>
      </c>
      <c r="T3054" s="2" t="s">
        <v>9205</v>
      </c>
      <c r="U3054" s="2" t="s">
        <v>100</v>
      </c>
      <c r="V3054" s="2" t="s">
        <v>461</v>
      </c>
      <c r="W3054" s="2" t="s">
        <v>609</v>
      </c>
      <c r="X3054" s="2" t="s">
        <v>100</v>
      </c>
      <c r="Y3054" s="2" t="s">
        <v>144</v>
      </c>
      <c r="Z3054" s="4"/>
      <c r="AA3054" s="4">
        <f>=ROUNDDOWN({0},0)</f>
      </c>
      <c r="AB3054" s="5">
        <v>42</v>
      </c>
      <c r="AC3054" s="2" t="s">
        <v>1142</v>
      </c>
      <c r="AD3054" s="4">
        <v>409</v>
      </c>
      <c r="AE3054" s="4">
        <v>1248</v>
      </c>
      <c r="AF3054" s="6">
        <v>65</v>
      </c>
      <c r="AG3054" s="6"/>
      <c r="AH3054" s="7">
        <v>0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 t="s">
        <v>100</v>
      </c>
      <c r="AW3054" s="8" t="s">
        <v>100</v>
      </c>
      <c r="AX3054" s="4" t="s">
        <v>100</v>
      </c>
      <c r="AY3054" s="8" t="s">
        <v>100</v>
      </c>
      <c r="AZ3054" s="7" t="s">
        <v>100</v>
      </c>
      <c r="BA3054" s="7" t="s">
        <v>100</v>
      </c>
      <c r="BB3054" s="7"/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 t="s">
        <v>100</v>
      </c>
      <c r="BJ3054" s="4"/>
      <c r="BK3054" s="8"/>
      <c r="BL3054" s="2" t="s">
        <v>100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109</v>
      </c>
      <c r="BV3054" s="2" t="s">
        <v>97</v>
      </c>
      <c r="BW3054" s="2" t="s">
        <v>1792</v>
      </c>
      <c r="BX3054" s="2" t="s">
        <v>10166</v>
      </c>
      <c r="BY3054" s="2" t="s">
        <v>112</v>
      </c>
      <c r="BZ3054" s="2" t="s">
        <v>100</v>
      </c>
    </row>
    <row r="3055">
      <c r="A3055" s="2" t="s">
        <v>10167</v>
      </c>
      <c r="B3055" s="2" t="s">
        <v>9043</v>
      </c>
      <c r="C3055" s="2" t="s">
        <v>4466</v>
      </c>
      <c r="D3055" s="2" t="s">
        <v>9044</v>
      </c>
      <c r="E3055" s="2" t="s">
        <v>9045</v>
      </c>
      <c r="F3055" s="2" t="s">
        <v>10005</v>
      </c>
      <c r="G3055" s="2" t="s">
        <v>10005</v>
      </c>
      <c r="H3055" s="2" t="s">
        <v>10005</v>
      </c>
      <c r="I3055" s="2" t="s">
        <v>9875</v>
      </c>
      <c r="J3055" s="2" t="s">
        <v>95</v>
      </c>
      <c r="K3055" s="2" t="s">
        <v>10163</v>
      </c>
      <c r="L3055" s="3">
        <v>22.21</v>
      </c>
      <c r="M3055" s="3">
        <v>23.32</v>
      </c>
      <c r="N3055" s="3">
        <v>47.99</v>
      </c>
      <c r="O3055" s="2" t="s">
        <v>97</v>
      </c>
      <c r="P3055" s="2" t="s">
        <v>123</v>
      </c>
      <c r="Q3055" s="2" t="s">
        <v>99</v>
      </c>
      <c r="R3055" s="2" t="s">
        <v>100</v>
      </c>
      <c r="S3055" s="2" t="s">
        <v>10164</v>
      </c>
      <c r="T3055" s="2" t="s">
        <v>9205</v>
      </c>
      <c r="U3055" s="2" t="s">
        <v>100</v>
      </c>
      <c r="V3055" s="2" t="s">
        <v>461</v>
      </c>
      <c r="W3055" s="2" t="s">
        <v>609</v>
      </c>
      <c r="X3055" s="2" t="s">
        <v>100</v>
      </c>
      <c r="Y3055" s="2" t="s">
        <v>144</v>
      </c>
      <c r="Z3055" s="4"/>
      <c r="AA3055" s="4">
        <f>=ROUNDDOWN({0},0)</f>
      </c>
      <c r="AB3055" s="5">
        <v>61</v>
      </c>
      <c r="AC3055" s="2" t="s">
        <v>1142</v>
      </c>
      <c r="AD3055" s="4">
        <v>603</v>
      </c>
      <c r="AE3055" s="4">
        <v>1790</v>
      </c>
      <c r="AF3055" s="6">
        <v>65</v>
      </c>
      <c r="AG3055" s="6"/>
      <c r="AH3055" s="7">
        <v>0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 t="s">
        <v>100</v>
      </c>
      <c r="AW3055" s="8" t="s">
        <v>100</v>
      </c>
      <c r="AX3055" s="4" t="s">
        <v>100</v>
      </c>
      <c r="AY3055" s="8" t="s">
        <v>100</v>
      </c>
      <c r="AZ3055" s="7" t="s">
        <v>100</v>
      </c>
      <c r="BA3055" s="7" t="s">
        <v>100</v>
      </c>
      <c r="BB3055" s="7"/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 t="s">
        <v>100</v>
      </c>
      <c r="BJ3055" s="4"/>
      <c r="BK3055" s="8"/>
      <c r="BL3055" s="2" t="s">
        <v>100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109</v>
      </c>
      <c r="BV3055" s="2" t="s">
        <v>97</v>
      </c>
      <c r="BW3055" s="2" t="s">
        <v>1792</v>
      </c>
      <c r="BX3055" s="2" t="s">
        <v>1230</v>
      </c>
      <c r="BY3055" s="2" t="s">
        <v>112</v>
      </c>
      <c r="BZ3055" s="2" t="s">
        <v>100</v>
      </c>
    </row>
    <row r="3056">
      <c r="A3056" s="2" t="s">
        <v>10168</v>
      </c>
      <c r="B3056" s="2" t="s">
        <v>9043</v>
      </c>
      <c r="C3056" s="2" t="s">
        <v>4466</v>
      </c>
      <c r="D3056" s="2" t="s">
        <v>9044</v>
      </c>
      <c r="E3056" s="2" t="s">
        <v>9045</v>
      </c>
      <c r="F3056" s="2" t="s">
        <v>10005</v>
      </c>
      <c r="G3056" s="2" t="s">
        <v>10005</v>
      </c>
      <c r="H3056" s="2" t="s">
        <v>10005</v>
      </c>
      <c r="I3056" s="2" t="s">
        <v>9875</v>
      </c>
      <c r="J3056" s="2" t="s">
        <v>118</v>
      </c>
      <c r="K3056" s="2" t="s">
        <v>10163</v>
      </c>
      <c r="L3056" s="3">
        <v>27.39</v>
      </c>
      <c r="M3056" s="3">
        <v>28.76</v>
      </c>
      <c r="N3056" s="3">
        <v>62.99</v>
      </c>
      <c r="O3056" s="2" t="s">
        <v>97</v>
      </c>
      <c r="P3056" s="2" t="s">
        <v>98</v>
      </c>
      <c r="Q3056" s="2" t="s">
        <v>99</v>
      </c>
      <c r="R3056" s="2" t="s">
        <v>100</v>
      </c>
      <c r="S3056" s="2" t="s">
        <v>10164</v>
      </c>
      <c r="T3056" s="2" t="s">
        <v>9205</v>
      </c>
      <c r="U3056" s="2" t="s">
        <v>100</v>
      </c>
      <c r="V3056" s="2" t="s">
        <v>461</v>
      </c>
      <c r="W3056" s="2" t="s">
        <v>609</v>
      </c>
      <c r="X3056" s="2" t="s">
        <v>100</v>
      </c>
      <c r="Y3056" s="2" t="s">
        <v>144</v>
      </c>
      <c r="Z3056" s="4"/>
      <c r="AA3056" s="4">
        <f>=ROUNDDOWN({0},0)</f>
      </c>
      <c r="AB3056" s="5">
        <v>14</v>
      </c>
      <c r="AC3056" s="2" t="s">
        <v>1142</v>
      </c>
      <c r="AD3056" s="4">
        <v>144</v>
      </c>
      <c r="AE3056" s="4">
        <v>437</v>
      </c>
      <c r="AF3056" s="6">
        <v>65</v>
      </c>
      <c r="AG3056" s="6"/>
      <c r="AH3056" s="7">
        <v>0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 t="s">
        <v>100</v>
      </c>
      <c r="AW3056" s="8" t="s">
        <v>100</v>
      </c>
      <c r="AX3056" s="4" t="s">
        <v>100</v>
      </c>
      <c r="AY3056" s="8" t="s">
        <v>100</v>
      </c>
      <c r="AZ3056" s="7" t="s">
        <v>100</v>
      </c>
      <c r="BA3056" s="7" t="s">
        <v>100</v>
      </c>
      <c r="BB3056" s="7"/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 t="s">
        <v>100</v>
      </c>
      <c r="BJ3056" s="4"/>
      <c r="BK3056" s="8"/>
      <c r="BL3056" s="2" t="s">
        <v>100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109</v>
      </c>
      <c r="BV3056" s="2" t="s">
        <v>97</v>
      </c>
      <c r="BW3056" s="2" t="s">
        <v>1792</v>
      </c>
      <c r="BX3056" s="2" t="s">
        <v>4348</v>
      </c>
      <c r="BY3056" s="2" t="s">
        <v>112</v>
      </c>
      <c r="BZ3056" s="2" t="s">
        <v>100</v>
      </c>
    </row>
    <row r="3057">
      <c r="A3057" s="2" t="s">
        <v>10169</v>
      </c>
      <c r="B3057" s="2" t="s">
        <v>9043</v>
      </c>
      <c r="C3057" s="2" t="s">
        <v>4466</v>
      </c>
      <c r="D3057" s="2" t="s">
        <v>9044</v>
      </c>
      <c r="E3057" s="2" t="s">
        <v>9045</v>
      </c>
      <c r="F3057" s="2" t="s">
        <v>10005</v>
      </c>
      <c r="G3057" s="2" t="s">
        <v>10005</v>
      </c>
      <c r="H3057" s="2" t="s">
        <v>10005</v>
      </c>
      <c r="I3057" s="2" t="s">
        <v>9875</v>
      </c>
      <c r="J3057" s="2" t="s">
        <v>1443</v>
      </c>
      <c r="K3057" s="2" t="s">
        <v>9229</v>
      </c>
      <c r="L3057" s="3">
        <v>14.89</v>
      </c>
      <c r="M3057" s="3">
        <v>15.63</v>
      </c>
      <c r="N3057" s="3">
        <v>31.99</v>
      </c>
      <c r="O3057" s="2" t="s">
        <v>97</v>
      </c>
      <c r="P3057" s="2" t="s">
        <v>98</v>
      </c>
      <c r="Q3057" s="2" t="s">
        <v>99</v>
      </c>
      <c r="R3057" s="2" t="s">
        <v>100</v>
      </c>
      <c r="S3057" s="2" t="s">
        <v>10170</v>
      </c>
      <c r="T3057" s="2" t="s">
        <v>9205</v>
      </c>
      <c r="U3057" s="2" t="s">
        <v>100</v>
      </c>
      <c r="V3057" s="2" t="s">
        <v>461</v>
      </c>
      <c r="W3057" s="2" t="s">
        <v>609</v>
      </c>
      <c r="X3057" s="2" t="s">
        <v>100</v>
      </c>
      <c r="Y3057" s="2" t="s">
        <v>4616</v>
      </c>
      <c r="Z3057" s="4"/>
      <c r="AA3057" s="4">
        <f>=ROUNDDOWN({0},0)</f>
      </c>
      <c r="AB3057" s="5">
        <v>51</v>
      </c>
      <c r="AC3057" s="2" t="s">
        <v>1142</v>
      </c>
      <c r="AD3057" s="4">
        <v>498</v>
      </c>
      <c r="AE3057" s="4">
        <v>1447</v>
      </c>
      <c r="AF3057" s="6">
        <v>65</v>
      </c>
      <c r="AG3057" s="6"/>
      <c r="AH3057" s="7">
        <v>0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 t="s">
        <v>100</v>
      </c>
      <c r="AW3057" s="8" t="s">
        <v>100</v>
      </c>
      <c r="AX3057" s="4" t="s">
        <v>100</v>
      </c>
      <c r="AY3057" s="8" t="s">
        <v>100</v>
      </c>
      <c r="AZ3057" s="7" t="s">
        <v>100</v>
      </c>
      <c r="BA3057" s="7" t="s">
        <v>100</v>
      </c>
      <c r="BB3057" s="7"/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 t="s">
        <v>100</v>
      </c>
      <c r="BJ3057" s="4"/>
      <c r="BK3057" s="8"/>
      <c r="BL3057" s="2" t="s">
        <v>100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109</v>
      </c>
      <c r="BV3057" s="2" t="s">
        <v>97</v>
      </c>
      <c r="BW3057" s="2" t="s">
        <v>1792</v>
      </c>
      <c r="BX3057" s="2" t="s">
        <v>8713</v>
      </c>
      <c r="BY3057" s="2" t="s">
        <v>112</v>
      </c>
      <c r="BZ3057" s="2" t="s">
        <v>100</v>
      </c>
    </row>
    <row r="3058">
      <c r="A3058" s="2" t="s">
        <v>10171</v>
      </c>
      <c r="B3058" s="2" t="s">
        <v>9043</v>
      </c>
      <c r="C3058" s="2" t="s">
        <v>4466</v>
      </c>
      <c r="D3058" s="2" t="s">
        <v>9044</v>
      </c>
      <c r="E3058" s="2" t="s">
        <v>9045</v>
      </c>
      <c r="F3058" s="2" t="s">
        <v>10005</v>
      </c>
      <c r="G3058" s="2" t="s">
        <v>10005</v>
      </c>
      <c r="H3058" s="2" t="s">
        <v>10005</v>
      </c>
      <c r="I3058" s="2" t="s">
        <v>9875</v>
      </c>
      <c r="J3058" s="2" t="s">
        <v>490</v>
      </c>
      <c r="K3058" s="2" t="s">
        <v>9229</v>
      </c>
      <c r="L3058" s="3">
        <v>19.57</v>
      </c>
      <c r="M3058" s="3">
        <v>20.55</v>
      </c>
      <c r="N3058" s="3">
        <v>42.99</v>
      </c>
      <c r="O3058" s="2" t="s">
        <v>97</v>
      </c>
      <c r="P3058" s="2" t="s">
        <v>156</v>
      </c>
      <c r="Q3058" s="2" t="s">
        <v>99</v>
      </c>
      <c r="R3058" s="2" t="s">
        <v>100</v>
      </c>
      <c r="S3058" s="2" t="s">
        <v>10170</v>
      </c>
      <c r="T3058" s="2" t="s">
        <v>9205</v>
      </c>
      <c r="U3058" s="2" t="s">
        <v>100</v>
      </c>
      <c r="V3058" s="2" t="s">
        <v>461</v>
      </c>
      <c r="W3058" s="2" t="s">
        <v>609</v>
      </c>
      <c r="X3058" s="2" t="s">
        <v>100</v>
      </c>
      <c r="Y3058" s="2" t="s">
        <v>144</v>
      </c>
      <c r="Z3058" s="4"/>
      <c r="AA3058" s="4">
        <f>=ROUNDDOWN({0},0)</f>
      </c>
      <c r="AB3058" s="5">
        <v>38</v>
      </c>
      <c r="AC3058" s="2" t="s">
        <v>1142</v>
      </c>
      <c r="AD3058" s="4">
        <v>371</v>
      </c>
      <c r="AE3058" s="4">
        <v>1089</v>
      </c>
      <c r="AF3058" s="6">
        <v>65</v>
      </c>
      <c r="AG3058" s="6"/>
      <c r="AH3058" s="7">
        <v>0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 t="s">
        <v>100</v>
      </c>
      <c r="AW3058" s="8" t="s">
        <v>100</v>
      </c>
      <c r="AX3058" s="4" t="s">
        <v>100</v>
      </c>
      <c r="AY3058" s="8" t="s">
        <v>100</v>
      </c>
      <c r="AZ3058" s="7" t="s">
        <v>100</v>
      </c>
      <c r="BA3058" s="7" t="s">
        <v>100</v>
      </c>
      <c r="BB3058" s="7"/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 t="s">
        <v>100</v>
      </c>
      <c r="BJ3058" s="4"/>
      <c r="BK3058" s="8"/>
      <c r="BL3058" s="2" t="s">
        <v>100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109</v>
      </c>
      <c r="BV3058" s="2" t="s">
        <v>97</v>
      </c>
      <c r="BW3058" s="2" t="s">
        <v>1792</v>
      </c>
      <c r="BX3058" s="2" t="s">
        <v>10109</v>
      </c>
      <c r="BY3058" s="2" t="s">
        <v>112</v>
      </c>
      <c r="BZ3058" s="2" t="s">
        <v>100</v>
      </c>
    </row>
    <row r="3059">
      <c r="A3059" s="2" t="s">
        <v>10172</v>
      </c>
      <c r="B3059" s="2" t="s">
        <v>9043</v>
      </c>
      <c r="C3059" s="2" t="s">
        <v>4466</v>
      </c>
      <c r="D3059" s="2" t="s">
        <v>9044</v>
      </c>
      <c r="E3059" s="2" t="s">
        <v>9045</v>
      </c>
      <c r="F3059" s="2" t="s">
        <v>10005</v>
      </c>
      <c r="G3059" s="2" t="s">
        <v>10005</v>
      </c>
      <c r="H3059" s="2" t="s">
        <v>10005</v>
      </c>
      <c r="I3059" s="2" t="s">
        <v>9875</v>
      </c>
      <c r="J3059" s="2" t="s">
        <v>95</v>
      </c>
      <c r="K3059" s="2" t="s">
        <v>9229</v>
      </c>
      <c r="L3059" s="3">
        <v>22.21</v>
      </c>
      <c r="M3059" s="3">
        <v>23.32</v>
      </c>
      <c r="N3059" s="3">
        <v>47.99</v>
      </c>
      <c r="O3059" s="2" t="s">
        <v>97</v>
      </c>
      <c r="P3059" s="2" t="s">
        <v>98</v>
      </c>
      <c r="Q3059" s="2" t="s">
        <v>99</v>
      </c>
      <c r="R3059" s="2" t="s">
        <v>100</v>
      </c>
      <c r="S3059" s="2" t="s">
        <v>10170</v>
      </c>
      <c r="T3059" s="2" t="s">
        <v>9205</v>
      </c>
      <c r="U3059" s="2" t="s">
        <v>100</v>
      </c>
      <c r="V3059" s="2" t="s">
        <v>461</v>
      </c>
      <c r="W3059" s="2" t="s">
        <v>100</v>
      </c>
      <c r="X3059" s="2" t="s">
        <v>100</v>
      </c>
      <c r="Y3059" s="2" t="s">
        <v>144</v>
      </c>
      <c r="Z3059" s="4"/>
      <c r="AA3059" s="4">
        <f>=ROUNDDOWN({0},0)</f>
      </c>
      <c r="AB3059" s="5">
        <v>57</v>
      </c>
      <c r="AC3059" s="2" t="s">
        <v>1142</v>
      </c>
      <c r="AD3059" s="4">
        <v>554</v>
      </c>
      <c r="AE3059" s="4">
        <v>1574</v>
      </c>
      <c r="AF3059" s="6">
        <v>65</v>
      </c>
      <c r="AG3059" s="6"/>
      <c r="AH3059" s="7">
        <v>0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 t="s">
        <v>100</v>
      </c>
      <c r="AW3059" s="8" t="s">
        <v>100</v>
      </c>
      <c r="AX3059" s="4" t="s">
        <v>100</v>
      </c>
      <c r="AY3059" s="8" t="s">
        <v>100</v>
      </c>
      <c r="AZ3059" s="7" t="s">
        <v>100</v>
      </c>
      <c r="BA3059" s="7" t="s">
        <v>100</v>
      </c>
      <c r="BB3059" s="7"/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 t="s">
        <v>100</v>
      </c>
      <c r="BJ3059" s="4"/>
      <c r="BK3059" s="8"/>
      <c r="BL3059" s="2" t="s">
        <v>100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109</v>
      </c>
      <c r="BV3059" s="2" t="s">
        <v>97</v>
      </c>
      <c r="BW3059" s="2" t="s">
        <v>1792</v>
      </c>
      <c r="BX3059" s="2" t="s">
        <v>1671</v>
      </c>
      <c r="BY3059" s="2" t="s">
        <v>112</v>
      </c>
      <c r="BZ3059" s="2" t="s">
        <v>100</v>
      </c>
    </row>
    <row r="3060">
      <c r="A3060" s="2" t="s">
        <v>10173</v>
      </c>
      <c r="B3060" s="2" t="s">
        <v>9043</v>
      </c>
      <c r="C3060" s="2" t="s">
        <v>4466</v>
      </c>
      <c r="D3060" s="2" t="s">
        <v>9044</v>
      </c>
      <c r="E3060" s="2" t="s">
        <v>9045</v>
      </c>
      <c r="F3060" s="2" t="s">
        <v>10005</v>
      </c>
      <c r="G3060" s="2" t="s">
        <v>10005</v>
      </c>
      <c r="H3060" s="2" t="s">
        <v>10005</v>
      </c>
      <c r="I3060" s="2" t="s">
        <v>9875</v>
      </c>
      <c r="J3060" s="2" t="s">
        <v>114</v>
      </c>
      <c r="K3060" s="2" t="s">
        <v>9229</v>
      </c>
      <c r="L3060" s="3">
        <v>27.39</v>
      </c>
      <c r="M3060" s="3">
        <v>28.76</v>
      </c>
      <c r="N3060" s="3">
        <v>62.99</v>
      </c>
      <c r="O3060" s="2" t="s">
        <v>97</v>
      </c>
      <c r="P3060" s="2" t="s">
        <v>98</v>
      </c>
      <c r="Q3060" s="2" t="s">
        <v>99</v>
      </c>
      <c r="R3060" s="2" t="s">
        <v>100</v>
      </c>
      <c r="S3060" s="2" t="s">
        <v>10170</v>
      </c>
      <c r="T3060" s="2" t="s">
        <v>9205</v>
      </c>
      <c r="U3060" s="2" t="s">
        <v>100</v>
      </c>
      <c r="V3060" s="2" t="s">
        <v>461</v>
      </c>
      <c r="W3060" s="2" t="s">
        <v>609</v>
      </c>
      <c r="X3060" s="2" t="s">
        <v>100</v>
      </c>
      <c r="Y3060" s="2" t="s">
        <v>144</v>
      </c>
      <c r="Z3060" s="4"/>
      <c r="AA3060" s="4">
        <f>=ROUNDDOWN({0},0)</f>
      </c>
      <c r="AB3060" s="5">
        <v>24</v>
      </c>
      <c r="AC3060" s="2" t="s">
        <v>1142</v>
      </c>
      <c r="AD3060" s="4">
        <v>247</v>
      </c>
      <c r="AE3060" s="4">
        <v>701</v>
      </c>
      <c r="AF3060" s="6">
        <v>65</v>
      </c>
      <c r="AG3060" s="6"/>
      <c r="AH3060" s="7">
        <v>0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 t="s">
        <v>100</v>
      </c>
      <c r="AW3060" s="8" t="s">
        <v>100</v>
      </c>
      <c r="AX3060" s="4" t="s">
        <v>100</v>
      </c>
      <c r="AY3060" s="8" t="s">
        <v>100</v>
      </c>
      <c r="AZ3060" s="7" t="s">
        <v>100</v>
      </c>
      <c r="BA3060" s="7" t="s">
        <v>100</v>
      </c>
      <c r="BB3060" s="7"/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 t="s">
        <v>100</v>
      </c>
      <c r="BJ3060" s="4"/>
      <c r="BK3060" s="8"/>
      <c r="BL3060" s="2" t="s">
        <v>100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109</v>
      </c>
      <c r="BV3060" s="2" t="s">
        <v>97</v>
      </c>
      <c r="BW3060" s="2" t="s">
        <v>1792</v>
      </c>
      <c r="BX3060" s="2" t="s">
        <v>4353</v>
      </c>
      <c r="BY3060" s="2" t="s">
        <v>112</v>
      </c>
      <c r="BZ3060" s="2" t="s">
        <v>100</v>
      </c>
    </row>
    <row r="3061">
      <c r="A3061" s="2" t="s">
        <v>10174</v>
      </c>
      <c r="B3061" s="2" t="s">
        <v>9043</v>
      </c>
      <c r="C3061" s="2" t="s">
        <v>4466</v>
      </c>
      <c r="D3061" s="2" t="s">
        <v>9044</v>
      </c>
      <c r="E3061" s="2" t="s">
        <v>9045</v>
      </c>
      <c r="F3061" s="2" t="s">
        <v>10005</v>
      </c>
      <c r="G3061" s="2" t="s">
        <v>10005</v>
      </c>
      <c r="H3061" s="2" t="s">
        <v>10005</v>
      </c>
      <c r="I3061" s="2" t="s">
        <v>9875</v>
      </c>
      <c r="J3061" s="2" t="s">
        <v>118</v>
      </c>
      <c r="K3061" s="2" t="s">
        <v>9229</v>
      </c>
      <c r="L3061" s="3">
        <v>27.39</v>
      </c>
      <c r="M3061" s="3">
        <v>28.76</v>
      </c>
      <c r="N3061" s="3">
        <v>62.99</v>
      </c>
      <c r="O3061" s="2" t="s">
        <v>97</v>
      </c>
      <c r="P3061" s="2" t="s">
        <v>98</v>
      </c>
      <c r="Q3061" s="2" t="s">
        <v>99</v>
      </c>
      <c r="R3061" s="2" t="s">
        <v>100</v>
      </c>
      <c r="S3061" s="2" t="s">
        <v>10170</v>
      </c>
      <c r="T3061" s="2" t="s">
        <v>9205</v>
      </c>
      <c r="U3061" s="2" t="s">
        <v>100</v>
      </c>
      <c r="V3061" s="2" t="s">
        <v>461</v>
      </c>
      <c r="W3061" s="2" t="s">
        <v>609</v>
      </c>
      <c r="X3061" s="2" t="s">
        <v>100</v>
      </c>
      <c r="Y3061" s="2" t="s">
        <v>144</v>
      </c>
      <c r="Z3061" s="4"/>
      <c r="AA3061" s="4">
        <f>=ROUNDDOWN({0},0)</f>
      </c>
      <c r="AB3061" s="5">
        <v>16</v>
      </c>
      <c r="AC3061" s="2" t="s">
        <v>1142</v>
      </c>
      <c r="AD3061" s="4">
        <v>162</v>
      </c>
      <c r="AE3061" s="4">
        <v>469</v>
      </c>
      <c r="AF3061" s="6">
        <v>65</v>
      </c>
      <c r="AG3061" s="6"/>
      <c r="AH3061" s="7">
        <v>0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 t="s">
        <v>100</v>
      </c>
      <c r="AW3061" s="8" t="s">
        <v>100</v>
      </c>
      <c r="AX3061" s="4" t="s">
        <v>100</v>
      </c>
      <c r="AY3061" s="8" t="s">
        <v>100</v>
      </c>
      <c r="AZ3061" s="7" t="s">
        <v>100</v>
      </c>
      <c r="BA3061" s="7" t="s">
        <v>100</v>
      </c>
      <c r="BB3061" s="7"/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 t="s">
        <v>100</v>
      </c>
      <c r="BJ3061" s="4"/>
      <c r="BK3061" s="8"/>
      <c r="BL3061" s="2" t="s">
        <v>100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109</v>
      </c>
      <c r="BV3061" s="2" t="s">
        <v>97</v>
      </c>
      <c r="BW3061" s="2" t="s">
        <v>1792</v>
      </c>
      <c r="BX3061" s="2" t="s">
        <v>2185</v>
      </c>
      <c r="BY3061" s="2" t="s">
        <v>112</v>
      </c>
      <c r="BZ3061" s="2" t="s">
        <v>100</v>
      </c>
    </row>
    <row r="3062">
      <c r="A3062" s="2" t="s">
        <v>10175</v>
      </c>
      <c r="B3062" s="2" t="s">
        <v>9043</v>
      </c>
      <c r="C3062" s="2" t="s">
        <v>4466</v>
      </c>
      <c r="D3062" s="2" t="s">
        <v>9044</v>
      </c>
      <c r="E3062" s="2" t="s">
        <v>9045</v>
      </c>
      <c r="F3062" s="2" t="s">
        <v>10005</v>
      </c>
      <c r="G3062" s="2" t="s">
        <v>10005</v>
      </c>
      <c r="H3062" s="2" t="s">
        <v>10005</v>
      </c>
      <c r="I3062" s="2" t="s">
        <v>9875</v>
      </c>
      <c r="J3062" s="2" t="s">
        <v>1443</v>
      </c>
      <c r="K3062" s="2" t="s">
        <v>10176</v>
      </c>
      <c r="L3062" s="3">
        <v>14.89</v>
      </c>
      <c r="M3062" s="3">
        <v>15.63</v>
      </c>
      <c r="N3062" s="3">
        <v>31.99</v>
      </c>
      <c r="O3062" s="2" t="s">
        <v>97</v>
      </c>
      <c r="P3062" s="2" t="s">
        <v>98</v>
      </c>
      <c r="Q3062" s="2" t="s">
        <v>99</v>
      </c>
      <c r="R3062" s="2" t="s">
        <v>100</v>
      </c>
      <c r="S3062" s="2" t="s">
        <v>10177</v>
      </c>
      <c r="T3062" s="2" t="s">
        <v>9205</v>
      </c>
      <c r="U3062" s="2" t="s">
        <v>100</v>
      </c>
      <c r="V3062" s="2" t="s">
        <v>3451</v>
      </c>
      <c r="W3062" s="2" t="s">
        <v>609</v>
      </c>
      <c r="X3062" s="2" t="s">
        <v>100</v>
      </c>
      <c r="Y3062" s="2" t="s">
        <v>503</v>
      </c>
      <c r="Z3062" s="4"/>
      <c r="AA3062" s="4">
        <f>=ROUNDDOWN({0},0)</f>
      </c>
      <c r="AB3062" s="5">
        <v>50</v>
      </c>
      <c r="AC3062" s="2" t="s">
        <v>1142</v>
      </c>
      <c r="AD3062" s="4">
        <v>489</v>
      </c>
      <c r="AE3062" s="4">
        <v>1418</v>
      </c>
      <c r="AF3062" s="6">
        <v>65</v>
      </c>
      <c r="AG3062" s="6"/>
      <c r="AH3062" s="7">
        <v>0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 t="s">
        <v>100</v>
      </c>
      <c r="AW3062" s="8" t="s">
        <v>100</v>
      </c>
      <c r="AX3062" s="4" t="s">
        <v>100</v>
      </c>
      <c r="AY3062" s="8" t="s">
        <v>100</v>
      </c>
      <c r="AZ3062" s="7" t="s">
        <v>100</v>
      </c>
      <c r="BA3062" s="7" t="s">
        <v>100</v>
      </c>
      <c r="BB3062" s="7"/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 t="s">
        <v>100</v>
      </c>
      <c r="BJ3062" s="4"/>
      <c r="BK3062" s="8"/>
      <c r="BL3062" s="2" t="s">
        <v>100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109</v>
      </c>
      <c r="BV3062" s="2" t="s">
        <v>97</v>
      </c>
      <c r="BW3062" s="2" t="s">
        <v>1792</v>
      </c>
      <c r="BX3062" s="2" t="s">
        <v>3015</v>
      </c>
      <c r="BY3062" s="2" t="s">
        <v>112</v>
      </c>
      <c r="BZ3062" s="2" t="s">
        <v>100</v>
      </c>
    </row>
    <row r="3063">
      <c r="A3063" s="2" t="s">
        <v>10178</v>
      </c>
      <c r="B3063" s="2" t="s">
        <v>9043</v>
      </c>
      <c r="C3063" s="2" t="s">
        <v>4466</v>
      </c>
      <c r="D3063" s="2" t="s">
        <v>9044</v>
      </c>
      <c r="E3063" s="2" t="s">
        <v>9045</v>
      </c>
      <c r="F3063" s="2" t="s">
        <v>10005</v>
      </c>
      <c r="G3063" s="2" t="s">
        <v>10005</v>
      </c>
      <c r="H3063" s="2" t="s">
        <v>10005</v>
      </c>
      <c r="I3063" s="2" t="s">
        <v>9875</v>
      </c>
      <c r="J3063" s="2" t="s">
        <v>1806</v>
      </c>
      <c r="K3063" s="2" t="s">
        <v>10176</v>
      </c>
      <c r="L3063" s="3">
        <v>16.16</v>
      </c>
      <c r="M3063" s="3">
        <v>16.97</v>
      </c>
      <c r="N3063" s="3">
        <v>34.99</v>
      </c>
      <c r="O3063" s="2" t="s">
        <v>97</v>
      </c>
      <c r="P3063" s="2" t="s">
        <v>98</v>
      </c>
      <c r="Q3063" s="2" t="s">
        <v>99</v>
      </c>
      <c r="R3063" s="2" t="s">
        <v>100</v>
      </c>
      <c r="S3063" s="2" t="s">
        <v>10177</v>
      </c>
      <c r="T3063" s="2" t="s">
        <v>9205</v>
      </c>
      <c r="U3063" s="2" t="s">
        <v>100</v>
      </c>
      <c r="V3063" s="2" t="s">
        <v>3451</v>
      </c>
      <c r="W3063" s="2" t="s">
        <v>609</v>
      </c>
      <c r="X3063" s="2" t="s">
        <v>100</v>
      </c>
      <c r="Y3063" s="2" t="s">
        <v>503</v>
      </c>
      <c r="Z3063" s="4"/>
      <c r="AA3063" s="4">
        <f>=ROUNDDOWN({0},0)</f>
      </c>
      <c r="AB3063" s="5">
        <v>27</v>
      </c>
      <c r="AC3063" s="2" t="s">
        <v>1142</v>
      </c>
      <c r="AD3063" s="4">
        <v>265</v>
      </c>
      <c r="AE3063" s="4">
        <v>752</v>
      </c>
      <c r="AF3063" s="6">
        <v>65</v>
      </c>
      <c r="AG3063" s="6"/>
      <c r="AH3063" s="7">
        <v>0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 t="s">
        <v>100</v>
      </c>
      <c r="AW3063" s="8" t="s">
        <v>100</v>
      </c>
      <c r="AX3063" s="4" t="s">
        <v>100</v>
      </c>
      <c r="AY3063" s="8" t="s">
        <v>100</v>
      </c>
      <c r="AZ3063" s="7" t="s">
        <v>100</v>
      </c>
      <c r="BA3063" s="7" t="s">
        <v>100</v>
      </c>
      <c r="BB3063" s="7"/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 t="s">
        <v>100</v>
      </c>
      <c r="BJ3063" s="4"/>
      <c r="BK3063" s="8"/>
      <c r="BL3063" s="2" t="s">
        <v>100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109</v>
      </c>
      <c r="BV3063" s="2" t="s">
        <v>97</v>
      </c>
      <c r="BW3063" s="2" t="s">
        <v>1792</v>
      </c>
      <c r="BX3063" s="2" t="s">
        <v>10031</v>
      </c>
      <c r="BY3063" s="2" t="s">
        <v>112</v>
      </c>
      <c r="BZ3063" s="2" t="s">
        <v>100</v>
      </c>
    </row>
    <row r="3064">
      <c r="A3064" s="2" t="s">
        <v>10179</v>
      </c>
      <c r="B3064" s="2" t="s">
        <v>9043</v>
      </c>
      <c r="C3064" s="2" t="s">
        <v>4466</v>
      </c>
      <c r="D3064" s="2" t="s">
        <v>9044</v>
      </c>
      <c r="E3064" s="2" t="s">
        <v>9045</v>
      </c>
      <c r="F3064" s="2" t="s">
        <v>10005</v>
      </c>
      <c r="G3064" s="2" t="s">
        <v>10005</v>
      </c>
      <c r="H3064" s="2" t="s">
        <v>10005</v>
      </c>
      <c r="I3064" s="2" t="s">
        <v>9875</v>
      </c>
      <c r="J3064" s="2" t="s">
        <v>490</v>
      </c>
      <c r="K3064" s="2" t="s">
        <v>10176</v>
      </c>
      <c r="L3064" s="3">
        <v>19.57</v>
      </c>
      <c r="M3064" s="3">
        <v>20.55</v>
      </c>
      <c r="N3064" s="3">
        <v>42.99</v>
      </c>
      <c r="O3064" s="2" t="s">
        <v>97</v>
      </c>
      <c r="P3064" s="2" t="s">
        <v>98</v>
      </c>
      <c r="Q3064" s="2" t="s">
        <v>99</v>
      </c>
      <c r="R3064" s="2" t="s">
        <v>100</v>
      </c>
      <c r="S3064" s="2" t="s">
        <v>10177</v>
      </c>
      <c r="T3064" s="2" t="s">
        <v>9205</v>
      </c>
      <c r="U3064" s="2" t="s">
        <v>100</v>
      </c>
      <c r="V3064" s="2" t="s">
        <v>3451</v>
      </c>
      <c r="W3064" s="2" t="s">
        <v>609</v>
      </c>
      <c r="X3064" s="2" t="s">
        <v>100</v>
      </c>
      <c r="Y3064" s="2" t="s">
        <v>503</v>
      </c>
      <c r="Z3064" s="4"/>
      <c r="AA3064" s="4">
        <f>=ROUNDDOWN({0},0)</f>
      </c>
      <c r="AB3064" s="5">
        <v>24</v>
      </c>
      <c r="AC3064" s="2" t="s">
        <v>1142</v>
      </c>
      <c r="AD3064" s="4">
        <v>242</v>
      </c>
      <c r="AE3064" s="4">
        <v>704</v>
      </c>
      <c r="AF3064" s="6">
        <v>65</v>
      </c>
      <c r="AG3064" s="6"/>
      <c r="AH3064" s="7">
        <v>0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 t="s">
        <v>100</v>
      </c>
      <c r="AW3064" s="8" t="s">
        <v>100</v>
      </c>
      <c r="AX3064" s="4" t="s">
        <v>100</v>
      </c>
      <c r="AY3064" s="8" t="s">
        <v>100</v>
      </c>
      <c r="AZ3064" s="7" t="s">
        <v>100</v>
      </c>
      <c r="BA3064" s="7" t="s">
        <v>100</v>
      </c>
      <c r="BB3064" s="7"/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 t="s">
        <v>100</v>
      </c>
      <c r="BJ3064" s="4"/>
      <c r="BK3064" s="8"/>
      <c r="BL3064" s="2" t="s">
        <v>100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127</v>
      </c>
      <c r="BX3064" s="2" t="s">
        <v>10109</v>
      </c>
      <c r="BY3064" s="2" t="s">
        <v>112</v>
      </c>
      <c r="BZ3064" s="2" t="s">
        <v>100</v>
      </c>
    </row>
    <row r="3065">
      <c r="A3065" s="2" t="s">
        <v>10180</v>
      </c>
      <c r="B3065" s="2" t="s">
        <v>9043</v>
      </c>
      <c r="C3065" s="2" t="s">
        <v>4466</v>
      </c>
      <c r="D3065" s="2" t="s">
        <v>9044</v>
      </c>
      <c r="E3065" s="2" t="s">
        <v>9045</v>
      </c>
      <c r="F3065" s="2" t="s">
        <v>10005</v>
      </c>
      <c r="G3065" s="2" t="s">
        <v>10005</v>
      </c>
      <c r="H3065" s="2" t="s">
        <v>10005</v>
      </c>
      <c r="I3065" s="2" t="s">
        <v>9875</v>
      </c>
      <c r="J3065" s="2" t="s">
        <v>95</v>
      </c>
      <c r="K3065" s="2" t="s">
        <v>10176</v>
      </c>
      <c r="L3065" s="3">
        <v>22.21</v>
      </c>
      <c r="M3065" s="3">
        <v>23.32</v>
      </c>
      <c r="N3065" s="3">
        <v>47.99</v>
      </c>
      <c r="O3065" s="2" t="s">
        <v>97</v>
      </c>
      <c r="P3065" s="2" t="s">
        <v>139</v>
      </c>
      <c r="Q3065" s="2" t="s">
        <v>99</v>
      </c>
      <c r="R3065" s="2" t="s">
        <v>100</v>
      </c>
      <c r="S3065" s="2" t="s">
        <v>10177</v>
      </c>
      <c r="T3065" s="2" t="s">
        <v>9205</v>
      </c>
      <c r="U3065" s="2" t="s">
        <v>100</v>
      </c>
      <c r="V3065" s="2" t="s">
        <v>3451</v>
      </c>
      <c r="W3065" s="2" t="s">
        <v>609</v>
      </c>
      <c r="X3065" s="2" t="s">
        <v>100</v>
      </c>
      <c r="Y3065" s="2" t="s">
        <v>503</v>
      </c>
      <c r="Z3065" s="4"/>
      <c r="AA3065" s="4">
        <f>=ROUNDDOWN({0},0)</f>
      </c>
      <c r="AB3065" s="5">
        <v>41</v>
      </c>
      <c r="AC3065" s="2" t="s">
        <v>1142</v>
      </c>
      <c r="AD3065" s="4">
        <v>401</v>
      </c>
      <c r="AE3065" s="4">
        <v>1180</v>
      </c>
      <c r="AF3065" s="6">
        <v>65</v>
      </c>
      <c r="AG3065" s="6"/>
      <c r="AH3065" s="7">
        <v>0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 t="s">
        <v>100</v>
      </c>
      <c r="AW3065" s="8" t="s">
        <v>100</v>
      </c>
      <c r="AX3065" s="4" t="s">
        <v>100</v>
      </c>
      <c r="AY3065" s="8" t="s">
        <v>100</v>
      </c>
      <c r="AZ3065" s="7" t="s">
        <v>100</v>
      </c>
      <c r="BA3065" s="7" t="s">
        <v>100</v>
      </c>
      <c r="BB3065" s="7"/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 t="s">
        <v>100</v>
      </c>
      <c r="BJ3065" s="4"/>
      <c r="BK3065" s="8"/>
      <c r="BL3065" s="2" t="s">
        <v>100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1792</v>
      </c>
      <c r="BX3065" s="2" t="s">
        <v>1030</v>
      </c>
      <c r="BY3065" s="2" t="s">
        <v>112</v>
      </c>
      <c r="BZ3065" s="2" t="s">
        <v>100</v>
      </c>
    </row>
    <row r="3066">
      <c r="A3066" s="2" t="s">
        <v>10181</v>
      </c>
      <c r="B3066" s="2" t="s">
        <v>9043</v>
      </c>
      <c r="C3066" s="2" t="s">
        <v>4466</v>
      </c>
      <c r="D3066" s="2" t="s">
        <v>9044</v>
      </c>
      <c r="E3066" s="2" t="s">
        <v>9045</v>
      </c>
      <c r="F3066" s="2" t="s">
        <v>10005</v>
      </c>
      <c r="G3066" s="2" t="s">
        <v>10005</v>
      </c>
      <c r="H3066" s="2" t="s">
        <v>10005</v>
      </c>
      <c r="I3066" s="2" t="s">
        <v>9875</v>
      </c>
      <c r="J3066" s="2" t="s">
        <v>114</v>
      </c>
      <c r="K3066" s="2" t="s">
        <v>10176</v>
      </c>
      <c r="L3066" s="3">
        <v>27.39</v>
      </c>
      <c r="M3066" s="3">
        <v>28.76</v>
      </c>
      <c r="N3066" s="3">
        <v>62.99</v>
      </c>
      <c r="O3066" s="2" t="s">
        <v>97</v>
      </c>
      <c r="P3066" s="2" t="s">
        <v>98</v>
      </c>
      <c r="Q3066" s="2" t="s">
        <v>99</v>
      </c>
      <c r="R3066" s="2" t="s">
        <v>100</v>
      </c>
      <c r="S3066" s="2" t="s">
        <v>10177</v>
      </c>
      <c r="T3066" s="2" t="s">
        <v>9205</v>
      </c>
      <c r="U3066" s="2" t="s">
        <v>100</v>
      </c>
      <c r="V3066" s="2" t="s">
        <v>3451</v>
      </c>
      <c r="W3066" s="2" t="s">
        <v>609</v>
      </c>
      <c r="X3066" s="2" t="s">
        <v>100</v>
      </c>
      <c r="Y3066" s="2" t="s">
        <v>503</v>
      </c>
      <c r="Z3066" s="4">
        <v>1</v>
      </c>
      <c r="AA3066" s="4">
        <f>=ROUNDDOWN(0.0666666666666667,0)</f>
      </c>
      <c r="AB3066" s="5">
        <v>15</v>
      </c>
      <c r="AC3066" s="2" t="s">
        <v>1142</v>
      </c>
      <c r="AD3066" s="4">
        <v>156</v>
      </c>
      <c r="AE3066" s="4">
        <v>443</v>
      </c>
      <c r="AF3066" s="6">
        <v>65</v>
      </c>
      <c r="AG3066" s="6"/>
      <c r="AH3066" s="7">
        <v>0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 t="s">
        <v>100</v>
      </c>
      <c r="AW3066" s="8" t="s">
        <v>100</v>
      </c>
      <c r="AX3066" s="4" t="s">
        <v>100</v>
      </c>
      <c r="AY3066" s="8" t="s">
        <v>100</v>
      </c>
      <c r="AZ3066" s="7" t="s">
        <v>100</v>
      </c>
      <c r="BA3066" s="7" t="s">
        <v>100</v>
      </c>
      <c r="BB3066" s="7"/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 t="s">
        <v>100</v>
      </c>
      <c r="BJ3066" s="4"/>
      <c r="BK3066" s="8"/>
      <c r="BL3066" s="2" t="s">
        <v>100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1792</v>
      </c>
      <c r="BX3066" s="2" t="s">
        <v>10109</v>
      </c>
      <c r="BY3066" s="2" t="s">
        <v>112</v>
      </c>
      <c r="BZ3066" s="2" t="s">
        <v>100</v>
      </c>
    </row>
    <row r="3067">
      <c r="A3067" s="2" t="s">
        <v>10182</v>
      </c>
      <c r="B3067" s="2" t="s">
        <v>9043</v>
      </c>
      <c r="C3067" s="2" t="s">
        <v>4466</v>
      </c>
      <c r="D3067" s="2" t="s">
        <v>9044</v>
      </c>
      <c r="E3067" s="2" t="s">
        <v>9045</v>
      </c>
      <c r="F3067" s="2" t="s">
        <v>10005</v>
      </c>
      <c r="G3067" s="2" t="s">
        <v>10005</v>
      </c>
      <c r="H3067" s="2" t="s">
        <v>10005</v>
      </c>
      <c r="I3067" s="2" t="s">
        <v>9875</v>
      </c>
      <c r="J3067" s="2" t="s">
        <v>490</v>
      </c>
      <c r="K3067" s="2" t="s">
        <v>10183</v>
      </c>
      <c r="L3067" s="3">
        <v>19.57</v>
      </c>
      <c r="M3067" s="3">
        <v>20.55</v>
      </c>
      <c r="N3067" s="3">
        <v>42.99</v>
      </c>
      <c r="O3067" s="2" t="s">
        <v>97</v>
      </c>
      <c r="P3067" s="2" t="s">
        <v>139</v>
      </c>
      <c r="Q3067" s="2" t="s">
        <v>99</v>
      </c>
      <c r="R3067" s="2" t="s">
        <v>100</v>
      </c>
      <c r="S3067" s="2" t="s">
        <v>10184</v>
      </c>
      <c r="T3067" s="2" t="s">
        <v>9205</v>
      </c>
      <c r="U3067" s="2" t="s">
        <v>1228</v>
      </c>
      <c r="V3067" s="2" t="s">
        <v>3451</v>
      </c>
      <c r="W3067" s="2" t="s">
        <v>609</v>
      </c>
      <c r="X3067" s="2" t="s">
        <v>270</v>
      </c>
      <c r="Y3067" s="2" t="s">
        <v>10185</v>
      </c>
      <c r="Z3067" s="4">
        <v>2</v>
      </c>
      <c r="AA3067" s="4">
        <f>=ROUNDDOWN(0.0512820512820513,0)</f>
      </c>
      <c r="AB3067" s="5">
        <v>39</v>
      </c>
      <c r="AC3067" s="2" t="s">
        <v>1468</v>
      </c>
      <c r="AD3067" s="4">
        <v>381</v>
      </c>
      <c r="AE3067" s="4">
        <v>1140</v>
      </c>
      <c r="AF3067" s="6">
        <v>65</v>
      </c>
      <c r="AG3067" s="6"/>
      <c r="AH3067" s="7">
        <v>0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 t="s">
        <v>100</v>
      </c>
      <c r="AW3067" s="8" t="s">
        <v>100</v>
      </c>
      <c r="AX3067" s="4" t="s">
        <v>100</v>
      </c>
      <c r="AY3067" s="8" t="s">
        <v>100</v>
      </c>
      <c r="AZ3067" s="7" t="s">
        <v>100</v>
      </c>
      <c r="BA3067" s="7" t="s">
        <v>100</v>
      </c>
      <c r="BB3067" s="7"/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 t="s">
        <v>100</v>
      </c>
      <c r="BJ3067" s="4"/>
      <c r="BK3067" s="8"/>
      <c r="BL3067" s="2" t="s">
        <v>100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10186</v>
      </c>
      <c r="BX3067" s="2" t="s">
        <v>10187</v>
      </c>
      <c r="BY3067" s="2" t="s">
        <v>112</v>
      </c>
      <c r="BZ3067" s="2" t="s">
        <v>149</v>
      </c>
    </row>
    <row r="3068">
      <c r="A3068" s="2" t="s">
        <v>10188</v>
      </c>
      <c r="B3068" s="2" t="s">
        <v>9043</v>
      </c>
      <c r="C3068" s="2" t="s">
        <v>4466</v>
      </c>
      <c r="D3068" s="2" t="s">
        <v>9044</v>
      </c>
      <c r="E3068" s="2" t="s">
        <v>9045</v>
      </c>
      <c r="F3068" s="2" t="s">
        <v>10005</v>
      </c>
      <c r="G3068" s="2" t="s">
        <v>10005</v>
      </c>
      <c r="H3068" s="2" t="s">
        <v>10005</v>
      </c>
      <c r="I3068" s="2" t="s">
        <v>9875</v>
      </c>
      <c r="J3068" s="2" t="s">
        <v>95</v>
      </c>
      <c r="K3068" s="2" t="s">
        <v>10183</v>
      </c>
      <c r="L3068" s="3">
        <v>22.21</v>
      </c>
      <c r="M3068" s="3">
        <v>23.32</v>
      </c>
      <c r="N3068" s="3">
        <v>47.99</v>
      </c>
      <c r="O3068" s="2" t="s">
        <v>97</v>
      </c>
      <c r="P3068" s="2" t="s">
        <v>156</v>
      </c>
      <c r="Q3068" s="2" t="s">
        <v>99</v>
      </c>
      <c r="R3068" s="2" t="s">
        <v>100</v>
      </c>
      <c r="S3068" s="2" t="s">
        <v>10184</v>
      </c>
      <c r="T3068" s="2" t="s">
        <v>9205</v>
      </c>
      <c r="U3068" s="2" t="s">
        <v>1228</v>
      </c>
      <c r="V3068" s="2" t="s">
        <v>3451</v>
      </c>
      <c r="W3068" s="2" t="s">
        <v>609</v>
      </c>
      <c r="X3068" s="2" t="s">
        <v>270</v>
      </c>
      <c r="Y3068" s="2" t="s">
        <v>10185</v>
      </c>
      <c r="Z3068" s="4">
        <v>3</v>
      </c>
      <c r="AA3068" s="4">
        <f>=ROUNDDOWN(0.103448275862069,0)</f>
      </c>
      <c r="AB3068" s="5">
        <v>29</v>
      </c>
      <c r="AC3068" s="2" t="s">
        <v>1468</v>
      </c>
      <c r="AD3068" s="4">
        <v>292</v>
      </c>
      <c r="AE3068" s="4">
        <v>830</v>
      </c>
      <c r="AF3068" s="6">
        <v>65</v>
      </c>
      <c r="AG3068" s="6"/>
      <c r="AH3068" s="7">
        <v>0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 t="s">
        <v>100</v>
      </c>
      <c r="AW3068" s="8" t="s">
        <v>100</v>
      </c>
      <c r="AX3068" s="4" t="s">
        <v>100</v>
      </c>
      <c r="AY3068" s="8" t="s">
        <v>100</v>
      </c>
      <c r="AZ3068" s="7" t="s">
        <v>100</v>
      </c>
      <c r="BA3068" s="7" t="s">
        <v>100</v>
      </c>
      <c r="BB3068" s="7"/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 t="s">
        <v>100</v>
      </c>
      <c r="BJ3068" s="4"/>
      <c r="BK3068" s="8"/>
      <c r="BL3068" s="2" t="s">
        <v>100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863</v>
      </c>
      <c r="BX3068" s="2" t="s">
        <v>10189</v>
      </c>
      <c r="BY3068" s="2" t="s">
        <v>112</v>
      </c>
      <c r="BZ3068" s="2" t="s">
        <v>149</v>
      </c>
    </row>
    <row r="3069">
      <c r="A3069" s="2" t="s">
        <v>10190</v>
      </c>
      <c r="B3069" s="2" t="s">
        <v>9043</v>
      </c>
      <c r="C3069" s="2" t="s">
        <v>4466</v>
      </c>
      <c r="D3069" s="2" t="s">
        <v>9044</v>
      </c>
      <c r="E3069" s="2" t="s">
        <v>9045</v>
      </c>
      <c r="F3069" s="2" t="s">
        <v>10005</v>
      </c>
      <c r="G3069" s="2" t="s">
        <v>10005</v>
      </c>
      <c r="H3069" s="2" t="s">
        <v>10005</v>
      </c>
      <c r="I3069" s="2" t="s">
        <v>9875</v>
      </c>
      <c r="J3069" s="2" t="s">
        <v>114</v>
      </c>
      <c r="K3069" s="2" t="s">
        <v>10183</v>
      </c>
      <c r="L3069" s="3">
        <v>27.39</v>
      </c>
      <c r="M3069" s="3">
        <v>28.76</v>
      </c>
      <c r="N3069" s="3">
        <v>62.99</v>
      </c>
      <c r="O3069" s="2" t="s">
        <v>97</v>
      </c>
      <c r="P3069" s="2" t="s">
        <v>98</v>
      </c>
      <c r="Q3069" s="2" t="s">
        <v>99</v>
      </c>
      <c r="R3069" s="2" t="s">
        <v>100</v>
      </c>
      <c r="S3069" s="2" t="s">
        <v>10184</v>
      </c>
      <c r="T3069" s="2" t="s">
        <v>9205</v>
      </c>
      <c r="U3069" s="2" t="s">
        <v>1228</v>
      </c>
      <c r="V3069" s="2" t="s">
        <v>3451</v>
      </c>
      <c r="W3069" s="2" t="s">
        <v>609</v>
      </c>
      <c r="X3069" s="2" t="s">
        <v>270</v>
      </c>
      <c r="Y3069" s="2" t="s">
        <v>10185</v>
      </c>
      <c r="Z3069" s="4">
        <v>128</v>
      </c>
      <c r="AA3069" s="4">
        <f>=ROUNDDOWN(9.84615384615385,0)</f>
      </c>
      <c r="AB3069" s="5">
        <v>13</v>
      </c>
      <c r="AC3069" s="2" t="s">
        <v>1468</v>
      </c>
      <c r="AD3069" s="4">
        <v>125</v>
      </c>
      <c r="AE3069" s="4">
        <v>369</v>
      </c>
      <c r="AF3069" s="6">
        <v>65</v>
      </c>
      <c r="AG3069" s="6"/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 t="s">
        <v>100</v>
      </c>
      <c r="AW3069" s="8" t="s">
        <v>100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/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 t="s">
        <v>100</v>
      </c>
      <c r="BJ3069" s="4">
        <v>4</v>
      </c>
      <c r="BK3069" s="8">
        <v>118.99</v>
      </c>
      <c r="BL3069" s="2" t="s">
        <v>10191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10033</v>
      </c>
      <c r="BX3069" s="2" t="s">
        <v>10192</v>
      </c>
      <c r="BY3069" s="2" t="s">
        <v>112</v>
      </c>
      <c r="BZ3069" s="2" t="s">
        <v>100</v>
      </c>
    </row>
    <row r="3070">
      <c r="A3070" s="2" t="s">
        <v>10193</v>
      </c>
      <c r="B3070" s="2" t="s">
        <v>9043</v>
      </c>
      <c r="C3070" s="2" t="s">
        <v>4466</v>
      </c>
      <c r="D3070" s="2" t="s">
        <v>9044</v>
      </c>
      <c r="E3070" s="2" t="s">
        <v>9045</v>
      </c>
      <c r="F3070" s="2" t="s">
        <v>10005</v>
      </c>
      <c r="G3070" s="2" t="s">
        <v>10005</v>
      </c>
      <c r="H3070" s="2" t="s">
        <v>10005</v>
      </c>
      <c r="I3070" s="2" t="s">
        <v>9875</v>
      </c>
      <c r="J3070" s="2" t="s">
        <v>1443</v>
      </c>
      <c r="K3070" s="2" t="s">
        <v>10194</v>
      </c>
      <c r="L3070" s="3">
        <v>14.89</v>
      </c>
      <c r="M3070" s="3">
        <v>15.63</v>
      </c>
      <c r="N3070" s="3">
        <v>31.99</v>
      </c>
      <c r="O3070" s="2" t="s">
        <v>97</v>
      </c>
      <c r="P3070" s="2" t="s">
        <v>156</v>
      </c>
      <c r="Q3070" s="2" t="s">
        <v>99</v>
      </c>
      <c r="R3070" s="2" t="s">
        <v>100</v>
      </c>
      <c r="S3070" s="2" t="s">
        <v>10195</v>
      </c>
      <c r="T3070" s="2" t="s">
        <v>9205</v>
      </c>
      <c r="U3070" s="2" t="s">
        <v>100</v>
      </c>
      <c r="V3070" s="2" t="s">
        <v>3451</v>
      </c>
      <c r="W3070" s="2" t="s">
        <v>609</v>
      </c>
      <c r="X3070" s="2" t="s">
        <v>100</v>
      </c>
      <c r="Y3070" s="2" t="s">
        <v>503</v>
      </c>
      <c r="Z3070" s="4"/>
      <c r="AA3070" s="4">
        <f>=ROUNDDOWN({0},0)</f>
      </c>
      <c r="AB3070" s="5">
        <v>36</v>
      </c>
      <c r="AC3070" s="2" t="s">
        <v>1142</v>
      </c>
      <c r="AD3070" s="4">
        <v>353</v>
      </c>
      <c r="AE3070" s="4">
        <v>1043</v>
      </c>
      <c r="AF3070" s="6">
        <v>65</v>
      </c>
      <c r="AG3070" s="6"/>
      <c r="AH3070" s="7">
        <v>0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/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 t="s">
        <v>100</v>
      </c>
      <c r="BJ3070" s="4"/>
      <c r="BK3070" s="8"/>
      <c r="BL3070" s="2" t="s">
        <v>100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1792</v>
      </c>
      <c r="BX3070" s="2" t="s">
        <v>4353</v>
      </c>
      <c r="BY3070" s="2" t="s">
        <v>112</v>
      </c>
      <c r="BZ3070" s="2" t="s">
        <v>149</v>
      </c>
    </row>
    <row r="3071">
      <c r="A3071" s="2" t="s">
        <v>10196</v>
      </c>
      <c r="B3071" s="2" t="s">
        <v>9043</v>
      </c>
      <c r="C3071" s="2" t="s">
        <v>4466</v>
      </c>
      <c r="D3071" s="2" t="s">
        <v>9044</v>
      </c>
      <c r="E3071" s="2" t="s">
        <v>9045</v>
      </c>
      <c r="F3071" s="2" t="s">
        <v>10005</v>
      </c>
      <c r="G3071" s="2" t="s">
        <v>10005</v>
      </c>
      <c r="H3071" s="2" t="s">
        <v>10005</v>
      </c>
      <c r="I3071" s="2" t="s">
        <v>9875</v>
      </c>
      <c r="J3071" s="2" t="s">
        <v>1806</v>
      </c>
      <c r="K3071" s="2" t="s">
        <v>10194</v>
      </c>
      <c r="L3071" s="3">
        <v>16.16</v>
      </c>
      <c r="M3071" s="3">
        <v>16.97</v>
      </c>
      <c r="N3071" s="3">
        <v>34.99</v>
      </c>
      <c r="O3071" s="2" t="s">
        <v>97</v>
      </c>
      <c r="P3071" s="2" t="s">
        <v>98</v>
      </c>
      <c r="Q3071" s="2" t="s">
        <v>99</v>
      </c>
      <c r="R3071" s="2" t="s">
        <v>100</v>
      </c>
      <c r="S3071" s="2" t="s">
        <v>10195</v>
      </c>
      <c r="T3071" s="2" t="s">
        <v>9205</v>
      </c>
      <c r="U3071" s="2" t="s">
        <v>100</v>
      </c>
      <c r="V3071" s="2" t="s">
        <v>3451</v>
      </c>
      <c r="W3071" s="2" t="s">
        <v>609</v>
      </c>
      <c r="X3071" s="2" t="s">
        <v>100</v>
      </c>
      <c r="Y3071" s="2" t="s">
        <v>503</v>
      </c>
      <c r="Z3071" s="4"/>
      <c r="AA3071" s="4">
        <f>=ROUNDDOWN({0},0)</f>
      </c>
      <c r="AB3071" s="5">
        <v>12</v>
      </c>
      <c r="AC3071" s="2" t="s">
        <v>1142</v>
      </c>
      <c r="AD3071" s="4">
        <v>122</v>
      </c>
      <c r="AE3071" s="4">
        <v>331</v>
      </c>
      <c r="AF3071" s="6">
        <v>65</v>
      </c>
      <c r="AG3071" s="6"/>
      <c r="AH3071" s="7">
        <v>0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 t="s">
        <v>100</v>
      </c>
      <c r="AW3071" s="8" t="s">
        <v>100</v>
      </c>
      <c r="AX3071" s="4" t="s">
        <v>100</v>
      </c>
      <c r="AY3071" s="8" t="s">
        <v>100</v>
      </c>
      <c r="AZ3071" s="7" t="s">
        <v>100</v>
      </c>
      <c r="BA3071" s="7" t="s">
        <v>100</v>
      </c>
      <c r="BB3071" s="7"/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 t="s">
        <v>100</v>
      </c>
      <c r="BJ3071" s="4"/>
      <c r="BK3071" s="8"/>
      <c r="BL3071" s="2" t="s">
        <v>100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109</v>
      </c>
      <c r="BV3071" s="2" t="s">
        <v>97</v>
      </c>
      <c r="BW3071" s="2" t="s">
        <v>1792</v>
      </c>
      <c r="BX3071" s="2" t="s">
        <v>1268</v>
      </c>
      <c r="BY3071" s="2" t="s">
        <v>112</v>
      </c>
      <c r="BZ3071" s="2" t="s">
        <v>149</v>
      </c>
    </row>
    <row r="3072">
      <c r="A3072" s="2" t="s">
        <v>10197</v>
      </c>
      <c r="B3072" s="2" t="s">
        <v>9043</v>
      </c>
      <c r="C3072" s="2" t="s">
        <v>4466</v>
      </c>
      <c r="D3072" s="2" t="s">
        <v>9044</v>
      </c>
      <c r="E3072" s="2" t="s">
        <v>9045</v>
      </c>
      <c r="F3072" s="2" t="s">
        <v>10005</v>
      </c>
      <c r="G3072" s="2" t="s">
        <v>10005</v>
      </c>
      <c r="H3072" s="2" t="s">
        <v>10005</v>
      </c>
      <c r="I3072" s="2" t="s">
        <v>9875</v>
      </c>
      <c r="J3072" s="2" t="s">
        <v>490</v>
      </c>
      <c r="K3072" s="2" t="s">
        <v>10194</v>
      </c>
      <c r="L3072" s="3">
        <v>19.57</v>
      </c>
      <c r="M3072" s="3">
        <v>20.55</v>
      </c>
      <c r="N3072" s="3">
        <v>42.99</v>
      </c>
      <c r="O3072" s="2" t="s">
        <v>97</v>
      </c>
      <c r="P3072" s="2" t="s">
        <v>98</v>
      </c>
      <c r="Q3072" s="2" t="s">
        <v>99</v>
      </c>
      <c r="R3072" s="2" t="s">
        <v>100</v>
      </c>
      <c r="S3072" s="2" t="s">
        <v>10195</v>
      </c>
      <c r="T3072" s="2" t="s">
        <v>9205</v>
      </c>
      <c r="U3072" s="2" t="s">
        <v>100</v>
      </c>
      <c r="V3072" s="2" t="s">
        <v>3451</v>
      </c>
      <c r="W3072" s="2" t="s">
        <v>609</v>
      </c>
      <c r="X3072" s="2" t="s">
        <v>100</v>
      </c>
      <c r="Y3072" s="2" t="s">
        <v>503</v>
      </c>
      <c r="Z3072" s="4"/>
      <c r="AA3072" s="4">
        <f>=ROUNDDOWN({0},0)</f>
      </c>
      <c r="AB3072" s="5">
        <v>20</v>
      </c>
      <c r="AC3072" s="2" t="s">
        <v>1142</v>
      </c>
      <c r="AD3072" s="4">
        <v>205</v>
      </c>
      <c r="AE3072" s="4">
        <v>576</v>
      </c>
      <c r="AF3072" s="6">
        <v>65</v>
      </c>
      <c r="AG3072" s="6"/>
      <c r="AH3072" s="7">
        <v>0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/>
      <c r="AQ3072" s="8"/>
      <c r="AR3072" s="4"/>
      <c r="AS3072" s="8"/>
      <c r="AT3072" s="7"/>
      <c r="AU3072" s="7"/>
      <c r="AV3072" s="4" t="s">
        <v>100</v>
      </c>
      <c r="AW3072" s="8" t="s">
        <v>100</v>
      </c>
      <c r="AX3072" s="4" t="s">
        <v>100</v>
      </c>
      <c r="AY3072" s="8" t="s">
        <v>100</v>
      </c>
      <c r="AZ3072" s="7" t="s">
        <v>100</v>
      </c>
      <c r="BA3072" s="7" t="s">
        <v>100</v>
      </c>
      <c r="BB3072" s="7"/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 t="s">
        <v>100</v>
      </c>
      <c r="BJ3072" s="4"/>
      <c r="BK3072" s="8"/>
      <c r="BL3072" s="2" t="s">
        <v>100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109</v>
      </c>
      <c r="BV3072" s="2" t="s">
        <v>97</v>
      </c>
      <c r="BW3072" s="2" t="s">
        <v>1792</v>
      </c>
      <c r="BX3072" s="2" t="s">
        <v>4353</v>
      </c>
      <c r="BY3072" s="2" t="s">
        <v>112</v>
      </c>
      <c r="BZ3072" s="2" t="s">
        <v>149</v>
      </c>
    </row>
    <row r="3073">
      <c r="A3073" s="2" t="s">
        <v>10198</v>
      </c>
      <c r="B3073" s="2" t="s">
        <v>9043</v>
      </c>
      <c r="C3073" s="2" t="s">
        <v>4466</v>
      </c>
      <c r="D3073" s="2" t="s">
        <v>9044</v>
      </c>
      <c r="E3073" s="2" t="s">
        <v>9045</v>
      </c>
      <c r="F3073" s="2" t="s">
        <v>10005</v>
      </c>
      <c r="G3073" s="2" t="s">
        <v>10005</v>
      </c>
      <c r="H3073" s="2" t="s">
        <v>10005</v>
      </c>
      <c r="I3073" s="2" t="s">
        <v>9875</v>
      </c>
      <c r="J3073" s="2" t="s">
        <v>114</v>
      </c>
      <c r="K3073" s="2" t="s">
        <v>10194</v>
      </c>
      <c r="L3073" s="3">
        <v>27.39</v>
      </c>
      <c r="M3073" s="3">
        <v>28.76</v>
      </c>
      <c r="N3073" s="3">
        <v>62.99</v>
      </c>
      <c r="O3073" s="2" t="s">
        <v>97</v>
      </c>
      <c r="P3073" s="2" t="s">
        <v>98</v>
      </c>
      <c r="Q3073" s="2" t="s">
        <v>99</v>
      </c>
      <c r="R3073" s="2" t="s">
        <v>100</v>
      </c>
      <c r="S3073" s="2" t="s">
        <v>10195</v>
      </c>
      <c r="T3073" s="2" t="s">
        <v>9205</v>
      </c>
      <c r="U3073" s="2" t="s">
        <v>100</v>
      </c>
      <c r="V3073" s="2" t="s">
        <v>3451</v>
      </c>
      <c r="W3073" s="2" t="s">
        <v>609</v>
      </c>
      <c r="X3073" s="2" t="s">
        <v>100</v>
      </c>
      <c r="Y3073" s="2" t="s">
        <v>503</v>
      </c>
      <c r="Z3073" s="4">
        <v>1</v>
      </c>
      <c r="AA3073" s="4">
        <f>=ROUNDDOWN(0.0625,0)</f>
      </c>
      <c r="AB3073" s="5">
        <v>16</v>
      </c>
      <c r="AC3073" s="2" t="s">
        <v>1142</v>
      </c>
      <c r="AD3073" s="4">
        <v>163</v>
      </c>
      <c r="AE3073" s="4">
        <v>435</v>
      </c>
      <c r="AF3073" s="6">
        <v>65</v>
      </c>
      <c r="AG3073" s="6"/>
      <c r="AH3073" s="7">
        <v>0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 t="s">
        <v>100</v>
      </c>
      <c r="AW3073" s="8" t="s">
        <v>100</v>
      </c>
      <c r="AX3073" s="4" t="s">
        <v>100</v>
      </c>
      <c r="AY3073" s="8" t="s">
        <v>100</v>
      </c>
      <c r="AZ3073" s="7" t="s">
        <v>100</v>
      </c>
      <c r="BA3073" s="7" t="s">
        <v>100</v>
      </c>
      <c r="BB3073" s="7"/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 t="s">
        <v>100</v>
      </c>
      <c r="BJ3073" s="4"/>
      <c r="BK3073" s="8"/>
      <c r="BL3073" s="2" t="s">
        <v>100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109</v>
      </c>
      <c r="BV3073" s="2" t="s">
        <v>97</v>
      </c>
      <c r="BW3073" s="2" t="s">
        <v>1792</v>
      </c>
      <c r="BX3073" s="2" t="s">
        <v>10058</v>
      </c>
      <c r="BY3073" s="2" t="s">
        <v>112</v>
      </c>
      <c r="BZ3073" s="2" t="s">
        <v>149</v>
      </c>
    </row>
    <row r="3074">
      <c r="A3074" s="2" t="s">
        <v>10199</v>
      </c>
      <c r="B3074" s="2" t="s">
        <v>9043</v>
      </c>
      <c r="C3074" s="2" t="s">
        <v>4466</v>
      </c>
      <c r="D3074" s="2" t="s">
        <v>9044</v>
      </c>
      <c r="E3074" s="2" t="s">
        <v>9045</v>
      </c>
      <c r="F3074" s="2" t="s">
        <v>10005</v>
      </c>
      <c r="G3074" s="2" t="s">
        <v>10005</v>
      </c>
      <c r="H3074" s="2" t="s">
        <v>10005</v>
      </c>
      <c r="I3074" s="2" t="s">
        <v>9875</v>
      </c>
      <c r="J3074" s="2" t="s">
        <v>1443</v>
      </c>
      <c r="K3074" s="2" t="s">
        <v>10200</v>
      </c>
      <c r="L3074" s="3">
        <v>14.89</v>
      </c>
      <c r="M3074" s="3">
        <v>15.63</v>
      </c>
      <c r="N3074" s="3">
        <v>31.99</v>
      </c>
      <c r="O3074" s="2" t="s">
        <v>97</v>
      </c>
      <c r="P3074" s="2" t="s">
        <v>139</v>
      </c>
      <c r="Q3074" s="2" t="s">
        <v>99</v>
      </c>
      <c r="R3074" s="2" t="s">
        <v>100</v>
      </c>
      <c r="S3074" s="2" t="s">
        <v>10201</v>
      </c>
      <c r="T3074" s="2" t="s">
        <v>9205</v>
      </c>
      <c r="U3074" s="2" t="s">
        <v>100</v>
      </c>
      <c r="V3074" s="2" t="s">
        <v>3451</v>
      </c>
      <c r="W3074" s="2" t="s">
        <v>609</v>
      </c>
      <c r="X3074" s="2" t="s">
        <v>100</v>
      </c>
      <c r="Y3074" s="2" t="s">
        <v>1886</v>
      </c>
      <c r="Z3074" s="4"/>
      <c r="AA3074" s="4">
        <f>=ROUNDDOWN({0},0)</f>
      </c>
      <c r="AB3074" s="5">
        <v>87</v>
      </c>
      <c r="AC3074" s="2" t="s">
        <v>1142</v>
      </c>
      <c r="AD3074" s="4">
        <v>847</v>
      </c>
      <c r="AE3074" s="4">
        <v>2523</v>
      </c>
      <c r="AF3074" s="6">
        <v>65</v>
      </c>
      <c r="AG3074" s="6"/>
      <c r="AH3074" s="7">
        <v>0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/>
      <c r="AQ3074" s="8"/>
      <c r="AR3074" s="4"/>
      <c r="AS3074" s="8"/>
      <c r="AT3074" s="7"/>
      <c r="AU3074" s="7"/>
      <c r="AV3074" s="4" t="s">
        <v>100</v>
      </c>
      <c r="AW3074" s="8" t="s">
        <v>100</v>
      </c>
      <c r="AX3074" s="4" t="s">
        <v>100</v>
      </c>
      <c r="AY3074" s="8" t="s">
        <v>100</v>
      </c>
      <c r="AZ3074" s="7" t="s">
        <v>100</v>
      </c>
      <c r="BA3074" s="7" t="s">
        <v>100</v>
      </c>
      <c r="BB3074" s="7"/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 t="s">
        <v>100</v>
      </c>
      <c r="BJ3074" s="4"/>
      <c r="BK3074" s="8"/>
      <c r="BL3074" s="2" t="s">
        <v>100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109</v>
      </c>
      <c r="BV3074" s="2" t="s">
        <v>97</v>
      </c>
      <c r="BW3074" s="2" t="s">
        <v>1792</v>
      </c>
      <c r="BX3074" s="2" t="s">
        <v>6599</v>
      </c>
      <c r="BY3074" s="2" t="s">
        <v>112</v>
      </c>
      <c r="BZ3074" s="2" t="s">
        <v>100</v>
      </c>
    </row>
    <row r="3075">
      <c r="A3075" s="2" t="s">
        <v>10202</v>
      </c>
      <c r="B3075" s="2" t="s">
        <v>9043</v>
      </c>
      <c r="C3075" s="2" t="s">
        <v>4466</v>
      </c>
      <c r="D3075" s="2" t="s">
        <v>9044</v>
      </c>
      <c r="E3075" s="2" t="s">
        <v>9045</v>
      </c>
      <c r="F3075" s="2" t="s">
        <v>10005</v>
      </c>
      <c r="G3075" s="2" t="s">
        <v>10005</v>
      </c>
      <c r="H3075" s="2" t="s">
        <v>10005</v>
      </c>
      <c r="I3075" s="2" t="s">
        <v>9875</v>
      </c>
      <c r="J3075" s="2" t="s">
        <v>1806</v>
      </c>
      <c r="K3075" s="2" t="s">
        <v>10200</v>
      </c>
      <c r="L3075" s="3">
        <v>16.16</v>
      </c>
      <c r="M3075" s="3">
        <v>16.97</v>
      </c>
      <c r="N3075" s="3">
        <v>34.99</v>
      </c>
      <c r="O3075" s="2" t="s">
        <v>97</v>
      </c>
      <c r="P3075" s="2" t="s">
        <v>123</v>
      </c>
      <c r="Q3075" s="2" t="s">
        <v>99</v>
      </c>
      <c r="R3075" s="2" t="s">
        <v>100</v>
      </c>
      <c r="S3075" s="2" t="s">
        <v>10201</v>
      </c>
      <c r="T3075" s="2" t="s">
        <v>9205</v>
      </c>
      <c r="U3075" s="2" t="s">
        <v>100</v>
      </c>
      <c r="V3075" s="2" t="s">
        <v>3451</v>
      </c>
      <c r="W3075" s="2" t="s">
        <v>609</v>
      </c>
      <c r="X3075" s="2" t="s">
        <v>100</v>
      </c>
      <c r="Y3075" s="2" t="s">
        <v>1886</v>
      </c>
      <c r="Z3075" s="4"/>
      <c r="AA3075" s="4">
        <f>=ROUNDDOWN({0},0)</f>
      </c>
      <c r="AB3075" s="5">
        <v>50</v>
      </c>
      <c r="AC3075" s="2" t="s">
        <v>1142</v>
      </c>
      <c r="AD3075" s="4">
        <v>490</v>
      </c>
      <c r="AE3075" s="4">
        <v>1380</v>
      </c>
      <c r="AF3075" s="6">
        <v>65</v>
      </c>
      <c r="AG3075" s="6"/>
      <c r="AH3075" s="7">
        <v>0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 t="s">
        <v>100</v>
      </c>
      <c r="AW3075" s="8" t="s">
        <v>100</v>
      </c>
      <c r="AX3075" s="4" t="s">
        <v>100</v>
      </c>
      <c r="AY3075" s="8" t="s">
        <v>100</v>
      </c>
      <c r="AZ3075" s="7" t="s">
        <v>100</v>
      </c>
      <c r="BA3075" s="7" t="s">
        <v>100</v>
      </c>
      <c r="BB3075" s="7"/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 t="s">
        <v>100</v>
      </c>
      <c r="BJ3075" s="4"/>
      <c r="BK3075" s="8"/>
      <c r="BL3075" s="2" t="s">
        <v>100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109</v>
      </c>
      <c r="BV3075" s="2" t="s">
        <v>97</v>
      </c>
      <c r="BW3075" s="2" t="s">
        <v>404</v>
      </c>
      <c r="BX3075" s="2" t="s">
        <v>10203</v>
      </c>
      <c r="BY3075" s="2" t="s">
        <v>112</v>
      </c>
      <c r="BZ3075" s="2" t="s">
        <v>100</v>
      </c>
    </row>
    <row r="3076">
      <c r="A3076" s="2" t="s">
        <v>10204</v>
      </c>
      <c r="B3076" s="2" t="s">
        <v>9043</v>
      </c>
      <c r="C3076" s="2" t="s">
        <v>4466</v>
      </c>
      <c r="D3076" s="2" t="s">
        <v>9044</v>
      </c>
      <c r="E3076" s="2" t="s">
        <v>9045</v>
      </c>
      <c r="F3076" s="2" t="s">
        <v>10005</v>
      </c>
      <c r="G3076" s="2" t="s">
        <v>10005</v>
      </c>
      <c r="H3076" s="2" t="s">
        <v>10005</v>
      </c>
      <c r="I3076" s="2" t="s">
        <v>9875</v>
      </c>
      <c r="J3076" s="2" t="s">
        <v>490</v>
      </c>
      <c r="K3076" s="2" t="s">
        <v>10200</v>
      </c>
      <c r="L3076" s="3">
        <v>19.57</v>
      </c>
      <c r="M3076" s="3">
        <v>20.55</v>
      </c>
      <c r="N3076" s="3">
        <v>42.99</v>
      </c>
      <c r="O3076" s="2" t="s">
        <v>97</v>
      </c>
      <c r="P3076" s="2" t="s">
        <v>98</v>
      </c>
      <c r="Q3076" s="2" t="s">
        <v>99</v>
      </c>
      <c r="R3076" s="2" t="s">
        <v>100</v>
      </c>
      <c r="S3076" s="2" t="s">
        <v>10201</v>
      </c>
      <c r="T3076" s="2" t="s">
        <v>9205</v>
      </c>
      <c r="U3076" s="2" t="s">
        <v>100</v>
      </c>
      <c r="V3076" s="2" t="s">
        <v>3451</v>
      </c>
      <c r="W3076" s="2" t="s">
        <v>609</v>
      </c>
      <c r="X3076" s="2" t="s">
        <v>100</v>
      </c>
      <c r="Y3076" s="2" t="s">
        <v>1886</v>
      </c>
      <c r="Z3076" s="4"/>
      <c r="AA3076" s="4">
        <f>=ROUNDDOWN({0},0)</f>
      </c>
      <c r="AB3076" s="5">
        <v>42</v>
      </c>
      <c r="AC3076" s="2" t="s">
        <v>1142</v>
      </c>
      <c r="AD3076" s="4">
        <v>411</v>
      </c>
      <c r="AE3076" s="4">
        <v>1134</v>
      </c>
      <c r="AF3076" s="6">
        <v>65</v>
      </c>
      <c r="AG3076" s="6"/>
      <c r="AH3076" s="7">
        <v>0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 t="s">
        <v>100</v>
      </c>
      <c r="AW3076" s="8" t="s">
        <v>100</v>
      </c>
      <c r="AX3076" s="4" t="s">
        <v>100</v>
      </c>
      <c r="AY3076" s="8" t="s">
        <v>100</v>
      </c>
      <c r="AZ3076" s="7" t="s">
        <v>100</v>
      </c>
      <c r="BA3076" s="7" t="s">
        <v>100</v>
      </c>
      <c r="BB3076" s="7"/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 t="s">
        <v>100</v>
      </c>
      <c r="BJ3076" s="4"/>
      <c r="BK3076" s="8"/>
      <c r="BL3076" s="2" t="s">
        <v>100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109</v>
      </c>
      <c r="BV3076" s="2" t="s">
        <v>97</v>
      </c>
      <c r="BW3076" s="2" t="s">
        <v>1792</v>
      </c>
      <c r="BX3076" s="2" t="s">
        <v>9853</v>
      </c>
      <c r="BY3076" s="2" t="s">
        <v>112</v>
      </c>
      <c r="BZ3076" s="2" t="s">
        <v>100</v>
      </c>
    </row>
    <row r="3077">
      <c r="A3077" s="2" t="s">
        <v>10205</v>
      </c>
      <c r="B3077" s="2" t="s">
        <v>9043</v>
      </c>
      <c r="C3077" s="2" t="s">
        <v>4466</v>
      </c>
      <c r="D3077" s="2" t="s">
        <v>9044</v>
      </c>
      <c r="E3077" s="2" t="s">
        <v>9045</v>
      </c>
      <c r="F3077" s="2" t="s">
        <v>10005</v>
      </c>
      <c r="G3077" s="2" t="s">
        <v>10005</v>
      </c>
      <c r="H3077" s="2" t="s">
        <v>10005</v>
      </c>
      <c r="I3077" s="2" t="s">
        <v>9875</v>
      </c>
      <c r="J3077" s="2" t="s">
        <v>95</v>
      </c>
      <c r="K3077" s="2" t="s">
        <v>10200</v>
      </c>
      <c r="L3077" s="3">
        <v>22.21</v>
      </c>
      <c r="M3077" s="3">
        <v>23.32</v>
      </c>
      <c r="N3077" s="3">
        <v>47.99</v>
      </c>
      <c r="O3077" s="2" t="s">
        <v>97</v>
      </c>
      <c r="P3077" s="2" t="s">
        <v>139</v>
      </c>
      <c r="Q3077" s="2" t="s">
        <v>99</v>
      </c>
      <c r="R3077" s="2" t="s">
        <v>100</v>
      </c>
      <c r="S3077" s="2" t="s">
        <v>10201</v>
      </c>
      <c r="T3077" s="2" t="s">
        <v>9205</v>
      </c>
      <c r="U3077" s="2" t="s">
        <v>100</v>
      </c>
      <c r="V3077" s="2" t="s">
        <v>3451</v>
      </c>
      <c r="W3077" s="2" t="s">
        <v>609</v>
      </c>
      <c r="X3077" s="2" t="s">
        <v>100</v>
      </c>
      <c r="Y3077" s="2" t="s">
        <v>1886</v>
      </c>
      <c r="Z3077" s="4">
        <v>2</v>
      </c>
      <c r="AA3077" s="4">
        <f>=ROUNDDOWN(0.0240963855421687,0)</f>
      </c>
      <c r="AB3077" s="5">
        <v>83</v>
      </c>
      <c r="AC3077" s="2" t="s">
        <v>1142</v>
      </c>
      <c r="AD3077" s="4">
        <v>805</v>
      </c>
      <c r="AE3077" s="4">
        <v>2334</v>
      </c>
      <c r="AF3077" s="6">
        <v>65</v>
      </c>
      <c r="AG3077" s="6"/>
      <c r="AH3077" s="7">
        <v>0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 t="s">
        <v>100</v>
      </c>
      <c r="AW3077" s="8" t="s">
        <v>100</v>
      </c>
      <c r="AX3077" s="4" t="s">
        <v>100</v>
      </c>
      <c r="AY3077" s="8" t="s">
        <v>100</v>
      </c>
      <c r="AZ3077" s="7" t="s">
        <v>100</v>
      </c>
      <c r="BA3077" s="7" t="s">
        <v>100</v>
      </c>
      <c r="BB3077" s="7"/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 t="s">
        <v>100</v>
      </c>
      <c r="BJ3077" s="4">
        <v>1</v>
      </c>
      <c r="BK3077" s="8">
        <v>23.32</v>
      </c>
      <c r="BL3077" s="2" t="s">
        <v>3477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109</v>
      </c>
      <c r="BV3077" s="2" t="s">
        <v>97</v>
      </c>
      <c r="BW3077" s="2" t="s">
        <v>1792</v>
      </c>
      <c r="BX3077" s="2" t="s">
        <v>10084</v>
      </c>
      <c r="BY3077" s="2" t="s">
        <v>112</v>
      </c>
      <c r="BZ3077" s="2" t="s">
        <v>100</v>
      </c>
    </row>
    <row r="3078">
      <c r="A3078" s="2" t="s">
        <v>10206</v>
      </c>
      <c r="B3078" s="2" t="s">
        <v>9043</v>
      </c>
      <c r="C3078" s="2" t="s">
        <v>4466</v>
      </c>
      <c r="D3078" s="2" t="s">
        <v>9044</v>
      </c>
      <c r="E3078" s="2" t="s">
        <v>9045</v>
      </c>
      <c r="F3078" s="2" t="s">
        <v>10005</v>
      </c>
      <c r="G3078" s="2" t="s">
        <v>10005</v>
      </c>
      <c r="H3078" s="2" t="s">
        <v>10005</v>
      </c>
      <c r="I3078" s="2" t="s">
        <v>9875</v>
      </c>
      <c r="J3078" s="2" t="s">
        <v>114</v>
      </c>
      <c r="K3078" s="2" t="s">
        <v>10200</v>
      </c>
      <c r="L3078" s="3">
        <v>27.39</v>
      </c>
      <c r="M3078" s="3">
        <v>28.76</v>
      </c>
      <c r="N3078" s="3">
        <v>62.99</v>
      </c>
      <c r="O3078" s="2" t="s">
        <v>97</v>
      </c>
      <c r="P3078" s="2" t="s">
        <v>156</v>
      </c>
      <c r="Q3078" s="2" t="s">
        <v>99</v>
      </c>
      <c r="R3078" s="2" t="s">
        <v>100</v>
      </c>
      <c r="S3078" s="2" t="s">
        <v>10201</v>
      </c>
      <c r="T3078" s="2" t="s">
        <v>9205</v>
      </c>
      <c r="U3078" s="2" t="s">
        <v>100</v>
      </c>
      <c r="V3078" s="2" t="s">
        <v>3451</v>
      </c>
      <c r="W3078" s="2" t="s">
        <v>609</v>
      </c>
      <c r="X3078" s="2" t="s">
        <v>100</v>
      </c>
      <c r="Y3078" s="2" t="s">
        <v>2869</v>
      </c>
      <c r="Z3078" s="4">
        <v>3</v>
      </c>
      <c r="AA3078" s="4">
        <f>=ROUNDDOWN(0.0714285714285714,0)</f>
      </c>
      <c r="AB3078" s="5">
        <v>42</v>
      </c>
      <c r="AC3078" s="2" t="s">
        <v>1142</v>
      </c>
      <c r="AD3078" s="4">
        <v>412</v>
      </c>
      <c r="AE3078" s="4">
        <v>1151</v>
      </c>
      <c r="AF3078" s="6">
        <v>65</v>
      </c>
      <c r="AG3078" s="6"/>
      <c r="AH3078" s="7">
        <v>0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/>
      <c r="AQ3078" s="8"/>
      <c r="AR3078" s="4"/>
      <c r="AS3078" s="8"/>
      <c r="AT3078" s="7"/>
      <c r="AU3078" s="7"/>
      <c r="AV3078" s="4" t="s">
        <v>100</v>
      </c>
      <c r="AW3078" s="8" t="s">
        <v>100</v>
      </c>
      <c r="AX3078" s="4" t="s">
        <v>100</v>
      </c>
      <c r="AY3078" s="8" t="s">
        <v>100</v>
      </c>
      <c r="AZ3078" s="7" t="s">
        <v>100</v>
      </c>
      <c r="BA3078" s="7" t="s">
        <v>100</v>
      </c>
      <c r="BB3078" s="7"/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 t="s">
        <v>100</v>
      </c>
      <c r="BJ3078" s="4"/>
      <c r="BK3078" s="8"/>
      <c r="BL3078" s="2" t="s">
        <v>100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109</v>
      </c>
      <c r="BV3078" s="2" t="s">
        <v>97</v>
      </c>
      <c r="BW3078" s="2" t="s">
        <v>1792</v>
      </c>
      <c r="BX3078" s="2" t="s">
        <v>10207</v>
      </c>
      <c r="BY3078" s="2" t="s">
        <v>112</v>
      </c>
      <c r="BZ3078" s="2" t="s">
        <v>100</v>
      </c>
    </row>
    <row r="3079">
      <c r="A3079" s="2" t="s">
        <v>10208</v>
      </c>
      <c r="B3079" s="2" t="s">
        <v>9043</v>
      </c>
      <c r="C3079" s="2" t="s">
        <v>4466</v>
      </c>
      <c r="D3079" s="2" t="s">
        <v>9044</v>
      </c>
      <c r="E3079" s="2" t="s">
        <v>9045</v>
      </c>
      <c r="F3079" s="2" t="s">
        <v>10005</v>
      </c>
      <c r="G3079" s="2" t="s">
        <v>10005</v>
      </c>
      <c r="H3079" s="2" t="s">
        <v>10005</v>
      </c>
      <c r="I3079" s="2" t="s">
        <v>9875</v>
      </c>
      <c r="J3079" s="2" t="s">
        <v>1443</v>
      </c>
      <c r="K3079" s="2" t="s">
        <v>2025</v>
      </c>
      <c r="L3079" s="3">
        <v>14.89</v>
      </c>
      <c r="M3079" s="3">
        <v>15.63</v>
      </c>
      <c r="N3079" s="3">
        <v>31.99</v>
      </c>
      <c r="O3079" s="2" t="s">
        <v>97</v>
      </c>
      <c r="P3079" s="2" t="s">
        <v>98</v>
      </c>
      <c r="Q3079" s="2" t="s">
        <v>99</v>
      </c>
      <c r="R3079" s="2" t="s">
        <v>100</v>
      </c>
      <c r="S3079" s="2" t="s">
        <v>10209</v>
      </c>
      <c r="T3079" s="2" t="s">
        <v>9205</v>
      </c>
      <c r="U3079" s="2" t="s">
        <v>100</v>
      </c>
      <c r="V3079" s="2" t="s">
        <v>269</v>
      </c>
      <c r="W3079" s="2" t="s">
        <v>609</v>
      </c>
      <c r="X3079" s="2" t="s">
        <v>100</v>
      </c>
      <c r="Y3079" s="2" t="s">
        <v>144</v>
      </c>
      <c r="Z3079" s="4"/>
      <c r="AA3079" s="4">
        <f>=ROUNDDOWN({0},0)</f>
      </c>
      <c r="AB3079" s="5">
        <v>37</v>
      </c>
      <c r="AC3079" s="2" t="s">
        <v>1142</v>
      </c>
      <c r="AD3079" s="4">
        <v>364</v>
      </c>
      <c r="AE3079" s="4">
        <v>1000</v>
      </c>
      <c r="AF3079" s="6">
        <v>65</v>
      </c>
      <c r="AG3079" s="6"/>
      <c r="AH3079" s="7">
        <v>0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 t="s">
        <v>100</v>
      </c>
      <c r="AW3079" s="8" t="s">
        <v>100</v>
      </c>
      <c r="AX3079" s="4" t="s">
        <v>100</v>
      </c>
      <c r="AY3079" s="8" t="s">
        <v>100</v>
      </c>
      <c r="AZ3079" s="7" t="s">
        <v>100</v>
      </c>
      <c r="BA3079" s="7" t="s">
        <v>100</v>
      </c>
      <c r="BB3079" s="7"/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 t="s">
        <v>100</v>
      </c>
      <c r="BJ3079" s="4"/>
      <c r="BK3079" s="8"/>
      <c r="BL3079" s="2" t="s">
        <v>100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109</v>
      </c>
      <c r="BV3079" s="2" t="s">
        <v>97</v>
      </c>
      <c r="BW3079" s="2" t="s">
        <v>1792</v>
      </c>
      <c r="BX3079" s="2" t="s">
        <v>6599</v>
      </c>
      <c r="BY3079" s="2" t="s">
        <v>112</v>
      </c>
      <c r="BZ3079" s="2" t="s">
        <v>100</v>
      </c>
    </row>
    <row r="3080">
      <c r="A3080" s="2" t="s">
        <v>10210</v>
      </c>
      <c r="B3080" s="2" t="s">
        <v>9043</v>
      </c>
      <c r="C3080" s="2" t="s">
        <v>4466</v>
      </c>
      <c r="D3080" s="2" t="s">
        <v>9044</v>
      </c>
      <c r="E3080" s="2" t="s">
        <v>9045</v>
      </c>
      <c r="F3080" s="2" t="s">
        <v>10005</v>
      </c>
      <c r="G3080" s="2" t="s">
        <v>10005</v>
      </c>
      <c r="H3080" s="2" t="s">
        <v>10005</v>
      </c>
      <c r="I3080" s="2" t="s">
        <v>9875</v>
      </c>
      <c r="J3080" s="2" t="s">
        <v>1806</v>
      </c>
      <c r="K3080" s="2" t="s">
        <v>2025</v>
      </c>
      <c r="L3080" s="3">
        <v>16.16</v>
      </c>
      <c r="M3080" s="3">
        <v>16.97</v>
      </c>
      <c r="N3080" s="3">
        <v>34.99</v>
      </c>
      <c r="O3080" s="2" t="s">
        <v>97</v>
      </c>
      <c r="P3080" s="2" t="s">
        <v>123</v>
      </c>
      <c r="Q3080" s="2" t="s">
        <v>99</v>
      </c>
      <c r="R3080" s="2" t="s">
        <v>100</v>
      </c>
      <c r="S3080" s="2" t="s">
        <v>10209</v>
      </c>
      <c r="T3080" s="2" t="s">
        <v>9205</v>
      </c>
      <c r="U3080" s="2" t="s">
        <v>100</v>
      </c>
      <c r="V3080" s="2" t="s">
        <v>269</v>
      </c>
      <c r="W3080" s="2" t="s">
        <v>609</v>
      </c>
      <c r="X3080" s="2" t="s">
        <v>100</v>
      </c>
      <c r="Y3080" s="2" t="s">
        <v>1886</v>
      </c>
      <c r="Z3080" s="4">
        <v>5</v>
      </c>
      <c r="AA3080" s="4">
        <f>=ROUNDDOWN(0.1,0)</f>
      </c>
      <c r="AB3080" s="5">
        <v>50</v>
      </c>
      <c r="AC3080" s="2" t="s">
        <v>1142</v>
      </c>
      <c r="AD3080" s="4">
        <v>486</v>
      </c>
      <c r="AE3080" s="4">
        <v>1375</v>
      </c>
      <c r="AF3080" s="6">
        <v>65</v>
      </c>
      <c r="AG3080" s="6"/>
      <c r="AH3080" s="7">
        <v>0.8387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/>
      <c r="AQ3080" s="8"/>
      <c r="AR3080" s="4"/>
      <c r="AS3080" s="8"/>
      <c r="AT3080" s="7"/>
      <c r="AU3080" s="7"/>
      <c r="AV3080" s="4" t="s">
        <v>100</v>
      </c>
      <c r="AW3080" s="8" t="s">
        <v>100</v>
      </c>
      <c r="AX3080" s="4" t="s">
        <v>100</v>
      </c>
      <c r="AY3080" s="8" t="s">
        <v>100</v>
      </c>
      <c r="AZ3080" s="7" t="s">
        <v>100</v>
      </c>
      <c r="BA3080" s="7" t="s">
        <v>100</v>
      </c>
      <c r="BB3080" s="7"/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 t="s">
        <v>100</v>
      </c>
      <c r="BJ3080" s="4">
        <v>97</v>
      </c>
      <c r="BK3080" s="8">
        <v>1732.05</v>
      </c>
      <c r="BL3080" s="2" t="s">
        <v>10060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109</v>
      </c>
      <c r="BV3080" s="2" t="s">
        <v>97</v>
      </c>
      <c r="BW3080" s="2" t="s">
        <v>404</v>
      </c>
      <c r="BX3080" s="2" t="s">
        <v>10084</v>
      </c>
      <c r="BY3080" s="2" t="s">
        <v>112</v>
      </c>
      <c r="BZ3080" s="2" t="s">
        <v>100</v>
      </c>
    </row>
    <row r="3081">
      <c r="A3081" s="2" t="s">
        <v>10211</v>
      </c>
      <c r="B3081" s="2" t="s">
        <v>9043</v>
      </c>
      <c r="C3081" s="2" t="s">
        <v>4466</v>
      </c>
      <c r="D3081" s="2" t="s">
        <v>9044</v>
      </c>
      <c r="E3081" s="2" t="s">
        <v>9045</v>
      </c>
      <c r="F3081" s="2" t="s">
        <v>10005</v>
      </c>
      <c r="G3081" s="2" t="s">
        <v>10005</v>
      </c>
      <c r="H3081" s="2" t="s">
        <v>10005</v>
      </c>
      <c r="I3081" s="2" t="s">
        <v>9875</v>
      </c>
      <c r="J3081" s="2" t="s">
        <v>114</v>
      </c>
      <c r="K3081" s="2" t="s">
        <v>2025</v>
      </c>
      <c r="L3081" s="3">
        <v>27.39</v>
      </c>
      <c r="M3081" s="3">
        <v>28.76</v>
      </c>
      <c r="N3081" s="3">
        <v>62.99</v>
      </c>
      <c r="O3081" s="2" t="s">
        <v>97</v>
      </c>
      <c r="P3081" s="2" t="s">
        <v>98</v>
      </c>
      <c r="Q3081" s="2" t="s">
        <v>99</v>
      </c>
      <c r="R3081" s="2" t="s">
        <v>100</v>
      </c>
      <c r="S3081" s="2" t="s">
        <v>10209</v>
      </c>
      <c r="T3081" s="2" t="s">
        <v>9205</v>
      </c>
      <c r="U3081" s="2" t="s">
        <v>100</v>
      </c>
      <c r="V3081" s="2" t="s">
        <v>269</v>
      </c>
      <c r="W3081" s="2" t="s">
        <v>609</v>
      </c>
      <c r="X3081" s="2" t="s">
        <v>100</v>
      </c>
      <c r="Y3081" s="2" t="s">
        <v>144</v>
      </c>
      <c r="Z3081" s="4">
        <v>39</v>
      </c>
      <c r="AA3081" s="4">
        <f>=ROUNDDOWN(1.95,0)</f>
      </c>
      <c r="AB3081" s="5">
        <v>20</v>
      </c>
      <c r="AC3081" s="2" t="s">
        <v>1142</v>
      </c>
      <c r="AD3081" s="4">
        <v>201</v>
      </c>
      <c r="AE3081" s="4">
        <v>553</v>
      </c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 t="s">
        <v>100</v>
      </c>
      <c r="AW3081" s="8" t="s">
        <v>100</v>
      </c>
      <c r="AX3081" s="4" t="s">
        <v>100</v>
      </c>
      <c r="AY3081" s="8" t="s">
        <v>100</v>
      </c>
      <c r="AZ3081" s="7" t="s">
        <v>100</v>
      </c>
      <c r="BA3081" s="7" t="s">
        <v>100</v>
      </c>
      <c r="BB3081" s="7"/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 t="s">
        <v>100</v>
      </c>
      <c r="BJ3081" s="4">
        <v>11</v>
      </c>
      <c r="BK3081" s="8">
        <v>348.82</v>
      </c>
      <c r="BL3081" s="2" t="s">
        <v>4269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109</v>
      </c>
      <c r="BV3081" s="2" t="s">
        <v>97</v>
      </c>
      <c r="BW3081" s="2" t="s">
        <v>1792</v>
      </c>
      <c r="BX3081" s="2" t="s">
        <v>2598</v>
      </c>
      <c r="BY3081" s="2" t="s">
        <v>112</v>
      </c>
      <c r="BZ3081" s="2" t="s">
        <v>100</v>
      </c>
    </row>
    <row r="3082">
      <c r="A3082" s="2" t="s">
        <v>10212</v>
      </c>
      <c r="B3082" s="2" t="s">
        <v>9043</v>
      </c>
      <c r="C3082" s="2" t="s">
        <v>4466</v>
      </c>
      <c r="D3082" s="2" t="s">
        <v>9044</v>
      </c>
      <c r="E3082" s="2" t="s">
        <v>9045</v>
      </c>
      <c r="F3082" s="2" t="s">
        <v>10005</v>
      </c>
      <c r="G3082" s="2" t="s">
        <v>10005</v>
      </c>
      <c r="H3082" s="2" t="s">
        <v>10005</v>
      </c>
      <c r="I3082" s="2" t="s">
        <v>9875</v>
      </c>
      <c r="J3082" s="2" t="s">
        <v>118</v>
      </c>
      <c r="K3082" s="2" t="s">
        <v>2025</v>
      </c>
      <c r="L3082" s="3">
        <v>27.39</v>
      </c>
      <c r="M3082" s="3">
        <v>28.76</v>
      </c>
      <c r="N3082" s="3">
        <v>62.99</v>
      </c>
      <c r="O3082" s="2" t="s">
        <v>97</v>
      </c>
      <c r="P3082" s="2" t="s">
        <v>98</v>
      </c>
      <c r="Q3082" s="2" t="s">
        <v>99</v>
      </c>
      <c r="R3082" s="2" t="s">
        <v>100</v>
      </c>
      <c r="S3082" s="2" t="s">
        <v>10209</v>
      </c>
      <c r="T3082" s="2" t="s">
        <v>9205</v>
      </c>
      <c r="U3082" s="2" t="s">
        <v>100</v>
      </c>
      <c r="V3082" s="2" t="s">
        <v>269</v>
      </c>
      <c r="W3082" s="2" t="s">
        <v>609</v>
      </c>
      <c r="X3082" s="2" t="s">
        <v>100</v>
      </c>
      <c r="Y3082" s="2" t="s">
        <v>1886</v>
      </c>
      <c r="Z3082" s="4">
        <v>3</v>
      </c>
      <c r="AA3082" s="4">
        <f>=ROUNDDOWN(0.214285714285714,0)</f>
      </c>
      <c r="AB3082" s="5">
        <v>14</v>
      </c>
      <c r="AC3082" s="2" t="s">
        <v>1142</v>
      </c>
      <c r="AD3082" s="4">
        <v>144</v>
      </c>
      <c r="AE3082" s="4">
        <v>414</v>
      </c>
      <c r="AF3082" s="6">
        <v>65</v>
      </c>
      <c r="AG3082" s="6"/>
      <c r="AH3082" s="7">
        <v>0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/>
      <c r="AQ3082" s="8"/>
      <c r="AR3082" s="4"/>
      <c r="AS3082" s="8"/>
      <c r="AT3082" s="7"/>
      <c r="AU3082" s="7"/>
      <c r="AV3082" s="4" t="s">
        <v>100</v>
      </c>
      <c r="AW3082" s="8" t="s">
        <v>100</v>
      </c>
      <c r="AX3082" s="4" t="s">
        <v>100</v>
      </c>
      <c r="AY3082" s="8" t="s">
        <v>100</v>
      </c>
      <c r="AZ3082" s="7" t="s">
        <v>100</v>
      </c>
      <c r="BA3082" s="7" t="s">
        <v>100</v>
      </c>
      <c r="BB3082" s="7"/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 t="s">
        <v>100</v>
      </c>
      <c r="BJ3082" s="4"/>
      <c r="BK3082" s="8"/>
      <c r="BL3082" s="2" t="s">
        <v>100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109</v>
      </c>
      <c r="BV3082" s="2" t="s">
        <v>97</v>
      </c>
      <c r="BW3082" s="2" t="s">
        <v>1792</v>
      </c>
      <c r="BX3082" s="2" t="s">
        <v>10213</v>
      </c>
      <c r="BY3082" s="2" t="s">
        <v>112</v>
      </c>
      <c r="BZ3082" s="2" t="s">
        <v>100</v>
      </c>
    </row>
    <row r="3083">
      <c r="A3083" s="2" t="s">
        <v>10214</v>
      </c>
      <c r="B3083" s="2" t="s">
        <v>9043</v>
      </c>
      <c r="C3083" s="2" t="s">
        <v>4466</v>
      </c>
      <c r="D3083" s="2" t="s">
        <v>9044</v>
      </c>
      <c r="E3083" s="2" t="s">
        <v>9045</v>
      </c>
      <c r="F3083" s="2" t="s">
        <v>10005</v>
      </c>
      <c r="G3083" s="2" t="s">
        <v>10005</v>
      </c>
      <c r="H3083" s="2" t="s">
        <v>10005</v>
      </c>
      <c r="I3083" s="2" t="s">
        <v>9875</v>
      </c>
      <c r="J3083" s="2" t="s">
        <v>1806</v>
      </c>
      <c r="K3083" s="2" t="s">
        <v>10215</v>
      </c>
      <c r="L3083" s="3">
        <v>16.16</v>
      </c>
      <c r="M3083" s="3">
        <v>16.97</v>
      </c>
      <c r="N3083" s="3">
        <v>34.99</v>
      </c>
      <c r="O3083" s="2" t="s">
        <v>97</v>
      </c>
      <c r="P3083" s="2" t="s">
        <v>98</v>
      </c>
      <c r="Q3083" s="2" t="s">
        <v>99</v>
      </c>
      <c r="R3083" s="2" t="s">
        <v>100</v>
      </c>
      <c r="S3083" s="2" t="s">
        <v>10216</v>
      </c>
      <c r="T3083" s="2" t="s">
        <v>9205</v>
      </c>
      <c r="U3083" s="2" t="s">
        <v>901</v>
      </c>
      <c r="V3083" s="2" t="s">
        <v>4636</v>
      </c>
      <c r="W3083" s="2" t="s">
        <v>609</v>
      </c>
      <c r="X3083" s="2" t="s">
        <v>142</v>
      </c>
      <c r="Y3083" s="2" t="s">
        <v>9927</v>
      </c>
      <c r="Z3083" s="4"/>
      <c r="AA3083" s="4">
        <f>=ROUNDDOWN({0},0)</f>
      </c>
      <c r="AB3083" s="5">
        <v>21</v>
      </c>
      <c r="AC3083" s="2" t="s">
        <v>1142</v>
      </c>
      <c r="AD3083" s="4">
        <v>217</v>
      </c>
      <c r="AE3083" s="4">
        <v>577</v>
      </c>
      <c r="AF3083" s="6">
        <v>65</v>
      </c>
      <c r="AG3083" s="6"/>
      <c r="AH3083" s="7">
        <v>0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 t="s">
        <v>100</v>
      </c>
      <c r="AW3083" s="8" t="s">
        <v>100</v>
      </c>
      <c r="AX3083" s="4" t="s">
        <v>100</v>
      </c>
      <c r="AY3083" s="8" t="s">
        <v>100</v>
      </c>
      <c r="AZ3083" s="7" t="s">
        <v>100</v>
      </c>
      <c r="BA3083" s="7" t="s">
        <v>100</v>
      </c>
      <c r="BB3083" s="7"/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 t="s">
        <v>100</v>
      </c>
      <c r="BJ3083" s="4"/>
      <c r="BK3083" s="8"/>
      <c r="BL3083" s="2" t="s">
        <v>100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4891</v>
      </c>
      <c r="BX3083" s="2" t="s">
        <v>6535</v>
      </c>
      <c r="BY3083" s="2" t="s">
        <v>112</v>
      </c>
      <c r="BZ3083" s="2" t="s">
        <v>100</v>
      </c>
    </row>
    <row r="3084">
      <c r="A3084" s="2" t="s">
        <v>10217</v>
      </c>
      <c r="B3084" s="2" t="s">
        <v>9043</v>
      </c>
      <c r="C3084" s="2" t="s">
        <v>4466</v>
      </c>
      <c r="D3084" s="2" t="s">
        <v>9044</v>
      </c>
      <c r="E3084" s="2" t="s">
        <v>9045</v>
      </c>
      <c r="F3084" s="2" t="s">
        <v>10005</v>
      </c>
      <c r="G3084" s="2" t="s">
        <v>10005</v>
      </c>
      <c r="H3084" s="2" t="s">
        <v>10005</v>
      </c>
      <c r="I3084" s="2" t="s">
        <v>9875</v>
      </c>
      <c r="J3084" s="2" t="s">
        <v>490</v>
      </c>
      <c r="K3084" s="2" t="s">
        <v>10215</v>
      </c>
      <c r="L3084" s="3">
        <v>19.57</v>
      </c>
      <c r="M3084" s="3">
        <v>20.55</v>
      </c>
      <c r="N3084" s="3">
        <v>42.99</v>
      </c>
      <c r="O3084" s="2" t="s">
        <v>97</v>
      </c>
      <c r="P3084" s="2" t="s">
        <v>156</v>
      </c>
      <c r="Q3084" s="2" t="s">
        <v>99</v>
      </c>
      <c r="R3084" s="2" t="s">
        <v>100</v>
      </c>
      <c r="S3084" s="2" t="s">
        <v>10216</v>
      </c>
      <c r="T3084" s="2" t="s">
        <v>9205</v>
      </c>
      <c r="U3084" s="2" t="s">
        <v>1228</v>
      </c>
      <c r="V3084" s="2" t="s">
        <v>4636</v>
      </c>
      <c r="W3084" s="2" t="s">
        <v>609</v>
      </c>
      <c r="X3084" s="2" t="s">
        <v>142</v>
      </c>
      <c r="Y3084" s="2" t="s">
        <v>9927</v>
      </c>
      <c r="Z3084" s="4">
        <v>1</v>
      </c>
      <c r="AA3084" s="4">
        <f>=ROUNDDOWN(0.0294117647058824,0)</f>
      </c>
      <c r="AB3084" s="5">
        <v>34</v>
      </c>
      <c r="AC3084" s="2" t="s">
        <v>1142</v>
      </c>
      <c r="AD3084" s="4">
        <v>333</v>
      </c>
      <c r="AE3084" s="4">
        <v>915</v>
      </c>
      <c r="AF3084" s="6">
        <v>65</v>
      </c>
      <c r="AG3084" s="6"/>
      <c r="AH3084" s="7">
        <v>0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 t="s">
        <v>100</v>
      </c>
      <c r="AW3084" s="8" t="s">
        <v>100</v>
      </c>
      <c r="AX3084" s="4" t="s">
        <v>100</v>
      </c>
      <c r="AY3084" s="8" t="s">
        <v>100</v>
      </c>
      <c r="AZ3084" s="7" t="s">
        <v>100</v>
      </c>
      <c r="BA3084" s="7" t="s">
        <v>100</v>
      </c>
      <c r="BB3084" s="7"/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 t="s">
        <v>100</v>
      </c>
      <c r="BJ3084" s="4"/>
      <c r="BK3084" s="8"/>
      <c r="BL3084" s="2" t="s">
        <v>100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109</v>
      </c>
      <c r="BV3084" s="2" t="s">
        <v>97</v>
      </c>
      <c r="BW3084" s="2" t="s">
        <v>1738</v>
      </c>
      <c r="BX3084" s="2" t="s">
        <v>4404</v>
      </c>
      <c r="BY3084" s="2" t="s">
        <v>112</v>
      </c>
      <c r="BZ3084" s="2" t="s">
        <v>100</v>
      </c>
    </row>
    <row r="3085">
      <c r="A3085" s="2" t="s">
        <v>10218</v>
      </c>
      <c r="B3085" s="2" t="s">
        <v>9043</v>
      </c>
      <c r="C3085" s="2" t="s">
        <v>4466</v>
      </c>
      <c r="D3085" s="2" t="s">
        <v>9044</v>
      </c>
      <c r="E3085" s="2" t="s">
        <v>9045</v>
      </c>
      <c r="F3085" s="2" t="s">
        <v>10005</v>
      </c>
      <c r="G3085" s="2" t="s">
        <v>10005</v>
      </c>
      <c r="H3085" s="2" t="s">
        <v>10005</v>
      </c>
      <c r="I3085" s="2" t="s">
        <v>9875</v>
      </c>
      <c r="J3085" s="2" t="s">
        <v>95</v>
      </c>
      <c r="K3085" s="2" t="s">
        <v>10215</v>
      </c>
      <c r="L3085" s="3">
        <v>22.21</v>
      </c>
      <c r="M3085" s="3">
        <v>23.32</v>
      </c>
      <c r="N3085" s="3">
        <v>47.99</v>
      </c>
      <c r="O3085" s="2" t="s">
        <v>97</v>
      </c>
      <c r="P3085" s="2" t="s">
        <v>317</v>
      </c>
      <c r="Q3085" s="2" t="s">
        <v>99</v>
      </c>
      <c r="R3085" s="2" t="s">
        <v>100</v>
      </c>
      <c r="S3085" s="2" t="s">
        <v>10216</v>
      </c>
      <c r="T3085" s="2" t="s">
        <v>9205</v>
      </c>
      <c r="U3085" s="2" t="s">
        <v>1228</v>
      </c>
      <c r="V3085" s="2" t="s">
        <v>4636</v>
      </c>
      <c r="W3085" s="2" t="s">
        <v>609</v>
      </c>
      <c r="X3085" s="2" t="s">
        <v>142</v>
      </c>
      <c r="Y3085" s="2" t="s">
        <v>9927</v>
      </c>
      <c r="Z3085" s="4"/>
      <c r="AA3085" s="4">
        <f>=ROUNDDOWN({0},0)</f>
      </c>
      <c r="AB3085" s="5">
        <v>108</v>
      </c>
      <c r="AC3085" s="2" t="s">
        <v>1142</v>
      </c>
      <c r="AD3085" s="4">
        <v>1048</v>
      </c>
      <c r="AE3085" s="4">
        <v>3010</v>
      </c>
      <c r="AF3085" s="6">
        <v>65</v>
      </c>
      <c r="AG3085" s="6"/>
      <c r="AH3085" s="7">
        <v>0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/>
      <c r="AQ3085" s="8"/>
      <c r="AR3085" s="4"/>
      <c r="AS3085" s="8"/>
      <c r="AT3085" s="7"/>
      <c r="AU3085" s="7"/>
      <c r="AV3085" s="4" t="s">
        <v>100</v>
      </c>
      <c r="AW3085" s="8" t="s">
        <v>100</v>
      </c>
      <c r="AX3085" s="4" t="s">
        <v>100</v>
      </c>
      <c r="AY3085" s="8" t="s">
        <v>100</v>
      </c>
      <c r="AZ3085" s="7" t="s">
        <v>100</v>
      </c>
      <c r="BA3085" s="7" t="s">
        <v>100</v>
      </c>
      <c r="BB3085" s="7"/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 t="s">
        <v>100</v>
      </c>
      <c r="BJ3085" s="4"/>
      <c r="BK3085" s="8"/>
      <c r="BL3085" s="2" t="s">
        <v>100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109</v>
      </c>
      <c r="BV3085" s="2" t="s">
        <v>97</v>
      </c>
      <c r="BW3085" s="2" t="s">
        <v>10219</v>
      </c>
      <c r="BX3085" s="2" t="s">
        <v>3866</v>
      </c>
      <c r="BY3085" s="2" t="s">
        <v>112</v>
      </c>
      <c r="BZ3085" s="2" t="s">
        <v>100</v>
      </c>
    </row>
    <row r="3086">
      <c r="A3086" s="2" t="s">
        <v>10220</v>
      </c>
      <c r="B3086" s="2" t="s">
        <v>9043</v>
      </c>
      <c r="C3086" s="2" t="s">
        <v>4466</v>
      </c>
      <c r="D3086" s="2" t="s">
        <v>9044</v>
      </c>
      <c r="E3086" s="2" t="s">
        <v>9045</v>
      </c>
      <c r="F3086" s="2" t="s">
        <v>10005</v>
      </c>
      <c r="G3086" s="2" t="s">
        <v>10005</v>
      </c>
      <c r="H3086" s="2" t="s">
        <v>10005</v>
      </c>
      <c r="I3086" s="2" t="s">
        <v>9875</v>
      </c>
      <c r="J3086" s="2" t="s">
        <v>114</v>
      </c>
      <c r="K3086" s="2" t="s">
        <v>10215</v>
      </c>
      <c r="L3086" s="3">
        <v>27.39</v>
      </c>
      <c r="M3086" s="3">
        <v>28.76</v>
      </c>
      <c r="N3086" s="3">
        <v>62.99</v>
      </c>
      <c r="O3086" s="2" t="s">
        <v>97</v>
      </c>
      <c r="P3086" s="2" t="s">
        <v>98</v>
      </c>
      <c r="Q3086" s="2" t="s">
        <v>99</v>
      </c>
      <c r="R3086" s="2" t="s">
        <v>100</v>
      </c>
      <c r="S3086" s="2" t="s">
        <v>10216</v>
      </c>
      <c r="T3086" s="2" t="s">
        <v>9205</v>
      </c>
      <c r="U3086" s="2" t="s">
        <v>1228</v>
      </c>
      <c r="V3086" s="2" t="s">
        <v>4636</v>
      </c>
      <c r="W3086" s="2" t="s">
        <v>609</v>
      </c>
      <c r="X3086" s="2" t="s">
        <v>142</v>
      </c>
      <c r="Y3086" s="2" t="s">
        <v>9927</v>
      </c>
      <c r="Z3086" s="4">
        <v>33</v>
      </c>
      <c r="AA3086" s="4">
        <f>=ROUNDDOWN(1.32,0)</f>
      </c>
      <c r="AB3086" s="5">
        <v>25</v>
      </c>
      <c r="AC3086" s="2" t="s">
        <v>1142</v>
      </c>
      <c r="AD3086" s="4">
        <v>253</v>
      </c>
      <c r="AE3086" s="4">
        <v>702</v>
      </c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 t="s">
        <v>100</v>
      </c>
      <c r="AW3086" s="8" t="s">
        <v>100</v>
      </c>
      <c r="AX3086" s="4" t="s">
        <v>100</v>
      </c>
      <c r="AY3086" s="8" t="s">
        <v>100</v>
      </c>
      <c r="AZ3086" s="7" t="s">
        <v>100</v>
      </c>
      <c r="BA3086" s="7" t="s">
        <v>100</v>
      </c>
      <c r="BB3086" s="7"/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 t="s">
        <v>100</v>
      </c>
      <c r="BJ3086" s="4">
        <v>13</v>
      </c>
      <c r="BK3086" s="8">
        <v>386.42</v>
      </c>
      <c r="BL3086" s="2" t="s">
        <v>10221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109</v>
      </c>
      <c r="BV3086" s="2" t="s">
        <v>97</v>
      </c>
      <c r="BW3086" s="2" t="s">
        <v>10033</v>
      </c>
      <c r="BX3086" s="2" t="s">
        <v>10222</v>
      </c>
      <c r="BY3086" s="2" t="s">
        <v>112</v>
      </c>
      <c r="BZ3086" s="2" t="s">
        <v>100</v>
      </c>
    </row>
    <row r="3087">
      <c r="A3087" s="2" t="s">
        <v>10223</v>
      </c>
      <c r="B3087" s="2" t="s">
        <v>9043</v>
      </c>
      <c r="C3087" s="2" t="s">
        <v>4466</v>
      </c>
      <c r="D3087" s="2" t="s">
        <v>9044</v>
      </c>
      <c r="E3087" s="2" t="s">
        <v>9045</v>
      </c>
      <c r="F3087" s="2" t="s">
        <v>10005</v>
      </c>
      <c r="G3087" s="2" t="s">
        <v>10005</v>
      </c>
      <c r="H3087" s="2" t="s">
        <v>10005</v>
      </c>
      <c r="I3087" s="2" t="s">
        <v>9875</v>
      </c>
      <c r="J3087" s="2" t="s">
        <v>1806</v>
      </c>
      <c r="K3087" s="2" t="s">
        <v>6568</v>
      </c>
      <c r="L3087" s="3">
        <v>16.16</v>
      </c>
      <c r="M3087" s="3">
        <v>16.97</v>
      </c>
      <c r="N3087" s="3">
        <v>34.99</v>
      </c>
      <c r="O3087" s="2" t="s">
        <v>97</v>
      </c>
      <c r="P3087" s="2" t="s">
        <v>156</v>
      </c>
      <c r="Q3087" s="2" t="s">
        <v>99</v>
      </c>
      <c r="R3087" s="2" t="s">
        <v>100</v>
      </c>
      <c r="S3087" s="2" t="s">
        <v>10224</v>
      </c>
      <c r="T3087" s="2" t="s">
        <v>9205</v>
      </c>
      <c r="U3087" s="2" t="s">
        <v>100</v>
      </c>
      <c r="V3087" s="2" t="s">
        <v>269</v>
      </c>
      <c r="W3087" s="2" t="s">
        <v>609</v>
      </c>
      <c r="X3087" s="2" t="s">
        <v>100</v>
      </c>
      <c r="Y3087" s="2" t="s">
        <v>1886</v>
      </c>
      <c r="Z3087" s="4">
        <v>1</v>
      </c>
      <c r="AA3087" s="4">
        <f>=ROUNDDOWN(0.032258064516129,0)</f>
      </c>
      <c r="AB3087" s="5">
        <v>31</v>
      </c>
      <c r="AC3087" s="2" t="s">
        <v>1142</v>
      </c>
      <c r="AD3087" s="4">
        <v>311</v>
      </c>
      <c r="AE3087" s="4">
        <v>865</v>
      </c>
      <c r="AF3087" s="6">
        <v>65</v>
      </c>
      <c r="AG3087" s="6"/>
      <c r="AH3087" s="7">
        <v>0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/>
      <c r="AQ3087" s="8"/>
      <c r="AR3087" s="4"/>
      <c r="AS3087" s="8"/>
      <c r="AT3087" s="7"/>
      <c r="AU3087" s="7"/>
      <c r="AV3087" s="4" t="s">
        <v>100</v>
      </c>
      <c r="AW3087" s="8" t="s">
        <v>100</v>
      </c>
      <c r="AX3087" s="4" t="s">
        <v>100</v>
      </c>
      <c r="AY3087" s="8" t="s">
        <v>100</v>
      </c>
      <c r="AZ3087" s="7" t="s">
        <v>100</v>
      </c>
      <c r="BA3087" s="7" t="s">
        <v>100</v>
      </c>
      <c r="BB3087" s="7"/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 t="s">
        <v>100</v>
      </c>
      <c r="BJ3087" s="4"/>
      <c r="BK3087" s="8"/>
      <c r="BL3087" s="2" t="s">
        <v>100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109</v>
      </c>
      <c r="BV3087" s="2" t="s">
        <v>97</v>
      </c>
      <c r="BW3087" s="2" t="s">
        <v>404</v>
      </c>
      <c r="BX3087" s="2" t="s">
        <v>1725</v>
      </c>
      <c r="BY3087" s="2" t="s">
        <v>112</v>
      </c>
      <c r="BZ3087" s="2" t="s">
        <v>149</v>
      </c>
    </row>
    <row r="3088">
      <c r="A3088" s="2" t="s">
        <v>10225</v>
      </c>
      <c r="B3088" s="2" t="s">
        <v>9043</v>
      </c>
      <c r="C3088" s="2" t="s">
        <v>4466</v>
      </c>
      <c r="D3088" s="2" t="s">
        <v>9044</v>
      </c>
      <c r="E3088" s="2" t="s">
        <v>9045</v>
      </c>
      <c r="F3088" s="2" t="s">
        <v>10005</v>
      </c>
      <c r="G3088" s="2" t="s">
        <v>10005</v>
      </c>
      <c r="H3088" s="2" t="s">
        <v>10005</v>
      </c>
      <c r="I3088" s="2" t="s">
        <v>9875</v>
      </c>
      <c r="J3088" s="2" t="s">
        <v>114</v>
      </c>
      <c r="K3088" s="2" t="s">
        <v>6568</v>
      </c>
      <c r="L3088" s="3">
        <v>27.39</v>
      </c>
      <c r="M3088" s="3">
        <v>28.76</v>
      </c>
      <c r="N3088" s="3">
        <v>62.99</v>
      </c>
      <c r="O3088" s="2" t="s">
        <v>97</v>
      </c>
      <c r="P3088" s="2" t="s">
        <v>156</v>
      </c>
      <c r="Q3088" s="2" t="s">
        <v>99</v>
      </c>
      <c r="R3088" s="2" t="s">
        <v>100</v>
      </c>
      <c r="S3088" s="2" t="s">
        <v>10224</v>
      </c>
      <c r="T3088" s="2" t="s">
        <v>9205</v>
      </c>
      <c r="U3088" s="2" t="s">
        <v>100</v>
      </c>
      <c r="V3088" s="2" t="s">
        <v>269</v>
      </c>
      <c r="W3088" s="2" t="s">
        <v>609</v>
      </c>
      <c r="X3088" s="2" t="s">
        <v>100</v>
      </c>
      <c r="Y3088" s="2" t="s">
        <v>1886</v>
      </c>
      <c r="Z3088" s="4">
        <v>43</v>
      </c>
      <c r="AA3088" s="4">
        <f>=ROUNDDOWN(2.15,0)</f>
      </c>
      <c r="AB3088" s="5">
        <v>20</v>
      </c>
      <c r="AC3088" s="2" t="s">
        <v>1142</v>
      </c>
      <c r="AD3088" s="4">
        <v>201</v>
      </c>
      <c r="AE3088" s="4">
        <v>543</v>
      </c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/>
      <c r="AQ3088" s="8"/>
      <c r="AR3088" s="4"/>
      <c r="AS3088" s="8"/>
      <c r="AT3088" s="7"/>
      <c r="AU3088" s="7"/>
      <c r="AV3088" s="4" t="s">
        <v>100</v>
      </c>
      <c r="AW3088" s="8" t="s">
        <v>100</v>
      </c>
      <c r="AX3088" s="4" t="s">
        <v>100</v>
      </c>
      <c r="AY3088" s="8" t="s">
        <v>100</v>
      </c>
      <c r="AZ3088" s="7" t="s">
        <v>100</v>
      </c>
      <c r="BA3088" s="7" t="s">
        <v>100</v>
      </c>
      <c r="BB3088" s="7"/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 t="s">
        <v>100</v>
      </c>
      <c r="BJ3088" s="4">
        <v>17</v>
      </c>
      <c r="BK3088" s="8">
        <v>525.9</v>
      </c>
      <c r="BL3088" s="2" t="s">
        <v>6206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109</v>
      </c>
      <c r="BV3088" s="2" t="s">
        <v>97</v>
      </c>
      <c r="BW3088" s="2" t="s">
        <v>1792</v>
      </c>
      <c r="BX3088" s="2" t="s">
        <v>7550</v>
      </c>
      <c r="BY3088" s="2" t="s">
        <v>112</v>
      </c>
      <c r="BZ3088" s="2" t="s">
        <v>149</v>
      </c>
    </row>
    <row r="3089">
      <c r="A3089" s="2" t="s">
        <v>10226</v>
      </c>
      <c r="B3089" s="2" t="s">
        <v>9043</v>
      </c>
      <c r="C3089" s="2" t="s">
        <v>4466</v>
      </c>
      <c r="D3089" s="2" t="s">
        <v>9044</v>
      </c>
      <c r="E3089" s="2" t="s">
        <v>9045</v>
      </c>
      <c r="F3089" s="2" t="s">
        <v>10005</v>
      </c>
      <c r="G3089" s="2" t="s">
        <v>10005</v>
      </c>
      <c r="H3089" s="2" t="s">
        <v>10005</v>
      </c>
      <c r="I3089" s="2" t="s">
        <v>9875</v>
      </c>
      <c r="J3089" s="2" t="s">
        <v>118</v>
      </c>
      <c r="K3089" s="2" t="s">
        <v>6568</v>
      </c>
      <c r="L3089" s="3">
        <v>27.39</v>
      </c>
      <c r="M3089" s="3">
        <v>28.76</v>
      </c>
      <c r="N3089" s="3">
        <v>62.99</v>
      </c>
      <c r="O3089" s="2" t="s">
        <v>97</v>
      </c>
      <c r="P3089" s="2" t="s">
        <v>156</v>
      </c>
      <c r="Q3089" s="2" t="s">
        <v>99</v>
      </c>
      <c r="R3089" s="2" t="s">
        <v>100</v>
      </c>
      <c r="S3089" s="2" t="s">
        <v>10224</v>
      </c>
      <c r="T3089" s="2" t="s">
        <v>9205</v>
      </c>
      <c r="U3089" s="2" t="s">
        <v>100</v>
      </c>
      <c r="V3089" s="2" t="s">
        <v>269</v>
      </c>
      <c r="W3089" s="2" t="s">
        <v>609</v>
      </c>
      <c r="X3089" s="2" t="s">
        <v>100</v>
      </c>
      <c r="Y3089" s="2" t="s">
        <v>10227</v>
      </c>
      <c r="Z3089" s="4"/>
      <c r="AA3089" s="4">
        <f>=ROUNDDOWN({0},0)</f>
      </c>
      <c r="AB3089" s="5">
        <v>21</v>
      </c>
      <c r="AC3089" s="2" t="s">
        <v>1142</v>
      </c>
      <c r="AD3089" s="4">
        <v>208</v>
      </c>
      <c r="AE3089" s="4">
        <v>643</v>
      </c>
      <c r="AF3089" s="6">
        <v>65</v>
      </c>
      <c r="AG3089" s="6"/>
      <c r="AH3089" s="7">
        <v>0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/>
      <c r="AQ3089" s="8"/>
      <c r="AR3089" s="4"/>
      <c r="AS3089" s="8"/>
      <c r="AT3089" s="7"/>
      <c r="AU3089" s="7"/>
      <c r="AV3089" s="4" t="s">
        <v>100</v>
      </c>
      <c r="AW3089" s="8" t="s">
        <v>100</v>
      </c>
      <c r="AX3089" s="4" t="s">
        <v>100</v>
      </c>
      <c r="AY3089" s="8" t="s">
        <v>100</v>
      </c>
      <c r="AZ3089" s="7" t="s">
        <v>100</v>
      </c>
      <c r="BA3089" s="7" t="s">
        <v>100</v>
      </c>
      <c r="BB3089" s="7"/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 t="s">
        <v>100</v>
      </c>
      <c r="BJ3089" s="4"/>
      <c r="BK3089" s="8"/>
      <c r="BL3089" s="2" t="s">
        <v>100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109</v>
      </c>
      <c r="BV3089" s="2" t="s">
        <v>97</v>
      </c>
      <c r="BW3089" s="2" t="s">
        <v>1792</v>
      </c>
      <c r="BX3089" s="2" t="s">
        <v>501</v>
      </c>
      <c r="BY3089" s="2" t="s">
        <v>112</v>
      </c>
      <c r="BZ3089" s="2" t="s">
        <v>149</v>
      </c>
    </row>
    <row r="3090">
      <c r="A3090" s="2" t="s">
        <v>10228</v>
      </c>
      <c r="B3090" s="2" t="s">
        <v>9043</v>
      </c>
      <c r="C3090" s="2" t="s">
        <v>4466</v>
      </c>
      <c r="D3090" s="2" t="s">
        <v>9044</v>
      </c>
      <c r="E3090" s="2" t="s">
        <v>9045</v>
      </c>
      <c r="F3090" s="2" t="s">
        <v>10005</v>
      </c>
      <c r="G3090" s="2" t="s">
        <v>10005</v>
      </c>
      <c r="H3090" s="2" t="s">
        <v>10005</v>
      </c>
      <c r="I3090" s="2" t="s">
        <v>9875</v>
      </c>
      <c r="J3090" s="2" t="s">
        <v>1443</v>
      </c>
      <c r="K3090" s="2" t="s">
        <v>10229</v>
      </c>
      <c r="L3090" s="3">
        <v>14.89</v>
      </c>
      <c r="M3090" s="3">
        <v>15.63</v>
      </c>
      <c r="N3090" s="3">
        <v>31.99</v>
      </c>
      <c r="O3090" s="2" t="s">
        <v>97</v>
      </c>
      <c r="P3090" s="2" t="s">
        <v>98</v>
      </c>
      <c r="Q3090" s="2" t="s">
        <v>99</v>
      </c>
      <c r="R3090" s="2" t="s">
        <v>100</v>
      </c>
      <c r="S3090" s="2" t="s">
        <v>10230</v>
      </c>
      <c r="T3090" s="2" t="s">
        <v>9205</v>
      </c>
      <c r="U3090" s="2" t="s">
        <v>100</v>
      </c>
      <c r="V3090" s="2" t="s">
        <v>461</v>
      </c>
      <c r="W3090" s="2" t="s">
        <v>609</v>
      </c>
      <c r="X3090" s="2" t="s">
        <v>100</v>
      </c>
      <c r="Y3090" s="2" t="s">
        <v>144</v>
      </c>
      <c r="Z3090" s="4"/>
      <c r="AA3090" s="4">
        <f>=ROUNDDOWN({0},0)</f>
      </c>
      <c r="AB3090" s="5">
        <v>35</v>
      </c>
      <c r="AC3090" s="2" t="s">
        <v>1142</v>
      </c>
      <c r="AD3090" s="4">
        <v>347</v>
      </c>
      <c r="AE3090" s="4">
        <v>1010</v>
      </c>
      <c r="AF3090" s="6">
        <v>65</v>
      </c>
      <c r="AG3090" s="6"/>
      <c r="AH3090" s="7">
        <v>0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 t="s">
        <v>100</v>
      </c>
      <c r="AW3090" s="8" t="s">
        <v>100</v>
      </c>
      <c r="AX3090" s="4" t="s">
        <v>100</v>
      </c>
      <c r="AY3090" s="8" t="s">
        <v>100</v>
      </c>
      <c r="AZ3090" s="7" t="s">
        <v>100</v>
      </c>
      <c r="BA3090" s="7" t="s">
        <v>100</v>
      </c>
      <c r="BB3090" s="7"/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 t="s">
        <v>100</v>
      </c>
      <c r="BJ3090" s="4"/>
      <c r="BK3090" s="8"/>
      <c r="BL3090" s="2" t="s">
        <v>100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109</v>
      </c>
      <c r="BV3090" s="2" t="s">
        <v>97</v>
      </c>
      <c r="BW3090" s="2" t="s">
        <v>1792</v>
      </c>
      <c r="BX3090" s="2" t="s">
        <v>110</v>
      </c>
      <c r="BY3090" s="2" t="s">
        <v>112</v>
      </c>
      <c r="BZ3090" s="2" t="s">
        <v>149</v>
      </c>
    </row>
    <row r="3091">
      <c r="A3091" s="2" t="s">
        <v>10231</v>
      </c>
      <c r="B3091" s="2" t="s">
        <v>9043</v>
      </c>
      <c r="C3091" s="2" t="s">
        <v>4466</v>
      </c>
      <c r="D3091" s="2" t="s">
        <v>9044</v>
      </c>
      <c r="E3091" s="2" t="s">
        <v>9045</v>
      </c>
      <c r="F3091" s="2" t="s">
        <v>10005</v>
      </c>
      <c r="G3091" s="2" t="s">
        <v>10005</v>
      </c>
      <c r="H3091" s="2" t="s">
        <v>10005</v>
      </c>
      <c r="I3091" s="2" t="s">
        <v>9875</v>
      </c>
      <c r="J3091" s="2" t="s">
        <v>490</v>
      </c>
      <c r="K3091" s="2" t="s">
        <v>10229</v>
      </c>
      <c r="L3091" s="3">
        <v>19.57</v>
      </c>
      <c r="M3091" s="3">
        <v>20.55</v>
      </c>
      <c r="N3091" s="3">
        <v>42.99</v>
      </c>
      <c r="O3091" s="2" t="s">
        <v>97</v>
      </c>
      <c r="P3091" s="2" t="s">
        <v>98</v>
      </c>
      <c r="Q3091" s="2" t="s">
        <v>99</v>
      </c>
      <c r="R3091" s="2" t="s">
        <v>100</v>
      </c>
      <c r="S3091" s="2" t="s">
        <v>10230</v>
      </c>
      <c r="T3091" s="2" t="s">
        <v>9205</v>
      </c>
      <c r="U3091" s="2" t="s">
        <v>100</v>
      </c>
      <c r="V3091" s="2" t="s">
        <v>461</v>
      </c>
      <c r="W3091" s="2" t="s">
        <v>609</v>
      </c>
      <c r="X3091" s="2" t="s">
        <v>100</v>
      </c>
      <c r="Y3091" s="2" t="s">
        <v>144</v>
      </c>
      <c r="Z3091" s="4">
        <v>3</v>
      </c>
      <c r="AA3091" s="4">
        <f>=ROUNDDOWN(0.176470588235294,0)</f>
      </c>
      <c r="AB3091" s="5">
        <v>17</v>
      </c>
      <c r="AC3091" s="2" t="s">
        <v>1142</v>
      </c>
      <c r="AD3091" s="4">
        <v>172</v>
      </c>
      <c r="AE3091" s="4">
        <v>491</v>
      </c>
      <c r="AF3091" s="6">
        <v>65</v>
      </c>
      <c r="AG3091" s="6"/>
      <c r="AH3091" s="7">
        <v>0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 t="s">
        <v>100</v>
      </c>
      <c r="AW3091" s="8" t="s">
        <v>100</v>
      </c>
      <c r="AX3091" s="4" t="s">
        <v>100</v>
      </c>
      <c r="AY3091" s="8" t="s">
        <v>100</v>
      </c>
      <c r="AZ3091" s="7" t="s">
        <v>100</v>
      </c>
      <c r="BA3091" s="7" t="s">
        <v>100</v>
      </c>
      <c r="BB3091" s="7"/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 t="s">
        <v>100</v>
      </c>
      <c r="BJ3091" s="4"/>
      <c r="BK3091" s="8"/>
      <c r="BL3091" s="2" t="s">
        <v>100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109</v>
      </c>
      <c r="BV3091" s="2" t="s">
        <v>97</v>
      </c>
      <c r="BW3091" s="2" t="s">
        <v>1792</v>
      </c>
      <c r="BX3091" s="2" t="s">
        <v>2273</v>
      </c>
      <c r="BY3091" s="2" t="s">
        <v>112</v>
      </c>
      <c r="BZ3091" s="2" t="s">
        <v>149</v>
      </c>
    </row>
    <row r="3092">
      <c r="A3092" s="2" t="s">
        <v>10232</v>
      </c>
      <c r="B3092" s="2" t="s">
        <v>9043</v>
      </c>
      <c r="C3092" s="2" t="s">
        <v>4466</v>
      </c>
      <c r="D3092" s="2" t="s">
        <v>9044</v>
      </c>
      <c r="E3092" s="2" t="s">
        <v>9045</v>
      </c>
      <c r="F3092" s="2" t="s">
        <v>10005</v>
      </c>
      <c r="G3092" s="2" t="s">
        <v>10005</v>
      </c>
      <c r="H3092" s="2" t="s">
        <v>10005</v>
      </c>
      <c r="I3092" s="2" t="s">
        <v>9875</v>
      </c>
      <c r="J3092" s="2" t="s">
        <v>95</v>
      </c>
      <c r="K3092" s="2" t="s">
        <v>10229</v>
      </c>
      <c r="L3092" s="3">
        <v>22.21</v>
      </c>
      <c r="M3092" s="3">
        <v>23.32</v>
      </c>
      <c r="N3092" s="3">
        <v>47.99</v>
      </c>
      <c r="O3092" s="2" t="s">
        <v>97</v>
      </c>
      <c r="P3092" s="2" t="s">
        <v>98</v>
      </c>
      <c r="Q3092" s="2" t="s">
        <v>99</v>
      </c>
      <c r="R3092" s="2" t="s">
        <v>100</v>
      </c>
      <c r="S3092" s="2" t="s">
        <v>10230</v>
      </c>
      <c r="T3092" s="2" t="s">
        <v>9205</v>
      </c>
      <c r="U3092" s="2" t="s">
        <v>100</v>
      </c>
      <c r="V3092" s="2" t="s">
        <v>461</v>
      </c>
      <c r="W3092" s="2" t="s">
        <v>609</v>
      </c>
      <c r="X3092" s="2" t="s">
        <v>100</v>
      </c>
      <c r="Y3092" s="2" t="s">
        <v>4616</v>
      </c>
      <c r="Z3092" s="4">
        <v>1</v>
      </c>
      <c r="AA3092" s="4">
        <f>=ROUNDDOWN(0.0357142857142857,0)</f>
      </c>
      <c r="AB3092" s="5">
        <v>28</v>
      </c>
      <c r="AC3092" s="2" t="s">
        <v>1142</v>
      </c>
      <c r="AD3092" s="4">
        <v>278</v>
      </c>
      <c r="AE3092" s="4">
        <v>768</v>
      </c>
      <c r="AF3092" s="6">
        <v>65</v>
      </c>
      <c r="AG3092" s="6"/>
      <c r="AH3092" s="7">
        <v>0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/>
      <c r="AQ3092" s="8"/>
      <c r="AR3092" s="4"/>
      <c r="AS3092" s="8"/>
      <c r="AT3092" s="7"/>
      <c r="AU3092" s="7"/>
      <c r="AV3092" s="4" t="s">
        <v>100</v>
      </c>
      <c r="AW3092" s="8" t="s">
        <v>100</v>
      </c>
      <c r="AX3092" s="4" t="s">
        <v>100</v>
      </c>
      <c r="AY3092" s="8" t="s">
        <v>100</v>
      </c>
      <c r="AZ3092" s="7" t="s">
        <v>100</v>
      </c>
      <c r="BA3092" s="7" t="s">
        <v>100</v>
      </c>
      <c r="BB3092" s="7"/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 t="s">
        <v>100</v>
      </c>
      <c r="BJ3092" s="4"/>
      <c r="BK3092" s="8"/>
      <c r="BL3092" s="2" t="s">
        <v>100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109</v>
      </c>
      <c r="BV3092" s="2" t="s">
        <v>97</v>
      </c>
      <c r="BW3092" s="2" t="s">
        <v>1792</v>
      </c>
      <c r="BX3092" s="2" t="s">
        <v>4353</v>
      </c>
      <c r="BY3092" s="2" t="s">
        <v>112</v>
      </c>
      <c r="BZ3092" s="2" t="s">
        <v>149</v>
      </c>
    </row>
    <row r="3093">
      <c r="A3093" s="2" t="s">
        <v>10233</v>
      </c>
      <c r="B3093" s="2" t="s">
        <v>9043</v>
      </c>
      <c r="C3093" s="2" t="s">
        <v>4466</v>
      </c>
      <c r="D3093" s="2" t="s">
        <v>9044</v>
      </c>
      <c r="E3093" s="2" t="s">
        <v>9045</v>
      </c>
      <c r="F3093" s="2" t="s">
        <v>10005</v>
      </c>
      <c r="G3093" s="2" t="s">
        <v>10005</v>
      </c>
      <c r="H3093" s="2" t="s">
        <v>10005</v>
      </c>
      <c r="I3093" s="2" t="s">
        <v>9875</v>
      </c>
      <c r="J3093" s="2" t="s">
        <v>114</v>
      </c>
      <c r="K3093" s="2" t="s">
        <v>10229</v>
      </c>
      <c r="L3093" s="3">
        <v>27.39</v>
      </c>
      <c r="M3093" s="3">
        <v>28.76</v>
      </c>
      <c r="N3093" s="3">
        <v>62.99</v>
      </c>
      <c r="O3093" s="2" t="s">
        <v>97</v>
      </c>
      <c r="P3093" s="2" t="s">
        <v>98</v>
      </c>
      <c r="Q3093" s="2" t="s">
        <v>99</v>
      </c>
      <c r="R3093" s="2" t="s">
        <v>100</v>
      </c>
      <c r="S3093" s="2" t="s">
        <v>10230</v>
      </c>
      <c r="T3093" s="2" t="s">
        <v>9205</v>
      </c>
      <c r="U3093" s="2" t="s">
        <v>100</v>
      </c>
      <c r="V3093" s="2" t="s">
        <v>461</v>
      </c>
      <c r="W3093" s="2" t="s">
        <v>609</v>
      </c>
      <c r="X3093" s="2" t="s">
        <v>100</v>
      </c>
      <c r="Y3093" s="2" t="s">
        <v>144</v>
      </c>
      <c r="Z3093" s="4">
        <v>107</v>
      </c>
      <c r="AA3093" s="4">
        <f>=ROUNDDOWN(8.91666666666667,0)</f>
      </c>
      <c r="AB3093" s="5">
        <v>12</v>
      </c>
      <c r="AC3093" s="2" t="s">
        <v>1142</v>
      </c>
      <c r="AD3093" s="4">
        <v>125</v>
      </c>
      <c r="AE3093" s="4">
        <v>340</v>
      </c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 t="s">
        <v>100</v>
      </c>
      <c r="AW3093" s="8" t="s">
        <v>100</v>
      </c>
      <c r="AX3093" s="4" t="s">
        <v>100</v>
      </c>
      <c r="AY3093" s="8" t="s">
        <v>100</v>
      </c>
      <c r="AZ3093" s="7" t="s">
        <v>100</v>
      </c>
      <c r="BA3093" s="7" t="s">
        <v>100</v>
      </c>
      <c r="BB3093" s="7"/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 t="s">
        <v>100</v>
      </c>
      <c r="BJ3093" s="4">
        <v>10</v>
      </c>
      <c r="BK3093" s="8">
        <v>305.64</v>
      </c>
      <c r="BL3093" s="2" t="s">
        <v>10234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109</v>
      </c>
      <c r="BV3093" s="2" t="s">
        <v>97</v>
      </c>
      <c r="BW3093" s="2" t="s">
        <v>1792</v>
      </c>
      <c r="BX3093" s="2" t="s">
        <v>1230</v>
      </c>
      <c r="BY3093" s="2" t="s">
        <v>112</v>
      </c>
      <c r="BZ3093" s="2" t="s">
        <v>149</v>
      </c>
    </row>
    <row r="3094">
      <c r="A3094" s="2" t="s">
        <v>10235</v>
      </c>
      <c r="B3094" s="2" t="s">
        <v>9043</v>
      </c>
      <c r="C3094" s="2" t="s">
        <v>4466</v>
      </c>
      <c r="D3094" s="2" t="s">
        <v>9044</v>
      </c>
      <c r="E3094" s="2" t="s">
        <v>9045</v>
      </c>
      <c r="F3094" s="2" t="s">
        <v>10005</v>
      </c>
      <c r="G3094" s="2" t="s">
        <v>10005</v>
      </c>
      <c r="H3094" s="2" t="s">
        <v>10005</v>
      </c>
      <c r="I3094" s="2" t="s">
        <v>9875</v>
      </c>
      <c r="J3094" s="2" t="s">
        <v>118</v>
      </c>
      <c r="K3094" s="2" t="s">
        <v>10229</v>
      </c>
      <c r="L3094" s="3">
        <v>27.39</v>
      </c>
      <c r="M3094" s="3">
        <v>28.76</v>
      </c>
      <c r="N3094" s="3">
        <v>62.99</v>
      </c>
      <c r="O3094" s="2" t="s">
        <v>97</v>
      </c>
      <c r="P3094" s="2" t="s">
        <v>98</v>
      </c>
      <c r="Q3094" s="2" t="s">
        <v>99</v>
      </c>
      <c r="R3094" s="2" t="s">
        <v>100</v>
      </c>
      <c r="S3094" s="2" t="s">
        <v>10230</v>
      </c>
      <c r="T3094" s="2" t="s">
        <v>9205</v>
      </c>
      <c r="U3094" s="2" t="s">
        <v>100</v>
      </c>
      <c r="V3094" s="2" t="s">
        <v>461</v>
      </c>
      <c r="W3094" s="2" t="s">
        <v>609</v>
      </c>
      <c r="X3094" s="2" t="s">
        <v>100</v>
      </c>
      <c r="Y3094" s="2" t="s">
        <v>144</v>
      </c>
      <c r="Z3094" s="4"/>
      <c r="AA3094" s="4">
        <f>=ROUNDDOWN({0},0)</f>
      </c>
      <c r="AB3094" s="5">
        <v>7</v>
      </c>
      <c r="AC3094" s="2" t="s">
        <v>1142</v>
      </c>
      <c r="AD3094" s="4">
        <v>78</v>
      </c>
      <c r="AE3094" s="4">
        <v>223</v>
      </c>
      <c r="AF3094" s="6">
        <v>65</v>
      </c>
      <c r="AG3094" s="6"/>
      <c r="AH3094" s="7">
        <v>0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 t="s">
        <v>100</v>
      </c>
      <c r="AW3094" s="8" t="s">
        <v>100</v>
      </c>
      <c r="AX3094" s="4" t="s">
        <v>100</v>
      </c>
      <c r="AY3094" s="8" t="s">
        <v>100</v>
      </c>
      <c r="AZ3094" s="7" t="s">
        <v>100</v>
      </c>
      <c r="BA3094" s="7" t="s">
        <v>100</v>
      </c>
      <c r="BB3094" s="7"/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 t="s">
        <v>100</v>
      </c>
      <c r="BJ3094" s="4"/>
      <c r="BK3094" s="8"/>
      <c r="BL3094" s="2" t="s">
        <v>100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109</v>
      </c>
      <c r="BV3094" s="2" t="s">
        <v>97</v>
      </c>
      <c r="BW3094" s="2" t="s">
        <v>1792</v>
      </c>
      <c r="BX3094" s="2" t="s">
        <v>374</v>
      </c>
      <c r="BY3094" s="2" t="s">
        <v>112</v>
      </c>
      <c r="BZ3094" s="2" t="s">
        <v>149</v>
      </c>
    </row>
    <row r="3095">
      <c r="A3095" s="2" t="s">
        <v>10236</v>
      </c>
      <c r="B3095" s="2" t="s">
        <v>9043</v>
      </c>
      <c r="C3095" s="2" t="s">
        <v>4466</v>
      </c>
      <c r="D3095" s="2" t="s">
        <v>9044</v>
      </c>
      <c r="E3095" s="2" t="s">
        <v>9045</v>
      </c>
      <c r="F3095" s="2" t="s">
        <v>10005</v>
      </c>
      <c r="G3095" s="2" t="s">
        <v>10005</v>
      </c>
      <c r="H3095" s="2" t="s">
        <v>10005</v>
      </c>
      <c r="I3095" s="2" t="s">
        <v>9875</v>
      </c>
      <c r="J3095" s="2" t="s">
        <v>95</v>
      </c>
      <c r="K3095" s="2" t="s">
        <v>10237</v>
      </c>
      <c r="L3095" s="3">
        <v>22.21</v>
      </c>
      <c r="M3095" s="3">
        <v>23.32</v>
      </c>
      <c r="N3095" s="3">
        <v>47.99</v>
      </c>
      <c r="O3095" s="2" t="s">
        <v>97</v>
      </c>
      <c r="P3095" s="2" t="s">
        <v>98</v>
      </c>
      <c r="Q3095" s="2" t="s">
        <v>99</v>
      </c>
      <c r="R3095" s="2" t="s">
        <v>100</v>
      </c>
      <c r="S3095" s="2" t="s">
        <v>10238</v>
      </c>
      <c r="T3095" s="2" t="s">
        <v>9205</v>
      </c>
      <c r="U3095" s="2" t="s">
        <v>100</v>
      </c>
      <c r="V3095" s="2" t="s">
        <v>3451</v>
      </c>
      <c r="W3095" s="2" t="s">
        <v>609</v>
      </c>
      <c r="X3095" s="2" t="s">
        <v>100</v>
      </c>
      <c r="Y3095" s="2" t="s">
        <v>144</v>
      </c>
      <c r="Z3095" s="4"/>
      <c r="AA3095" s="4">
        <f>=ROUNDDOWN({0},0)</f>
      </c>
      <c r="AB3095" s="5">
        <v>39</v>
      </c>
      <c r="AC3095" s="2" t="s">
        <v>1142</v>
      </c>
      <c r="AD3095" s="4">
        <v>386</v>
      </c>
      <c r="AE3095" s="4">
        <v>1008</v>
      </c>
      <c r="AF3095" s="6">
        <v>65</v>
      </c>
      <c r="AG3095" s="6"/>
      <c r="AH3095" s="7">
        <v>0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 t="s">
        <v>100</v>
      </c>
      <c r="AW3095" s="8" t="s">
        <v>100</v>
      </c>
      <c r="AX3095" s="4" t="s">
        <v>100</v>
      </c>
      <c r="AY3095" s="8" t="s">
        <v>100</v>
      </c>
      <c r="AZ3095" s="7" t="s">
        <v>100</v>
      </c>
      <c r="BA3095" s="7" t="s">
        <v>100</v>
      </c>
      <c r="BB3095" s="7"/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 t="s">
        <v>100</v>
      </c>
      <c r="BJ3095" s="4"/>
      <c r="BK3095" s="8"/>
      <c r="BL3095" s="2" t="s">
        <v>100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109</v>
      </c>
      <c r="BV3095" s="2" t="s">
        <v>97</v>
      </c>
      <c r="BW3095" s="2" t="s">
        <v>1792</v>
      </c>
      <c r="BX3095" s="2" t="s">
        <v>1230</v>
      </c>
      <c r="BY3095" s="2" t="s">
        <v>112</v>
      </c>
      <c r="BZ3095" s="2" t="s">
        <v>149</v>
      </c>
    </row>
    <row r="3096">
      <c r="A3096" s="2" t="s">
        <v>10239</v>
      </c>
      <c r="B3096" s="2" t="s">
        <v>9043</v>
      </c>
      <c r="C3096" s="2" t="s">
        <v>4466</v>
      </c>
      <c r="D3096" s="2" t="s">
        <v>9044</v>
      </c>
      <c r="E3096" s="2" t="s">
        <v>9045</v>
      </c>
      <c r="F3096" s="2" t="s">
        <v>10005</v>
      </c>
      <c r="G3096" s="2" t="s">
        <v>10005</v>
      </c>
      <c r="H3096" s="2" t="s">
        <v>10005</v>
      </c>
      <c r="I3096" s="2" t="s">
        <v>9875</v>
      </c>
      <c r="J3096" s="2" t="s">
        <v>114</v>
      </c>
      <c r="K3096" s="2" t="s">
        <v>10237</v>
      </c>
      <c r="L3096" s="3">
        <v>27.39</v>
      </c>
      <c r="M3096" s="3">
        <v>28.76</v>
      </c>
      <c r="N3096" s="3">
        <v>62.99</v>
      </c>
      <c r="O3096" s="2" t="s">
        <v>97</v>
      </c>
      <c r="P3096" s="2" t="s">
        <v>98</v>
      </c>
      <c r="Q3096" s="2" t="s">
        <v>99</v>
      </c>
      <c r="R3096" s="2" t="s">
        <v>100</v>
      </c>
      <c r="S3096" s="2" t="s">
        <v>10238</v>
      </c>
      <c r="T3096" s="2" t="s">
        <v>9205</v>
      </c>
      <c r="U3096" s="2" t="s">
        <v>100</v>
      </c>
      <c r="V3096" s="2" t="s">
        <v>3451</v>
      </c>
      <c r="W3096" s="2" t="s">
        <v>609</v>
      </c>
      <c r="X3096" s="2" t="s">
        <v>100</v>
      </c>
      <c r="Y3096" s="2" t="s">
        <v>144</v>
      </c>
      <c r="Z3096" s="4"/>
      <c r="AA3096" s="4">
        <f>=ROUNDDOWN({0},0)</f>
      </c>
      <c r="AB3096" s="5">
        <v>18</v>
      </c>
      <c r="AC3096" s="2" t="s">
        <v>1142</v>
      </c>
      <c r="AD3096" s="4">
        <v>188</v>
      </c>
      <c r="AE3096" s="4">
        <v>485</v>
      </c>
      <c r="AF3096" s="6">
        <v>65</v>
      </c>
      <c r="AG3096" s="6"/>
      <c r="AH3096" s="7">
        <v>0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 t="s">
        <v>100</v>
      </c>
      <c r="AW3096" s="8" t="s">
        <v>100</v>
      </c>
      <c r="AX3096" s="4" t="s">
        <v>100</v>
      </c>
      <c r="AY3096" s="8" t="s">
        <v>100</v>
      </c>
      <c r="AZ3096" s="7" t="s">
        <v>100</v>
      </c>
      <c r="BA3096" s="7" t="s">
        <v>100</v>
      </c>
      <c r="BB3096" s="7"/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 t="s">
        <v>100</v>
      </c>
      <c r="BJ3096" s="4"/>
      <c r="BK3096" s="8"/>
      <c r="BL3096" s="2" t="s">
        <v>100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109</v>
      </c>
      <c r="BV3096" s="2" t="s">
        <v>97</v>
      </c>
      <c r="BW3096" s="2" t="s">
        <v>1792</v>
      </c>
      <c r="BX3096" s="2" t="s">
        <v>1725</v>
      </c>
      <c r="BY3096" s="2" t="s">
        <v>112</v>
      </c>
      <c r="BZ3096" s="2" t="s">
        <v>149</v>
      </c>
    </row>
    <row r="3097">
      <c r="A3097" s="2" t="s">
        <v>10240</v>
      </c>
      <c r="B3097" s="2" t="s">
        <v>9043</v>
      </c>
      <c r="C3097" s="2" t="s">
        <v>4466</v>
      </c>
      <c r="D3097" s="2" t="s">
        <v>9044</v>
      </c>
      <c r="E3097" s="2" t="s">
        <v>9045</v>
      </c>
      <c r="F3097" s="2" t="s">
        <v>10241</v>
      </c>
      <c r="G3097" s="2" t="s">
        <v>10241</v>
      </c>
      <c r="H3097" s="2" t="s">
        <v>10241</v>
      </c>
      <c r="I3097" s="2" t="s">
        <v>9627</v>
      </c>
      <c r="J3097" s="2" t="s">
        <v>1443</v>
      </c>
      <c r="K3097" s="2" t="s">
        <v>256</v>
      </c>
      <c r="L3097" s="3">
        <v>21.62</v>
      </c>
      <c r="M3097" s="3">
        <v>22.7</v>
      </c>
      <c r="N3097" s="3">
        <v>46.99</v>
      </c>
      <c r="O3097" s="2" t="s">
        <v>97</v>
      </c>
      <c r="P3097" s="2" t="s">
        <v>98</v>
      </c>
      <c r="Q3097" s="2" t="s">
        <v>99</v>
      </c>
      <c r="R3097" s="2" t="s">
        <v>100</v>
      </c>
      <c r="S3097" s="2" t="s">
        <v>10242</v>
      </c>
      <c r="T3097" s="2" t="s">
        <v>5161</v>
      </c>
      <c r="U3097" s="2" t="s">
        <v>901</v>
      </c>
      <c r="V3097" s="2" t="s">
        <v>461</v>
      </c>
      <c r="W3097" s="2" t="s">
        <v>609</v>
      </c>
      <c r="X3097" s="2" t="s">
        <v>493</v>
      </c>
      <c r="Y3097" s="2" t="s">
        <v>144</v>
      </c>
      <c r="Z3097" s="4">
        <v>45</v>
      </c>
      <c r="AA3097" s="4">
        <f>=ROUNDDOWN(4.5,0)</f>
      </c>
      <c r="AB3097" s="5">
        <v>10</v>
      </c>
      <c r="AC3097" s="2" t="s">
        <v>1142</v>
      </c>
      <c r="AD3097" s="4">
        <v>70</v>
      </c>
      <c r="AE3097" s="4">
        <v>210</v>
      </c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/>
      <c r="AQ3097" s="8"/>
      <c r="AR3097" s="4"/>
      <c r="AS3097" s="8"/>
      <c r="AT3097" s="7"/>
      <c r="AU3097" s="7"/>
      <c r="AV3097" s="4">
        <v>2</v>
      </c>
      <c r="AW3097" s="8">
        <v>51.02</v>
      </c>
      <c r="AX3097" s="4" t="s">
        <v>100</v>
      </c>
      <c r="AY3097" s="8" t="s">
        <v>100</v>
      </c>
      <c r="AZ3097" s="7" t="s">
        <v>100</v>
      </c>
      <c r="BA3097" s="7" t="s">
        <v>100</v>
      </c>
      <c r="BB3097" s="7"/>
      <c r="BC3097" s="4">
        <v>3</v>
      </c>
      <c r="BD3097" s="8">
        <v>82.77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>
        <v>0.6164</v>
      </c>
      <c r="BJ3097" s="4">
        <v>7</v>
      </c>
      <c r="BK3097" s="8">
        <v>167.01</v>
      </c>
      <c r="BL3097" s="2" t="s">
        <v>4269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109</v>
      </c>
      <c r="BV3097" s="2" t="s">
        <v>97</v>
      </c>
      <c r="BW3097" s="2" t="s">
        <v>464</v>
      </c>
      <c r="BX3097" s="2" t="s">
        <v>5855</v>
      </c>
      <c r="BY3097" s="2" t="s">
        <v>112</v>
      </c>
      <c r="BZ3097" s="2" t="s">
        <v>100</v>
      </c>
    </row>
    <row r="3098">
      <c r="A3098" s="2" t="s">
        <v>10243</v>
      </c>
      <c r="B3098" s="2" t="s">
        <v>9043</v>
      </c>
      <c r="C3098" s="2" t="s">
        <v>4466</v>
      </c>
      <c r="D3098" s="2" t="s">
        <v>9044</v>
      </c>
      <c r="E3098" s="2" t="s">
        <v>9045</v>
      </c>
      <c r="F3098" s="2" t="s">
        <v>10241</v>
      </c>
      <c r="G3098" s="2" t="s">
        <v>10241</v>
      </c>
      <c r="H3098" s="2" t="s">
        <v>10241</v>
      </c>
      <c r="I3098" s="2" t="s">
        <v>9627</v>
      </c>
      <c r="J3098" s="2" t="s">
        <v>1806</v>
      </c>
      <c r="K3098" s="2" t="s">
        <v>256</v>
      </c>
      <c r="L3098" s="3">
        <v>23.04</v>
      </c>
      <c r="M3098" s="3">
        <v>24.19</v>
      </c>
      <c r="N3098" s="3">
        <v>47.99</v>
      </c>
      <c r="O3098" s="2" t="s">
        <v>97</v>
      </c>
      <c r="P3098" s="2" t="s">
        <v>98</v>
      </c>
      <c r="Q3098" s="2" t="s">
        <v>99</v>
      </c>
      <c r="R3098" s="2" t="s">
        <v>100</v>
      </c>
      <c r="S3098" s="2" t="s">
        <v>10242</v>
      </c>
      <c r="T3098" s="2" t="s">
        <v>5161</v>
      </c>
      <c r="U3098" s="2" t="s">
        <v>901</v>
      </c>
      <c r="V3098" s="2" t="s">
        <v>461</v>
      </c>
      <c r="W3098" s="2" t="s">
        <v>609</v>
      </c>
      <c r="X3098" s="2" t="s">
        <v>493</v>
      </c>
      <c r="Y3098" s="2" t="s">
        <v>144</v>
      </c>
      <c r="Z3098" s="4">
        <v>3</v>
      </c>
      <c r="AA3098" s="4">
        <f>=ROUNDDOWN(0.230769230769231,0)</f>
      </c>
      <c r="AB3098" s="5">
        <v>13</v>
      </c>
      <c r="AC3098" s="2" t="s">
        <v>1142</v>
      </c>
      <c r="AD3098" s="4">
        <v>110</v>
      </c>
      <c r="AE3098" s="4">
        <v>290</v>
      </c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 t="s">
        <v>100</v>
      </c>
      <c r="AW3098" s="8" t="s">
        <v>100</v>
      </c>
      <c r="AX3098" s="4" t="s">
        <v>100</v>
      </c>
      <c r="AY3098" s="8" t="s">
        <v>100</v>
      </c>
      <c r="AZ3098" s="7" t="s">
        <v>100</v>
      </c>
      <c r="BA3098" s="7" t="s">
        <v>100</v>
      </c>
      <c r="BB3098" s="7"/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 t="s">
        <v>100</v>
      </c>
      <c r="BJ3098" s="4">
        <v>4</v>
      </c>
      <c r="BK3098" s="8">
        <v>101.16</v>
      </c>
      <c r="BL3098" s="2" t="s">
        <v>5249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109</v>
      </c>
      <c r="BV3098" s="2" t="s">
        <v>97</v>
      </c>
      <c r="BW3098" s="2" t="s">
        <v>464</v>
      </c>
      <c r="BX3098" s="2" t="s">
        <v>5855</v>
      </c>
      <c r="BY3098" s="2" t="s">
        <v>112</v>
      </c>
      <c r="BZ3098" s="2" t="s">
        <v>100</v>
      </c>
    </row>
    <row r="3099">
      <c r="A3099" s="2" t="s">
        <v>10244</v>
      </c>
      <c r="B3099" s="2" t="s">
        <v>9043</v>
      </c>
      <c r="C3099" s="2" t="s">
        <v>4466</v>
      </c>
      <c r="D3099" s="2" t="s">
        <v>9044</v>
      </c>
      <c r="E3099" s="2" t="s">
        <v>9045</v>
      </c>
      <c r="F3099" s="2" t="s">
        <v>10241</v>
      </c>
      <c r="G3099" s="2" t="s">
        <v>10241</v>
      </c>
      <c r="H3099" s="2" t="s">
        <v>10241</v>
      </c>
      <c r="I3099" s="2" t="s">
        <v>9627</v>
      </c>
      <c r="J3099" s="2" t="s">
        <v>490</v>
      </c>
      <c r="K3099" s="2" t="s">
        <v>256</v>
      </c>
      <c r="L3099" s="3">
        <v>25.3</v>
      </c>
      <c r="M3099" s="3">
        <v>26.56</v>
      </c>
      <c r="N3099" s="3">
        <v>54.99</v>
      </c>
      <c r="O3099" s="2" t="s">
        <v>97</v>
      </c>
      <c r="P3099" s="2" t="s">
        <v>98</v>
      </c>
      <c r="Q3099" s="2" t="s">
        <v>99</v>
      </c>
      <c r="R3099" s="2" t="s">
        <v>100</v>
      </c>
      <c r="S3099" s="2" t="s">
        <v>10242</v>
      </c>
      <c r="T3099" s="2" t="s">
        <v>5161</v>
      </c>
      <c r="U3099" s="2" t="s">
        <v>1228</v>
      </c>
      <c r="V3099" s="2" t="s">
        <v>461</v>
      </c>
      <c r="W3099" s="2" t="s">
        <v>609</v>
      </c>
      <c r="X3099" s="2" t="s">
        <v>493</v>
      </c>
      <c r="Y3099" s="2" t="s">
        <v>144</v>
      </c>
      <c r="Z3099" s="4">
        <v>3</v>
      </c>
      <c r="AA3099" s="4">
        <f>=ROUNDDOWN(0.333333333333333,0)</f>
      </c>
      <c r="AB3099" s="5">
        <v>9</v>
      </c>
      <c r="AC3099" s="2" t="s">
        <v>1142</v>
      </c>
      <c r="AD3099" s="4">
        <v>90</v>
      </c>
      <c r="AE3099" s="4">
        <v>240</v>
      </c>
      <c r="AF3099" s="6">
        <v>65</v>
      </c>
      <c r="AG3099" s="6"/>
      <c r="AH3099" s="7">
        <v>0.9677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2</v>
      </c>
      <c r="AQ3099" s="8">
        <v>51.02</v>
      </c>
      <c r="AR3099" s="4"/>
      <c r="AS3099" s="8"/>
      <c r="AT3099" s="7"/>
      <c r="AU3099" s="7"/>
      <c r="AV3099" s="4" t="s">
        <v>100</v>
      </c>
      <c r="AW3099" s="8" t="s">
        <v>100</v>
      </c>
      <c r="AX3099" s="4" t="s">
        <v>100</v>
      </c>
      <c r="AY3099" s="8" t="s">
        <v>100</v>
      </c>
      <c r="AZ3099" s="7" t="s">
        <v>100</v>
      </c>
      <c r="BA3099" s="7" t="s">
        <v>100</v>
      </c>
      <c r="BB3099" s="7">
        <v>1</v>
      </c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 t="s">
        <v>100</v>
      </c>
      <c r="BJ3099" s="4">
        <v>10</v>
      </c>
      <c r="BK3099" s="8">
        <v>277.72</v>
      </c>
      <c r="BL3099" s="2" t="s">
        <v>10245</v>
      </c>
      <c r="BM3099" s="7">
        <v>0.2</v>
      </c>
      <c r="BN3099" s="7">
        <v>0.1837</v>
      </c>
      <c r="BO3099" s="4">
        <v>2</v>
      </c>
      <c r="BP3099" s="8">
        <v>51.02</v>
      </c>
      <c r="BQ3099" s="4"/>
      <c r="BR3099" s="8"/>
      <c r="BS3099" s="7"/>
      <c r="BT3099" s="7"/>
      <c r="BU3099" s="2" t="s">
        <v>109</v>
      </c>
      <c r="BV3099" s="2" t="s">
        <v>97</v>
      </c>
      <c r="BW3099" s="2" t="s">
        <v>464</v>
      </c>
      <c r="BX3099" s="2" t="s">
        <v>4166</v>
      </c>
      <c r="BY3099" s="2" t="s">
        <v>112</v>
      </c>
      <c r="BZ3099" s="2" t="s">
        <v>100</v>
      </c>
    </row>
    <row r="3100">
      <c r="A3100" s="2" t="s">
        <v>10246</v>
      </c>
      <c r="B3100" s="2" t="s">
        <v>9043</v>
      </c>
      <c r="C3100" s="2" t="s">
        <v>4466</v>
      </c>
      <c r="D3100" s="2" t="s">
        <v>9044</v>
      </c>
      <c r="E3100" s="2" t="s">
        <v>9045</v>
      </c>
      <c r="F3100" s="2" t="s">
        <v>10241</v>
      </c>
      <c r="G3100" s="2" t="s">
        <v>10241</v>
      </c>
      <c r="H3100" s="2" t="s">
        <v>10241</v>
      </c>
      <c r="I3100" s="2" t="s">
        <v>9627</v>
      </c>
      <c r="J3100" s="2" t="s">
        <v>95</v>
      </c>
      <c r="K3100" s="2" t="s">
        <v>256</v>
      </c>
      <c r="L3100" s="3">
        <v>28.2</v>
      </c>
      <c r="M3100" s="3">
        <v>29.61</v>
      </c>
      <c r="N3100" s="3">
        <v>59.99</v>
      </c>
      <c r="O3100" s="2" t="s">
        <v>97</v>
      </c>
      <c r="P3100" s="2" t="s">
        <v>156</v>
      </c>
      <c r="Q3100" s="2" t="s">
        <v>99</v>
      </c>
      <c r="R3100" s="2" t="s">
        <v>100</v>
      </c>
      <c r="S3100" s="2" t="s">
        <v>10242</v>
      </c>
      <c r="T3100" s="2" t="s">
        <v>5161</v>
      </c>
      <c r="U3100" s="2" t="s">
        <v>1228</v>
      </c>
      <c r="V3100" s="2" t="s">
        <v>461</v>
      </c>
      <c r="W3100" s="2" t="s">
        <v>609</v>
      </c>
      <c r="X3100" s="2" t="s">
        <v>493</v>
      </c>
      <c r="Y3100" s="2" t="s">
        <v>144</v>
      </c>
      <c r="Z3100" s="4"/>
      <c r="AA3100" s="4">
        <f>=ROUNDDOWN({0},0)</f>
      </c>
      <c r="AB3100" s="5">
        <v>26</v>
      </c>
      <c r="AC3100" s="2" t="s">
        <v>1142</v>
      </c>
      <c r="AD3100" s="4">
        <v>220</v>
      </c>
      <c r="AE3100" s="4">
        <v>630</v>
      </c>
      <c r="AF3100" s="6">
        <v>65</v>
      </c>
      <c r="AG3100" s="6"/>
      <c r="AH3100" s="7">
        <v>0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 t="s">
        <v>100</v>
      </c>
      <c r="AW3100" s="8" t="s">
        <v>100</v>
      </c>
      <c r="AX3100" s="4" t="s">
        <v>100</v>
      </c>
      <c r="AY3100" s="8" t="s">
        <v>100</v>
      </c>
      <c r="AZ3100" s="7" t="s">
        <v>100</v>
      </c>
      <c r="BA3100" s="7" t="s">
        <v>100</v>
      </c>
      <c r="BB3100" s="7"/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 t="s">
        <v>100</v>
      </c>
      <c r="BJ3100" s="4"/>
      <c r="BK3100" s="8"/>
      <c r="BL3100" s="2" t="s">
        <v>100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109</v>
      </c>
      <c r="BV3100" s="2" t="s">
        <v>97</v>
      </c>
      <c r="BW3100" s="2" t="s">
        <v>464</v>
      </c>
      <c r="BX3100" s="2" t="s">
        <v>10247</v>
      </c>
      <c r="BY3100" s="2" t="s">
        <v>112</v>
      </c>
      <c r="BZ3100" s="2" t="s">
        <v>100</v>
      </c>
    </row>
    <row r="3101">
      <c r="A3101" s="2" t="s">
        <v>10248</v>
      </c>
      <c r="B3101" s="2" t="s">
        <v>9043</v>
      </c>
      <c r="C3101" s="2" t="s">
        <v>4466</v>
      </c>
      <c r="D3101" s="2" t="s">
        <v>9044</v>
      </c>
      <c r="E3101" s="2" t="s">
        <v>9045</v>
      </c>
      <c r="F3101" s="2" t="s">
        <v>10241</v>
      </c>
      <c r="G3101" s="2" t="s">
        <v>10241</v>
      </c>
      <c r="H3101" s="2" t="s">
        <v>10241</v>
      </c>
      <c r="I3101" s="2" t="s">
        <v>9627</v>
      </c>
      <c r="J3101" s="2" t="s">
        <v>114</v>
      </c>
      <c r="K3101" s="2" t="s">
        <v>256</v>
      </c>
      <c r="L3101" s="3">
        <v>31.2</v>
      </c>
      <c r="M3101" s="3">
        <v>32.76</v>
      </c>
      <c r="N3101" s="3">
        <v>64.99</v>
      </c>
      <c r="O3101" s="2" t="s">
        <v>97</v>
      </c>
      <c r="P3101" s="2" t="s">
        <v>98</v>
      </c>
      <c r="Q3101" s="2" t="s">
        <v>99</v>
      </c>
      <c r="R3101" s="2" t="s">
        <v>100</v>
      </c>
      <c r="S3101" s="2" t="s">
        <v>10242</v>
      </c>
      <c r="T3101" s="2" t="s">
        <v>5161</v>
      </c>
      <c r="U3101" s="2" t="s">
        <v>1228</v>
      </c>
      <c r="V3101" s="2" t="s">
        <v>461</v>
      </c>
      <c r="W3101" s="2" t="s">
        <v>609</v>
      </c>
      <c r="X3101" s="2" t="s">
        <v>493</v>
      </c>
      <c r="Y3101" s="2" t="s">
        <v>144</v>
      </c>
      <c r="Z3101" s="4">
        <v>2</v>
      </c>
      <c r="AA3101" s="4">
        <f>=ROUNDDOWN(0.153846153846154,0)</f>
      </c>
      <c r="AB3101" s="5">
        <v>13</v>
      </c>
      <c r="AC3101" s="2" t="s">
        <v>1142</v>
      </c>
      <c r="AD3101" s="4">
        <v>110</v>
      </c>
      <c r="AE3101" s="4">
        <v>300</v>
      </c>
      <c r="AF3101" s="6">
        <v>65</v>
      </c>
      <c r="AG3101" s="6"/>
      <c r="AH3101" s="7">
        <v>0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 t="s">
        <v>100</v>
      </c>
      <c r="AW3101" s="8" t="s">
        <v>100</v>
      </c>
      <c r="AX3101" s="4" t="s">
        <v>100</v>
      </c>
      <c r="AY3101" s="8" t="s">
        <v>100</v>
      </c>
      <c r="AZ3101" s="7" t="s">
        <v>100</v>
      </c>
      <c r="BA3101" s="7" t="s">
        <v>100</v>
      </c>
      <c r="BB3101" s="7"/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 t="s">
        <v>100</v>
      </c>
      <c r="BJ3101" s="4"/>
      <c r="BK3101" s="8"/>
      <c r="BL3101" s="2" t="s">
        <v>100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109</v>
      </c>
      <c r="BV3101" s="2" t="s">
        <v>97</v>
      </c>
      <c r="BW3101" s="2" t="s">
        <v>464</v>
      </c>
      <c r="BX3101" s="2" t="s">
        <v>870</v>
      </c>
      <c r="BY3101" s="2" t="s">
        <v>112</v>
      </c>
      <c r="BZ3101" s="2" t="s">
        <v>100</v>
      </c>
    </row>
    <row r="3102">
      <c r="A3102" s="2" t="s">
        <v>10249</v>
      </c>
      <c r="B3102" s="2" t="s">
        <v>9043</v>
      </c>
      <c r="C3102" s="2" t="s">
        <v>4466</v>
      </c>
      <c r="D3102" s="2" t="s">
        <v>9044</v>
      </c>
      <c r="E3102" s="2" t="s">
        <v>9045</v>
      </c>
      <c r="F3102" s="2" t="s">
        <v>10241</v>
      </c>
      <c r="G3102" s="2" t="s">
        <v>10241</v>
      </c>
      <c r="H3102" s="2" t="s">
        <v>10241</v>
      </c>
      <c r="I3102" s="2" t="s">
        <v>9627</v>
      </c>
      <c r="J3102" s="2" t="s">
        <v>118</v>
      </c>
      <c r="K3102" s="2" t="s">
        <v>256</v>
      </c>
      <c r="L3102" s="3">
        <v>31.85</v>
      </c>
      <c r="M3102" s="3">
        <v>33.44</v>
      </c>
      <c r="N3102" s="3">
        <v>64.99</v>
      </c>
      <c r="O3102" s="2" t="s">
        <v>97</v>
      </c>
      <c r="P3102" s="2" t="s">
        <v>98</v>
      </c>
      <c r="Q3102" s="2" t="s">
        <v>99</v>
      </c>
      <c r="R3102" s="2" t="s">
        <v>100</v>
      </c>
      <c r="S3102" s="2" t="s">
        <v>10242</v>
      </c>
      <c r="T3102" s="2" t="s">
        <v>5161</v>
      </c>
      <c r="U3102" s="2" t="s">
        <v>1228</v>
      </c>
      <c r="V3102" s="2" t="s">
        <v>461</v>
      </c>
      <c r="W3102" s="2" t="s">
        <v>609</v>
      </c>
      <c r="X3102" s="2" t="s">
        <v>493</v>
      </c>
      <c r="Y3102" s="2" t="s">
        <v>144</v>
      </c>
      <c r="Z3102" s="4">
        <v>3</v>
      </c>
      <c r="AA3102" s="4">
        <f>=ROUNDDOWN(0.5,0)</f>
      </c>
      <c r="AB3102" s="5">
        <v>6</v>
      </c>
      <c r="AC3102" s="2" t="s">
        <v>1142</v>
      </c>
      <c r="AD3102" s="4">
        <v>50</v>
      </c>
      <c r="AE3102" s="4">
        <v>150</v>
      </c>
      <c r="AF3102" s="6">
        <v>65</v>
      </c>
      <c r="AG3102" s="6"/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 t="s">
        <v>100</v>
      </c>
      <c r="AW3102" s="8" t="s">
        <v>100</v>
      </c>
      <c r="AX3102" s="4" t="s">
        <v>100</v>
      </c>
      <c r="AY3102" s="8" t="s">
        <v>100</v>
      </c>
      <c r="AZ3102" s="7" t="s">
        <v>100</v>
      </c>
      <c r="BA3102" s="7" t="s">
        <v>100</v>
      </c>
      <c r="BB3102" s="7"/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 t="s">
        <v>100</v>
      </c>
      <c r="BJ3102" s="4">
        <v>8</v>
      </c>
      <c r="BK3102" s="8">
        <v>279.32</v>
      </c>
      <c r="BL3102" s="2" t="s">
        <v>4485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109</v>
      </c>
      <c r="BV3102" s="2" t="s">
        <v>97</v>
      </c>
      <c r="BW3102" s="2" t="s">
        <v>464</v>
      </c>
      <c r="BX3102" s="2" t="s">
        <v>870</v>
      </c>
      <c r="BY3102" s="2" t="s">
        <v>112</v>
      </c>
      <c r="BZ3102" s="2" t="s">
        <v>100</v>
      </c>
    </row>
    <row r="3103">
      <c r="A3103" s="2" t="s">
        <v>10250</v>
      </c>
      <c r="B3103" s="2" t="s">
        <v>9043</v>
      </c>
      <c r="C3103" s="2" t="s">
        <v>4466</v>
      </c>
      <c r="D3103" s="2" t="s">
        <v>9044</v>
      </c>
      <c r="E3103" s="2" t="s">
        <v>9045</v>
      </c>
      <c r="F3103" s="2" t="s">
        <v>10241</v>
      </c>
      <c r="G3103" s="2" t="s">
        <v>10241</v>
      </c>
      <c r="H3103" s="2" t="s">
        <v>10241</v>
      </c>
      <c r="I3103" s="2" t="s">
        <v>9627</v>
      </c>
      <c r="J3103" s="2" t="s">
        <v>1443</v>
      </c>
      <c r="K3103" s="2" t="s">
        <v>96</v>
      </c>
      <c r="L3103" s="3">
        <v>21.62</v>
      </c>
      <c r="M3103" s="3">
        <v>22.7</v>
      </c>
      <c r="N3103" s="3">
        <v>46.99</v>
      </c>
      <c r="O3103" s="2" t="s">
        <v>97</v>
      </c>
      <c r="P3103" s="2" t="s">
        <v>98</v>
      </c>
      <c r="Q3103" s="2" t="s">
        <v>99</v>
      </c>
      <c r="R3103" s="2" t="s">
        <v>100</v>
      </c>
      <c r="S3103" s="2" t="s">
        <v>10251</v>
      </c>
      <c r="T3103" s="2" t="s">
        <v>5161</v>
      </c>
      <c r="U3103" s="2" t="s">
        <v>901</v>
      </c>
      <c r="V3103" s="2" t="s">
        <v>461</v>
      </c>
      <c r="W3103" s="2" t="s">
        <v>609</v>
      </c>
      <c r="X3103" s="2" t="s">
        <v>493</v>
      </c>
      <c r="Y3103" s="2" t="s">
        <v>144</v>
      </c>
      <c r="Z3103" s="4">
        <v>129</v>
      </c>
      <c r="AA3103" s="4">
        <f>=ROUNDDOWN(5.60869565217391,0)</f>
      </c>
      <c r="AB3103" s="5">
        <v>23</v>
      </c>
      <c r="AC3103" s="2" t="s">
        <v>1142</v>
      </c>
      <c r="AD3103" s="4">
        <v>130</v>
      </c>
      <c r="AE3103" s="4">
        <v>390</v>
      </c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>
        <v>1</v>
      </c>
      <c r="AW3103" s="8">
        <v>31.75</v>
      </c>
      <c r="AX3103" s="4" t="s">
        <v>100</v>
      </c>
      <c r="AY3103" s="8" t="s">
        <v>100</v>
      </c>
      <c r="AZ3103" s="7" t="s">
        <v>100</v>
      </c>
      <c r="BA3103" s="7" t="s">
        <v>100</v>
      </c>
      <c r="BB3103" s="7"/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>
        <v>0.3836</v>
      </c>
      <c r="BJ3103" s="4">
        <v>17</v>
      </c>
      <c r="BK3103" s="8">
        <v>402.38</v>
      </c>
      <c r="BL3103" s="2" t="s">
        <v>4492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109</v>
      </c>
      <c r="BV3103" s="2" t="s">
        <v>97</v>
      </c>
      <c r="BW3103" s="2" t="s">
        <v>464</v>
      </c>
      <c r="BX3103" s="2" t="s">
        <v>870</v>
      </c>
      <c r="BY3103" s="2" t="s">
        <v>112</v>
      </c>
      <c r="BZ3103" s="2" t="s">
        <v>100</v>
      </c>
    </row>
    <row r="3104">
      <c r="A3104" s="2" t="s">
        <v>10252</v>
      </c>
      <c r="B3104" s="2" t="s">
        <v>9043</v>
      </c>
      <c r="C3104" s="2" t="s">
        <v>4466</v>
      </c>
      <c r="D3104" s="2" t="s">
        <v>9044</v>
      </c>
      <c r="E3104" s="2" t="s">
        <v>9045</v>
      </c>
      <c r="F3104" s="2" t="s">
        <v>10241</v>
      </c>
      <c r="G3104" s="2" t="s">
        <v>10241</v>
      </c>
      <c r="H3104" s="2" t="s">
        <v>10241</v>
      </c>
      <c r="I3104" s="2" t="s">
        <v>9627</v>
      </c>
      <c r="J3104" s="2" t="s">
        <v>1806</v>
      </c>
      <c r="K3104" s="2" t="s">
        <v>96</v>
      </c>
      <c r="L3104" s="3">
        <v>23.04</v>
      </c>
      <c r="M3104" s="3">
        <v>24.19</v>
      </c>
      <c r="N3104" s="3">
        <v>47.99</v>
      </c>
      <c r="O3104" s="2" t="s">
        <v>97</v>
      </c>
      <c r="P3104" s="2" t="s">
        <v>98</v>
      </c>
      <c r="Q3104" s="2" t="s">
        <v>99</v>
      </c>
      <c r="R3104" s="2" t="s">
        <v>100</v>
      </c>
      <c r="S3104" s="2" t="s">
        <v>10251</v>
      </c>
      <c r="T3104" s="2" t="s">
        <v>5161</v>
      </c>
      <c r="U3104" s="2" t="s">
        <v>901</v>
      </c>
      <c r="V3104" s="2" t="s">
        <v>461</v>
      </c>
      <c r="W3104" s="2" t="s">
        <v>609</v>
      </c>
      <c r="X3104" s="2" t="s">
        <v>493</v>
      </c>
      <c r="Y3104" s="2" t="s">
        <v>144</v>
      </c>
      <c r="Z3104" s="4">
        <v>129</v>
      </c>
      <c r="AA3104" s="4">
        <f>=ROUNDDOWN(6.45,0)</f>
      </c>
      <c r="AB3104" s="5">
        <v>20</v>
      </c>
      <c r="AC3104" s="2" t="s">
        <v>1142</v>
      </c>
      <c r="AD3104" s="4">
        <v>140</v>
      </c>
      <c r="AE3104" s="4">
        <v>370</v>
      </c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 t="s">
        <v>100</v>
      </c>
      <c r="AW3104" s="8" t="s">
        <v>100</v>
      </c>
      <c r="AX3104" s="4" t="s">
        <v>100</v>
      </c>
      <c r="AY3104" s="8" t="s">
        <v>100</v>
      </c>
      <c r="AZ3104" s="7" t="s">
        <v>100</v>
      </c>
      <c r="BA3104" s="7" t="s">
        <v>100</v>
      </c>
      <c r="BB3104" s="7"/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 t="s">
        <v>100</v>
      </c>
      <c r="BJ3104" s="4">
        <v>15</v>
      </c>
      <c r="BK3104" s="8">
        <v>374.66</v>
      </c>
      <c r="BL3104" s="2" t="s">
        <v>9813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109</v>
      </c>
      <c r="BV3104" s="2" t="s">
        <v>97</v>
      </c>
      <c r="BW3104" s="2" t="s">
        <v>464</v>
      </c>
      <c r="BX3104" s="2" t="s">
        <v>5807</v>
      </c>
      <c r="BY3104" s="2" t="s">
        <v>112</v>
      </c>
      <c r="BZ3104" s="2" t="s">
        <v>100</v>
      </c>
    </row>
    <row r="3105">
      <c r="A3105" s="2" t="s">
        <v>10253</v>
      </c>
      <c r="B3105" s="2" t="s">
        <v>9043</v>
      </c>
      <c r="C3105" s="2" t="s">
        <v>4466</v>
      </c>
      <c r="D3105" s="2" t="s">
        <v>9044</v>
      </c>
      <c r="E3105" s="2" t="s">
        <v>9045</v>
      </c>
      <c r="F3105" s="2" t="s">
        <v>10241</v>
      </c>
      <c r="G3105" s="2" t="s">
        <v>10241</v>
      </c>
      <c r="H3105" s="2" t="s">
        <v>10241</v>
      </c>
      <c r="I3105" s="2" t="s">
        <v>9627</v>
      </c>
      <c r="J3105" s="2" t="s">
        <v>490</v>
      </c>
      <c r="K3105" s="2" t="s">
        <v>96</v>
      </c>
      <c r="L3105" s="3">
        <v>25.3</v>
      </c>
      <c r="M3105" s="3">
        <v>26.56</v>
      </c>
      <c r="N3105" s="3">
        <v>54.99</v>
      </c>
      <c r="O3105" s="2" t="s">
        <v>97</v>
      </c>
      <c r="P3105" s="2" t="s">
        <v>98</v>
      </c>
      <c r="Q3105" s="2" t="s">
        <v>99</v>
      </c>
      <c r="R3105" s="2" t="s">
        <v>100</v>
      </c>
      <c r="S3105" s="2" t="s">
        <v>10251</v>
      </c>
      <c r="T3105" s="2" t="s">
        <v>5161</v>
      </c>
      <c r="U3105" s="2" t="s">
        <v>1228</v>
      </c>
      <c r="V3105" s="2" t="s">
        <v>461</v>
      </c>
      <c r="W3105" s="2" t="s">
        <v>609</v>
      </c>
      <c r="X3105" s="2" t="s">
        <v>493</v>
      </c>
      <c r="Y3105" s="2" t="s">
        <v>144</v>
      </c>
      <c r="Z3105" s="4">
        <v>131</v>
      </c>
      <c r="AA3105" s="4">
        <f>=ROUNDDOWN(6.23809523809524,0)</f>
      </c>
      <c r="AB3105" s="5">
        <v>21</v>
      </c>
      <c r="AC3105" s="2" t="s">
        <v>1142</v>
      </c>
      <c r="AD3105" s="4">
        <v>100</v>
      </c>
      <c r="AE3105" s="4">
        <v>410</v>
      </c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 t="s">
        <v>100</v>
      </c>
      <c r="AW3105" s="8" t="s">
        <v>100</v>
      </c>
      <c r="AX3105" s="4" t="s">
        <v>100</v>
      </c>
      <c r="AY3105" s="8" t="s">
        <v>100</v>
      </c>
      <c r="AZ3105" s="7" t="s">
        <v>100</v>
      </c>
      <c r="BA3105" s="7" t="s">
        <v>100</v>
      </c>
      <c r="BB3105" s="7"/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 t="s">
        <v>100</v>
      </c>
      <c r="BJ3105" s="4">
        <v>25</v>
      </c>
      <c r="BK3105" s="8">
        <v>680.23</v>
      </c>
      <c r="BL3105" s="2" t="s">
        <v>9653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109</v>
      </c>
      <c r="BV3105" s="2" t="s">
        <v>97</v>
      </c>
      <c r="BW3105" s="2" t="s">
        <v>464</v>
      </c>
      <c r="BX3105" s="2" t="s">
        <v>5451</v>
      </c>
      <c r="BY3105" s="2" t="s">
        <v>112</v>
      </c>
      <c r="BZ3105" s="2" t="s">
        <v>100</v>
      </c>
    </row>
    <row r="3106">
      <c r="A3106" s="2" t="s">
        <v>10254</v>
      </c>
      <c r="B3106" s="2" t="s">
        <v>9043</v>
      </c>
      <c r="C3106" s="2" t="s">
        <v>4466</v>
      </c>
      <c r="D3106" s="2" t="s">
        <v>9044</v>
      </c>
      <c r="E3106" s="2" t="s">
        <v>9045</v>
      </c>
      <c r="F3106" s="2" t="s">
        <v>10241</v>
      </c>
      <c r="G3106" s="2" t="s">
        <v>10241</v>
      </c>
      <c r="H3106" s="2" t="s">
        <v>10241</v>
      </c>
      <c r="I3106" s="2" t="s">
        <v>9627</v>
      </c>
      <c r="J3106" s="2" t="s">
        <v>95</v>
      </c>
      <c r="K3106" s="2" t="s">
        <v>96</v>
      </c>
      <c r="L3106" s="3">
        <v>28.2</v>
      </c>
      <c r="M3106" s="3">
        <v>29.61</v>
      </c>
      <c r="N3106" s="3">
        <v>59.99</v>
      </c>
      <c r="O3106" s="2" t="s">
        <v>97</v>
      </c>
      <c r="P3106" s="2" t="s">
        <v>317</v>
      </c>
      <c r="Q3106" s="2" t="s">
        <v>99</v>
      </c>
      <c r="R3106" s="2" t="s">
        <v>100</v>
      </c>
      <c r="S3106" s="2" t="s">
        <v>10251</v>
      </c>
      <c r="T3106" s="2" t="s">
        <v>5161</v>
      </c>
      <c r="U3106" s="2" t="s">
        <v>1228</v>
      </c>
      <c r="V3106" s="2" t="s">
        <v>461</v>
      </c>
      <c r="W3106" s="2" t="s">
        <v>609</v>
      </c>
      <c r="X3106" s="2" t="s">
        <v>493</v>
      </c>
      <c r="Y3106" s="2" t="s">
        <v>144</v>
      </c>
      <c r="Z3106" s="4">
        <v>3</v>
      </c>
      <c r="AA3106" s="4">
        <f>=ROUNDDOWN(0.0535714285714286,0)</f>
      </c>
      <c r="AB3106" s="5">
        <v>56</v>
      </c>
      <c r="AC3106" s="2" t="s">
        <v>1142</v>
      </c>
      <c r="AD3106" s="4">
        <v>460</v>
      </c>
      <c r="AE3106" s="4">
        <v>1300</v>
      </c>
      <c r="AF3106" s="6">
        <v>65</v>
      </c>
      <c r="AG3106" s="6"/>
      <c r="AH3106" s="7">
        <v>0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 t="s">
        <v>100</v>
      </c>
      <c r="AW3106" s="8" t="s">
        <v>100</v>
      </c>
      <c r="AX3106" s="4" t="s">
        <v>100</v>
      </c>
      <c r="AY3106" s="8" t="s">
        <v>100</v>
      </c>
      <c r="AZ3106" s="7" t="s">
        <v>100</v>
      </c>
      <c r="BA3106" s="7" t="s">
        <v>100</v>
      </c>
      <c r="BB3106" s="7"/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 t="s">
        <v>100</v>
      </c>
      <c r="BJ3106" s="4"/>
      <c r="BK3106" s="8"/>
      <c r="BL3106" s="2" t="s">
        <v>100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109</v>
      </c>
      <c r="BV3106" s="2" t="s">
        <v>97</v>
      </c>
      <c r="BW3106" s="2" t="s">
        <v>464</v>
      </c>
      <c r="BX3106" s="2" t="s">
        <v>5813</v>
      </c>
      <c r="BY3106" s="2" t="s">
        <v>112</v>
      </c>
      <c r="BZ3106" s="2" t="s">
        <v>100</v>
      </c>
    </row>
    <row r="3107">
      <c r="A3107" s="2" t="s">
        <v>10255</v>
      </c>
      <c r="B3107" s="2" t="s">
        <v>9043</v>
      </c>
      <c r="C3107" s="2" t="s">
        <v>4466</v>
      </c>
      <c r="D3107" s="2" t="s">
        <v>9044</v>
      </c>
      <c r="E3107" s="2" t="s">
        <v>9045</v>
      </c>
      <c r="F3107" s="2" t="s">
        <v>10241</v>
      </c>
      <c r="G3107" s="2" t="s">
        <v>10241</v>
      </c>
      <c r="H3107" s="2" t="s">
        <v>10241</v>
      </c>
      <c r="I3107" s="2" t="s">
        <v>9627</v>
      </c>
      <c r="J3107" s="2" t="s">
        <v>114</v>
      </c>
      <c r="K3107" s="2" t="s">
        <v>96</v>
      </c>
      <c r="L3107" s="3">
        <v>31.2</v>
      </c>
      <c r="M3107" s="3">
        <v>32.76</v>
      </c>
      <c r="N3107" s="3">
        <v>64.99</v>
      </c>
      <c r="O3107" s="2" t="s">
        <v>97</v>
      </c>
      <c r="P3107" s="2" t="s">
        <v>123</v>
      </c>
      <c r="Q3107" s="2" t="s">
        <v>99</v>
      </c>
      <c r="R3107" s="2" t="s">
        <v>100</v>
      </c>
      <c r="S3107" s="2" t="s">
        <v>10251</v>
      </c>
      <c r="T3107" s="2" t="s">
        <v>5161</v>
      </c>
      <c r="U3107" s="2" t="s">
        <v>1228</v>
      </c>
      <c r="V3107" s="2" t="s">
        <v>461</v>
      </c>
      <c r="W3107" s="2" t="s">
        <v>609</v>
      </c>
      <c r="X3107" s="2" t="s">
        <v>493</v>
      </c>
      <c r="Y3107" s="2" t="s">
        <v>144</v>
      </c>
      <c r="Z3107" s="4">
        <v>79</v>
      </c>
      <c r="AA3107" s="4">
        <f>=ROUNDDOWN(2.39393939393939,0)</f>
      </c>
      <c r="AB3107" s="5">
        <v>33</v>
      </c>
      <c r="AC3107" s="2" t="s">
        <v>1142</v>
      </c>
      <c r="AD3107" s="4">
        <v>260</v>
      </c>
      <c r="AE3107" s="4">
        <v>720</v>
      </c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 t="s">
        <v>100</v>
      </c>
      <c r="AW3107" s="8" t="s">
        <v>100</v>
      </c>
      <c r="AX3107" s="4" t="s">
        <v>100</v>
      </c>
      <c r="AY3107" s="8" t="s">
        <v>100</v>
      </c>
      <c r="AZ3107" s="7" t="s">
        <v>100</v>
      </c>
      <c r="BA3107" s="7" t="s">
        <v>100</v>
      </c>
      <c r="BB3107" s="7"/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 t="s">
        <v>100</v>
      </c>
      <c r="BJ3107" s="4">
        <v>28</v>
      </c>
      <c r="BK3107" s="8">
        <v>931.72</v>
      </c>
      <c r="BL3107" s="2" t="s">
        <v>10256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109</v>
      </c>
      <c r="BV3107" s="2" t="s">
        <v>97</v>
      </c>
      <c r="BW3107" s="2" t="s">
        <v>464</v>
      </c>
      <c r="BX3107" s="2" t="s">
        <v>5653</v>
      </c>
      <c r="BY3107" s="2" t="s">
        <v>112</v>
      </c>
      <c r="BZ3107" s="2" t="s">
        <v>100</v>
      </c>
    </row>
    <row r="3108">
      <c r="A3108" s="2" t="s">
        <v>10257</v>
      </c>
      <c r="B3108" s="2" t="s">
        <v>9043</v>
      </c>
      <c r="C3108" s="2" t="s">
        <v>4466</v>
      </c>
      <c r="D3108" s="2" t="s">
        <v>9044</v>
      </c>
      <c r="E3108" s="2" t="s">
        <v>9045</v>
      </c>
      <c r="F3108" s="2" t="s">
        <v>10241</v>
      </c>
      <c r="G3108" s="2" t="s">
        <v>10241</v>
      </c>
      <c r="H3108" s="2" t="s">
        <v>10241</v>
      </c>
      <c r="I3108" s="2" t="s">
        <v>9627</v>
      </c>
      <c r="J3108" s="2" t="s">
        <v>118</v>
      </c>
      <c r="K3108" s="2" t="s">
        <v>96</v>
      </c>
      <c r="L3108" s="3">
        <v>31.85</v>
      </c>
      <c r="M3108" s="3">
        <v>33.44</v>
      </c>
      <c r="N3108" s="3">
        <v>64.99</v>
      </c>
      <c r="O3108" s="2" t="s">
        <v>97</v>
      </c>
      <c r="P3108" s="2" t="s">
        <v>156</v>
      </c>
      <c r="Q3108" s="2" t="s">
        <v>99</v>
      </c>
      <c r="R3108" s="2" t="s">
        <v>100</v>
      </c>
      <c r="S3108" s="2" t="s">
        <v>10251</v>
      </c>
      <c r="T3108" s="2" t="s">
        <v>5161</v>
      </c>
      <c r="U3108" s="2" t="s">
        <v>1228</v>
      </c>
      <c r="V3108" s="2" t="s">
        <v>461</v>
      </c>
      <c r="W3108" s="2" t="s">
        <v>609</v>
      </c>
      <c r="X3108" s="2" t="s">
        <v>493</v>
      </c>
      <c r="Y3108" s="2" t="s">
        <v>144</v>
      </c>
      <c r="Z3108" s="4">
        <v>3</v>
      </c>
      <c r="AA3108" s="4">
        <f>=ROUNDDOWN(0.15,0)</f>
      </c>
      <c r="AB3108" s="5">
        <v>20</v>
      </c>
      <c r="AC3108" s="2" t="s">
        <v>1142</v>
      </c>
      <c r="AD3108" s="4">
        <v>150</v>
      </c>
      <c r="AE3108" s="4">
        <v>440</v>
      </c>
      <c r="AF3108" s="6">
        <v>65</v>
      </c>
      <c r="AG3108" s="6"/>
      <c r="AH3108" s="7">
        <v>0.3871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1</v>
      </c>
      <c r="AQ3108" s="8">
        <v>31.75</v>
      </c>
      <c r="AR3108" s="4"/>
      <c r="AS3108" s="8"/>
      <c r="AT3108" s="7"/>
      <c r="AU3108" s="7"/>
      <c r="AV3108" s="4" t="s">
        <v>100</v>
      </c>
      <c r="AW3108" s="8" t="s">
        <v>100</v>
      </c>
      <c r="AX3108" s="4" t="s">
        <v>100</v>
      </c>
      <c r="AY3108" s="8" t="s">
        <v>100</v>
      </c>
      <c r="AZ3108" s="7" t="s">
        <v>100</v>
      </c>
      <c r="BA3108" s="7" t="s">
        <v>100</v>
      </c>
      <c r="BB3108" s="7">
        <v>1</v>
      </c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 t="s">
        <v>100</v>
      </c>
      <c r="BJ3108" s="4">
        <v>1</v>
      </c>
      <c r="BK3108" s="8">
        <v>31.75</v>
      </c>
      <c r="BL3108" s="2" t="s">
        <v>16</v>
      </c>
      <c r="BM3108" s="7">
        <v>1</v>
      </c>
      <c r="BN3108" s="7">
        <v>1</v>
      </c>
      <c r="BO3108" s="4">
        <v>1</v>
      </c>
      <c r="BP3108" s="8">
        <v>31.75</v>
      </c>
      <c r="BQ3108" s="4"/>
      <c r="BR3108" s="8"/>
      <c r="BS3108" s="7"/>
      <c r="BT3108" s="7"/>
      <c r="BU3108" s="2" t="s">
        <v>109</v>
      </c>
      <c r="BV3108" s="2" t="s">
        <v>97</v>
      </c>
      <c r="BW3108" s="2" t="s">
        <v>464</v>
      </c>
      <c r="BX3108" s="2" t="s">
        <v>1892</v>
      </c>
      <c r="BY3108" s="2" t="s">
        <v>112</v>
      </c>
      <c r="BZ3108" s="2" t="s">
        <v>100</v>
      </c>
    </row>
    <row r="3109">
      <c r="A3109" s="2" t="s">
        <v>10258</v>
      </c>
      <c r="B3109" s="2" t="s">
        <v>9043</v>
      </c>
      <c r="C3109" s="2" t="s">
        <v>4466</v>
      </c>
      <c r="D3109" s="2" t="s">
        <v>9044</v>
      </c>
      <c r="E3109" s="2" t="s">
        <v>9045</v>
      </c>
      <c r="F3109" s="2" t="s">
        <v>10241</v>
      </c>
      <c r="G3109" s="2" t="s">
        <v>10241</v>
      </c>
      <c r="H3109" s="2" t="s">
        <v>10241</v>
      </c>
      <c r="I3109" s="2" t="s">
        <v>9627</v>
      </c>
      <c r="J3109" s="2" t="s">
        <v>1443</v>
      </c>
      <c r="K3109" s="2" t="s">
        <v>165</v>
      </c>
      <c r="L3109" s="3">
        <v>21.62</v>
      </c>
      <c r="M3109" s="3">
        <v>22.7</v>
      </c>
      <c r="N3109" s="3">
        <v>46.99</v>
      </c>
      <c r="O3109" s="2" t="s">
        <v>97</v>
      </c>
      <c r="P3109" s="2" t="s">
        <v>98</v>
      </c>
      <c r="Q3109" s="2" t="s">
        <v>99</v>
      </c>
      <c r="R3109" s="2" t="s">
        <v>100</v>
      </c>
      <c r="S3109" s="2" t="s">
        <v>10259</v>
      </c>
      <c r="T3109" s="2" t="s">
        <v>5161</v>
      </c>
      <c r="U3109" s="2" t="s">
        <v>901</v>
      </c>
      <c r="V3109" s="2" t="s">
        <v>461</v>
      </c>
      <c r="W3109" s="2" t="s">
        <v>609</v>
      </c>
      <c r="X3109" s="2" t="s">
        <v>493</v>
      </c>
      <c r="Y3109" s="2" t="s">
        <v>920</v>
      </c>
      <c r="Z3109" s="4">
        <v>3</v>
      </c>
      <c r="AA3109" s="4">
        <f>=ROUNDDOWN(0.428571428571429,0)</f>
      </c>
      <c r="AB3109" s="5">
        <v>7</v>
      </c>
      <c r="AC3109" s="2" t="s">
        <v>1142</v>
      </c>
      <c r="AD3109" s="4">
        <v>60</v>
      </c>
      <c r="AE3109" s="4">
        <v>160</v>
      </c>
      <c r="AF3109" s="6">
        <v>65</v>
      </c>
      <c r="AG3109" s="6"/>
      <c r="AH3109" s="7">
        <v>0.0323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/>
      <c r="AQ3109" s="8"/>
      <c r="AR3109" s="4"/>
      <c r="AS3109" s="8"/>
      <c r="AT3109" s="7"/>
      <c r="AU3109" s="7"/>
      <c r="AV3109" s="4" t="s">
        <v>100</v>
      </c>
      <c r="AW3109" s="8" t="s">
        <v>100</v>
      </c>
      <c r="AX3109" s="4" t="s">
        <v>100</v>
      </c>
      <c r="AY3109" s="8" t="s">
        <v>100</v>
      </c>
      <c r="AZ3109" s="7" t="s">
        <v>100</v>
      </c>
      <c r="BA3109" s="7" t="s">
        <v>100</v>
      </c>
      <c r="BB3109" s="7"/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 t="s">
        <v>100</v>
      </c>
      <c r="BJ3109" s="4">
        <v>1</v>
      </c>
      <c r="BK3109" s="8">
        <v>24.52</v>
      </c>
      <c r="BL3109" s="2" t="s">
        <v>4176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171</v>
      </c>
      <c r="BV3109" s="2" t="s">
        <v>97</v>
      </c>
      <c r="BW3109" s="2" t="s">
        <v>100</v>
      </c>
      <c r="BX3109" s="2" t="s">
        <v>100</v>
      </c>
      <c r="BY3109" s="2" t="s">
        <v>112</v>
      </c>
      <c r="BZ3109" s="2" t="s">
        <v>100</v>
      </c>
    </row>
    <row r="3110">
      <c r="A3110" s="2" t="s">
        <v>10260</v>
      </c>
      <c r="B3110" s="2" t="s">
        <v>9043</v>
      </c>
      <c r="C3110" s="2" t="s">
        <v>4466</v>
      </c>
      <c r="D3110" s="2" t="s">
        <v>9044</v>
      </c>
      <c r="E3110" s="2" t="s">
        <v>9045</v>
      </c>
      <c r="F3110" s="2" t="s">
        <v>10241</v>
      </c>
      <c r="G3110" s="2" t="s">
        <v>10241</v>
      </c>
      <c r="H3110" s="2" t="s">
        <v>10241</v>
      </c>
      <c r="I3110" s="2" t="s">
        <v>9627</v>
      </c>
      <c r="J3110" s="2" t="s">
        <v>1806</v>
      </c>
      <c r="K3110" s="2" t="s">
        <v>165</v>
      </c>
      <c r="L3110" s="3">
        <v>23.04</v>
      </c>
      <c r="M3110" s="3">
        <v>24.19</v>
      </c>
      <c r="N3110" s="3">
        <v>47.99</v>
      </c>
      <c r="O3110" s="2" t="s">
        <v>97</v>
      </c>
      <c r="P3110" s="2" t="s">
        <v>98</v>
      </c>
      <c r="Q3110" s="2" t="s">
        <v>99</v>
      </c>
      <c r="R3110" s="2" t="s">
        <v>100</v>
      </c>
      <c r="S3110" s="2" t="s">
        <v>10259</v>
      </c>
      <c r="T3110" s="2" t="s">
        <v>5161</v>
      </c>
      <c r="U3110" s="2" t="s">
        <v>901</v>
      </c>
      <c r="V3110" s="2" t="s">
        <v>461</v>
      </c>
      <c r="W3110" s="2" t="s">
        <v>609</v>
      </c>
      <c r="X3110" s="2" t="s">
        <v>493</v>
      </c>
      <c r="Y3110" s="2" t="s">
        <v>920</v>
      </c>
      <c r="Z3110" s="4">
        <v>6</v>
      </c>
      <c r="AA3110" s="4">
        <f>=ROUNDDOWN(1.5,0)</f>
      </c>
      <c r="AB3110" s="5">
        <v>4</v>
      </c>
      <c r="AC3110" s="2" t="s">
        <v>1142</v>
      </c>
      <c r="AD3110" s="4">
        <v>40</v>
      </c>
      <c r="AE3110" s="4">
        <v>100</v>
      </c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 t="s">
        <v>100</v>
      </c>
      <c r="AW3110" s="8" t="s">
        <v>100</v>
      </c>
      <c r="AX3110" s="4" t="s">
        <v>100</v>
      </c>
      <c r="AY3110" s="8" t="s">
        <v>100</v>
      </c>
      <c r="AZ3110" s="7" t="s">
        <v>100</v>
      </c>
      <c r="BA3110" s="7" t="s">
        <v>100</v>
      </c>
      <c r="BB3110" s="7"/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 t="s">
        <v>100</v>
      </c>
      <c r="BJ3110" s="4">
        <v>7</v>
      </c>
      <c r="BK3110" s="8">
        <v>178.17</v>
      </c>
      <c r="BL3110" s="2" t="s">
        <v>5666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171</v>
      </c>
      <c r="BV3110" s="2" t="s">
        <v>97</v>
      </c>
      <c r="BW3110" s="2" t="s">
        <v>100</v>
      </c>
      <c r="BX3110" s="2" t="s">
        <v>100</v>
      </c>
      <c r="BY3110" s="2" t="s">
        <v>112</v>
      </c>
      <c r="BZ3110" s="2" t="s">
        <v>100</v>
      </c>
    </row>
    <row r="3111">
      <c r="A3111" s="2" t="s">
        <v>10261</v>
      </c>
      <c r="B3111" s="2" t="s">
        <v>9043</v>
      </c>
      <c r="C3111" s="2" t="s">
        <v>4466</v>
      </c>
      <c r="D3111" s="2" t="s">
        <v>9044</v>
      </c>
      <c r="E3111" s="2" t="s">
        <v>9045</v>
      </c>
      <c r="F3111" s="2" t="s">
        <v>10241</v>
      </c>
      <c r="G3111" s="2" t="s">
        <v>10241</v>
      </c>
      <c r="H3111" s="2" t="s">
        <v>10241</v>
      </c>
      <c r="I3111" s="2" t="s">
        <v>9627</v>
      </c>
      <c r="J3111" s="2" t="s">
        <v>490</v>
      </c>
      <c r="K3111" s="2" t="s">
        <v>165</v>
      </c>
      <c r="L3111" s="3">
        <v>25.3</v>
      </c>
      <c r="M3111" s="3">
        <v>26.56</v>
      </c>
      <c r="N3111" s="3">
        <v>54.99</v>
      </c>
      <c r="O3111" s="2" t="s">
        <v>97</v>
      </c>
      <c r="P3111" s="2" t="s">
        <v>98</v>
      </c>
      <c r="Q3111" s="2" t="s">
        <v>99</v>
      </c>
      <c r="R3111" s="2" t="s">
        <v>100</v>
      </c>
      <c r="S3111" s="2" t="s">
        <v>10259</v>
      </c>
      <c r="T3111" s="2" t="s">
        <v>5161</v>
      </c>
      <c r="U3111" s="2" t="s">
        <v>1228</v>
      </c>
      <c r="V3111" s="2" t="s">
        <v>461</v>
      </c>
      <c r="W3111" s="2" t="s">
        <v>609</v>
      </c>
      <c r="X3111" s="2" t="s">
        <v>493</v>
      </c>
      <c r="Y3111" s="2" t="s">
        <v>920</v>
      </c>
      <c r="Z3111" s="4">
        <v>42</v>
      </c>
      <c r="AA3111" s="4">
        <f>=ROUNDDOWN(6,0)</f>
      </c>
      <c r="AB3111" s="5">
        <v>7</v>
      </c>
      <c r="AC3111" s="2" t="s">
        <v>1142</v>
      </c>
      <c r="AD3111" s="4">
        <v>60</v>
      </c>
      <c r="AE3111" s="4">
        <v>180</v>
      </c>
      <c r="AF3111" s="6">
        <v>65</v>
      </c>
      <c r="AG3111" s="6"/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 t="s">
        <v>100</v>
      </c>
      <c r="AW3111" s="8" t="s">
        <v>100</v>
      </c>
      <c r="AX3111" s="4" t="s">
        <v>100</v>
      </c>
      <c r="AY3111" s="8" t="s">
        <v>100</v>
      </c>
      <c r="AZ3111" s="7" t="s">
        <v>100</v>
      </c>
      <c r="BA3111" s="7" t="s">
        <v>100</v>
      </c>
      <c r="BB3111" s="7"/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 t="s">
        <v>100</v>
      </c>
      <c r="BJ3111" s="4">
        <v>8</v>
      </c>
      <c r="BK3111" s="8">
        <v>224.42</v>
      </c>
      <c r="BL3111" s="2" t="s">
        <v>10221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171</v>
      </c>
      <c r="BV3111" s="2" t="s">
        <v>97</v>
      </c>
      <c r="BW3111" s="2" t="s">
        <v>100</v>
      </c>
      <c r="BX3111" s="2" t="s">
        <v>100</v>
      </c>
      <c r="BY3111" s="2" t="s">
        <v>112</v>
      </c>
      <c r="BZ3111" s="2" t="s">
        <v>100</v>
      </c>
    </row>
    <row r="3112">
      <c r="A3112" s="2" t="s">
        <v>10262</v>
      </c>
      <c r="B3112" s="2" t="s">
        <v>9043</v>
      </c>
      <c r="C3112" s="2" t="s">
        <v>4466</v>
      </c>
      <c r="D3112" s="2" t="s">
        <v>9044</v>
      </c>
      <c r="E3112" s="2" t="s">
        <v>9045</v>
      </c>
      <c r="F3112" s="2" t="s">
        <v>10241</v>
      </c>
      <c r="G3112" s="2" t="s">
        <v>10241</v>
      </c>
      <c r="H3112" s="2" t="s">
        <v>10241</v>
      </c>
      <c r="I3112" s="2" t="s">
        <v>9627</v>
      </c>
      <c r="J3112" s="2" t="s">
        <v>95</v>
      </c>
      <c r="K3112" s="2" t="s">
        <v>165</v>
      </c>
      <c r="L3112" s="3">
        <v>28.2</v>
      </c>
      <c r="M3112" s="3">
        <v>29.61</v>
      </c>
      <c r="N3112" s="3">
        <v>59.99</v>
      </c>
      <c r="O3112" s="2" t="s">
        <v>97</v>
      </c>
      <c r="P3112" s="2" t="s">
        <v>156</v>
      </c>
      <c r="Q3112" s="2" t="s">
        <v>99</v>
      </c>
      <c r="R3112" s="2" t="s">
        <v>100</v>
      </c>
      <c r="S3112" s="2" t="s">
        <v>10259</v>
      </c>
      <c r="T3112" s="2" t="s">
        <v>5161</v>
      </c>
      <c r="U3112" s="2" t="s">
        <v>1228</v>
      </c>
      <c r="V3112" s="2" t="s">
        <v>461</v>
      </c>
      <c r="W3112" s="2" t="s">
        <v>609</v>
      </c>
      <c r="X3112" s="2" t="s">
        <v>493</v>
      </c>
      <c r="Y3112" s="2" t="s">
        <v>920</v>
      </c>
      <c r="Z3112" s="4"/>
      <c r="AA3112" s="4">
        <f>=ROUNDDOWN({0},0)</f>
      </c>
      <c r="AB3112" s="5">
        <v>21</v>
      </c>
      <c r="AC3112" s="2" t="s">
        <v>1142</v>
      </c>
      <c r="AD3112" s="4">
        <v>180</v>
      </c>
      <c r="AE3112" s="4">
        <v>500</v>
      </c>
      <c r="AF3112" s="6">
        <v>65</v>
      </c>
      <c r="AG3112" s="6"/>
      <c r="AH3112" s="7">
        <v>0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 t="s">
        <v>100</v>
      </c>
      <c r="AW3112" s="8" t="s">
        <v>100</v>
      </c>
      <c r="AX3112" s="4" t="s">
        <v>100</v>
      </c>
      <c r="AY3112" s="8" t="s">
        <v>100</v>
      </c>
      <c r="AZ3112" s="7" t="s">
        <v>100</v>
      </c>
      <c r="BA3112" s="7" t="s">
        <v>100</v>
      </c>
      <c r="BB3112" s="7"/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 t="s">
        <v>100</v>
      </c>
      <c r="BJ3112" s="4"/>
      <c r="BK3112" s="8"/>
      <c r="BL3112" s="2" t="s">
        <v>100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171</v>
      </c>
      <c r="BV3112" s="2" t="s">
        <v>97</v>
      </c>
      <c r="BW3112" s="2" t="s">
        <v>100</v>
      </c>
      <c r="BX3112" s="2" t="s">
        <v>100</v>
      </c>
      <c r="BY3112" s="2" t="s">
        <v>112</v>
      </c>
      <c r="BZ3112" s="2" t="s">
        <v>100</v>
      </c>
    </row>
    <row r="3113">
      <c r="A3113" s="2" t="s">
        <v>10263</v>
      </c>
      <c r="B3113" s="2" t="s">
        <v>9043</v>
      </c>
      <c r="C3113" s="2" t="s">
        <v>4466</v>
      </c>
      <c r="D3113" s="2" t="s">
        <v>9044</v>
      </c>
      <c r="E3113" s="2" t="s">
        <v>9045</v>
      </c>
      <c r="F3113" s="2" t="s">
        <v>10241</v>
      </c>
      <c r="G3113" s="2" t="s">
        <v>10241</v>
      </c>
      <c r="H3113" s="2" t="s">
        <v>10241</v>
      </c>
      <c r="I3113" s="2" t="s">
        <v>9627</v>
      </c>
      <c r="J3113" s="2" t="s">
        <v>114</v>
      </c>
      <c r="K3113" s="2" t="s">
        <v>165</v>
      </c>
      <c r="L3113" s="3">
        <v>31.2</v>
      </c>
      <c r="M3113" s="3">
        <v>32.76</v>
      </c>
      <c r="N3113" s="3">
        <v>64.99</v>
      </c>
      <c r="O3113" s="2" t="s">
        <v>97</v>
      </c>
      <c r="P3113" s="2" t="s">
        <v>98</v>
      </c>
      <c r="Q3113" s="2" t="s">
        <v>99</v>
      </c>
      <c r="R3113" s="2" t="s">
        <v>100</v>
      </c>
      <c r="S3113" s="2" t="s">
        <v>10259</v>
      </c>
      <c r="T3113" s="2" t="s">
        <v>5161</v>
      </c>
      <c r="U3113" s="2" t="s">
        <v>1228</v>
      </c>
      <c r="V3113" s="2" t="s">
        <v>461</v>
      </c>
      <c r="W3113" s="2" t="s">
        <v>609</v>
      </c>
      <c r="X3113" s="2" t="s">
        <v>493</v>
      </c>
      <c r="Y3113" s="2" t="s">
        <v>920</v>
      </c>
      <c r="Z3113" s="4"/>
      <c r="AA3113" s="4">
        <f>=ROUNDDOWN({0},0)</f>
      </c>
      <c r="AB3113" s="5">
        <v>12</v>
      </c>
      <c r="AC3113" s="2" t="s">
        <v>1142</v>
      </c>
      <c r="AD3113" s="4">
        <v>110</v>
      </c>
      <c r="AE3113" s="4">
        <v>290</v>
      </c>
      <c r="AF3113" s="6">
        <v>65</v>
      </c>
      <c r="AG3113" s="6"/>
      <c r="AH3113" s="7">
        <v>0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 t="s">
        <v>100</v>
      </c>
      <c r="AW3113" s="8" t="s">
        <v>100</v>
      </c>
      <c r="AX3113" s="4" t="s">
        <v>100</v>
      </c>
      <c r="AY3113" s="8" t="s">
        <v>100</v>
      </c>
      <c r="AZ3113" s="7" t="s">
        <v>100</v>
      </c>
      <c r="BA3113" s="7" t="s">
        <v>100</v>
      </c>
      <c r="BB3113" s="7"/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 t="s">
        <v>100</v>
      </c>
      <c r="BJ3113" s="4"/>
      <c r="BK3113" s="8"/>
      <c r="BL3113" s="2" t="s">
        <v>100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171</v>
      </c>
      <c r="BV3113" s="2" t="s">
        <v>97</v>
      </c>
      <c r="BW3113" s="2" t="s">
        <v>100</v>
      </c>
      <c r="BX3113" s="2" t="s">
        <v>100</v>
      </c>
      <c r="BY3113" s="2" t="s">
        <v>112</v>
      </c>
      <c r="BZ3113" s="2" t="s">
        <v>100</v>
      </c>
    </row>
    <row r="3114">
      <c r="A3114" s="2" t="s">
        <v>10264</v>
      </c>
      <c r="B3114" s="2" t="s">
        <v>9043</v>
      </c>
      <c r="C3114" s="2" t="s">
        <v>4466</v>
      </c>
      <c r="D3114" s="2" t="s">
        <v>9044</v>
      </c>
      <c r="E3114" s="2" t="s">
        <v>9045</v>
      </c>
      <c r="F3114" s="2" t="s">
        <v>10241</v>
      </c>
      <c r="G3114" s="2" t="s">
        <v>10241</v>
      </c>
      <c r="H3114" s="2" t="s">
        <v>10241</v>
      </c>
      <c r="I3114" s="2" t="s">
        <v>9627</v>
      </c>
      <c r="J3114" s="2" t="s">
        <v>118</v>
      </c>
      <c r="K3114" s="2" t="s">
        <v>165</v>
      </c>
      <c r="L3114" s="3">
        <v>31.85</v>
      </c>
      <c r="M3114" s="3">
        <v>33.44</v>
      </c>
      <c r="N3114" s="3">
        <v>64.99</v>
      </c>
      <c r="O3114" s="2" t="s">
        <v>97</v>
      </c>
      <c r="P3114" s="2" t="s">
        <v>98</v>
      </c>
      <c r="Q3114" s="2" t="s">
        <v>99</v>
      </c>
      <c r="R3114" s="2" t="s">
        <v>100</v>
      </c>
      <c r="S3114" s="2" t="s">
        <v>10259</v>
      </c>
      <c r="T3114" s="2" t="s">
        <v>5161</v>
      </c>
      <c r="U3114" s="2" t="s">
        <v>1228</v>
      </c>
      <c r="V3114" s="2" t="s">
        <v>461</v>
      </c>
      <c r="W3114" s="2" t="s">
        <v>609</v>
      </c>
      <c r="X3114" s="2" t="s">
        <v>493</v>
      </c>
      <c r="Y3114" s="2" t="s">
        <v>920</v>
      </c>
      <c r="Z3114" s="4"/>
      <c r="AA3114" s="4">
        <f>=ROUNDDOWN({0},0)</f>
      </c>
      <c r="AB3114" s="5">
        <v>5</v>
      </c>
      <c r="AC3114" s="2" t="s">
        <v>1142</v>
      </c>
      <c r="AD3114" s="4">
        <v>40</v>
      </c>
      <c r="AE3114" s="4">
        <v>120</v>
      </c>
      <c r="AF3114" s="6">
        <v>65</v>
      </c>
      <c r="AG3114" s="6"/>
      <c r="AH3114" s="7">
        <v>0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 t="s">
        <v>100</v>
      </c>
      <c r="AW3114" s="8" t="s">
        <v>100</v>
      </c>
      <c r="AX3114" s="4" t="s">
        <v>100</v>
      </c>
      <c r="AY3114" s="8" t="s">
        <v>100</v>
      </c>
      <c r="AZ3114" s="7" t="s">
        <v>100</v>
      </c>
      <c r="BA3114" s="7" t="s">
        <v>100</v>
      </c>
      <c r="BB3114" s="7"/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 t="s">
        <v>100</v>
      </c>
      <c r="BJ3114" s="4"/>
      <c r="BK3114" s="8"/>
      <c r="BL3114" s="2" t="s">
        <v>100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171</v>
      </c>
      <c r="BV3114" s="2" t="s">
        <v>97</v>
      </c>
      <c r="BW3114" s="2" t="s">
        <v>100</v>
      </c>
      <c r="BX3114" s="2" t="s">
        <v>100</v>
      </c>
      <c r="BY3114" s="2" t="s">
        <v>112</v>
      </c>
      <c r="BZ3114" s="2" t="s">
        <v>100</v>
      </c>
    </row>
    <row r="3115">
      <c r="A3115" s="2" t="s">
        <v>10265</v>
      </c>
      <c r="B3115" s="2" t="s">
        <v>9043</v>
      </c>
      <c r="C3115" s="2" t="s">
        <v>4466</v>
      </c>
      <c r="D3115" s="2" t="s">
        <v>9044</v>
      </c>
      <c r="E3115" s="2" t="s">
        <v>9045</v>
      </c>
      <c r="F3115" s="2" t="s">
        <v>10241</v>
      </c>
      <c r="G3115" s="2" t="s">
        <v>10241</v>
      </c>
      <c r="H3115" s="2" t="s">
        <v>10241</v>
      </c>
      <c r="I3115" s="2" t="s">
        <v>9627</v>
      </c>
      <c r="J3115" s="2" t="s">
        <v>1443</v>
      </c>
      <c r="K3115" s="2" t="s">
        <v>179</v>
      </c>
      <c r="L3115" s="3">
        <v>21.62</v>
      </c>
      <c r="M3115" s="3">
        <v>22.7</v>
      </c>
      <c r="N3115" s="3">
        <v>46.99</v>
      </c>
      <c r="O3115" s="2" t="s">
        <v>97</v>
      </c>
      <c r="P3115" s="2" t="s">
        <v>98</v>
      </c>
      <c r="Q3115" s="2" t="s">
        <v>99</v>
      </c>
      <c r="R3115" s="2" t="s">
        <v>100</v>
      </c>
      <c r="S3115" s="2" t="s">
        <v>10266</v>
      </c>
      <c r="T3115" s="2" t="s">
        <v>5161</v>
      </c>
      <c r="U3115" s="2" t="s">
        <v>901</v>
      </c>
      <c r="V3115" s="2" t="s">
        <v>461</v>
      </c>
      <c r="W3115" s="2" t="s">
        <v>609</v>
      </c>
      <c r="X3115" s="2" t="s">
        <v>493</v>
      </c>
      <c r="Y3115" s="2" t="s">
        <v>144</v>
      </c>
      <c r="Z3115" s="4">
        <v>30</v>
      </c>
      <c r="AA3115" s="4">
        <f>=ROUNDDOWN(1.875,0)</f>
      </c>
      <c r="AB3115" s="5">
        <v>16</v>
      </c>
      <c r="AC3115" s="2" t="s">
        <v>1142</v>
      </c>
      <c r="AD3115" s="4">
        <v>120</v>
      </c>
      <c r="AE3115" s="4">
        <v>320</v>
      </c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 t="s">
        <v>100</v>
      </c>
      <c r="AW3115" s="8" t="s">
        <v>100</v>
      </c>
      <c r="AX3115" s="4" t="s">
        <v>100</v>
      </c>
      <c r="AY3115" s="8" t="s">
        <v>100</v>
      </c>
      <c r="AZ3115" s="7" t="s">
        <v>100</v>
      </c>
      <c r="BA3115" s="7" t="s">
        <v>100</v>
      </c>
      <c r="BB3115" s="7"/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 t="s">
        <v>100</v>
      </c>
      <c r="BJ3115" s="4">
        <v>6</v>
      </c>
      <c r="BK3115" s="8">
        <v>142.64</v>
      </c>
      <c r="BL3115" s="2" t="s">
        <v>4492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109</v>
      </c>
      <c r="BV3115" s="2" t="s">
        <v>97</v>
      </c>
      <c r="BW3115" s="2" t="s">
        <v>464</v>
      </c>
      <c r="BX3115" s="2" t="s">
        <v>516</v>
      </c>
      <c r="BY3115" s="2" t="s">
        <v>112</v>
      </c>
      <c r="BZ3115" s="2" t="s">
        <v>100</v>
      </c>
    </row>
    <row r="3116">
      <c r="A3116" s="2" t="s">
        <v>10267</v>
      </c>
      <c r="B3116" s="2" t="s">
        <v>9043</v>
      </c>
      <c r="C3116" s="2" t="s">
        <v>4466</v>
      </c>
      <c r="D3116" s="2" t="s">
        <v>9044</v>
      </c>
      <c r="E3116" s="2" t="s">
        <v>9045</v>
      </c>
      <c r="F3116" s="2" t="s">
        <v>10241</v>
      </c>
      <c r="G3116" s="2" t="s">
        <v>10241</v>
      </c>
      <c r="H3116" s="2" t="s">
        <v>10241</v>
      </c>
      <c r="I3116" s="2" t="s">
        <v>9627</v>
      </c>
      <c r="J3116" s="2" t="s">
        <v>1806</v>
      </c>
      <c r="K3116" s="2" t="s">
        <v>179</v>
      </c>
      <c r="L3116" s="3">
        <v>23.04</v>
      </c>
      <c r="M3116" s="3">
        <v>24.19</v>
      </c>
      <c r="N3116" s="3">
        <v>47.99</v>
      </c>
      <c r="O3116" s="2" t="s">
        <v>97</v>
      </c>
      <c r="P3116" s="2" t="s">
        <v>98</v>
      </c>
      <c r="Q3116" s="2" t="s">
        <v>99</v>
      </c>
      <c r="R3116" s="2" t="s">
        <v>100</v>
      </c>
      <c r="S3116" s="2" t="s">
        <v>10266</v>
      </c>
      <c r="T3116" s="2" t="s">
        <v>5161</v>
      </c>
      <c r="U3116" s="2" t="s">
        <v>901</v>
      </c>
      <c r="V3116" s="2" t="s">
        <v>461</v>
      </c>
      <c r="W3116" s="2" t="s">
        <v>609</v>
      </c>
      <c r="X3116" s="2" t="s">
        <v>493</v>
      </c>
      <c r="Y3116" s="2" t="s">
        <v>144</v>
      </c>
      <c r="Z3116" s="4"/>
      <c r="AA3116" s="4">
        <f>=ROUNDDOWN({0},0)</f>
      </c>
      <c r="AB3116" s="5">
        <v>18</v>
      </c>
      <c r="AC3116" s="2" t="s">
        <v>1142</v>
      </c>
      <c r="AD3116" s="4">
        <v>150</v>
      </c>
      <c r="AE3116" s="4">
        <v>400</v>
      </c>
      <c r="AF3116" s="6">
        <v>65</v>
      </c>
      <c r="AG3116" s="6"/>
      <c r="AH3116" s="7">
        <v>0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 t="s">
        <v>100</v>
      </c>
      <c r="AW3116" s="8" t="s">
        <v>100</v>
      </c>
      <c r="AX3116" s="4" t="s">
        <v>100</v>
      </c>
      <c r="AY3116" s="8" t="s">
        <v>100</v>
      </c>
      <c r="AZ3116" s="7" t="s">
        <v>100</v>
      </c>
      <c r="BA3116" s="7" t="s">
        <v>100</v>
      </c>
      <c r="BB3116" s="7"/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 t="s">
        <v>100</v>
      </c>
      <c r="BJ3116" s="4"/>
      <c r="BK3116" s="8"/>
      <c r="BL3116" s="2" t="s">
        <v>100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109</v>
      </c>
      <c r="BV3116" s="2" t="s">
        <v>97</v>
      </c>
      <c r="BW3116" s="2" t="s">
        <v>464</v>
      </c>
      <c r="BX3116" s="2" t="s">
        <v>870</v>
      </c>
      <c r="BY3116" s="2" t="s">
        <v>112</v>
      </c>
      <c r="BZ3116" s="2" t="s">
        <v>100</v>
      </c>
    </row>
    <row r="3117">
      <c r="A3117" s="2" t="s">
        <v>10268</v>
      </c>
      <c r="B3117" s="2" t="s">
        <v>9043</v>
      </c>
      <c r="C3117" s="2" t="s">
        <v>4466</v>
      </c>
      <c r="D3117" s="2" t="s">
        <v>9044</v>
      </c>
      <c r="E3117" s="2" t="s">
        <v>9045</v>
      </c>
      <c r="F3117" s="2" t="s">
        <v>10241</v>
      </c>
      <c r="G3117" s="2" t="s">
        <v>10241</v>
      </c>
      <c r="H3117" s="2" t="s">
        <v>10241</v>
      </c>
      <c r="I3117" s="2" t="s">
        <v>9627</v>
      </c>
      <c r="J3117" s="2" t="s">
        <v>490</v>
      </c>
      <c r="K3117" s="2" t="s">
        <v>179</v>
      </c>
      <c r="L3117" s="3">
        <v>25.3</v>
      </c>
      <c r="M3117" s="3">
        <v>26.56</v>
      </c>
      <c r="N3117" s="3">
        <v>54.99</v>
      </c>
      <c r="O3117" s="2" t="s">
        <v>97</v>
      </c>
      <c r="P3117" s="2" t="s">
        <v>156</v>
      </c>
      <c r="Q3117" s="2" t="s">
        <v>99</v>
      </c>
      <c r="R3117" s="2" t="s">
        <v>100</v>
      </c>
      <c r="S3117" s="2" t="s">
        <v>10266</v>
      </c>
      <c r="T3117" s="2" t="s">
        <v>5161</v>
      </c>
      <c r="U3117" s="2" t="s">
        <v>1228</v>
      </c>
      <c r="V3117" s="2" t="s">
        <v>461</v>
      </c>
      <c r="W3117" s="2" t="s">
        <v>609</v>
      </c>
      <c r="X3117" s="2" t="s">
        <v>493</v>
      </c>
      <c r="Y3117" s="2" t="s">
        <v>144</v>
      </c>
      <c r="Z3117" s="4">
        <v>2</v>
      </c>
      <c r="AA3117" s="4">
        <f>=ROUNDDOWN(0.1,0)</f>
      </c>
      <c r="AB3117" s="5">
        <v>20</v>
      </c>
      <c r="AC3117" s="2" t="s">
        <v>1142</v>
      </c>
      <c r="AD3117" s="4">
        <v>160</v>
      </c>
      <c r="AE3117" s="4">
        <v>470</v>
      </c>
      <c r="AF3117" s="6">
        <v>65</v>
      </c>
      <c r="AG3117" s="6"/>
      <c r="AH3117" s="7">
        <v>0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 t="s">
        <v>100</v>
      </c>
      <c r="AW3117" s="8" t="s">
        <v>100</v>
      </c>
      <c r="AX3117" s="4" t="s">
        <v>100</v>
      </c>
      <c r="AY3117" s="8" t="s">
        <v>100</v>
      </c>
      <c r="AZ3117" s="7" t="s">
        <v>100</v>
      </c>
      <c r="BA3117" s="7" t="s">
        <v>100</v>
      </c>
      <c r="BB3117" s="7"/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 t="s">
        <v>100</v>
      </c>
      <c r="BJ3117" s="4"/>
      <c r="BK3117" s="8"/>
      <c r="BL3117" s="2" t="s">
        <v>100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109</v>
      </c>
      <c r="BV3117" s="2" t="s">
        <v>97</v>
      </c>
      <c r="BW3117" s="2" t="s">
        <v>464</v>
      </c>
      <c r="BX3117" s="2" t="s">
        <v>4081</v>
      </c>
      <c r="BY3117" s="2" t="s">
        <v>112</v>
      </c>
      <c r="BZ3117" s="2" t="s">
        <v>100</v>
      </c>
    </row>
    <row r="3118">
      <c r="A3118" s="2" t="s">
        <v>10269</v>
      </c>
      <c r="B3118" s="2" t="s">
        <v>9043</v>
      </c>
      <c r="C3118" s="2" t="s">
        <v>4466</v>
      </c>
      <c r="D3118" s="2" t="s">
        <v>9044</v>
      </c>
      <c r="E3118" s="2" t="s">
        <v>9045</v>
      </c>
      <c r="F3118" s="2" t="s">
        <v>10241</v>
      </c>
      <c r="G3118" s="2" t="s">
        <v>10241</v>
      </c>
      <c r="H3118" s="2" t="s">
        <v>10241</v>
      </c>
      <c r="I3118" s="2" t="s">
        <v>9627</v>
      </c>
      <c r="J3118" s="2" t="s">
        <v>95</v>
      </c>
      <c r="K3118" s="2" t="s">
        <v>179</v>
      </c>
      <c r="L3118" s="3">
        <v>28.2</v>
      </c>
      <c r="M3118" s="3">
        <v>29.61</v>
      </c>
      <c r="N3118" s="3">
        <v>59.99</v>
      </c>
      <c r="O3118" s="2" t="s">
        <v>97</v>
      </c>
      <c r="P3118" s="2" t="s">
        <v>139</v>
      </c>
      <c r="Q3118" s="2" t="s">
        <v>99</v>
      </c>
      <c r="R3118" s="2" t="s">
        <v>100</v>
      </c>
      <c r="S3118" s="2" t="s">
        <v>10266</v>
      </c>
      <c r="T3118" s="2" t="s">
        <v>5161</v>
      </c>
      <c r="U3118" s="2" t="s">
        <v>1228</v>
      </c>
      <c r="V3118" s="2" t="s">
        <v>461</v>
      </c>
      <c r="W3118" s="2" t="s">
        <v>609</v>
      </c>
      <c r="X3118" s="2" t="s">
        <v>493</v>
      </c>
      <c r="Y3118" s="2" t="s">
        <v>144</v>
      </c>
      <c r="Z3118" s="4">
        <v>2</v>
      </c>
      <c r="AA3118" s="4">
        <f>=ROUNDDOWN(0.05,0)</f>
      </c>
      <c r="AB3118" s="5">
        <v>40</v>
      </c>
      <c r="AC3118" s="2" t="s">
        <v>1142</v>
      </c>
      <c r="AD3118" s="4">
        <v>320</v>
      </c>
      <c r="AE3118" s="4">
        <v>930</v>
      </c>
      <c r="AF3118" s="6">
        <v>65</v>
      </c>
      <c r="AG3118" s="6"/>
      <c r="AH3118" s="7">
        <v>0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 t="s">
        <v>100</v>
      </c>
      <c r="AW3118" s="8" t="s">
        <v>100</v>
      </c>
      <c r="AX3118" s="4" t="s">
        <v>100</v>
      </c>
      <c r="AY3118" s="8" t="s">
        <v>100</v>
      </c>
      <c r="AZ3118" s="7" t="s">
        <v>100</v>
      </c>
      <c r="BA3118" s="7" t="s">
        <v>100</v>
      </c>
      <c r="BB3118" s="7"/>
      <c r="BC3118" s="4" t="s">
        <v>100</v>
      </c>
      <c r="BD3118" s="8" t="s">
        <v>100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 t="s">
        <v>100</v>
      </c>
      <c r="BJ3118" s="4">
        <v>1</v>
      </c>
      <c r="BK3118" s="8">
        <v>31.05</v>
      </c>
      <c r="BL3118" s="2" t="s">
        <v>2202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109</v>
      </c>
      <c r="BV3118" s="2" t="s">
        <v>97</v>
      </c>
      <c r="BW3118" s="2" t="s">
        <v>464</v>
      </c>
      <c r="BX3118" s="2" t="s">
        <v>5647</v>
      </c>
      <c r="BY3118" s="2" t="s">
        <v>112</v>
      </c>
      <c r="BZ3118" s="2" t="s">
        <v>100</v>
      </c>
    </row>
    <row r="3119">
      <c r="A3119" s="2" t="s">
        <v>10270</v>
      </c>
      <c r="B3119" s="2" t="s">
        <v>9043</v>
      </c>
      <c r="C3119" s="2" t="s">
        <v>4466</v>
      </c>
      <c r="D3119" s="2" t="s">
        <v>9044</v>
      </c>
      <c r="E3119" s="2" t="s">
        <v>9045</v>
      </c>
      <c r="F3119" s="2" t="s">
        <v>10241</v>
      </c>
      <c r="G3119" s="2" t="s">
        <v>10241</v>
      </c>
      <c r="H3119" s="2" t="s">
        <v>10241</v>
      </c>
      <c r="I3119" s="2" t="s">
        <v>9627</v>
      </c>
      <c r="J3119" s="2" t="s">
        <v>114</v>
      </c>
      <c r="K3119" s="2" t="s">
        <v>179</v>
      </c>
      <c r="L3119" s="3">
        <v>31.2</v>
      </c>
      <c r="M3119" s="3">
        <v>32.76</v>
      </c>
      <c r="N3119" s="3">
        <v>64.99</v>
      </c>
      <c r="O3119" s="2" t="s">
        <v>97</v>
      </c>
      <c r="P3119" s="2" t="s">
        <v>98</v>
      </c>
      <c r="Q3119" s="2" t="s">
        <v>99</v>
      </c>
      <c r="R3119" s="2" t="s">
        <v>100</v>
      </c>
      <c r="S3119" s="2" t="s">
        <v>10266</v>
      </c>
      <c r="T3119" s="2" t="s">
        <v>5161</v>
      </c>
      <c r="U3119" s="2" t="s">
        <v>1228</v>
      </c>
      <c r="V3119" s="2" t="s">
        <v>461</v>
      </c>
      <c r="W3119" s="2" t="s">
        <v>609</v>
      </c>
      <c r="X3119" s="2" t="s">
        <v>493</v>
      </c>
      <c r="Y3119" s="2" t="s">
        <v>144</v>
      </c>
      <c r="Z3119" s="4">
        <v>3</v>
      </c>
      <c r="AA3119" s="4">
        <f>=ROUNDDOWN(0.15,0)</f>
      </c>
      <c r="AB3119" s="5">
        <v>20</v>
      </c>
      <c r="AC3119" s="2" t="s">
        <v>1142</v>
      </c>
      <c r="AD3119" s="4">
        <v>150</v>
      </c>
      <c r="AE3119" s="4">
        <v>440</v>
      </c>
      <c r="AF3119" s="6">
        <v>65</v>
      </c>
      <c r="AG3119" s="6"/>
      <c r="AH3119" s="7">
        <v>0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 t="s">
        <v>100</v>
      </c>
      <c r="AW3119" s="8" t="s">
        <v>100</v>
      </c>
      <c r="AX3119" s="4" t="s">
        <v>100</v>
      </c>
      <c r="AY3119" s="8" t="s">
        <v>100</v>
      </c>
      <c r="AZ3119" s="7" t="s">
        <v>100</v>
      </c>
      <c r="BA3119" s="7" t="s">
        <v>100</v>
      </c>
      <c r="BB3119" s="7"/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 t="s">
        <v>100</v>
      </c>
      <c r="BJ3119" s="4"/>
      <c r="BK3119" s="8"/>
      <c r="BL3119" s="2" t="s">
        <v>100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109</v>
      </c>
      <c r="BV3119" s="2" t="s">
        <v>97</v>
      </c>
      <c r="BW3119" s="2" t="s">
        <v>464</v>
      </c>
      <c r="BX3119" s="2" t="s">
        <v>4081</v>
      </c>
      <c r="BY3119" s="2" t="s">
        <v>112</v>
      </c>
      <c r="BZ3119" s="2" t="s">
        <v>100</v>
      </c>
    </row>
    <row r="3120">
      <c r="A3120" s="2" t="s">
        <v>10271</v>
      </c>
      <c r="B3120" s="2" t="s">
        <v>9043</v>
      </c>
      <c r="C3120" s="2" t="s">
        <v>4466</v>
      </c>
      <c r="D3120" s="2" t="s">
        <v>9044</v>
      </c>
      <c r="E3120" s="2" t="s">
        <v>9045</v>
      </c>
      <c r="F3120" s="2" t="s">
        <v>10241</v>
      </c>
      <c r="G3120" s="2" t="s">
        <v>10241</v>
      </c>
      <c r="H3120" s="2" t="s">
        <v>10241</v>
      </c>
      <c r="I3120" s="2" t="s">
        <v>9627</v>
      </c>
      <c r="J3120" s="2" t="s">
        <v>118</v>
      </c>
      <c r="K3120" s="2" t="s">
        <v>179</v>
      </c>
      <c r="L3120" s="3">
        <v>31.85</v>
      </c>
      <c r="M3120" s="3">
        <v>33.44</v>
      </c>
      <c r="N3120" s="3">
        <v>64.99</v>
      </c>
      <c r="O3120" s="2" t="s">
        <v>97</v>
      </c>
      <c r="P3120" s="2" t="s">
        <v>98</v>
      </c>
      <c r="Q3120" s="2" t="s">
        <v>99</v>
      </c>
      <c r="R3120" s="2" t="s">
        <v>100</v>
      </c>
      <c r="S3120" s="2" t="s">
        <v>10266</v>
      </c>
      <c r="T3120" s="2" t="s">
        <v>5161</v>
      </c>
      <c r="U3120" s="2" t="s">
        <v>1228</v>
      </c>
      <c r="V3120" s="2" t="s">
        <v>461</v>
      </c>
      <c r="W3120" s="2" t="s">
        <v>609</v>
      </c>
      <c r="X3120" s="2" t="s">
        <v>493</v>
      </c>
      <c r="Y3120" s="2" t="s">
        <v>144</v>
      </c>
      <c r="Z3120" s="4">
        <v>50</v>
      </c>
      <c r="AA3120" s="4">
        <f>=ROUNDDOWN(7.14285714285714,0)</f>
      </c>
      <c r="AB3120" s="5">
        <v>7</v>
      </c>
      <c r="AC3120" s="2" t="s">
        <v>1142</v>
      </c>
      <c r="AD3120" s="4">
        <v>30</v>
      </c>
      <c r="AE3120" s="4">
        <v>140</v>
      </c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 t="s">
        <v>100</v>
      </c>
      <c r="AW3120" s="8" t="s">
        <v>100</v>
      </c>
      <c r="AX3120" s="4" t="s">
        <v>100</v>
      </c>
      <c r="AY3120" s="8" t="s">
        <v>100</v>
      </c>
      <c r="AZ3120" s="7" t="s">
        <v>100</v>
      </c>
      <c r="BA3120" s="7" t="s">
        <v>100</v>
      </c>
      <c r="BB3120" s="7"/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 t="s">
        <v>100</v>
      </c>
      <c r="BJ3120" s="4">
        <v>5</v>
      </c>
      <c r="BK3120" s="8">
        <v>166.44</v>
      </c>
      <c r="BL3120" s="2" t="s">
        <v>2218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464</v>
      </c>
      <c r="BX3120" s="2" t="s">
        <v>1818</v>
      </c>
      <c r="BY3120" s="2" t="s">
        <v>112</v>
      </c>
      <c r="BZ3120" s="2" t="s">
        <v>100</v>
      </c>
    </row>
    <row r="3121">
      <c r="A3121" s="2" t="s">
        <v>10272</v>
      </c>
      <c r="B3121" s="2" t="s">
        <v>9043</v>
      </c>
      <c r="C3121" s="2" t="s">
        <v>4466</v>
      </c>
      <c r="D3121" s="2" t="s">
        <v>9044</v>
      </c>
      <c r="E3121" s="2" t="s">
        <v>9045</v>
      </c>
      <c r="F3121" s="2" t="s">
        <v>10241</v>
      </c>
      <c r="G3121" s="2" t="s">
        <v>10241</v>
      </c>
      <c r="H3121" s="2" t="s">
        <v>10241</v>
      </c>
      <c r="I3121" s="2" t="s">
        <v>9627</v>
      </c>
      <c r="J3121" s="2" t="s">
        <v>1443</v>
      </c>
      <c r="K3121" s="2" t="s">
        <v>188</v>
      </c>
      <c r="L3121" s="3">
        <v>21.62</v>
      </c>
      <c r="M3121" s="3">
        <v>22.7</v>
      </c>
      <c r="N3121" s="3">
        <v>46.99</v>
      </c>
      <c r="O3121" s="2" t="s">
        <v>97</v>
      </c>
      <c r="P3121" s="2" t="s">
        <v>98</v>
      </c>
      <c r="Q3121" s="2" t="s">
        <v>99</v>
      </c>
      <c r="R3121" s="2" t="s">
        <v>100</v>
      </c>
      <c r="S3121" s="2" t="s">
        <v>10273</v>
      </c>
      <c r="T3121" s="2" t="s">
        <v>5161</v>
      </c>
      <c r="U3121" s="2" t="s">
        <v>901</v>
      </c>
      <c r="V3121" s="2" t="s">
        <v>461</v>
      </c>
      <c r="W3121" s="2" t="s">
        <v>609</v>
      </c>
      <c r="X3121" s="2" t="s">
        <v>493</v>
      </c>
      <c r="Y3121" s="2" t="s">
        <v>10274</v>
      </c>
      <c r="Z3121" s="4"/>
      <c r="AA3121" s="4">
        <f>=ROUNDDOWN({0},0)</f>
      </c>
      <c r="AB3121" s="5">
        <v>8</v>
      </c>
      <c r="AC3121" s="2" t="s">
        <v>1142</v>
      </c>
      <c r="AD3121" s="4">
        <v>70</v>
      </c>
      <c r="AE3121" s="4">
        <v>180</v>
      </c>
      <c r="AF3121" s="6">
        <v>65</v>
      </c>
      <c r="AG3121" s="6"/>
      <c r="AH3121" s="7">
        <v>0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 t="s">
        <v>100</v>
      </c>
      <c r="AW3121" s="8" t="s">
        <v>100</v>
      </c>
      <c r="AX3121" s="4" t="s">
        <v>100</v>
      </c>
      <c r="AY3121" s="8" t="s">
        <v>100</v>
      </c>
      <c r="AZ3121" s="7" t="s">
        <v>100</v>
      </c>
      <c r="BA3121" s="7" t="s">
        <v>100</v>
      </c>
      <c r="BB3121" s="7"/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 t="s">
        <v>100</v>
      </c>
      <c r="BJ3121" s="4"/>
      <c r="BK3121" s="8"/>
      <c r="BL3121" s="2" t="s">
        <v>100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171</v>
      </c>
      <c r="BV3121" s="2" t="s">
        <v>97</v>
      </c>
      <c r="BW3121" s="2" t="s">
        <v>100</v>
      </c>
      <c r="BX3121" s="2" t="s">
        <v>100</v>
      </c>
      <c r="BY3121" s="2" t="s">
        <v>112</v>
      </c>
      <c r="BZ3121" s="2" t="s">
        <v>100</v>
      </c>
    </row>
    <row r="3122">
      <c r="A3122" s="2" t="s">
        <v>10275</v>
      </c>
      <c r="B3122" s="2" t="s">
        <v>9043</v>
      </c>
      <c r="C3122" s="2" t="s">
        <v>4466</v>
      </c>
      <c r="D3122" s="2" t="s">
        <v>9044</v>
      </c>
      <c r="E3122" s="2" t="s">
        <v>9045</v>
      </c>
      <c r="F3122" s="2" t="s">
        <v>10241</v>
      </c>
      <c r="G3122" s="2" t="s">
        <v>10241</v>
      </c>
      <c r="H3122" s="2" t="s">
        <v>10241</v>
      </c>
      <c r="I3122" s="2" t="s">
        <v>9627</v>
      </c>
      <c r="J3122" s="2" t="s">
        <v>1806</v>
      </c>
      <c r="K3122" s="2" t="s">
        <v>188</v>
      </c>
      <c r="L3122" s="3">
        <v>23.04</v>
      </c>
      <c r="M3122" s="3">
        <v>24.19</v>
      </c>
      <c r="N3122" s="3">
        <v>47.99</v>
      </c>
      <c r="O3122" s="2" t="s">
        <v>97</v>
      </c>
      <c r="P3122" s="2" t="s">
        <v>98</v>
      </c>
      <c r="Q3122" s="2" t="s">
        <v>99</v>
      </c>
      <c r="R3122" s="2" t="s">
        <v>100</v>
      </c>
      <c r="S3122" s="2" t="s">
        <v>10273</v>
      </c>
      <c r="T3122" s="2" t="s">
        <v>5161</v>
      </c>
      <c r="U3122" s="2" t="s">
        <v>901</v>
      </c>
      <c r="V3122" s="2" t="s">
        <v>461</v>
      </c>
      <c r="W3122" s="2" t="s">
        <v>609</v>
      </c>
      <c r="X3122" s="2" t="s">
        <v>493</v>
      </c>
      <c r="Y3122" s="2" t="s">
        <v>10274</v>
      </c>
      <c r="Z3122" s="4"/>
      <c r="AA3122" s="4">
        <f>=ROUNDDOWN({0},0)</f>
      </c>
      <c r="AB3122" s="5">
        <v>7</v>
      </c>
      <c r="AC3122" s="2" t="s">
        <v>1142</v>
      </c>
      <c r="AD3122" s="4">
        <v>80</v>
      </c>
      <c r="AE3122" s="4">
        <v>180</v>
      </c>
      <c r="AF3122" s="6">
        <v>65</v>
      </c>
      <c r="AG3122" s="6"/>
      <c r="AH3122" s="7">
        <v>0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 t="s">
        <v>100</v>
      </c>
      <c r="AW3122" s="8" t="s">
        <v>100</v>
      </c>
      <c r="AX3122" s="4" t="s">
        <v>100</v>
      </c>
      <c r="AY3122" s="8" t="s">
        <v>100</v>
      </c>
      <c r="AZ3122" s="7" t="s">
        <v>100</v>
      </c>
      <c r="BA3122" s="7" t="s">
        <v>100</v>
      </c>
      <c r="BB3122" s="7"/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 t="s">
        <v>100</v>
      </c>
      <c r="BJ3122" s="4"/>
      <c r="BK3122" s="8"/>
      <c r="BL3122" s="2" t="s">
        <v>100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171</v>
      </c>
      <c r="BV3122" s="2" t="s">
        <v>97</v>
      </c>
      <c r="BW3122" s="2" t="s">
        <v>100</v>
      </c>
      <c r="BX3122" s="2" t="s">
        <v>100</v>
      </c>
      <c r="BY3122" s="2" t="s">
        <v>112</v>
      </c>
      <c r="BZ3122" s="2" t="s">
        <v>100</v>
      </c>
    </row>
    <row r="3123">
      <c r="A3123" s="2" t="s">
        <v>10276</v>
      </c>
      <c r="B3123" s="2" t="s">
        <v>9043</v>
      </c>
      <c r="C3123" s="2" t="s">
        <v>4466</v>
      </c>
      <c r="D3123" s="2" t="s">
        <v>9044</v>
      </c>
      <c r="E3123" s="2" t="s">
        <v>9045</v>
      </c>
      <c r="F3123" s="2" t="s">
        <v>10241</v>
      </c>
      <c r="G3123" s="2" t="s">
        <v>10241</v>
      </c>
      <c r="H3123" s="2" t="s">
        <v>10241</v>
      </c>
      <c r="I3123" s="2" t="s">
        <v>9627</v>
      </c>
      <c r="J3123" s="2" t="s">
        <v>490</v>
      </c>
      <c r="K3123" s="2" t="s">
        <v>188</v>
      </c>
      <c r="L3123" s="3">
        <v>25.3</v>
      </c>
      <c r="M3123" s="3">
        <v>26.57</v>
      </c>
      <c r="N3123" s="3">
        <v>54.99</v>
      </c>
      <c r="O3123" s="2" t="s">
        <v>97</v>
      </c>
      <c r="P3123" s="2" t="s">
        <v>98</v>
      </c>
      <c r="Q3123" s="2" t="s">
        <v>99</v>
      </c>
      <c r="R3123" s="2" t="s">
        <v>100</v>
      </c>
      <c r="S3123" s="2" t="s">
        <v>10273</v>
      </c>
      <c r="T3123" s="2" t="s">
        <v>5161</v>
      </c>
      <c r="U3123" s="2" t="s">
        <v>1228</v>
      </c>
      <c r="V3123" s="2" t="s">
        <v>461</v>
      </c>
      <c r="W3123" s="2" t="s">
        <v>609</v>
      </c>
      <c r="X3123" s="2" t="s">
        <v>493</v>
      </c>
      <c r="Y3123" s="2" t="s">
        <v>10274</v>
      </c>
      <c r="Z3123" s="4"/>
      <c r="AA3123" s="4">
        <f>=ROUNDDOWN({0},0)</f>
      </c>
      <c r="AB3123" s="5">
        <v>11</v>
      </c>
      <c r="AC3123" s="2" t="s">
        <v>1142</v>
      </c>
      <c r="AD3123" s="4">
        <v>100</v>
      </c>
      <c r="AE3123" s="4">
        <v>270</v>
      </c>
      <c r="AF3123" s="6">
        <v>65</v>
      </c>
      <c r="AG3123" s="6"/>
      <c r="AH3123" s="7">
        <v>0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 t="s">
        <v>100</v>
      </c>
      <c r="AW3123" s="8" t="s">
        <v>100</v>
      </c>
      <c r="AX3123" s="4" t="s">
        <v>100</v>
      </c>
      <c r="AY3123" s="8" t="s">
        <v>100</v>
      </c>
      <c r="AZ3123" s="7" t="s">
        <v>100</v>
      </c>
      <c r="BA3123" s="7" t="s">
        <v>100</v>
      </c>
      <c r="BB3123" s="7"/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 t="s">
        <v>100</v>
      </c>
      <c r="BJ3123" s="4"/>
      <c r="BK3123" s="8"/>
      <c r="BL3123" s="2" t="s">
        <v>100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171</v>
      </c>
      <c r="BV3123" s="2" t="s">
        <v>97</v>
      </c>
      <c r="BW3123" s="2" t="s">
        <v>100</v>
      </c>
      <c r="BX3123" s="2" t="s">
        <v>100</v>
      </c>
      <c r="BY3123" s="2" t="s">
        <v>112</v>
      </c>
      <c r="BZ3123" s="2" t="s">
        <v>100</v>
      </c>
    </row>
    <row r="3124">
      <c r="A3124" s="2" t="s">
        <v>10277</v>
      </c>
      <c r="B3124" s="2" t="s">
        <v>9043</v>
      </c>
      <c r="C3124" s="2" t="s">
        <v>4466</v>
      </c>
      <c r="D3124" s="2" t="s">
        <v>9044</v>
      </c>
      <c r="E3124" s="2" t="s">
        <v>9045</v>
      </c>
      <c r="F3124" s="2" t="s">
        <v>10241</v>
      </c>
      <c r="G3124" s="2" t="s">
        <v>10241</v>
      </c>
      <c r="H3124" s="2" t="s">
        <v>10241</v>
      </c>
      <c r="I3124" s="2" t="s">
        <v>9627</v>
      </c>
      <c r="J3124" s="2" t="s">
        <v>95</v>
      </c>
      <c r="K3124" s="2" t="s">
        <v>188</v>
      </c>
      <c r="L3124" s="3">
        <v>28.2</v>
      </c>
      <c r="M3124" s="3">
        <v>29.61</v>
      </c>
      <c r="N3124" s="3">
        <v>59.99</v>
      </c>
      <c r="O3124" s="2" t="s">
        <v>97</v>
      </c>
      <c r="P3124" s="2" t="s">
        <v>98</v>
      </c>
      <c r="Q3124" s="2" t="s">
        <v>99</v>
      </c>
      <c r="R3124" s="2" t="s">
        <v>100</v>
      </c>
      <c r="S3124" s="2" t="s">
        <v>10273</v>
      </c>
      <c r="T3124" s="2" t="s">
        <v>5161</v>
      </c>
      <c r="U3124" s="2" t="s">
        <v>1228</v>
      </c>
      <c r="V3124" s="2" t="s">
        <v>461</v>
      </c>
      <c r="W3124" s="2" t="s">
        <v>609</v>
      </c>
      <c r="X3124" s="2" t="s">
        <v>493</v>
      </c>
      <c r="Y3124" s="2" t="s">
        <v>10274</v>
      </c>
      <c r="Z3124" s="4">
        <v>3</v>
      </c>
      <c r="AA3124" s="4">
        <f>=ROUNDDOWN(0.142857142857143,0)</f>
      </c>
      <c r="AB3124" s="5">
        <v>21</v>
      </c>
      <c r="AC3124" s="2" t="s">
        <v>1142</v>
      </c>
      <c r="AD3124" s="4">
        <v>180</v>
      </c>
      <c r="AE3124" s="4">
        <v>530</v>
      </c>
      <c r="AF3124" s="6">
        <v>65</v>
      </c>
      <c r="AG3124" s="6"/>
      <c r="AH3124" s="7">
        <v>0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/>
      <c r="AQ3124" s="8"/>
      <c r="AR3124" s="4"/>
      <c r="AS3124" s="8"/>
      <c r="AT3124" s="7"/>
      <c r="AU3124" s="7"/>
      <c r="AV3124" s="4" t="s">
        <v>100</v>
      </c>
      <c r="AW3124" s="8" t="s">
        <v>100</v>
      </c>
      <c r="AX3124" s="4" t="s">
        <v>100</v>
      </c>
      <c r="AY3124" s="8" t="s">
        <v>100</v>
      </c>
      <c r="AZ3124" s="7" t="s">
        <v>100</v>
      </c>
      <c r="BA3124" s="7" t="s">
        <v>100</v>
      </c>
      <c r="BB3124" s="7"/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 t="s">
        <v>100</v>
      </c>
      <c r="BJ3124" s="4"/>
      <c r="BK3124" s="8"/>
      <c r="BL3124" s="2" t="s">
        <v>100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171</v>
      </c>
      <c r="BV3124" s="2" t="s">
        <v>97</v>
      </c>
      <c r="BW3124" s="2" t="s">
        <v>100</v>
      </c>
      <c r="BX3124" s="2" t="s">
        <v>100</v>
      </c>
      <c r="BY3124" s="2" t="s">
        <v>112</v>
      </c>
      <c r="BZ3124" s="2" t="s">
        <v>100</v>
      </c>
    </row>
    <row r="3125">
      <c r="A3125" s="2" t="s">
        <v>10278</v>
      </c>
      <c r="B3125" s="2" t="s">
        <v>9043</v>
      </c>
      <c r="C3125" s="2" t="s">
        <v>4466</v>
      </c>
      <c r="D3125" s="2" t="s">
        <v>9044</v>
      </c>
      <c r="E3125" s="2" t="s">
        <v>9045</v>
      </c>
      <c r="F3125" s="2" t="s">
        <v>10241</v>
      </c>
      <c r="G3125" s="2" t="s">
        <v>10241</v>
      </c>
      <c r="H3125" s="2" t="s">
        <v>10241</v>
      </c>
      <c r="I3125" s="2" t="s">
        <v>9627</v>
      </c>
      <c r="J3125" s="2" t="s">
        <v>114</v>
      </c>
      <c r="K3125" s="2" t="s">
        <v>188</v>
      </c>
      <c r="L3125" s="3">
        <v>31.2</v>
      </c>
      <c r="M3125" s="3">
        <v>32.76</v>
      </c>
      <c r="N3125" s="3">
        <v>64.99</v>
      </c>
      <c r="O3125" s="2" t="s">
        <v>97</v>
      </c>
      <c r="P3125" s="2" t="s">
        <v>98</v>
      </c>
      <c r="Q3125" s="2" t="s">
        <v>99</v>
      </c>
      <c r="R3125" s="2" t="s">
        <v>100</v>
      </c>
      <c r="S3125" s="2" t="s">
        <v>10273</v>
      </c>
      <c r="T3125" s="2" t="s">
        <v>5161</v>
      </c>
      <c r="U3125" s="2" t="s">
        <v>1228</v>
      </c>
      <c r="V3125" s="2" t="s">
        <v>461</v>
      </c>
      <c r="W3125" s="2" t="s">
        <v>609</v>
      </c>
      <c r="X3125" s="2" t="s">
        <v>493</v>
      </c>
      <c r="Y3125" s="2" t="s">
        <v>10274</v>
      </c>
      <c r="Z3125" s="4">
        <v>3</v>
      </c>
      <c r="AA3125" s="4">
        <f>=ROUNDDOWN(0.3,0)</f>
      </c>
      <c r="AB3125" s="5">
        <v>10</v>
      </c>
      <c r="AC3125" s="2" t="s">
        <v>1142</v>
      </c>
      <c r="AD3125" s="4">
        <v>90</v>
      </c>
      <c r="AE3125" s="4">
        <v>250</v>
      </c>
      <c r="AF3125" s="6">
        <v>65</v>
      </c>
      <c r="AG3125" s="6"/>
      <c r="AH3125" s="7">
        <v>0.5484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 t="s">
        <v>100</v>
      </c>
      <c r="AW3125" s="8" t="s">
        <v>100</v>
      </c>
      <c r="AX3125" s="4" t="s">
        <v>100</v>
      </c>
      <c r="AY3125" s="8" t="s">
        <v>100</v>
      </c>
      <c r="AZ3125" s="7" t="s">
        <v>100</v>
      </c>
      <c r="BA3125" s="7" t="s">
        <v>100</v>
      </c>
      <c r="BB3125" s="7"/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 t="s">
        <v>100</v>
      </c>
      <c r="BJ3125" s="4">
        <v>20</v>
      </c>
      <c r="BK3125" s="8">
        <v>696.13</v>
      </c>
      <c r="BL3125" s="2" t="s">
        <v>3836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171</v>
      </c>
      <c r="BV3125" s="2" t="s">
        <v>97</v>
      </c>
      <c r="BW3125" s="2" t="s">
        <v>100</v>
      </c>
      <c r="BX3125" s="2" t="s">
        <v>100</v>
      </c>
      <c r="BY3125" s="2" t="s">
        <v>112</v>
      </c>
      <c r="BZ3125" s="2" t="s">
        <v>100</v>
      </c>
    </row>
    <row r="3126">
      <c r="A3126" s="2" t="s">
        <v>10279</v>
      </c>
      <c r="B3126" s="2" t="s">
        <v>9043</v>
      </c>
      <c r="C3126" s="2" t="s">
        <v>4466</v>
      </c>
      <c r="D3126" s="2" t="s">
        <v>9044</v>
      </c>
      <c r="E3126" s="2" t="s">
        <v>9045</v>
      </c>
      <c r="F3126" s="2" t="s">
        <v>10241</v>
      </c>
      <c r="G3126" s="2" t="s">
        <v>10241</v>
      </c>
      <c r="H3126" s="2" t="s">
        <v>10241</v>
      </c>
      <c r="I3126" s="2" t="s">
        <v>9627</v>
      </c>
      <c r="J3126" s="2" t="s">
        <v>118</v>
      </c>
      <c r="K3126" s="2" t="s">
        <v>188</v>
      </c>
      <c r="L3126" s="3">
        <v>31.85</v>
      </c>
      <c r="M3126" s="3">
        <v>33.44</v>
      </c>
      <c r="N3126" s="3">
        <v>64.99</v>
      </c>
      <c r="O3126" s="2" t="s">
        <v>97</v>
      </c>
      <c r="P3126" s="2" t="s">
        <v>98</v>
      </c>
      <c r="Q3126" s="2" t="s">
        <v>99</v>
      </c>
      <c r="R3126" s="2" t="s">
        <v>100</v>
      </c>
      <c r="S3126" s="2" t="s">
        <v>10273</v>
      </c>
      <c r="T3126" s="2" t="s">
        <v>5161</v>
      </c>
      <c r="U3126" s="2" t="s">
        <v>1228</v>
      </c>
      <c r="V3126" s="2" t="s">
        <v>461</v>
      </c>
      <c r="W3126" s="2" t="s">
        <v>609</v>
      </c>
      <c r="X3126" s="2" t="s">
        <v>493</v>
      </c>
      <c r="Y3126" s="2" t="s">
        <v>10274</v>
      </c>
      <c r="Z3126" s="4">
        <v>3</v>
      </c>
      <c r="AA3126" s="4">
        <f>=ROUNDDOWN(0.6,0)</f>
      </c>
      <c r="AB3126" s="5">
        <v>5</v>
      </c>
      <c r="AC3126" s="2" t="s">
        <v>1142</v>
      </c>
      <c r="AD3126" s="4">
        <v>40</v>
      </c>
      <c r="AE3126" s="4">
        <v>120</v>
      </c>
      <c r="AF3126" s="6">
        <v>65</v>
      </c>
      <c r="AG3126" s="6"/>
      <c r="AH3126" s="7">
        <v>0.3226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 t="s">
        <v>100</v>
      </c>
      <c r="AW3126" s="8" t="s">
        <v>100</v>
      </c>
      <c r="AX3126" s="4" t="s">
        <v>100</v>
      </c>
      <c r="AY3126" s="8" t="s">
        <v>100</v>
      </c>
      <c r="AZ3126" s="7" t="s">
        <v>100</v>
      </c>
      <c r="BA3126" s="7" t="s">
        <v>100</v>
      </c>
      <c r="BB3126" s="7"/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 t="s">
        <v>100</v>
      </c>
      <c r="BJ3126" s="4">
        <v>9</v>
      </c>
      <c r="BK3126" s="8">
        <v>324.9</v>
      </c>
      <c r="BL3126" s="2" t="s">
        <v>10280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171</v>
      </c>
      <c r="BV3126" s="2" t="s">
        <v>97</v>
      </c>
      <c r="BW3126" s="2" t="s">
        <v>100</v>
      </c>
      <c r="BX3126" s="2" t="s">
        <v>100</v>
      </c>
      <c r="BY3126" s="2" t="s">
        <v>112</v>
      </c>
      <c r="BZ3126" s="2" t="s">
        <v>100</v>
      </c>
    </row>
    <row r="3127">
      <c r="A3127" s="2" t="s">
        <v>10281</v>
      </c>
      <c r="B3127" s="2" t="s">
        <v>9043</v>
      </c>
      <c r="C3127" s="2" t="s">
        <v>4466</v>
      </c>
      <c r="D3127" s="2" t="s">
        <v>9044</v>
      </c>
      <c r="E3127" s="2" t="s">
        <v>9045</v>
      </c>
      <c r="F3127" s="2" t="s">
        <v>10241</v>
      </c>
      <c r="G3127" s="2" t="s">
        <v>10241</v>
      </c>
      <c r="H3127" s="2" t="s">
        <v>10241</v>
      </c>
      <c r="I3127" s="2" t="s">
        <v>9627</v>
      </c>
      <c r="J3127" s="2" t="s">
        <v>1443</v>
      </c>
      <c r="K3127" s="2" t="s">
        <v>138</v>
      </c>
      <c r="L3127" s="3">
        <v>21.62</v>
      </c>
      <c r="M3127" s="3">
        <v>22.7</v>
      </c>
      <c r="N3127" s="3">
        <v>46.99</v>
      </c>
      <c r="O3127" s="2" t="s">
        <v>97</v>
      </c>
      <c r="P3127" s="2" t="s">
        <v>98</v>
      </c>
      <c r="Q3127" s="2" t="s">
        <v>99</v>
      </c>
      <c r="R3127" s="2" t="s">
        <v>100</v>
      </c>
      <c r="S3127" s="2" t="s">
        <v>10282</v>
      </c>
      <c r="T3127" s="2" t="s">
        <v>5161</v>
      </c>
      <c r="U3127" s="2" t="s">
        <v>901</v>
      </c>
      <c r="V3127" s="2" t="s">
        <v>461</v>
      </c>
      <c r="W3127" s="2" t="s">
        <v>609</v>
      </c>
      <c r="X3127" s="2" t="s">
        <v>493</v>
      </c>
      <c r="Y3127" s="2" t="s">
        <v>144</v>
      </c>
      <c r="Z3127" s="4">
        <v>45</v>
      </c>
      <c r="AA3127" s="4">
        <f>=ROUNDDOWN(7.5,0)</f>
      </c>
      <c r="AB3127" s="5">
        <v>6</v>
      </c>
      <c r="AC3127" s="2" t="s">
        <v>1142</v>
      </c>
      <c r="AD3127" s="4">
        <v>30</v>
      </c>
      <c r="AE3127" s="4">
        <v>120</v>
      </c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/>
      <c r="AQ3127" s="8"/>
      <c r="AR3127" s="4"/>
      <c r="AS3127" s="8"/>
      <c r="AT3127" s="7"/>
      <c r="AU3127" s="7"/>
      <c r="AV3127" s="4" t="s">
        <v>100</v>
      </c>
      <c r="AW3127" s="8" t="s">
        <v>100</v>
      </c>
      <c r="AX3127" s="4" t="s">
        <v>100</v>
      </c>
      <c r="AY3127" s="8" t="s">
        <v>100</v>
      </c>
      <c r="AZ3127" s="7" t="s">
        <v>100</v>
      </c>
      <c r="BA3127" s="7" t="s">
        <v>100</v>
      </c>
      <c r="BB3127" s="7"/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 t="s">
        <v>100</v>
      </c>
      <c r="BJ3127" s="4">
        <v>2</v>
      </c>
      <c r="BK3127" s="8">
        <v>47.65</v>
      </c>
      <c r="BL3127" s="2" t="s">
        <v>10283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464</v>
      </c>
      <c r="BX3127" s="2" t="s">
        <v>9432</v>
      </c>
      <c r="BY3127" s="2" t="s">
        <v>112</v>
      </c>
      <c r="BZ3127" s="2" t="s">
        <v>100</v>
      </c>
    </row>
    <row r="3128">
      <c r="A3128" s="2" t="s">
        <v>10284</v>
      </c>
      <c r="B3128" s="2" t="s">
        <v>9043</v>
      </c>
      <c r="C3128" s="2" t="s">
        <v>4466</v>
      </c>
      <c r="D3128" s="2" t="s">
        <v>9044</v>
      </c>
      <c r="E3128" s="2" t="s">
        <v>9045</v>
      </c>
      <c r="F3128" s="2" t="s">
        <v>10241</v>
      </c>
      <c r="G3128" s="2" t="s">
        <v>10241</v>
      </c>
      <c r="H3128" s="2" t="s">
        <v>10241</v>
      </c>
      <c r="I3128" s="2" t="s">
        <v>9627</v>
      </c>
      <c r="J3128" s="2" t="s">
        <v>1806</v>
      </c>
      <c r="K3128" s="2" t="s">
        <v>138</v>
      </c>
      <c r="L3128" s="3">
        <v>23.04</v>
      </c>
      <c r="M3128" s="3">
        <v>24.19</v>
      </c>
      <c r="N3128" s="3">
        <v>47.99</v>
      </c>
      <c r="O3128" s="2" t="s">
        <v>97</v>
      </c>
      <c r="P3128" s="2" t="s">
        <v>98</v>
      </c>
      <c r="Q3128" s="2" t="s">
        <v>99</v>
      </c>
      <c r="R3128" s="2" t="s">
        <v>100</v>
      </c>
      <c r="S3128" s="2" t="s">
        <v>10282</v>
      </c>
      <c r="T3128" s="2" t="s">
        <v>5161</v>
      </c>
      <c r="U3128" s="2" t="s">
        <v>901</v>
      </c>
      <c r="V3128" s="2" t="s">
        <v>461</v>
      </c>
      <c r="W3128" s="2" t="s">
        <v>609</v>
      </c>
      <c r="X3128" s="2" t="s">
        <v>493</v>
      </c>
      <c r="Y3128" s="2" t="s">
        <v>144</v>
      </c>
      <c r="Z3128" s="4">
        <v>359</v>
      </c>
      <c r="AA3128" s="4">
        <f>=ROUNDDOWN(51.2857142857143,0)</f>
      </c>
      <c r="AB3128" s="5">
        <v>7</v>
      </c>
      <c r="AC3128" s="2" t="s">
        <v>100</v>
      </c>
      <c r="AD3128" s="4"/>
      <c r="AE3128" s="4"/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 t="s">
        <v>100</v>
      </c>
      <c r="AW3128" s="8" t="s">
        <v>100</v>
      </c>
      <c r="AX3128" s="4" t="s">
        <v>100</v>
      </c>
      <c r="AY3128" s="8" t="s">
        <v>100</v>
      </c>
      <c r="AZ3128" s="7" t="s">
        <v>100</v>
      </c>
      <c r="BA3128" s="7" t="s">
        <v>100</v>
      </c>
      <c r="BB3128" s="7"/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 t="s">
        <v>100</v>
      </c>
      <c r="BJ3128" s="4">
        <v>2</v>
      </c>
      <c r="BK3128" s="8">
        <v>50.8</v>
      </c>
      <c r="BL3128" s="2" t="s">
        <v>5394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464</v>
      </c>
      <c r="BX3128" s="2" t="s">
        <v>1895</v>
      </c>
      <c r="BY3128" s="2" t="s">
        <v>112</v>
      </c>
      <c r="BZ3128" s="2" t="s">
        <v>100</v>
      </c>
    </row>
    <row r="3129">
      <c r="A3129" s="2" t="s">
        <v>10285</v>
      </c>
      <c r="B3129" s="2" t="s">
        <v>9043</v>
      </c>
      <c r="C3129" s="2" t="s">
        <v>4466</v>
      </c>
      <c r="D3129" s="2" t="s">
        <v>9044</v>
      </c>
      <c r="E3129" s="2" t="s">
        <v>9045</v>
      </c>
      <c r="F3129" s="2" t="s">
        <v>10241</v>
      </c>
      <c r="G3129" s="2" t="s">
        <v>10241</v>
      </c>
      <c r="H3129" s="2" t="s">
        <v>10241</v>
      </c>
      <c r="I3129" s="2" t="s">
        <v>9627</v>
      </c>
      <c r="J3129" s="2" t="s">
        <v>114</v>
      </c>
      <c r="K3129" s="2" t="s">
        <v>138</v>
      </c>
      <c r="L3129" s="3">
        <v>31.2</v>
      </c>
      <c r="M3129" s="3">
        <v>32.76</v>
      </c>
      <c r="N3129" s="3">
        <v>64.99</v>
      </c>
      <c r="O3129" s="2" t="s">
        <v>97</v>
      </c>
      <c r="P3129" s="2" t="s">
        <v>156</v>
      </c>
      <c r="Q3129" s="2" t="s">
        <v>99</v>
      </c>
      <c r="R3129" s="2" t="s">
        <v>100</v>
      </c>
      <c r="S3129" s="2" t="s">
        <v>10282</v>
      </c>
      <c r="T3129" s="2" t="s">
        <v>5161</v>
      </c>
      <c r="U3129" s="2" t="s">
        <v>1228</v>
      </c>
      <c r="V3129" s="2" t="s">
        <v>461</v>
      </c>
      <c r="W3129" s="2" t="s">
        <v>609</v>
      </c>
      <c r="X3129" s="2" t="s">
        <v>493</v>
      </c>
      <c r="Y3129" s="2" t="s">
        <v>144</v>
      </c>
      <c r="Z3129" s="4"/>
      <c r="AA3129" s="4">
        <f>=ROUNDDOWN({0},0)</f>
      </c>
      <c r="AB3129" s="5">
        <v>20</v>
      </c>
      <c r="AC3129" s="2" t="s">
        <v>1142</v>
      </c>
      <c r="AD3129" s="4">
        <v>160</v>
      </c>
      <c r="AE3129" s="4">
        <v>450</v>
      </c>
      <c r="AF3129" s="6">
        <v>65</v>
      </c>
      <c r="AG3129" s="6"/>
      <c r="AH3129" s="7">
        <v>0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 t="s">
        <v>100</v>
      </c>
      <c r="AW3129" s="8" t="s">
        <v>100</v>
      </c>
      <c r="AX3129" s="4" t="s">
        <v>100</v>
      </c>
      <c r="AY3129" s="8" t="s">
        <v>100</v>
      </c>
      <c r="AZ3129" s="7" t="s">
        <v>100</v>
      </c>
      <c r="BA3129" s="7" t="s">
        <v>100</v>
      </c>
      <c r="BB3129" s="7"/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 t="s">
        <v>100</v>
      </c>
      <c r="BJ3129" s="4"/>
      <c r="BK3129" s="8"/>
      <c r="BL3129" s="2" t="s">
        <v>100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109</v>
      </c>
      <c r="BV3129" s="2" t="s">
        <v>97</v>
      </c>
      <c r="BW3129" s="2" t="s">
        <v>464</v>
      </c>
      <c r="BX3129" s="2" t="s">
        <v>5637</v>
      </c>
      <c r="BY3129" s="2" t="s">
        <v>112</v>
      </c>
      <c r="BZ3129" s="2" t="s">
        <v>100</v>
      </c>
    </row>
    <row r="3130">
      <c r="A3130" s="2" t="s">
        <v>10286</v>
      </c>
      <c r="B3130" s="2" t="s">
        <v>9043</v>
      </c>
      <c r="C3130" s="2" t="s">
        <v>4466</v>
      </c>
      <c r="D3130" s="2" t="s">
        <v>9044</v>
      </c>
      <c r="E3130" s="2" t="s">
        <v>9045</v>
      </c>
      <c r="F3130" s="2" t="s">
        <v>10241</v>
      </c>
      <c r="G3130" s="2" t="s">
        <v>10241</v>
      </c>
      <c r="H3130" s="2" t="s">
        <v>10241</v>
      </c>
      <c r="I3130" s="2" t="s">
        <v>9627</v>
      </c>
      <c r="J3130" s="2" t="s">
        <v>118</v>
      </c>
      <c r="K3130" s="2" t="s">
        <v>138</v>
      </c>
      <c r="L3130" s="3">
        <v>31.85</v>
      </c>
      <c r="M3130" s="3">
        <v>33.44</v>
      </c>
      <c r="N3130" s="3">
        <v>64.99</v>
      </c>
      <c r="O3130" s="2" t="s">
        <v>97</v>
      </c>
      <c r="P3130" s="2" t="s">
        <v>98</v>
      </c>
      <c r="Q3130" s="2" t="s">
        <v>99</v>
      </c>
      <c r="R3130" s="2" t="s">
        <v>100</v>
      </c>
      <c r="S3130" s="2" t="s">
        <v>10282</v>
      </c>
      <c r="T3130" s="2" t="s">
        <v>5161</v>
      </c>
      <c r="U3130" s="2" t="s">
        <v>1228</v>
      </c>
      <c r="V3130" s="2" t="s">
        <v>461</v>
      </c>
      <c r="W3130" s="2" t="s">
        <v>609</v>
      </c>
      <c r="X3130" s="2" t="s">
        <v>493</v>
      </c>
      <c r="Y3130" s="2" t="s">
        <v>144</v>
      </c>
      <c r="Z3130" s="4"/>
      <c r="AA3130" s="4">
        <f>=ROUNDDOWN({0},0)</f>
      </c>
      <c r="AB3130" s="5">
        <v>13</v>
      </c>
      <c r="AC3130" s="2" t="s">
        <v>1142</v>
      </c>
      <c r="AD3130" s="4">
        <v>100</v>
      </c>
      <c r="AE3130" s="4">
        <v>300</v>
      </c>
      <c r="AF3130" s="6">
        <v>65</v>
      </c>
      <c r="AG3130" s="6"/>
      <c r="AH3130" s="7">
        <v>0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 t="s">
        <v>100</v>
      </c>
      <c r="AW3130" s="8" t="s">
        <v>100</v>
      </c>
      <c r="AX3130" s="4" t="s">
        <v>100</v>
      </c>
      <c r="AY3130" s="8" t="s">
        <v>100</v>
      </c>
      <c r="AZ3130" s="7" t="s">
        <v>100</v>
      </c>
      <c r="BA3130" s="7" t="s">
        <v>100</v>
      </c>
      <c r="BB3130" s="7"/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 t="s">
        <v>100</v>
      </c>
      <c r="BJ3130" s="4"/>
      <c r="BK3130" s="8"/>
      <c r="BL3130" s="2" t="s">
        <v>100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109</v>
      </c>
      <c r="BV3130" s="2" t="s">
        <v>97</v>
      </c>
      <c r="BW3130" s="2" t="s">
        <v>464</v>
      </c>
      <c r="BX3130" s="2" t="s">
        <v>1165</v>
      </c>
      <c r="BY3130" s="2" t="s">
        <v>112</v>
      </c>
      <c r="BZ3130" s="2" t="s">
        <v>100</v>
      </c>
    </row>
    <row r="3131">
      <c r="A3131" s="2" t="s">
        <v>10287</v>
      </c>
      <c r="B3131" s="2" t="s">
        <v>9043</v>
      </c>
      <c r="C3131" s="2" t="s">
        <v>4466</v>
      </c>
      <c r="D3131" s="2" t="s">
        <v>9044</v>
      </c>
      <c r="E3131" s="2" t="s">
        <v>9045</v>
      </c>
      <c r="F3131" s="2" t="s">
        <v>10241</v>
      </c>
      <c r="G3131" s="2" t="s">
        <v>10241</v>
      </c>
      <c r="H3131" s="2" t="s">
        <v>10241</v>
      </c>
      <c r="I3131" s="2" t="s">
        <v>9627</v>
      </c>
      <c r="J3131" s="2" t="s">
        <v>1443</v>
      </c>
      <c r="K3131" s="2" t="s">
        <v>10143</v>
      </c>
      <c r="L3131" s="3">
        <v>24</v>
      </c>
      <c r="M3131" s="3">
        <v>25.2</v>
      </c>
      <c r="N3131" s="3">
        <v>49.99</v>
      </c>
      <c r="O3131" s="2" t="s">
        <v>97</v>
      </c>
      <c r="P3131" s="2" t="s">
        <v>98</v>
      </c>
      <c r="Q3131" s="2" t="s">
        <v>99</v>
      </c>
      <c r="R3131" s="2" t="s">
        <v>100</v>
      </c>
      <c r="S3131" s="2" t="s">
        <v>10288</v>
      </c>
      <c r="T3131" s="2" t="s">
        <v>5161</v>
      </c>
      <c r="U3131" s="2" t="s">
        <v>901</v>
      </c>
      <c r="V3131" s="2" t="s">
        <v>473</v>
      </c>
      <c r="W3131" s="2" t="s">
        <v>609</v>
      </c>
      <c r="X3131" s="2" t="s">
        <v>493</v>
      </c>
      <c r="Y3131" s="2" t="s">
        <v>10289</v>
      </c>
      <c r="Z3131" s="4">
        <v>59</v>
      </c>
      <c r="AA3131" s="4">
        <f>=ROUNDDOWN(11.8,0)</f>
      </c>
      <c r="AB3131" s="5">
        <v>5</v>
      </c>
      <c r="AC3131" s="2" t="s">
        <v>1142</v>
      </c>
      <c r="AD3131" s="4">
        <v>20</v>
      </c>
      <c r="AE3131" s="4">
        <v>90</v>
      </c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 t="s">
        <v>100</v>
      </c>
      <c r="AW3131" s="8" t="s">
        <v>100</v>
      </c>
      <c r="AX3131" s="4" t="s">
        <v>100</v>
      </c>
      <c r="AY3131" s="8" t="s">
        <v>100</v>
      </c>
      <c r="AZ3131" s="7" t="s">
        <v>100</v>
      </c>
      <c r="BA3131" s="7" t="s">
        <v>100</v>
      </c>
      <c r="BB3131" s="7"/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 t="s">
        <v>100</v>
      </c>
      <c r="BJ3131" s="4">
        <v>2</v>
      </c>
      <c r="BK3131" s="8">
        <v>76.45</v>
      </c>
      <c r="BL3131" s="2" t="s">
        <v>10290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171</v>
      </c>
      <c r="BV3131" s="2" t="s">
        <v>97</v>
      </c>
      <c r="BW3131" s="2" t="s">
        <v>100</v>
      </c>
      <c r="BX3131" s="2" t="s">
        <v>100</v>
      </c>
      <c r="BY3131" s="2" t="s">
        <v>112</v>
      </c>
      <c r="BZ3131" s="2" t="s">
        <v>100</v>
      </c>
    </row>
    <row r="3132">
      <c r="A3132" s="2" t="s">
        <v>10291</v>
      </c>
      <c r="B3132" s="2" t="s">
        <v>9043</v>
      </c>
      <c r="C3132" s="2" t="s">
        <v>4466</v>
      </c>
      <c r="D3132" s="2" t="s">
        <v>9044</v>
      </c>
      <c r="E3132" s="2" t="s">
        <v>9045</v>
      </c>
      <c r="F3132" s="2" t="s">
        <v>10241</v>
      </c>
      <c r="G3132" s="2" t="s">
        <v>10241</v>
      </c>
      <c r="H3132" s="2" t="s">
        <v>10241</v>
      </c>
      <c r="I3132" s="2" t="s">
        <v>9627</v>
      </c>
      <c r="J3132" s="2" t="s">
        <v>490</v>
      </c>
      <c r="K3132" s="2" t="s">
        <v>10143</v>
      </c>
      <c r="L3132" s="3">
        <v>28.2</v>
      </c>
      <c r="M3132" s="3">
        <v>29.61</v>
      </c>
      <c r="N3132" s="3">
        <v>59.99</v>
      </c>
      <c r="O3132" s="2" t="s">
        <v>97</v>
      </c>
      <c r="P3132" s="2" t="s">
        <v>98</v>
      </c>
      <c r="Q3132" s="2" t="s">
        <v>99</v>
      </c>
      <c r="R3132" s="2" t="s">
        <v>100</v>
      </c>
      <c r="S3132" s="2" t="s">
        <v>10288</v>
      </c>
      <c r="T3132" s="2" t="s">
        <v>5161</v>
      </c>
      <c r="U3132" s="2" t="s">
        <v>1228</v>
      </c>
      <c r="V3132" s="2" t="s">
        <v>473</v>
      </c>
      <c r="W3132" s="2" t="s">
        <v>609</v>
      </c>
      <c r="X3132" s="2" t="s">
        <v>493</v>
      </c>
      <c r="Y3132" s="2" t="s">
        <v>10289</v>
      </c>
      <c r="Z3132" s="4">
        <v>58</v>
      </c>
      <c r="AA3132" s="4">
        <f>=ROUNDDOWN(8.28571428571428,0)</f>
      </c>
      <c r="AB3132" s="5">
        <v>7</v>
      </c>
      <c r="AC3132" s="2" t="s">
        <v>1142</v>
      </c>
      <c r="AD3132" s="4">
        <v>50</v>
      </c>
      <c r="AE3132" s="4">
        <v>170</v>
      </c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 t="s">
        <v>100</v>
      </c>
      <c r="AW3132" s="8" t="s">
        <v>100</v>
      </c>
      <c r="AX3132" s="4" t="s">
        <v>100</v>
      </c>
      <c r="AY3132" s="8" t="s">
        <v>100</v>
      </c>
      <c r="AZ3132" s="7" t="s">
        <v>100</v>
      </c>
      <c r="BA3132" s="7" t="s">
        <v>100</v>
      </c>
      <c r="BB3132" s="7"/>
      <c r="BC3132" s="4" t="s">
        <v>100</v>
      </c>
      <c r="BD3132" s="8" t="s">
        <v>100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 t="s">
        <v>100</v>
      </c>
      <c r="BJ3132" s="4">
        <v>5</v>
      </c>
      <c r="BK3132" s="8">
        <v>154.73</v>
      </c>
      <c r="BL3132" s="2" t="s">
        <v>10292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171</v>
      </c>
      <c r="BV3132" s="2" t="s">
        <v>97</v>
      </c>
      <c r="BW3132" s="2" t="s">
        <v>100</v>
      </c>
      <c r="BX3132" s="2" t="s">
        <v>100</v>
      </c>
      <c r="BY3132" s="2" t="s">
        <v>112</v>
      </c>
      <c r="BZ3132" s="2" t="s">
        <v>100</v>
      </c>
    </row>
    <row r="3133">
      <c r="A3133" s="2" t="s">
        <v>10293</v>
      </c>
      <c r="B3133" s="2" t="s">
        <v>9043</v>
      </c>
      <c r="C3133" s="2" t="s">
        <v>4466</v>
      </c>
      <c r="D3133" s="2" t="s">
        <v>9044</v>
      </c>
      <c r="E3133" s="2" t="s">
        <v>9045</v>
      </c>
      <c r="F3133" s="2" t="s">
        <v>10241</v>
      </c>
      <c r="G3133" s="2" t="s">
        <v>10241</v>
      </c>
      <c r="H3133" s="2" t="s">
        <v>10241</v>
      </c>
      <c r="I3133" s="2" t="s">
        <v>9627</v>
      </c>
      <c r="J3133" s="2" t="s">
        <v>95</v>
      </c>
      <c r="K3133" s="2" t="s">
        <v>10143</v>
      </c>
      <c r="L3133" s="3">
        <v>31.85</v>
      </c>
      <c r="M3133" s="3">
        <v>33.44</v>
      </c>
      <c r="N3133" s="3">
        <v>64.99</v>
      </c>
      <c r="O3133" s="2" t="s">
        <v>97</v>
      </c>
      <c r="P3133" s="2" t="s">
        <v>98</v>
      </c>
      <c r="Q3133" s="2" t="s">
        <v>99</v>
      </c>
      <c r="R3133" s="2" t="s">
        <v>100</v>
      </c>
      <c r="S3133" s="2" t="s">
        <v>10288</v>
      </c>
      <c r="T3133" s="2" t="s">
        <v>5161</v>
      </c>
      <c r="U3133" s="2" t="s">
        <v>1228</v>
      </c>
      <c r="V3133" s="2" t="s">
        <v>473</v>
      </c>
      <c r="W3133" s="2" t="s">
        <v>609</v>
      </c>
      <c r="X3133" s="2" t="s">
        <v>493</v>
      </c>
      <c r="Y3133" s="2" t="s">
        <v>10289</v>
      </c>
      <c r="Z3133" s="4">
        <v>9</v>
      </c>
      <c r="AA3133" s="4">
        <f>=ROUNDDOWN(0.5,0)</f>
      </c>
      <c r="AB3133" s="5">
        <v>18</v>
      </c>
      <c r="AC3133" s="2" t="s">
        <v>1142</v>
      </c>
      <c r="AD3133" s="4">
        <v>160</v>
      </c>
      <c r="AE3133" s="4">
        <v>430</v>
      </c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 t="s">
        <v>100</v>
      </c>
      <c r="AW3133" s="8" t="s">
        <v>100</v>
      </c>
      <c r="AX3133" s="4" t="s">
        <v>100</v>
      </c>
      <c r="AY3133" s="8" t="s">
        <v>100</v>
      </c>
      <c r="AZ3133" s="7" t="s">
        <v>100</v>
      </c>
      <c r="BA3133" s="7" t="s">
        <v>100</v>
      </c>
      <c r="BB3133" s="7"/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 t="s">
        <v>100</v>
      </c>
      <c r="BJ3133" s="4">
        <v>25</v>
      </c>
      <c r="BK3133" s="8">
        <v>834.5</v>
      </c>
      <c r="BL3133" s="2" t="s">
        <v>10294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171</v>
      </c>
      <c r="BV3133" s="2" t="s">
        <v>97</v>
      </c>
      <c r="BW3133" s="2" t="s">
        <v>100</v>
      </c>
      <c r="BX3133" s="2" t="s">
        <v>100</v>
      </c>
      <c r="BY3133" s="2" t="s">
        <v>112</v>
      </c>
      <c r="BZ3133" s="2" t="s">
        <v>100</v>
      </c>
    </row>
    <row r="3134">
      <c r="A3134" s="2" t="s">
        <v>10295</v>
      </c>
      <c r="B3134" s="2" t="s">
        <v>9043</v>
      </c>
      <c r="C3134" s="2" t="s">
        <v>4466</v>
      </c>
      <c r="D3134" s="2" t="s">
        <v>9044</v>
      </c>
      <c r="E3134" s="2" t="s">
        <v>9045</v>
      </c>
      <c r="F3134" s="2" t="s">
        <v>10241</v>
      </c>
      <c r="G3134" s="2" t="s">
        <v>10241</v>
      </c>
      <c r="H3134" s="2" t="s">
        <v>10241</v>
      </c>
      <c r="I3134" s="2" t="s">
        <v>9627</v>
      </c>
      <c r="J3134" s="2" t="s">
        <v>114</v>
      </c>
      <c r="K3134" s="2" t="s">
        <v>10143</v>
      </c>
      <c r="L3134" s="3">
        <v>34.5</v>
      </c>
      <c r="M3134" s="3">
        <v>36.23</v>
      </c>
      <c r="N3134" s="3">
        <v>74.99</v>
      </c>
      <c r="O3134" s="2" t="s">
        <v>97</v>
      </c>
      <c r="P3134" s="2" t="s">
        <v>98</v>
      </c>
      <c r="Q3134" s="2" t="s">
        <v>99</v>
      </c>
      <c r="R3134" s="2" t="s">
        <v>100</v>
      </c>
      <c r="S3134" s="2" t="s">
        <v>10288</v>
      </c>
      <c r="T3134" s="2" t="s">
        <v>5161</v>
      </c>
      <c r="U3134" s="2" t="s">
        <v>1228</v>
      </c>
      <c r="V3134" s="2" t="s">
        <v>473</v>
      </c>
      <c r="W3134" s="2" t="s">
        <v>609</v>
      </c>
      <c r="X3134" s="2" t="s">
        <v>493</v>
      </c>
      <c r="Y3134" s="2" t="s">
        <v>10289</v>
      </c>
      <c r="Z3134" s="4">
        <v>77</v>
      </c>
      <c r="AA3134" s="4">
        <f>=ROUNDDOWN(7.7,0)</f>
      </c>
      <c r="AB3134" s="5">
        <v>10</v>
      </c>
      <c r="AC3134" s="2" t="s">
        <v>1142</v>
      </c>
      <c r="AD3134" s="4">
        <v>50</v>
      </c>
      <c r="AE3134" s="4">
        <v>200</v>
      </c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/>
      <c r="AQ3134" s="8"/>
      <c r="AR3134" s="4"/>
      <c r="AS3134" s="8"/>
      <c r="AT3134" s="7"/>
      <c r="AU3134" s="7"/>
      <c r="AV3134" s="4" t="s">
        <v>100</v>
      </c>
      <c r="AW3134" s="8" t="s">
        <v>100</v>
      </c>
      <c r="AX3134" s="4" t="s">
        <v>100</v>
      </c>
      <c r="AY3134" s="8" t="s">
        <v>100</v>
      </c>
      <c r="AZ3134" s="7" t="s">
        <v>100</v>
      </c>
      <c r="BA3134" s="7" t="s">
        <v>100</v>
      </c>
      <c r="BB3134" s="7"/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 t="s">
        <v>100</v>
      </c>
      <c r="BJ3134" s="4">
        <v>2</v>
      </c>
      <c r="BK3134" s="8">
        <v>71.87</v>
      </c>
      <c r="BL3134" s="2" t="s">
        <v>6246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171</v>
      </c>
      <c r="BV3134" s="2" t="s">
        <v>97</v>
      </c>
      <c r="BW3134" s="2" t="s">
        <v>100</v>
      </c>
      <c r="BX3134" s="2" t="s">
        <v>100</v>
      </c>
      <c r="BY3134" s="2" t="s">
        <v>112</v>
      </c>
      <c r="BZ3134" s="2" t="s">
        <v>100</v>
      </c>
    </row>
    <row r="3135">
      <c r="A3135" s="2" t="s">
        <v>10296</v>
      </c>
      <c r="B3135" s="2" t="s">
        <v>9043</v>
      </c>
      <c r="C3135" s="2" t="s">
        <v>4466</v>
      </c>
      <c r="D3135" s="2" t="s">
        <v>9044</v>
      </c>
      <c r="E3135" s="2" t="s">
        <v>9045</v>
      </c>
      <c r="F3135" s="2" t="s">
        <v>10241</v>
      </c>
      <c r="G3135" s="2" t="s">
        <v>10241</v>
      </c>
      <c r="H3135" s="2" t="s">
        <v>10241</v>
      </c>
      <c r="I3135" s="2" t="s">
        <v>9627</v>
      </c>
      <c r="J3135" s="2" t="s">
        <v>1443</v>
      </c>
      <c r="K3135" s="2" t="s">
        <v>10297</v>
      </c>
      <c r="L3135" s="3">
        <v>24</v>
      </c>
      <c r="M3135" s="3">
        <v>25.2</v>
      </c>
      <c r="N3135" s="3">
        <v>49.99</v>
      </c>
      <c r="O3135" s="2" t="s">
        <v>97</v>
      </c>
      <c r="P3135" s="2" t="s">
        <v>98</v>
      </c>
      <c r="Q3135" s="2" t="s">
        <v>99</v>
      </c>
      <c r="R3135" s="2" t="s">
        <v>100</v>
      </c>
      <c r="S3135" s="2" t="s">
        <v>10298</v>
      </c>
      <c r="T3135" s="2" t="s">
        <v>5161</v>
      </c>
      <c r="U3135" s="2" t="s">
        <v>901</v>
      </c>
      <c r="V3135" s="2" t="s">
        <v>269</v>
      </c>
      <c r="W3135" s="2" t="s">
        <v>609</v>
      </c>
      <c r="X3135" s="2" t="s">
        <v>493</v>
      </c>
      <c r="Y3135" s="2" t="s">
        <v>144</v>
      </c>
      <c r="Z3135" s="4">
        <v>3</v>
      </c>
      <c r="AA3135" s="4">
        <f>=ROUNDDOWN(0.3,0)</f>
      </c>
      <c r="AB3135" s="5">
        <v>10</v>
      </c>
      <c r="AC3135" s="2" t="s">
        <v>1142</v>
      </c>
      <c r="AD3135" s="4">
        <v>80</v>
      </c>
      <c r="AE3135" s="4">
        <v>230</v>
      </c>
      <c r="AF3135" s="6">
        <v>65</v>
      </c>
      <c r="AG3135" s="6"/>
      <c r="AH3135" s="7">
        <v>0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 t="s">
        <v>100</v>
      </c>
      <c r="AW3135" s="8" t="s">
        <v>100</v>
      </c>
      <c r="AX3135" s="4" t="s">
        <v>100</v>
      </c>
      <c r="AY3135" s="8" t="s">
        <v>100</v>
      </c>
      <c r="AZ3135" s="7" t="s">
        <v>100</v>
      </c>
      <c r="BA3135" s="7" t="s">
        <v>100</v>
      </c>
      <c r="BB3135" s="7"/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 t="s">
        <v>100</v>
      </c>
      <c r="BJ3135" s="4"/>
      <c r="BK3135" s="8"/>
      <c r="BL3135" s="2" t="s">
        <v>100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4173</v>
      </c>
      <c r="BX3135" s="2" t="s">
        <v>10058</v>
      </c>
      <c r="BY3135" s="2" t="s">
        <v>112</v>
      </c>
      <c r="BZ3135" s="2" t="s">
        <v>100</v>
      </c>
    </row>
    <row r="3136">
      <c r="A3136" s="2" t="s">
        <v>10299</v>
      </c>
      <c r="B3136" s="2" t="s">
        <v>9043</v>
      </c>
      <c r="C3136" s="2" t="s">
        <v>4466</v>
      </c>
      <c r="D3136" s="2" t="s">
        <v>9044</v>
      </c>
      <c r="E3136" s="2" t="s">
        <v>9045</v>
      </c>
      <c r="F3136" s="2" t="s">
        <v>10241</v>
      </c>
      <c r="G3136" s="2" t="s">
        <v>10241</v>
      </c>
      <c r="H3136" s="2" t="s">
        <v>10241</v>
      </c>
      <c r="I3136" s="2" t="s">
        <v>9627</v>
      </c>
      <c r="J3136" s="2" t="s">
        <v>490</v>
      </c>
      <c r="K3136" s="2" t="s">
        <v>10297</v>
      </c>
      <c r="L3136" s="3">
        <v>28.2</v>
      </c>
      <c r="M3136" s="3">
        <v>29.61</v>
      </c>
      <c r="N3136" s="3">
        <v>59.99</v>
      </c>
      <c r="O3136" s="2" t="s">
        <v>97</v>
      </c>
      <c r="P3136" s="2" t="s">
        <v>98</v>
      </c>
      <c r="Q3136" s="2" t="s">
        <v>99</v>
      </c>
      <c r="R3136" s="2" t="s">
        <v>100</v>
      </c>
      <c r="S3136" s="2" t="s">
        <v>10298</v>
      </c>
      <c r="T3136" s="2" t="s">
        <v>5161</v>
      </c>
      <c r="U3136" s="2" t="s">
        <v>1228</v>
      </c>
      <c r="V3136" s="2" t="s">
        <v>269</v>
      </c>
      <c r="W3136" s="2" t="s">
        <v>609</v>
      </c>
      <c r="X3136" s="2" t="s">
        <v>493</v>
      </c>
      <c r="Y3136" s="2" t="s">
        <v>144</v>
      </c>
      <c r="Z3136" s="4"/>
      <c r="AA3136" s="4">
        <f>=ROUNDDOWN({0},0)</f>
      </c>
      <c r="AB3136" s="5">
        <v>9</v>
      </c>
      <c r="AC3136" s="2" t="s">
        <v>1142</v>
      </c>
      <c r="AD3136" s="4">
        <v>80</v>
      </c>
      <c r="AE3136" s="4">
        <v>230</v>
      </c>
      <c r="AF3136" s="6">
        <v>65</v>
      </c>
      <c r="AG3136" s="6"/>
      <c r="AH3136" s="7">
        <v>0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 t="s">
        <v>100</v>
      </c>
      <c r="AW3136" s="8" t="s">
        <v>100</v>
      </c>
      <c r="AX3136" s="4" t="s">
        <v>100</v>
      </c>
      <c r="AY3136" s="8" t="s">
        <v>100</v>
      </c>
      <c r="AZ3136" s="7" t="s">
        <v>100</v>
      </c>
      <c r="BA3136" s="7" t="s">
        <v>100</v>
      </c>
      <c r="BB3136" s="7"/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 t="s">
        <v>100</v>
      </c>
      <c r="BJ3136" s="4"/>
      <c r="BK3136" s="8"/>
      <c r="BL3136" s="2" t="s">
        <v>100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4173</v>
      </c>
      <c r="BX3136" s="2" t="s">
        <v>8048</v>
      </c>
      <c r="BY3136" s="2" t="s">
        <v>112</v>
      </c>
      <c r="BZ3136" s="2" t="s">
        <v>100</v>
      </c>
    </row>
    <row r="3137">
      <c r="A3137" s="2" t="s">
        <v>10300</v>
      </c>
      <c r="B3137" s="2" t="s">
        <v>9043</v>
      </c>
      <c r="C3137" s="2" t="s">
        <v>4466</v>
      </c>
      <c r="D3137" s="2" t="s">
        <v>9044</v>
      </c>
      <c r="E3137" s="2" t="s">
        <v>9045</v>
      </c>
      <c r="F3137" s="2" t="s">
        <v>10241</v>
      </c>
      <c r="G3137" s="2" t="s">
        <v>10241</v>
      </c>
      <c r="H3137" s="2" t="s">
        <v>10241</v>
      </c>
      <c r="I3137" s="2" t="s">
        <v>9627</v>
      </c>
      <c r="J3137" s="2" t="s">
        <v>95</v>
      </c>
      <c r="K3137" s="2" t="s">
        <v>10297</v>
      </c>
      <c r="L3137" s="3">
        <v>31.85</v>
      </c>
      <c r="M3137" s="3">
        <v>33.44</v>
      </c>
      <c r="N3137" s="3">
        <v>64.99</v>
      </c>
      <c r="O3137" s="2" t="s">
        <v>97</v>
      </c>
      <c r="P3137" s="2" t="s">
        <v>123</v>
      </c>
      <c r="Q3137" s="2" t="s">
        <v>99</v>
      </c>
      <c r="R3137" s="2" t="s">
        <v>100</v>
      </c>
      <c r="S3137" s="2" t="s">
        <v>10298</v>
      </c>
      <c r="T3137" s="2" t="s">
        <v>5161</v>
      </c>
      <c r="U3137" s="2" t="s">
        <v>1228</v>
      </c>
      <c r="V3137" s="2" t="s">
        <v>269</v>
      </c>
      <c r="W3137" s="2" t="s">
        <v>609</v>
      </c>
      <c r="X3137" s="2" t="s">
        <v>493</v>
      </c>
      <c r="Y3137" s="2" t="s">
        <v>144</v>
      </c>
      <c r="Z3137" s="4"/>
      <c r="AA3137" s="4">
        <f>=ROUNDDOWN({0},0)</f>
      </c>
      <c r="AB3137" s="5">
        <v>32</v>
      </c>
      <c r="AC3137" s="2" t="s">
        <v>1142</v>
      </c>
      <c r="AD3137" s="4">
        <v>260</v>
      </c>
      <c r="AE3137" s="4">
        <v>780</v>
      </c>
      <c r="AF3137" s="6">
        <v>65</v>
      </c>
      <c r="AG3137" s="6"/>
      <c r="AH3137" s="7">
        <v>0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 t="s">
        <v>100</v>
      </c>
      <c r="AW3137" s="8" t="s">
        <v>100</v>
      </c>
      <c r="AX3137" s="4" t="s">
        <v>100</v>
      </c>
      <c r="AY3137" s="8" t="s">
        <v>100</v>
      </c>
      <c r="AZ3137" s="7" t="s">
        <v>100</v>
      </c>
      <c r="BA3137" s="7" t="s">
        <v>100</v>
      </c>
      <c r="BB3137" s="7"/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 t="s">
        <v>100</v>
      </c>
      <c r="BJ3137" s="4"/>
      <c r="BK3137" s="8"/>
      <c r="BL3137" s="2" t="s">
        <v>100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109</v>
      </c>
      <c r="BV3137" s="2" t="s">
        <v>97</v>
      </c>
      <c r="BW3137" s="2" t="s">
        <v>4173</v>
      </c>
      <c r="BX3137" s="2" t="s">
        <v>1691</v>
      </c>
      <c r="BY3137" s="2" t="s">
        <v>112</v>
      </c>
      <c r="BZ3137" s="2" t="s">
        <v>100</v>
      </c>
    </row>
    <row r="3138">
      <c r="A3138" s="2" t="s">
        <v>10301</v>
      </c>
      <c r="B3138" s="2" t="s">
        <v>9043</v>
      </c>
      <c r="C3138" s="2" t="s">
        <v>4466</v>
      </c>
      <c r="D3138" s="2" t="s">
        <v>9044</v>
      </c>
      <c r="E3138" s="2" t="s">
        <v>9045</v>
      </c>
      <c r="F3138" s="2" t="s">
        <v>10241</v>
      </c>
      <c r="G3138" s="2" t="s">
        <v>10241</v>
      </c>
      <c r="H3138" s="2" t="s">
        <v>10241</v>
      </c>
      <c r="I3138" s="2" t="s">
        <v>9627</v>
      </c>
      <c r="J3138" s="2" t="s">
        <v>114</v>
      </c>
      <c r="K3138" s="2" t="s">
        <v>10297</v>
      </c>
      <c r="L3138" s="3">
        <v>34.5</v>
      </c>
      <c r="M3138" s="3">
        <v>36.22</v>
      </c>
      <c r="N3138" s="3">
        <v>74.99</v>
      </c>
      <c r="O3138" s="2" t="s">
        <v>97</v>
      </c>
      <c r="P3138" s="2" t="s">
        <v>156</v>
      </c>
      <c r="Q3138" s="2" t="s">
        <v>99</v>
      </c>
      <c r="R3138" s="2" t="s">
        <v>100</v>
      </c>
      <c r="S3138" s="2" t="s">
        <v>10298</v>
      </c>
      <c r="T3138" s="2" t="s">
        <v>5161</v>
      </c>
      <c r="U3138" s="2" t="s">
        <v>1228</v>
      </c>
      <c r="V3138" s="2" t="s">
        <v>269</v>
      </c>
      <c r="W3138" s="2" t="s">
        <v>609</v>
      </c>
      <c r="X3138" s="2" t="s">
        <v>493</v>
      </c>
      <c r="Y3138" s="2" t="s">
        <v>144</v>
      </c>
      <c r="Z3138" s="4"/>
      <c r="AA3138" s="4">
        <f>=ROUNDDOWN({0},0)</f>
      </c>
      <c r="AB3138" s="5">
        <v>24</v>
      </c>
      <c r="AC3138" s="2" t="s">
        <v>1142</v>
      </c>
      <c r="AD3138" s="4">
        <v>180</v>
      </c>
      <c r="AE3138" s="4">
        <v>540</v>
      </c>
      <c r="AF3138" s="6">
        <v>65</v>
      </c>
      <c r="AG3138" s="6"/>
      <c r="AH3138" s="7">
        <v>0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/>
      <c r="AQ3138" s="8"/>
      <c r="AR3138" s="4"/>
      <c r="AS3138" s="8"/>
      <c r="AT3138" s="7"/>
      <c r="AU3138" s="7"/>
      <c r="AV3138" s="4" t="s">
        <v>100</v>
      </c>
      <c r="AW3138" s="8" t="s">
        <v>100</v>
      </c>
      <c r="AX3138" s="4" t="s">
        <v>100</v>
      </c>
      <c r="AY3138" s="8" t="s">
        <v>100</v>
      </c>
      <c r="AZ3138" s="7" t="s">
        <v>100</v>
      </c>
      <c r="BA3138" s="7" t="s">
        <v>100</v>
      </c>
      <c r="BB3138" s="7"/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 t="s">
        <v>100</v>
      </c>
      <c r="BJ3138" s="4"/>
      <c r="BK3138" s="8"/>
      <c r="BL3138" s="2" t="s">
        <v>100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4173</v>
      </c>
      <c r="BX3138" s="2" t="s">
        <v>499</v>
      </c>
      <c r="BY3138" s="2" t="s">
        <v>112</v>
      </c>
      <c r="BZ3138" s="2" t="s">
        <v>100</v>
      </c>
    </row>
    <row r="3139">
      <c r="A3139" s="2" t="s">
        <v>10302</v>
      </c>
      <c r="B3139" s="2" t="s">
        <v>9043</v>
      </c>
      <c r="C3139" s="2" t="s">
        <v>4466</v>
      </c>
      <c r="D3139" s="2" t="s">
        <v>9044</v>
      </c>
      <c r="E3139" s="2" t="s">
        <v>9045</v>
      </c>
      <c r="F3139" s="2" t="s">
        <v>10241</v>
      </c>
      <c r="G3139" s="2" t="s">
        <v>10241</v>
      </c>
      <c r="H3139" s="2" t="s">
        <v>10241</v>
      </c>
      <c r="I3139" s="2" t="s">
        <v>9627</v>
      </c>
      <c r="J3139" s="2" t="s">
        <v>1443</v>
      </c>
      <c r="K3139" s="2" t="s">
        <v>10303</v>
      </c>
      <c r="L3139" s="3">
        <v>24</v>
      </c>
      <c r="M3139" s="3">
        <v>25.2</v>
      </c>
      <c r="N3139" s="3">
        <v>49.99</v>
      </c>
      <c r="O3139" s="2" t="s">
        <v>97</v>
      </c>
      <c r="P3139" s="2" t="s">
        <v>98</v>
      </c>
      <c r="Q3139" s="2" t="s">
        <v>99</v>
      </c>
      <c r="R3139" s="2" t="s">
        <v>100</v>
      </c>
      <c r="S3139" s="2" t="s">
        <v>10304</v>
      </c>
      <c r="T3139" s="2" t="s">
        <v>5161</v>
      </c>
      <c r="U3139" s="2" t="s">
        <v>901</v>
      </c>
      <c r="V3139" s="2" t="s">
        <v>3451</v>
      </c>
      <c r="W3139" s="2" t="s">
        <v>609</v>
      </c>
      <c r="X3139" s="2" t="s">
        <v>493</v>
      </c>
      <c r="Y3139" s="2" t="s">
        <v>10289</v>
      </c>
      <c r="Z3139" s="4">
        <v>6</v>
      </c>
      <c r="AA3139" s="4">
        <f>=ROUNDDOWN(0.6,0)</f>
      </c>
      <c r="AB3139" s="5">
        <v>10</v>
      </c>
      <c r="AC3139" s="2" t="s">
        <v>1142</v>
      </c>
      <c r="AD3139" s="4">
        <v>90</v>
      </c>
      <c r="AE3139" s="4">
        <v>230</v>
      </c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 t="s">
        <v>100</v>
      </c>
      <c r="AW3139" s="8" t="s">
        <v>100</v>
      </c>
      <c r="AX3139" s="4" t="s">
        <v>100</v>
      </c>
      <c r="AY3139" s="8" t="s">
        <v>100</v>
      </c>
      <c r="AZ3139" s="7" t="s">
        <v>100</v>
      </c>
      <c r="BA3139" s="7" t="s">
        <v>100</v>
      </c>
      <c r="BB3139" s="7"/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 t="s">
        <v>100</v>
      </c>
      <c r="BJ3139" s="4"/>
      <c r="BK3139" s="8"/>
      <c r="BL3139" s="2" t="s">
        <v>100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171</v>
      </c>
      <c r="BV3139" s="2" t="s">
        <v>97</v>
      </c>
      <c r="BW3139" s="2" t="s">
        <v>100</v>
      </c>
      <c r="BX3139" s="2" t="s">
        <v>100</v>
      </c>
      <c r="BY3139" s="2" t="s">
        <v>112</v>
      </c>
      <c r="BZ3139" s="2" t="s">
        <v>100</v>
      </c>
    </row>
    <row r="3140">
      <c r="A3140" s="2" t="s">
        <v>10305</v>
      </c>
      <c r="B3140" s="2" t="s">
        <v>9043</v>
      </c>
      <c r="C3140" s="2" t="s">
        <v>4466</v>
      </c>
      <c r="D3140" s="2" t="s">
        <v>9044</v>
      </c>
      <c r="E3140" s="2" t="s">
        <v>9045</v>
      </c>
      <c r="F3140" s="2" t="s">
        <v>10241</v>
      </c>
      <c r="G3140" s="2" t="s">
        <v>10241</v>
      </c>
      <c r="H3140" s="2" t="s">
        <v>10241</v>
      </c>
      <c r="I3140" s="2" t="s">
        <v>9627</v>
      </c>
      <c r="J3140" s="2" t="s">
        <v>490</v>
      </c>
      <c r="K3140" s="2" t="s">
        <v>10303</v>
      </c>
      <c r="L3140" s="3">
        <v>28.2</v>
      </c>
      <c r="M3140" s="3">
        <v>29.61</v>
      </c>
      <c r="N3140" s="3">
        <v>59.99</v>
      </c>
      <c r="O3140" s="2" t="s">
        <v>97</v>
      </c>
      <c r="P3140" s="2" t="s">
        <v>98</v>
      </c>
      <c r="Q3140" s="2" t="s">
        <v>99</v>
      </c>
      <c r="R3140" s="2" t="s">
        <v>100</v>
      </c>
      <c r="S3140" s="2" t="s">
        <v>10304</v>
      </c>
      <c r="T3140" s="2" t="s">
        <v>5161</v>
      </c>
      <c r="U3140" s="2" t="s">
        <v>1228</v>
      </c>
      <c r="V3140" s="2" t="s">
        <v>3451</v>
      </c>
      <c r="W3140" s="2" t="s">
        <v>609</v>
      </c>
      <c r="X3140" s="2" t="s">
        <v>493</v>
      </c>
      <c r="Y3140" s="2" t="s">
        <v>10289</v>
      </c>
      <c r="Z3140" s="4">
        <v>41</v>
      </c>
      <c r="AA3140" s="4">
        <f>=ROUNDDOWN(4.55555555555556,0)</f>
      </c>
      <c r="AB3140" s="5">
        <v>9</v>
      </c>
      <c r="AC3140" s="2" t="s">
        <v>1142</v>
      </c>
      <c r="AD3140" s="4">
        <v>90</v>
      </c>
      <c r="AE3140" s="4">
        <v>230</v>
      </c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 t="s">
        <v>100</v>
      </c>
      <c r="AW3140" s="8" t="s">
        <v>100</v>
      </c>
      <c r="AX3140" s="4" t="s">
        <v>100</v>
      </c>
      <c r="AY3140" s="8" t="s">
        <v>100</v>
      </c>
      <c r="AZ3140" s="7" t="s">
        <v>100</v>
      </c>
      <c r="BA3140" s="7" t="s">
        <v>100</v>
      </c>
      <c r="BB3140" s="7"/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 t="s">
        <v>100</v>
      </c>
      <c r="BJ3140" s="4">
        <v>3</v>
      </c>
      <c r="BK3140" s="8">
        <v>84.83</v>
      </c>
      <c r="BL3140" s="2" t="s">
        <v>10306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171</v>
      </c>
      <c r="BV3140" s="2" t="s">
        <v>97</v>
      </c>
      <c r="BW3140" s="2" t="s">
        <v>100</v>
      </c>
      <c r="BX3140" s="2" t="s">
        <v>100</v>
      </c>
      <c r="BY3140" s="2" t="s">
        <v>112</v>
      </c>
      <c r="BZ3140" s="2" t="s">
        <v>100</v>
      </c>
    </row>
    <row r="3141">
      <c r="A3141" s="2" t="s">
        <v>10307</v>
      </c>
      <c r="B3141" s="2" t="s">
        <v>9043</v>
      </c>
      <c r="C3141" s="2" t="s">
        <v>4466</v>
      </c>
      <c r="D3141" s="2" t="s">
        <v>9044</v>
      </c>
      <c r="E3141" s="2" t="s">
        <v>9045</v>
      </c>
      <c r="F3141" s="2" t="s">
        <v>10241</v>
      </c>
      <c r="G3141" s="2" t="s">
        <v>10241</v>
      </c>
      <c r="H3141" s="2" t="s">
        <v>10241</v>
      </c>
      <c r="I3141" s="2" t="s">
        <v>9627</v>
      </c>
      <c r="J3141" s="2" t="s">
        <v>95</v>
      </c>
      <c r="K3141" s="2" t="s">
        <v>10303</v>
      </c>
      <c r="L3141" s="3">
        <v>31.85</v>
      </c>
      <c r="M3141" s="3">
        <v>33.44</v>
      </c>
      <c r="N3141" s="3">
        <v>64.99</v>
      </c>
      <c r="O3141" s="2" t="s">
        <v>97</v>
      </c>
      <c r="P3141" s="2" t="s">
        <v>98</v>
      </c>
      <c r="Q3141" s="2" t="s">
        <v>99</v>
      </c>
      <c r="R3141" s="2" t="s">
        <v>100</v>
      </c>
      <c r="S3141" s="2" t="s">
        <v>10304</v>
      </c>
      <c r="T3141" s="2" t="s">
        <v>5161</v>
      </c>
      <c r="U3141" s="2" t="s">
        <v>1228</v>
      </c>
      <c r="V3141" s="2" t="s">
        <v>3451</v>
      </c>
      <c r="W3141" s="2" t="s">
        <v>609</v>
      </c>
      <c r="X3141" s="2" t="s">
        <v>493</v>
      </c>
      <c r="Y3141" s="2" t="s">
        <v>10289</v>
      </c>
      <c r="Z3141" s="4">
        <v>3</v>
      </c>
      <c r="AA3141" s="4">
        <f>=ROUNDDOWN(0.12,0)</f>
      </c>
      <c r="AB3141" s="5">
        <v>25</v>
      </c>
      <c r="AC3141" s="2" t="s">
        <v>1142</v>
      </c>
      <c r="AD3141" s="4">
        <v>220</v>
      </c>
      <c r="AE3141" s="4">
        <v>600</v>
      </c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 t="s">
        <v>100</v>
      </c>
      <c r="AW3141" s="8" t="s">
        <v>100</v>
      </c>
      <c r="AX3141" s="4" t="s">
        <v>100</v>
      </c>
      <c r="AY3141" s="8" t="s">
        <v>100</v>
      </c>
      <c r="AZ3141" s="7" t="s">
        <v>100</v>
      </c>
      <c r="BA3141" s="7" t="s">
        <v>100</v>
      </c>
      <c r="BB3141" s="7"/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 t="s">
        <v>100</v>
      </c>
      <c r="BJ3141" s="4">
        <v>10</v>
      </c>
      <c r="BK3141" s="8">
        <v>333.72</v>
      </c>
      <c r="BL3141" s="2" t="s">
        <v>6609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171</v>
      </c>
      <c r="BV3141" s="2" t="s">
        <v>97</v>
      </c>
      <c r="BW3141" s="2" t="s">
        <v>100</v>
      </c>
      <c r="BX3141" s="2" t="s">
        <v>100</v>
      </c>
      <c r="BY3141" s="2" t="s">
        <v>112</v>
      </c>
      <c r="BZ3141" s="2" t="s">
        <v>100</v>
      </c>
    </row>
    <row r="3142">
      <c r="A3142" s="2" t="s">
        <v>10308</v>
      </c>
      <c r="B3142" s="2" t="s">
        <v>9043</v>
      </c>
      <c r="C3142" s="2" t="s">
        <v>4466</v>
      </c>
      <c r="D3142" s="2" t="s">
        <v>9044</v>
      </c>
      <c r="E3142" s="2" t="s">
        <v>9045</v>
      </c>
      <c r="F3142" s="2" t="s">
        <v>10241</v>
      </c>
      <c r="G3142" s="2" t="s">
        <v>10241</v>
      </c>
      <c r="H3142" s="2" t="s">
        <v>10241</v>
      </c>
      <c r="I3142" s="2" t="s">
        <v>9627</v>
      </c>
      <c r="J3142" s="2" t="s">
        <v>114</v>
      </c>
      <c r="K3142" s="2" t="s">
        <v>10303</v>
      </c>
      <c r="L3142" s="3">
        <v>34.5</v>
      </c>
      <c r="M3142" s="3">
        <v>36.23</v>
      </c>
      <c r="N3142" s="3">
        <v>74.99</v>
      </c>
      <c r="O3142" s="2" t="s">
        <v>97</v>
      </c>
      <c r="P3142" s="2" t="s">
        <v>98</v>
      </c>
      <c r="Q3142" s="2" t="s">
        <v>99</v>
      </c>
      <c r="R3142" s="2" t="s">
        <v>100</v>
      </c>
      <c r="S3142" s="2" t="s">
        <v>10304</v>
      </c>
      <c r="T3142" s="2" t="s">
        <v>5161</v>
      </c>
      <c r="U3142" s="2" t="s">
        <v>1228</v>
      </c>
      <c r="V3142" s="2" t="s">
        <v>3451</v>
      </c>
      <c r="W3142" s="2" t="s">
        <v>609</v>
      </c>
      <c r="X3142" s="2" t="s">
        <v>493</v>
      </c>
      <c r="Y3142" s="2" t="s">
        <v>10289</v>
      </c>
      <c r="Z3142" s="4">
        <v>51</v>
      </c>
      <c r="AA3142" s="4">
        <f>=ROUNDDOWN(3.4,0)</f>
      </c>
      <c r="AB3142" s="5">
        <v>15</v>
      </c>
      <c r="AC3142" s="2" t="s">
        <v>1142</v>
      </c>
      <c r="AD3142" s="4">
        <v>140</v>
      </c>
      <c r="AE3142" s="4">
        <v>360</v>
      </c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 t="s">
        <v>100</v>
      </c>
      <c r="AW3142" s="8" t="s">
        <v>100</v>
      </c>
      <c r="AX3142" s="4" t="s">
        <v>100</v>
      </c>
      <c r="AY3142" s="8" t="s">
        <v>100</v>
      </c>
      <c r="AZ3142" s="7" t="s">
        <v>100</v>
      </c>
      <c r="BA3142" s="7" t="s">
        <v>100</v>
      </c>
      <c r="BB3142" s="7"/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 t="s">
        <v>100</v>
      </c>
      <c r="BJ3142" s="4"/>
      <c r="BK3142" s="8"/>
      <c r="BL3142" s="2" t="s">
        <v>100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171</v>
      </c>
      <c r="BV3142" s="2" t="s">
        <v>97</v>
      </c>
      <c r="BW3142" s="2" t="s">
        <v>100</v>
      </c>
      <c r="BX3142" s="2" t="s">
        <v>100</v>
      </c>
      <c r="BY3142" s="2" t="s">
        <v>112</v>
      </c>
      <c r="BZ3142" s="2" t="s">
        <v>100</v>
      </c>
    </row>
    <row r="3143">
      <c r="A3143" s="2" t="s">
        <v>10309</v>
      </c>
      <c r="B3143" s="2" t="s">
        <v>9043</v>
      </c>
      <c r="C3143" s="2" t="s">
        <v>4466</v>
      </c>
      <c r="D3143" s="2" t="s">
        <v>9044</v>
      </c>
      <c r="E3143" s="2" t="s">
        <v>9045</v>
      </c>
      <c r="F3143" s="2" t="s">
        <v>10241</v>
      </c>
      <c r="G3143" s="2" t="s">
        <v>10241</v>
      </c>
      <c r="H3143" s="2" t="s">
        <v>10241</v>
      </c>
      <c r="I3143" s="2" t="s">
        <v>9627</v>
      </c>
      <c r="J3143" s="2" t="s">
        <v>1443</v>
      </c>
      <c r="K3143" s="2" t="s">
        <v>1373</v>
      </c>
      <c r="L3143" s="3">
        <v>21.62</v>
      </c>
      <c r="M3143" s="3">
        <v>22.7</v>
      </c>
      <c r="N3143" s="3">
        <v>46.99</v>
      </c>
      <c r="O3143" s="2" t="s">
        <v>97</v>
      </c>
      <c r="P3143" s="2" t="s">
        <v>98</v>
      </c>
      <c r="Q3143" s="2" t="s">
        <v>99</v>
      </c>
      <c r="R3143" s="2" t="s">
        <v>100</v>
      </c>
      <c r="S3143" s="2" t="s">
        <v>10310</v>
      </c>
      <c r="T3143" s="2" t="s">
        <v>5161</v>
      </c>
      <c r="U3143" s="2" t="s">
        <v>901</v>
      </c>
      <c r="V3143" s="2" t="s">
        <v>461</v>
      </c>
      <c r="W3143" s="2" t="s">
        <v>609</v>
      </c>
      <c r="X3143" s="2" t="s">
        <v>493</v>
      </c>
      <c r="Y3143" s="2" t="s">
        <v>144</v>
      </c>
      <c r="Z3143" s="4"/>
      <c r="AA3143" s="4">
        <f>=ROUNDDOWN({0},0)</f>
      </c>
      <c r="AB3143" s="5">
        <v>17</v>
      </c>
      <c r="AC3143" s="2" t="s">
        <v>1142</v>
      </c>
      <c r="AD3143" s="4">
        <v>130</v>
      </c>
      <c r="AE3143" s="4">
        <v>350</v>
      </c>
      <c r="AF3143" s="6">
        <v>65</v>
      </c>
      <c r="AG3143" s="6"/>
      <c r="AH3143" s="7">
        <v>0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 t="s">
        <v>100</v>
      </c>
      <c r="AW3143" s="8" t="s">
        <v>100</v>
      </c>
      <c r="AX3143" s="4" t="s">
        <v>100</v>
      </c>
      <c r="AY3143" s="8" t="s">
        <v>100</v>
      </c>
      <c r="AZ3143" s="7" t="s">
        <v>100</v>
      </c>
      <c r="BA3143" s="7" t="s">
        <v>100</v>
      </c>
      <c r="BB3143" s="7"/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 t="s">
        <v>100</v>
      </c>
      <c r="BJ3143" s="4"/>
      <c r="BK3143" s="8"/>
      <c r="BL3143" s="2" t="s">
        <v>100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464</v>
      </c>
      <c r="BX3143" s="2" t="s">
        <v>9432</v>
      </c>
      <c r="BY3143" s="2" t="s">
        <v>112</v>
      </c>
      <c r="BZ3143" s="2" t="s">
        <v>100</v>
      </c>
    </row>
    <row r="3144">
      <c r="A3144" s="2" t="s">
        <v>10311</v>
      </c>
      <c r="B3144" s="2" t="s">
        <v>9043</v>
      </c>
      <c r="C3144" s="2" t="s">
        <v>4466</v>
      </c>
      <c r="D3144" s="2" t="s">
        <v>9044</v>
      </c>
      <c r="E3144" s="2" t="s">
        <v>9045</v>
      </c>
      <c r="F3144" s="2" t="s">
        <v>10241</v>
      </c>
      <c r="G3144" s="2" t="s">
        <v>10241</v>
      </c>
      <c r="H3144" s="2" t="s">
        <v>10241</v>
      </c>
      <c r="I3144" s="2" t="s">
        <v>9627</v>
      </c>
      <c r="J3144" s="2" t="s">
        <v>1806</v>
      </c>
      <c r="K3144" s="2" t="s">
        <v>1373</v>
      </c>
      <c r="L3144" s="3">
        <v>23.04</v>
      </c>
      <c r="M3144" s="3">
        <v>24.19</v>
      </c>
      <c r="N3144" s="3">
        <v>47.99</v>
      </c>
      <c r="O3144" s="2" t="s">
        <v>97</v>
      </c>
      <c r="P3144" s="2" t="s">
        <v>98</v>
      </c>
      <c r="Q3144" s="2" t="s">
        <v>99</v>
      </c>
      <c r="R3144" s="2" t="s">
        <v>100</v>
      </c>
      <c r="S3144" s="2" t="s">
        <v>10310</v>
      </c>
      <c r="T3144" s="2" t="s">
        <v>5161</v>
      </c>
      <c r="U3144" s="2" t="s">
        <v>901</v>
      </c>
      <c r="V3144" s="2" t="s">
        <v>461</v>
      </c>
      <c r="W3144" s="2" t="s">
        <v>609</v>
      </c>
      <c r="X3144" s="2" t="s">
        <v>493</v>
      </c>
      <c r="Y3144" s="2" t="s">
        <v>144</v>
      </c>
      <c r="Z3144" s="4">
        <v>14</v>
      </c>
      <c r="AA3144" s="4">
        <f>=ROUNDDOWN(2,0)</f>
      </c>
      <c r="AB3144" s="5">
        <v>7</v>
      </c>
      <c r="AC3144" s="2" t="s">
        <v>1142</v>
      </c>
      <c r="AD3144" s="4">
        <v>70</v>
      </c>
      <c r="AE3144" s="4">
        <v>180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 t="s">
        <v>100</v>
      </c>
      <c r="AW3144" s="8" t="s">
        <v>100</v>
      </c>
      <c r="AX3144" s="4" t="s">
        <v>100</v>
      </c>
      <c r="AY3144" s="8" t="s">
        <v>100</v>
      </c>
      <c r="AZ3144" s="7" t="s">
        <v>100</v>
      </c>
      <c r="BA3144" s="7" t="s">
        <v>100</v>
      </c>
      <c r="BB3144" s="7"/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 t="s">
        <v>100</v>
      </c>
      <c r="BJ3144" s="4">
        <v>8</v>
      </c>
      <c r="BK3144" s="8">
        <v>201.29</v>
      </c>
      <c r="BL3144" s="2" t="s">
        <v>10312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464</v>
      </c>
      <c r="BX3144" s="2" t="s">
        <v>1900</v>
      </c>
      <c r="BY3144" s="2" t="s">
        <v>112</v>
      </c>
      <c r="BZ3144" s="2" t="s">
        <v>100</v>
      </c>
    </row>
    <row r="3145">
      <c r="A3145" s="2" t="s">
        <v>10313</v>
      </c>
      <c r="B3145" s="2" t="s">
        <v>9043</v>
      </c>
      <c r="C3145" s="2" t="s">
        <v>4466</v>
      </c>
      <c r="D3145" s="2" t="s">
        <v>9044</v>
      </c>
      <c r="E3145" s="2" t="s">
        <v>9045</v>
      </c>
      <c r="F3145" s="2" t="s">
        <v>10241</v>
      </c>
      <c r="G3145" s="2" t="s">
        <v>10241</v>
      </c>
      <c r="H3145" s="2" t="s">
        <v>10241</v>
      </c>
      <c r="I3145" s="2" t="s">
        <v>9627</v>
      </c>
      <c r="J3145" s="2" t="s">
        <v>490</v>
      </c>
      <c r="K3145" s="2" t="s">
        <v>1373</v>
      </c>
      <c r="L3145" s="3">
        <v>25.3</v>
      </c>
      <c r="M3145" s="3">
        <v>26.56</v>
      </c>
      <c r="N3145" s="3">
        <v>54.99</v>
      </c>
      <c r="O3145" s="2" t="s">
        <v>97</v>
      </c>
      <c r="P3145" s="2" t="s">
        <v>98</v>
      </c>
      <c r="Q3145" s="2" t="s">
        <v>99</v>
      </c>
      <c r="R3145" s="2" t="s">
        <v>100</v>
      </c>
      <c r="S3145" s="2" t="s">
        <v>10310</v>
      </c>
      <c r="T3145" s="2" t="s">
        <v>5161</v>
      </c>
      <c r="U3145" s="2" t="s">
        <v>1228</v>
      </c>
      <c r="V3145" s="2" t="s">
        <v>461</v>
      </c>
      <c r="W3145" s="2" t="s">
        <v>609</v>
      </c>
      <c r="X3145" s="2" t="s">
        <v>493</v>
      </c>
      <c r="Y3145" s="2" t="s">
        <v>144</v>
      </c>
      <c r="Z3145" s="4">
        <v>3</v>
      </c>
      <c r="AA3145" s="4">
        <f>=ROUNDDOWN(0.25,0)</f>
      </c>
      <c r="AB3145" s="5">
        <v>12</v>
      </c>
      <c r="AC3145" s="2" t="s">
        <v>1142</v>
      </c>
      <c r="AD3145" s="4">
        <v>110</v>
      </c>
      <c r="AE3145" s="4">
        <v>300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 t="s">
        <v>100</v>
      </c>
      <c r="AW3145" s="8" t="s">
        <v>100</v>
      </c>
      <c r="AX3145" s="4" t="s">
        <v>100</v>
      </c>
      <c r="AY3145" s="8" t="s">
        <v>100</v>
      </c>
      <c r="AZ3145" s="7" t="s">
        <v>100</v>
      </c>
      <c r="BA3145" s="7" t="s">
        <v>100</v>
      </c>
      <c r="BB3145" s="7"/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 t="s">
        <v>100</v>
      </c>
      <c r="BJ3145" s="4">
        <v>11</v>
      </c>
      <c r="BK3145" s="8">
        <v>310.03</v>
      </c>
      <c r="BL3145" s="2" t="s">
        <v>10314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109</v>
      </c>
      <c r="BV3145" s="2" t="s">
        <v>97</v>
      </c>
      <c r="BW3145" s="2" t="s">
        <v>464</v>
      </c>
      <c r="BX3145" s="2" t="s">
        <v>870</v>
      </c>
      <c r="BY3145" s="2" t="s">
        <v>112</v>
      </c>
      <c r="BZ3145" s="2" t="s">
        <v>100</v>
      </c>
    </row>
    <row r="3146">
      <c r="A3146" s="2" t="s">
        <v>10315</v>
      </c>
      <c r="B3146" s="2" t="s">
        <v>9043</v>
      </c>
      <c r="C3146" s="2" t="s">
        <v>4466</v>
      </c>
      <c r="D3146" s="2" t="s">
        <v>9044</v>
      </c>
      <c r="E3146" s="2" t="s">
        <v>9045</v>
      </c>
      <c r="F3146" s="2" t="s">
        <v>10241</v>
      </c>
      <c r="G3146" s="2" t="s">
        <v>10241</v>
      </c>
      <c r="H3146" s="2" t="s">
        <v>10241</v>
      </c>
      <c r="I3146" s="2" t="s">
        <v>9627</v>
      </c>
      <c r="J3146" s="2" t="s">
        <v>95</v>
      </c>
      <c r="K3146" s="2" t="s">
        <v>1373</v>
      </c>
      <c r="L3146" s="3">
        <v>28.2</v>
      </c>
      <c r="M3146" s="3">
        <v>29.61</v>
      </c>
      <c r="N3146" s="3">
        <v>59.99</v>
      </c>
      <c r="O3146" s="2" t="s">
        <v>97</v>
      </c>
      <c r="P3146" s="2" t="s">
        <v>123</v>
      </c>
      <c r="Q3146" s="2" t="s">
        <v>99</v>
      </c>
      <c r="R3146" s="2" t="s">
        <v>100</v>
      </c>
      <c r="S3146" s="2" t="s">
        <v>10310</v>
      </c>
      <c r="T3146" s="2" t="s">
        <v>5161</v>
      </c>
      <c r="U3146" s="2" t="s">
        <v>1228</v>
      </c>
      <c r="V3146" s="2" t="s">
        <v>461</v>
      </c>
      <c r="W3146" s="2" t="s">
        <v>609</v>
      </c>
      <c r="X3146" s="2" t="s">
        <v>493</v>
      </c>
      <c r="Y3146" s="2" t="s">
        <v>144</v>
      </c>
      <c r="Z3146" s="4"/>
      <c r="AA3146" s="4">
        <f>=ROUNDDOWN({0},0)</f>
      </c>
      <c r="AB3146" s="5">
        <v>32</v>
      </c>
      <c r="AC3146" s="2" t="s">
        <v>1142</v>
      </c>
      <c r="AD3146" s="4">
        <v>270</v>
      </c>
      <c r="AE3146" s="4">
        <v>760</v>
      </c>
      <c r="AF3146" s="6">
        <v>65</v>
      </c>
      <c r="AG3146" s="6"/>
      <c r="AH3146" s="7">
        <v>0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 t="s">
        <v>100</v>
      </c>
      <c r="AW3146" s="8" t="s">
        <v>100</v>
      </c>
      <c r="AX3146" s="4" t="s">
        <v>100</v>
      </c>
      <c r="AY3146" s="8" t="s">
        <v>100</v>
      </c>
      <c r="AZ3146" s="7" t="s">
        <v>100</v>
      </c>
      <c r="BA3146" s="7" t="s">
        <v>100</v>
      </c>
      <c r="BB3146" s="7"/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 t="s">
        <v>100</v>
      </c>
      <c r="BJ3146" s="4"/>
      <c r="BK3146" s="8"/>
      <c r="BL3146" s="2" t="s">
        <v>100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464</v>
      </c>
      <c r="BX3146" s="2" t="s">
        <v>4163</v>
      </c>
      <c r="BY3146" s="2" t="s">
        <v>112</v>
      </c>
      <c r="BZ3146" s="2" t="s">
        <v>100</v>
      </c>
    </row>
    <row r="3147">
      <c r="A3147" s="2" t="s">
        <v>10316</v>
      </c>
      <c r="B3147" s="2" t="s">
        <v>9043</v>
      </c>
      <c r="C3147" s="2" t="s">
        <v>4466</v>
      </c>
      <c r="D3147" s="2" t="s">
        <v>9044</v>
      </c>
      <c r="E3147" s="2" t="s">
        <v>9045</v>
      </c>
      <c r="F3147" s="2" t="s">
        <v>10241</v>
      </c>
      <c r="G3147" s="2" t="s">
        <v>10241</v>
      </c>
      <c r="H3147" s="2" t="s">
        <v>10241</v>
      </c>
      <c r="I3147" s="2" t="s">
        <v>9627</v>
      </c>
      <c r="J3147" s="2" t="s">
        <v>114</v>
      </c>
      <c r="K3147" s="2" t="s">
        <v>1373</v>
      </c>
      <c r="L3147" s="3">
        <v>31.2</v>
      </c>
      <c r="M3147" s="3">
        <v>32.76</v>
      </c>
      <c r="N3147" s="3">
        <v>64.99</v>
      </c>
      <c r="O3147" s="2" t="s">
        <v>97</v>
      </c>
      <c r="P3147" s="2" t="s">
        <v>156</v>
      </c>
      <c r="Q3147" s="2" t="s">
        <v>99</v>
      </c>
      <c r="R3147" s="2" t="s">
        <v>100</v>
      </c>
      <c r="S3147" s="2" t="s">
        <v>10310</v>
      </c>
      <c r="T3147" s="2" t="s">
        <v>5161</v>
      </c>
      <c r="U3147" s="2" t="s">
        <v>1228</v>
      </c>
      <c r="V3147" s="2" t="s">
        <v>461</v>
      </c>
      <c r="W3147" s="2" t="s">
        <v>609</v>
      </c>
      <c r="X3147" s="2" t="s">
        <v>493</v>
      </c>
      <c r="Y3147" s="2" t="s">
        <v>144</v>
      </c>
      <c r="Z3147" s="4">
        <v>1</v>
      </c>
      <c r="AA3147" s="4">
        <f>=ROUNDDOWN(0.0434782608695652,0)</f>
      </c>
      <c r="AB3147" s="5">
        <v>23</v>
      </c>
      <c r="AC3147" s="2" t="s">
        <v>1142</v>
      </c>
      <c r="AD3147" s="4">
        <v>180</v>
      </c>
      <c r="AE3147" s="4">
        <v>520</v>
      </c>
      <c r="AF3147" s="6">
        <v>65</v>
      </c>
      <c r="AG3147" s="6"/>
      <c r="AH3147" s="7">
        <v>0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 t="s">
        <v>100</v>
      </c>
      <c r="AW3147" s="8" t="s">
        <v>100</v>
      </c>
      <c r="AX3147" s="4" t="s">
        <v>100</v>
      </c>
      <c r="AY3147" s="8" t="s">
        <v>100</v>
      </c>
      <c r="AZ3147" s="7" t="s">
        <v>100</v>
      </c>
      <c r="BA3147" s="7" t="s">
        <v>100</v>
      </c>
      <c r="BB3147" s="7"/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 t="s">
        <v>100</v>
      </c>
      <c r="BJ3147" s="4"/>
      <c r="BK3147" s="8"/>
      <c r="BL3147" s="2" t="s">
        <v>100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464</v>
      </c>
      <c r="BX3147" s="2" t="s">
        <v>4163</v>
      </c>
      <c r="BY3147" s="2" t="s">
        <v>112</v>
      </c>
      <c r="BZ3147" s="2" t="s">
        <v>100</v>
      </c>
    </row>
    <row r="3148">
      <c r="A3148" s="2" t="s">
        <v>10317</v>
      </c>
      <c r="B3148" s="2" t="s">
        <v>9043</v>
      </c>
      <c r="C3148" s="2" t="s">
        <v>4466</v>
      </c>
      <c r="D3148" s="2" t="s">
        <v>9044</v>
      </c>
      <c r="E3148" s="2" t="s">
        <v>9045</v>
      </c>
      <c r="F3148" s="2" t="s">
        <v>10241</v>
      </c>
      <c r="G3148" s="2" t="s">
        <v>10241</v>
      </c>
      <c r="H3148" s="2" t="s">
        <v>10241</v>
      </c>
      <c r="I3148" s="2" t="s">
        <v>9627</v>
      </c>
      <c r="J3148" s="2" t="s">
        <v>118</v>
      </c>
      <c r="K3148" s="2" t="s">
        <v>1373</v>
      </c>
      <c r="L3148" s="3">
        <v>31.85</v>
      </c>
      <c r="M3148" s="3">
        <v>33.44</v>
      </c>
      <c r="N3148" s="3">
        <v>64.99</v>
      </c>
      <c r="O3148" s="2" t="s">
        <v>97</v>
      </c>
      <c r="P3148" s="2" t="s">
        <v>98</v>
      </c>
      <c r="Q3148" s="2" t="s">
        <v>99</v>
      </c>
      <c r="R3148" s="2" t="s">
        <v>100</v>
      </c>
      <c r="S3148" s="2" t="s">
        <v>10310</v>
      </c>
      <c r="T3148" s="2" t="s">
        <v>5161</v>
      </c>
      <c r="U3148" s="2" t="s">
        <v>1228</v>
      </c>
      <c r="V3148" s="2" t="s">
        <v>461</v>
      </c>
      <c r="W3148" s="2" t="s">
        <v>609</v>
      </c>
      <c r="X3148" s="2" t="s">
        <v>493</v>
      </c>
      <c r="Y3148" s="2" t="s">
        <v>144</v>
      </c>
      <c r="Z3148" s="4"/>
      <c r="AA3148" s="4">
        <f>=ROUNDDOWN({0},0)</f>
      </c>
      <c r="AB3148" s="5">
        <v>11</v>
      </c>
      <c r="AC3148" s="2" t="s">
        <v>1142</v>
      </c>
      <c r="AD3148" s="4">
        <v>90</v>
      </c>
      <c r="AE3148" s="4">
        <v>270</v>
      </c>
      <c r="AF3148" s="6">
        <v>65</v>
      </c>
      <c r="AG3148" s="6"/>
      <c r="AH3148" s="7">
        <v>0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 t="s">
        <v>100</v>
      </c>
      <c r="AW3148" s="8" t="s">
        <v>100</v>
      </c>
      <c r="AX3148" s="4" t="s">
        <v>100</v>
      </c>
      <c r="AY3148" s="8" t="s">
        <v>100</v>
      </c>
      <c r="AZ3148" s="7" t="s">
        <v>100</v>
      </c>
      <c r="BA3148" s="7" t="s">
        <v>100</v>
      </c>
      <c r="BB3148" s="7"/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 t="s">
        <v>100</v>
      </c>
      <c r="BJ3148" s="4"/>
      <c r="BK3148" s="8"/>
      <c r="BL3148" s="2" t="s">
        <v>100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464</v>
      </c>
      <c r="BX3148" s="2" t="s">
        <v>870</v>
      </c>
      <c r="BY3148" s="2" t="s">
        <v>112</v>
      </c>
      <c r="BZ3148" s="2" t="s">
        <v>100</v>
      </c>
    </row>
    <row r="3149">
      <c r="A3149" s="2" t="s">
        <v>10318</v>
      </c>
      <c r="B3149" s="2" t="s">
        <v>9043</v>
      </c>
      <c r="C3149" s="2" t="s">
        <v>4466</v>
      </c>
      <c r="D3149" s="2" t="s">
        <v>9044</v>
      </c>
      <c r="E3149" s="2" t="s">
        <v>9045</v>
      </c>
      <c r="F3149" s="2" t="s">
        <v>10241</v>
      </c>
      <c r="G3149" s="2" t="s">
        <v>10241</v>
      </c>
      <c r="H3149" s="2" t="s">
        <v>10241</v>
      </c>
      <c r="I3149" s="2" t="s">
        <v>9627</v>
      </c>
      <c r="J3149" s="2" t="s">
        <v>1443</v>
      </c>
      <c r="K3149" s="2" t="s">
        <v>856</v>
      </c>
      <c r="L3149" s="3">
        <v>21.62</v>
      </c>
      <c r="M3149" s="3">
        <v>22.7</v>
      </c>
      <c r="N3149" s="3">
        <v>46.99</v>
      </c>
      <c r="O3149" s="2" t="s">
        <v>97</v>
      </c>
      <c r="P3149" s="2" t="s">
        <v>98</v>
      </c>
      <c r="Q3149" s="2" t="s">
        <v>99</v>
      </c>
      <c r="R3149" s="2" t="s">
        <v>100</v>
      </c>
      <c r="S3149" s="2" t="s">
        <v>10319</v>
      </c>
      <c r="T3149" s="2" t="s">
        <v>5161</v>
      </c>
      <c r="U3149" s="2" t="s">
        <v>901</v>
      </c>
      <c r="V3149" s="2" t="s">
        <v>461</v>
      </c>
      <c r="W3149" s="2" t="s">
        <v>609</v>
      </c>
      <c r="X3149" s="2" t="s">
        <v>493</v>
      </c>
      <c r="Y3149" s="2" t="s">
        <v>144</v>
      </c>
      <c r="Z3149" s="4"/>
      <c r="AA3149" s="4">
        <f>=ROUNDDOWN({0},0)</f>
      </c>
      <c r="AB3149" s="5">
        <v>7</v>
      </c>
      <c r="AC3149" s="2" t="s">
        <v>1142</v>
      </c>
      <c r="AD3149" s="4">
        <v>60</v>
      </c>
      <c r="AE3149" s="4">
        <v>160</v>
      </c>
      <c r="AF3149" s="6">
        <v>65</v>
      </c>
      <c r="AG3149" s="6"/>
      <c r="AH3149" s="7">
        <v>0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 t="s">
        <v>100</v>
      </c>
      <c r="AW3149" s="8" t="s">
        <v>100</v>
      </c>
      <c r="AX3149" s="4" t="s">
        <v>100</v>
      </c>
      <c r="AY3149" s="8" t="s">
        <v>100</v>
      </c>
      <c r="AZ3149" s="7" t="s">
        <v>100</v>
      </c>
      <c r="BA3149" s="7" t="s">
        <v>100</v>
      </c>
      <c r="BB3149" s="7"/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 t="s">
        <v>100</v>
      </c>
      <c r="BJ3149" s="4"/>
      <c r="BK3149" s="8"/>
      <c r="BL3149" s="2" t="s">
        <v>100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464</v>
      </c>
      <c r="BX3149" s="2" t="s">
        <v>870</v>
      </c>
      <c r="BY3149" s="2" t="s">
        <v>112</v>
      </c>
      <c r="BZ3149" s="2" t="s">
        <v>100</v>
      </c>
    </row>
    <row r="3150">
      <c r="A3150" s="2" t="s">
        <v>10320</v>
      </c>
      <c r="B3150" s="2" t="s">
        <v>9043</v>
      </c>
      <c r="C3150" s="2" t="s">
        <v>4466</v>
      </c>
      <c r="D3150" s="2" t="s">
        <v>9044</v>
      </c>
      <c r="E3150" s="2" t="s">
        <v>9045</v>
      </c>
      <c r="F3150" s="2" t="s">
        <v>10241</v>
      </c>
      <c r="G3150" s="2" t="s">
        <v>10241</v>
      </c>
      <c r="H3150" s="2" t="s">
        <v>10241</v>
      </c>
      <c r="I3150" s="2" t="s">
        <v>9627</v>
      </c>
      <c r="J3150" s="2" t="s">
        <v>1806</v>
      </c>
      <c r="K3150" s="2" t="s">
        <v>856</v>
      </c>
      <c r="L3150" s="3">
        <v>23.04</v>
      </c>
      <c r="M3150" s="3">
        <v>24.19</v>
      </c>
      <c r="N3150" s="3">
        <v>47.99</v>
      </c>
      <c r="O3150" s="2" t="s">
        <v>97</v>
      </c>
      <c r="P3150" s="2" t="s">
        <v>98</v>
      </c>
      <c r="Q3150" s="2" t="s">
        <v>99</v>
      </c>
      <c r="R3150" s="2" t="s">
        <v>100</v>
      </c>
      <c r="S3150" s="2" t="s">
        <v>10319</v>
      </c>
      <c r="T3150" s="2" t="s">
        <v>5161</v>
      </c>
      <c r="U3150" s="2" t="s">
        <v>901</v>
      </c>
      <c r="V3150" s="2" t="s">
        <v>461</v>
      </c>
      <c r="W3150" s="2" t="s">
        <v>609</v>
      </c>
      <c r="X3150" s="2" t="s">
        <v>493</v>
      </c>
      <c r="Y3150" s="2" t="s">
        <v>144</v>
      </c>
      <c r="Z3150" s="4">
        <v>2</v>
      </c>
      <c r="AA3150" s="4">
        <f>=ROUNDDOWN(0.25,0)</f>
      </c>
      <c r="AB3150" s="5">
        <v>8</v>
      </c>
      <c r="AC3150" s="2" t="s">
        <v>1142</v>
      </c>
      <c r="AD3150" s="4">
        <v>80</v>
      </c>
      <c r="AE3150" s="4">
        <v>190</v>
      </c>
      <c r="AF3150" s="6">
        <v>65</v>
      </c>
      <c r="AG3150" s="6"/>
      <c r="AH3150" s="7">
        <v>0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 t="s">
        <v>100</v>
      </c>
      <c r="AW3150" s="8" t="s">
        <v>100</v>
      </c>
      <c r="AX3150" s="4" t="s">
        <v>100</v>
      </c>
      <c r="AY3150" s="8" t="s">
        <v>100</v>
      </c>
      <c r="AZ3150" s="7" t="s">
        <v>100</v>
      </c>
      <c r="BA3150" s="7" t="s">
        <v>100</v>
      </c>
      <c r="BB3150" s="7"/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 t="s">
        <v>100</v>
      </c>
      <c r="BJ3150" s="4"/>
      <c r="BK3150" s="8"/>
      <c r="BL3150" s="2" t="s">
        <v>100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464</v>
      </c>
      <c r="BX3150" s="2" t="s">
        <v>4284</v>
      </c>
      <c r="BY3150" s="2" t="s">
        <v>112</v>
      </c>
      <c r="BZ3150" s="2" t="s">
        <v>100</v>
      </c>
    </row>
    <row r="3151">
      <c r="A3151" s="2" t="s">
        <v>10321</v>
      </c>
      <c r="B3151" s="2" t="s">
        <v>9043</v>
      </c>
      <c r="C3151" s="2" t="s">
        <v>4466</v>
      </c>
      <c r="D3151" s="2" t="s">
        <v>9044</v>
      </c>
      <c r="E3151" s="2" t="s">
        <v>9045</v>
      </c>
      <c r="F3151" s="2" t="s">
        <v>10241</v>
      </c>
      <c r="G3151" s="2" t="s">
        <v>10241</v>
      </c>
      <c r="H3151" s="2" t="s">
        <v>10241</v>
      </c>
      <c r="I3151" s="2" t="s">
        <v>9627</v>
      </c>
      <c r="J3151" s="2" t="s">
        <v>490</v>
      </c>
      <c r="K3151" s="2" t="s">
        <v>856</v>
      </c>
      <c r="L3151" s="3">
        <v>25.3</v>
      </c>
      <c r="M3151" s="3">
        <v>26.56</v>
      </c>
      <c r="N3151" s="3">
        <v>54.99</v>
      </c>
      <c r="O3151" s="2" t="s">
        <v>97</v>
      </c>
      <c r="P3151" s="2" t="s">
        <v>98</v>
      </c>
      <c r="Q3151" s="2" t="s">
        <v>99</v>
      </c>
      <c r="R3151" s="2" t="s">
        <v>100</v>
      </c>
      <c r="S3151" s="2" t="s">
        <v>10319</v>
      </c>
      <c r="T3151" s="2" t="s">
        <v>5161</v>
      </c>
      <c r="U3151" s="2" t="s">
        <v>1228</v>
      </c>
      <c r="V3151" s="2" t="s">
        <v>461</v>
      </c>
      <c r="W3151" s="2" t="s">
        <v>609</v>
      </c>
      <c r="X3151" s="2" t="s">
        <v>493</v>
      </c>
      <c r="Y3151" s="2" t="s">
        <v>144</v>
      </c>
      <c r="Z3151" s="4">
        <v>2</v>
      </c>
      <c r="AA3151" s="4">
        <f>=ROUNDDOWN(0.25,0)</f>
      </c>
      <c r="AB3151" s="5">
        <v>8</v>
      </c>
      <c r="AC3151" s="2" t="s">
        <v>1142</v>
      </c>
      <c r="AD3151" s="4">
        <v>80</v>
      </c>
      <c r="AE3151" s="4">
        <v>210</v>
      </c>
      <c r="AF3151" s="6">
        <v>65</v>
      </c>
      <c r="AG3151" s="6"/>
      <c r="AH3151" s="7">
        <v>0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 t="s">
        <v>100</v>
      </c>
      <c r="AW3151" s="8" t="s">
        <v>100</v>
      </c>
      <c r="AX3151" s="4" t="s">
        <v>100</v>
      </c>
      <c r="AY3151" s="8" t="s">
        <v>100</v>
      </c>
      <c r="AZ3151" s="7" t="s">
        <v>100</v>
      </c>
      <c r="BA3151" s="7" t="s">
        <v>100</v>
      </c>
      <c r="BB3151" s="7"/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 t="s">
        <v>100</v>
      </c>
      <c r="BJ3151" s="4"/>
      <c r="BK3151" s="8"/>
      <c r="BL3151" s="2" t="s">
        <v>100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464</v>
      </c>
      <c r="BX3151" s="2" t="s">
        <v>1824</v>
      </c>
      <c r="BY3151" s="2" t="s">
        <v>112</v>
      </c>
      <c r="BZ3151" s="2" t="s">
        <v>100</v>
      </c>
    </row>
    <row r="3152">
      <c r="A3152" s="2" t="s">
        <v>10322</v>
      </c>
      <c r="B3152" s="2" t="s">
        <v>9043</v>
      </c>
      <c r="C3152" s="2" t="s">
        <v>4466</v>
      </c>
      <c r="D3152" s="2" t="s">
        <v>9044</v>
      </c>
      <c r="E3152" s="2" t="s">
        <v>9045</v>
      </c>
      <c r="F3152" s="2" t="s">
        <v>10241</v>
      </c>
      <c r="G3152" s="2" t="s">
        <v>10241</v>
      </c>
      <c r="H3152" s="2" t="s">
        <v>10241</v>
      </c>
      <c r="I3152" s="2" t="s">
        <v>9627</v>
      </c>
      <c r="J3152" s="2" t="s">
        <v>95</v>
      </c>
      <c r="K3152" s="2" t="s">
        <v>856</v>
      </c>
      <c r="L3152" s="3">
        <v>28.2</v>
      </c>
      <c r="M3152" s="3">
        <v>29.61</v>
      </c>
      <c r="N3152" s="3">
        <v>59.99</v>
      </c>
      <c r="O3152" s="2" t="s">
        <v>97</v>
      </c>
      <c r="P3152" s="2" t="s">
        <v>123</v>
      </c>
      <c r="Q3152" s="2" t="s">
        <v>99</v>
      </c>
      <c r="R3152" s="2" t="s">
        <v>100</v>
      </c>
      <c r="S3152" s="2" t="s">
        <v>10319</v>
      </c>
      <c r="T3152" s="2" t="s">
        <v>5161</v>
      </c>
      <c r="U3152" s="2" t="s">
        <v>1228</v>
      </c>
      <c r="V3152" s="2" t="s">
        <v>461</v>
      </c>
      <c r="W3152" s="2" t="s">
        <v>609</v>
      </c>
      <c r="X3152" s="2" t="s">
        <v>493</v>
      </c>
      <c r="Y3152" s="2" t="s">
        <v>144</v>
      </c>
      <c r="Z3152" s="4">
        <v>3</v>
      </c>
      <c r="AA3152" s="4">
        <f>=ROUNDDOWN(0.115384615384615,0)</f>
      </c>
      <c r="AB3152" s="5">
        <v>26</v>
      </c>
      <c r="AC3152" s="2" t="s">
        <v>1142</v>
      </c>
      <c r="AD3152" s="4">
        <v>230</v>
      </c>
      <c r="AE3152" s="4">
        <v>630</v>
      </c>
      <c r="AF3152" s="6">
        <v>65</v>
      </c>
      <c r="AG3152" s="6"/>
      <c r="AH3152" s="7">
        <v>0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 t="s">
        <v>100</v>
      </c>
      <c r="AW3152" s="8" t="s">
        <v>100</v>
      </c>
      <c r="AX3152" s="4" t="s">
        <v>100</v>
      </c>
      <c r="AY3152" s="8" t="s">
        <v>100</v>
      </c>
      <c r="AZ3152" s="7" t="s">
        <v>100</v>
      </c>
      <c r="BA3152" s="7" t="s">
        <v>100</v>
      </c>
      <c r="BB3152" s="7"/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 t="s">
        <v>100</v>
      </c>
      <c r="BJ3152" s="4"/>
      <c r="BK3152" s="8"/>
      <c r="BL3152" s="2" t="s">
        <v>100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109</v>
      </c>
      <c r="BV3152" s="2" t="s">
        <v>97</v>
      </c>
      <c r="BW3152" s="2" t="s">
        <v>464</v>
      </c>
      <c r="BX3152" s="2" t="s">
        <v>870</v>
      </c>
      <c r="BY3152" s="2" t="s">
        <v>112</v>
      </c>
      <c r="BZ3152" s="2" t="s">
        <v>100</v>
      </c>
    </row>
    <row r="3153">
      <c r="A3153" s="2" t="s">
        <v>10323</v>
      </c>
      <c r="B3153" s="2" t="s">
        <v>9043</v>
      </c>
      <c r="C3153" s="2" t="s">
        <v>4466</v>
      </c>
      <c r="D3153" s="2" t="s">
        <v>9044</v>
      </c>
      <c r="E3153" s="2" t="s">
        <v>9045</v>
      </c>
      <c r="F3153" s="2" t="s">
        <v>10241</v>
      </c>
      <c r="G3153" s="2" t="s">
        <v>10241</v>
      </c>
      <c r="H3153" s="2" t="s">
        <v>10241</v>
      </c>
      <c r="I3153" s="2" t="s">
        <v>9627</v>
      </c>
      <c r="J3153" s="2" t="s">
        <v>114</v>
      </c>
      <c r="K3153" s="2" t="s">
        <v>856</v>
      </c>
      <c r="L3153" s="3">
        <v>31.2</v>
      </c>
      <c r="M3153" s="3">
        <v>32.76</v>
      </c>
      <c r="N3153" s="3">
        <v>64.99</v>
      </c>
      <c r="O3153" s="2" t="s">
        <v>97</v>
      </c>
      <c r="P3153" s="2" t="s">
        <v>156</v>
      </c>
      <c r="Q3153" s="2" t="s">
        <v>99</v>
      </c>
      <c r="R3153" s="2" t="s">
        <v>100</v>
      </c>
      <c r="S3153" s="2" t="s">
        <v>10319</v>
      </c>
      <c r="T3153" s="2" t="s">
        <v>5161</v>
      </c>
      <c r="U3153" s="2" t="s">
        <v>1228</v>
      </c>
      <c r="V3153" s="2" t="s">
        <v>461</v>
      </c>
      <c r="W3153" s="2" t="s">
        <v>609</v>
      </c>
      <c r="X3153" s="2" t="s">
        <v>493</v>
      </c>
      <c r="Y3153" s="2" t="s">
        <v>144</v>
      </c>
      <c r="Z3153" s="4"/>
      <c r="AA3153" s="4">
        <f>=ROUNDDOWN({0},0)</f>
      </c>
      <c r="AB3153" s="5">
        <v>20</v>
      </c>
      <c r="AC3153" s="2" t="s">
        <v>1142</v>
      </c>
      <c r="AD3153" s="4">
        <v>160</v>
      </c>
      <c r="AE3153" s="4">
        <v>450</v>
      </c>
      <c r="AF3153" s="6">
        <v>65</v>
      </c>
      <c r="AG3153" s="6"/>
      <c r="AH3153" s="7">
        <v>0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 t="s">
        <v>100</v>
      </c>
      <c r="AW3153" s="8" t="s">
        <v>100</v>
      </c>
      <c r="AX3153" s="4" t="s">
        <v>100</v>
      </c>
      <c r="AY3153" s="8" t="s">
        <v>100</v>
      </c>
      <c r="AZ3153" s="7" t="s">
        <v>100</v>
      </c>
      <c r="BA3153" s="7" t="s">
        <v>100</v>
      </c>
      <c r="BB3153" s="7"/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 t="s">
        <v>100</v>
      </c>
      <c r="BJ3153" s="4"/>
      <c r="BK3153" s="8"/>
      <c r="BL3153" s="2" t="s">
        <v>100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109</v>
      </c>
      <c r="BV3153" s="2" t="s">
        <v>97</v>
      </c>
      <c r="BW3153" s="2" t="s">
        <v>464</v>
      </c>
      <c r="BX3153" s="2" t="s">
        <v>1824</v>
      </c>
      <c r="BY3153" s="2" t="s">
        <v>112</v>
      </c>
      <c r="BZ3153" s="2" t="s">
        <v>100</v>
      </c>
    </row>
    <row r="3154">
      <c r="A3154" s="2" t="s">
        <v>10324</v>
      </c>
      <c r="B3154" s="2" t="s">
        <v>9043</v>
      </c>
      <c r="C3154" s="2" t="s">
        <v>4466</v>
      </c>
      <c r="D3154" s="2" t="s">
        <v>9044</v>
      </c>
      <c r="E3154" s="2" t="s">
        <v>9045</v>
      </c>
      <c r="F3154" s="2" t="s">
        <v>10241</v>
      </c>
      <c r="G3154" s="2" t="s">
        <v>10241</v>
      </c>
      <c r="H3154" s="2" t="s">
        <v>10241</v>
      </c>
      <c r="I3154" s="2" t="s">
        <v>9627</v>
      </c>
      <c r="J3154" s="2" t="s">
        <v>118</v>
      </c>
      <c r="K3154" s="2" t="s">
        <v>856</v>
      </c>
      <c r="L3154" s="3">
        <v>31.85</v>
      </c>
      <c r="M3154" s="3">
        <v>33.44</v>
      </c>
      <c r="N3154" s="3">
        <v>64.99</v>
      </c>
      <c r="O3154" s="2" t="s">
        <v>97</v>
      </c>
      <c r="P3154" s="2" t="s">
        <v>98</v>
      </c>
      <c r="Q3154" s="2" t="s">
        <v>99</v>
      </c>
      <c r="R3154" s="2" t="s">
        <v>100</v>
      </c>
      <c r="S3154" s="2" t="s">
        <v>10319</v>
      </c>
      <c r="T3154" s="2" t="s">
        <v>5161</v>
      </c>
      <c r="U3154" s="2" t="s">
        <v>1228</v>
      </c>
      <c r="V3154" s="2" t="s">
        <v>461</v>
      </c>
      <c r="W3154" s="2" t="s">
        <v>609</v>
      </c>
      <c r="X3154" s="2" t="s">
        <v>493</v>
      </c>
      <c r="Y3154" s="2" t="s">
        <v>144</v>
      </c>
      <c r="Z3154" s="4"/>
      <c r="AA3154" s="4">
        <f>=ROUNDDOWN({0},0)</f>
      </c>
      <c r="AB3154" s="5">
        <v>9</v>
      </c>
      <c r="AC3154" s="2" t="s">
        <v>1142</v>
      </c>
      <c r="AD3154" s="4">
        <v>70</v>
      </c>
      <c r="AE3154" s="4">
        <v>210</v>
      </c>
      <c r="AF3154" s="6">
        <v>65</v>
      </c>
      <c r="AG3154" s="6"/>
      <c r="AH3154" s="7">
        <v>0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 t="s">
        <v>100</v>
      </c>
      <c r="AW3154" s="8" t="s">
        <v>100</v>
      </c>
      <c r="AX3154" s="4" t="s">
        <v>100</v>
      </c>
      <c r="AY3154" s="8" t="s">
        <v>100</v>
      </c>
      <c r="AZ3154" s="7" t="s">
        <v>100</v>
      </c>
      <c r="BA3154" s="7" t="s">
        <v>100</v>
      </c>
      <c r="BB3154" s="7"/>
      <c r="BC3154" s="4" t="s">
        <v>100</v>
      </c>
      <c r="BD3154" s="8" t="s">
        <v>100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 t="s">
        <v>100</v>
      </c>
      <c r="BJ3154" s="4"/>
      <c r="BK3154" s="8"/>
      <c r="BL3154" s="2" t="s">
        <v>100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109</v>
      </c>
      <c r="BV3154" s="2" t="s">
        <v>97</v>
      </c>
      <c r="BW3154" s="2" t="s">
        <v>464</v>
      </c>
      <c r="BX3154" s="2" t="s">
        <v>1287</v>
      </c>
      <c r="BY3154" s="2" t="s">
        <v>112</v>
      </c>
      <c r="BZ3154" s="2" t="s">
        <v>100</v>
      </c>
    </row>
    <row r="3155">
      <c r="A3155" s="2" t="s">
        <v>10325</v>
      </c>
      <c r="B3155" s="2" t="s">
        <v>9043</v>
      </c>
      <c r="C3155" s="2" t="s">
        <v>4466</v>
      </c>
      <c r="D3155" s="2" t="s">
        <v>9044</v>
      </c>
      <c r="E3155" s="2" t="s">
        <v>9045</v>
      </c>
      <c r="F3155" s="2" t="s">
        <v>10241</v>
      </c>
      <c r="G3155" s="2" t="s">
        <v>10241</v>
      </c>
      <c r="H3155" s="2" t="s">
        <v>10241</v>
      </c>
      <c r="I3155" s="2" t="s">
        <v>9627</v>
      </c>
      <c r="J3155" s="2" t="s">
        <v>1806</v>
      </c>
      <c r="K3155" s="2" t="s">
        <v>5281</v>
      </c>
      <c r="L3155" s="3">
        <v>23.04</v>
      </c>
      <c r="M3155" s="3">
        <v>24.19</v>
      </c>
      <c r="N3155" s="3">
        <v>47.99</v>
      </c>
      <c r="O3155" s="2" t="s">
        <v>97</v>
      </c>
      <c r="P3155" s="2" t="s">
        <v>98</v>
      </c>
      <c r="Q3155" s="2" t="s">
        <v>99</v>
      </c>
      <c r="R3155" s="2" t="s">
        <v>100</v>
      </c>
      <c r="S3155" s="2" t="s">
        <v>10326</v>
      </c>
      <c r="T3155" s="2" t="s">
        <v>5161</v>
      </c>
      <c r="U3155" s="2" t="s">
        <v>901</v>
      </c>
      <c r="V3155" s="2" t="s">
        <v>461</v>
      </c>
      <c r="W3155" s="2" t="s">
        <v>609</v>
      </c>
      <c r="X3155" s="2" t="s">
        <v>493</v>
      </c>
      <c r="Y3155" s="2" t="s">
        <v>144</v>
      </c>
      <c r="Z3155" s="4">
        <v>3</v>
      </c>
      <c r="AA3155" s="4">
        <f>=ROUNDDOWN(0.157894736842105,0)</f>
      </c>
      <c r="AB3155" s="5">
        <v>19</v>
      </c>
      <c r="AC3155" s="2" t="s">
        <v>1142</v>
      </c>
      <c r="AD3155" s="4">
        <v>160</v>
      </c>
      <c r="AE3155" s="4">
        <v>430</v>
      </c>
      <c r="AF3155" s="6">
        <v>65</v>
      </c>
      <c r="AG3155" s="6"/>
      <c r="AH3155" s="7">
        <v>0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/>
      <c r="AQ3155" s="8"/>
      <c r="AR3155" s="4"/>
      <c r="AS3155" s="8"/>
      <c r="AT3155" s="7"/>
      <c r="AU3155" s="7"/>
      <c r="AV3155" s="4" t="s">
        <v>100</v>
      </c>
      <c r="AW3155" s="8" t="s">
        <v>100</v>
      </c>
      <c r="AX3155" s="4" t="s">
        <v>100</v>
      </c>
      <c r="AY3155" s="8" t="s">
        <v>100</v>
      </c>
      <c r="AZ3155" s="7" t="s">
        <v>100</v>
      </c>
      <c r="BA3155" s="7" t="s">
        <v>100</v>
      </c>
      <c r="BB3155" s="7"/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 t="s">
        <v>100</v>
      </c>
      <c r="BJ3155" s="4"/>
      <c r="BK3155" s="8"/>
      <c r="BL3155" s="2" t="s">
        <v>100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109</v>
      </c>
      <c r="BV3155" s="2" t="s">
        <v>97</v>
      </c>
      <c r="BW3155" s="2" t="s">
        <v>464</v>
      </c>
      <c r="BX3155" s="2" t="s">
        <v>10327</v>
      </c>
      <c r="BY3155" s="2" t="s">
        <v>112</v>
      </c>
      <c r="BZ3155" s="2" t="s">
        <v>100</v>
      </c>
    </row>
    <row r="3156">
      <c r="A3156" s="2" t="s">
        <v>10328</v>
      </c>
      <c r="B3156" s="2" t="s">
        <v>9043</v>
      </c>
      <c r="C3156" s="2" t="s">
        <v>4466</v>
      </c>
      <c r="D3156" s="2" t="s">
        <v>9044</v>
      </c>
      <c r="E3156" s="2" t="s">
        <v>9045</v>
      </c>
      <c r="F3156" s="2" t="s">
        <v>10241</v>
      </c>
      <c r="G3156" s="2" t="s">
        <v>10241</v>
      </c>
      <c r="H3156" s="2" t="s">
        <v>10241</v>
      </c>
      <c r="I3156" s="2" t="s">
        <v>9627</v>
      </c>
      <c r="J3156" s="2" t="s">
        <v>490</v>
      </c>
      <c r="K3156" s="2" t="s">
        <v>5281</v>
      </c>
      <c r="L3156" s="3">
        <v>25.3</v>
      </c>
      <c r="M3156" s="3">
        <v>26.56</v>
      </c>
      <c r="N3156" s="3">
        <v>54.99</v>
      </c>
      <c r="O3156" s="2" t="s">
        <v>97</v>
      </c>
      <c r="P3156" s="2" t="s">
        <v>139</v>
      </c>
      <c r="Q3156" s="2" t="s">
        <v>99</v>
      </c>
      <c r="R3156" s="2" t="s">
        <v>100</v>
      </c>
      <c r="S3156" s="2" t="s">
        <v>10326</v>
      </c>
      <c r="T3156" s="2" t="s">
        <v>5161</v>
      </c>
      <c r="U3156" s="2" t="s">
        <v>1228</v>
      </c>
      <c r="V3156" s="2" t="s">
        <v>461</v>
      </c>
      <c r="W3156" s="2" t="s">
        <v>609</v>
      </c>
      <c r="X3156" s="2" t="s">
        <v>493</v>
      </c>
      <c r="Y3156" s="2" t="s">
        <v>144</v>
      </c>
      <c r="Z3156" s="4"/>
      <c r="AA3156" s="4">
        <f>=ROUNDDOWN({0},0)</f>
      </c>
      <c r="AB3156" s="5">
        <v>40</v>
      </c>
      <c r="AC3156" s="2" t="s">
        <v>1142</v>
      </c>
      <c r="AD3156" s="4">
        <v>300</v>
      </c>
      <c r="AE3156" s="4">
        <v>900</v>
      </c>
      <c r="AF3156" s="6">
        <v>65</v>
      </c>
      <c r="AG3156" s="6"/>
      <c r="AH3156" s="7">
        <v>0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/>
      <c r="AQ3156" s="8"/>
      <c r="AR3156" s="4"/>
      <c r="AS3156" s="8"/>
      <c r="AT3156" s="7"/>
      <c r="AU3156" s="7"/>
      <c r="AV3156" s="4" t="s">
        <v>100</v>
      </c>
      <c r="AW3156" s="8" t="s">
        <v>100</v>
      </c>
      <c r="AX3156" s="4" t="s">
        <v>100</v>
      </c>
      <c r="AY3156" s="8" t="s">
        <v>100</v>
      </c>
      <c r="AZ3156" s="7" t="s">
        <v>100</v>
      </c>
      <c r="BA3156" s="7" t="s">
        <v>100</v>
      </c>
      <c r="BB3156" s="7"/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 t="s">
        <v>100</v>
      </c>
      <c r="BJ3156" s="4"/>
      <c r="BK3156" s="8"/>
      <c r="BL3156" s="2" t="s">
        <v>100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464</v>
      </c>
      <c r="BX3156" s="2" t="s">
        <v>1895</v>
      </c>
      <c r="BY3156" s="2" t="s">
        <v>112</v>
      </c>
      <c r="BZ3156" s="2" t="s">
        <v>100</v>
      </c>
    </row>
    <row r="3157">
      <c r="A3157" s="2" t="s">
        <v>10329</v>
      </c>
      <c r="B3157" s="2" t="s">
        <v>9043</v>
      </c>
      <c r="C3157" s="2" t="s">
        <v>4466</v>
      </c>
      <c r="D3157" s="2" t="s">
        <v>9044</v>
      </c>
      <c r="E3157" s="2" t="s">
        <v>9045</v>
      </c>
      <c r="F3157" s="2" t="s">
        <v>10241</v>
      </c>
      <c r="G3157" s="2" t="s">
        <v>10241</v>
      </c>
      <c r="H3157" s="2" t="s">
        <v>10241</v>
      </c>
      <c r="I3157" s="2" t="s">
        <v>9627</v>
      </c>
      <c r="J3157" s="2" t="s">
        <v>95</v>
      </c>
      <c r="K3157" s="2" t="s">
        <v>5281</v>
      </c>
      <c r="L3157" s="3">
        <v>28.2</v>
      </c>
      <c r="M3157" s="3">
        <v>29.61</v>
      </c>
      <c r="N3157" s="3">
        <v>59.99</v>
      </c>
      <c r="O3157" s="2" t="s">
        <v>97</v>
      </c>
      <c r="P3157" s="2" t="s">
        <v>317</v>
      </c>
      <c r="Q3157" s="2" t="s">
        <v>99</v>
      </c>
      <c r="R3157" s="2" t="s">
        <v>100</v>
      </c>
      <c r="S3157" s="2" t="s">
        <v>10326</v>
      </c>
      <c r="T3157" s="2" t="s">
        <v>5161</v>
      </c>
      <c r="U3157" s="2" t="s">
        <v>1228</v>
      </c>
      <c r="V3157" s="2" t="s">
        <v>461</v>
      </c>
      <c r="W3157" s="2" t="s">
        <v>609</v>
      </c>
      <c r="X3157" s="2" t="s">
        <v>493</v>
      </c>
      <c r="Y3157" s="2" t="s">
        <v>144</v>
      </c>
      <c r="Z3157" s="4"/>
      <c r="AA3157" s="4">
        <f>=ROUNDDOWN({0},0)</f>
      </c>
      <c r="AB3157" s="5">
        <v>66</v>
      </c>
      <c r="AC3157" s="2" t="s">
        <v>1142</v>
      </c>
      <c r="AD3157" s="4">
        <v>510</v>
      </c>
      <c r="AE3157" s="4">
        <v>1570</v>
      </c>
      <c r="AF3157" s="6">
        <v>65</v>
      </c>
      <c r="AG3157" s="6"/>
      <c r="AH3157" s="7">
        <v>0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 t="s">
        <v>100</v>
      </c>
      <c r="AW3157" s="8" t="s">
        <v>100</v>
      </c>
      <c r="AX3157" s="4" t="s">
        <v>100</v>
      </c>
      <c r="AY3157" s="8" t="s">
        <v>100</v>
      </c>
      <c r="AZ3157" s="7" t="s">
        <v>100</v>
      </c>
      <c r="BA3157" s="7" t="s">
        <v>100</v>
      </c>
      <c r="BB3157" s="7"/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 t="s">
        <v>100</v>
      </c>
      <c r="BJ3157" s="4"/>
      <c r="BK3157" s="8"/>
      <c r="BL3157" s="2" t="s">
        <v>100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464</v>
      </c>
      <c r="BX3157" s="2" t="s">
        <v>465</v>
      </c>
      <c r="BY3157" s="2" t="s">
        <v>112</v>
      </c>
      <c r="BZ3157" s="2" t="s">
        <v>100</v>
      </c>
    </row>
    <row r="3158">
      <c r="A3158" s="2" t="s">
        <v>10330</v>
      </c>
      <c r="B3158" s="2" t="s">
        <v>9043</v>
      </c>
      <c r="C3158" s="2" t="s">
        <v>4466</v>
      </c>
      <c r="D3158" s="2" t="s">
        <v>9044</v>
      </c>
      <c r="E3158" s="2" t="s">
        <v>9045</v>
      </c>
      <c r="F3158" s="2" t="s">
        <v>10241</v>
      </c>
      <c r="G3158" s="2" t="s">
        <v>10241</v>
      </c>
      <c r="H3158" s="2" t="s">
        <v>10241</v>
      </c>
      <c r="I3158" s="2" t="s">
        <v>9627</v>
      </c>
      <c r="J3158" s="2" t="s">
        <v>118</v>
      </c>
      <c r="K3158" s="2" t="s">
        <v>5281</v>
      </c>
      <c r="L3158" s="3">
        <v>31.85</v>
      </c>
      <c r="M3158" s="3">
        <v>33.44</v>
      </c>
      <c r="N3158" s="3">
        <v>64.99</v>
      </c>
      <c r="O3158" s="2" t="s">
        <v>97</v>
      </c>
      <c r="P3158" s="2" t="s">
        <v>98</v>
      </c>
      <c r="Q3158" s="2" t="s">
        <v>99</v>
      </c>
      <c r="R3158" s="2" t="s">
        <v>100</v>
      </c>
      <c r="S3158" s="2" t="s">
        <v>10326</v>
      </c>
      <c r="T3158" s="2" t="s">
        <v>5161</v>
      </c>
      <c r="U3158" s="2" t="s">
        <v>1228</v>
      </c>
      <c r="V3158" s="2" t="s">
        <v>461</v>
      </c>
      <c r="W3158" s="2" t="s">
        <v>609</v>
      </c>
      <c r="X3158" s="2" t="s">
        <v>493</v>
      </c>
      <c r="Y3158" s="2" t="s">
        <v>144</v>
      </c>
      <c r="Z3158" s="4">
        <v>10</v>
      </c>
      <c r="AA3158" s="4">
        <f>=ROUNDDOWN(1.42857142857143,0)</f>
      </c>
      <c r="AB3158" s="5">
        <v>7</v>
      </c>
      <c r="AC3158" s="2" t="s">
        <v>1142</v>
      </c>
      <c r="AD3158" s="4">
        <v>60</v>
      </c>
      <c r="AE3158" s="4">
        <v>180</v>
      </c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 t="s">
        <v>100</v>
      </c>
      <c r="AW3158" s="8" t="s">
        <v>100</v>
      </c>
      <c r="AX3158" s="4" t="s">
        <v>100</v>
      </c>
      <c r="AY3158" s="8" t="s">
        <v>100</v>
      </c>
      <c r="AZ3158" s="7" t="s">
        <v>100</v>
      </c>
      <c r="BA3158" s="7" t="s">
        <v>100</v>
      </c>
      <c r="BB3158" s="7"/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 t="s">
        <v>100</v>
      </c>
      <c r="BJ3158" s="4">
        <v>3</v>
      </c>
      <c r="BK3158" s="8">
        <v>103.32</v>
      </c>
      <c r="BL3158" s="2" t="s">
        <v>1655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464</v>
      </c>
      <c r="BX3158" s="2" t="s">
        <v>5422</v>
      </c>
      <c r="BY3158" s="2" t="s">
        <v>112</v>
      </c>
      <c r="BZ3158" s="2" t="s">
        <v>100</v>
      </c>
    </row>
    <row r="3159">
      <c r="A3159" s="2" t="s">
        <v>10331</v>
      </c>
      <c r="B3159" s="2" t="s">
        <v>9043</v>
      </c>
      <c r="C3159" s="2" t="s">
        <v>4466</v>
      </c>
      <c r="D3159" s="2" t="s">
        <v>9044</v>
      </c>
      <c r="E3159" s="2" t="s">
        <v>9045</v>
      </c>
      <c r="F3159" s="2" t="s">
        <v>10241</v>
      </c>
      <c r="G3159" s="2" t="s">
        <v>10241</v>
      </c>
      <c r="H3159" s="2" t="s">
        <v>10241</v>
      </c>
      <c r="I3159" s="2" t="s">
        <v>9627</v>
      </c>
      <c r="J3159" s="2" t="s">
        <v>1443</v>
      </c>
      <c r="K3159" s="2" t="s">
        <v>223</v>
      </c>
      <c r="L3159" s="3">
        <v>21.62</v>
      </c>
      <c r="M3159" s="3">
        <v>22.7</v>
      </c>
      <c r="N3159" s="3">
        <v>46.99</v>
      </c>
      <c r="O3159" s="2" t="s">
        <v>97</v>
      </c>
      <c r="P3159" s="2" t="s">
        <v>98</v>
      </c>
      <c r="Q3159" s="2" t="s">
        <v>99</v>
      </c>
      <c r="R3159" s="2" t="s">
        <v>100</v>
      </c>
      <c r="S3159" s="2" t="s">
        <v>10332</v>
      </c>
      <c r="T3159" s="2" t="s">
        <v>5161</v>
      </c>
      <c r="U3159" s="2" t="s">
        <v>901</v>
      </c>
      <c r="V3159" s="2" t="s">
        <v>461</v>
      </c>
      <c r="W3159" s="2" t="s">
        <v>609</v>
      </c>
      <c r="X3159" s="2" t="s">
        <v>493</v>
      </c>
      <c r="Y3159" s="2" t="s">
        <v>920</v>
      </c>
      <c r="Z3159" s="4">
        <v>85</v>
      </c>
      <c r="AA3159" s="4">
        <f>=ROUNDDOWN(5.3125,0)</f>
      </c>
      <c r="AB3159" s="5">
        <v>16</v>
      </c>
      <c r="AC3159" s="2" t="s">
        <v>1142</v>
      </c>
      <c r="AD3159" s="4">
        <v>80</v>
      </c>
      <c r="AE3159" s="4">
        <v>300</v>
      </c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 t="s">
        <v>100</v>
      </c>
      <c r="AW3159" s="8" t="s">
        <v>100</v>
      </c>
      <c r="AX3159" s="4" t="s">
        <v>100</v>
      </c>
      <c r="AY3159" s="8" t="s">
        <v>100</v>
      </c>
      <c r="AZ3159" s="7" t="s">
        <v>100</v>
      </c>
      <c r="BA3159" s="7" t="s">
        <v>100</v>
      </c>
      <c r="BB3159" s="7"/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 t="s">
        <v>100</v>
      </c>
      <c r="BJ3159" s="4">
        <v>33</v>
      </c>
      <c r="BK3159" s="8">
        <v>786.4</v>
      </c>
      <c r="BL3159" s="2" t="s">
        <v>10333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171</v>
      </c>
      <c r="BV3159" s="2" t="s">
        <v>97</v>
      </c>
      <c r="BW3159" s="2" t="s">
        <v>100</v>
      </c>
      <c r="BX3159" s="2" t="s">
        <v>100</v>
      </c>
      <c r="BY3159" s="2" t="s">
        <v>112</v>
      </c>
      <c r="BZ3159" s="2" t="s">
        <v>100</v>
      </c>
    </row>
    <row r="3160">
      <c r="A3160" s="2" t="s">
        <v>10334</v>
      </c>
      <c r="B3160" s="2" t="s">
        <v>9043</v>
      </c>
      <c r="C3160" s="2" t="s">
        <v>4466</v>
      </c>
      <c r="D3160" s="2" t="s">
        <v>9044</v>
      </c>
      <c r="E3160" s="2" t="s">
        <v>9045</v>
      </c>
      <c r="F3160" s="2" t="s">
        <v>10241</v>
      </c>
      <c r="G3160" s="2" t="s">
        <v>10241</v>
      </c>
      <c r="H3160" s="2" t="s">
        <v>10241</v>
      </c>
      <c r="I3160" s="2" t="s">
        <v>9627</v>
      </c>
      <c r="J3160" s="2" t="s">
        <v>1806</v>
      </c>
      <c r="K3160" s="2" t="s">
        <v>223</v>
      </c>
      <c r="L3160" s="3">
        <v>23.04</v>
      </c>
      <c r="M3160" s="3">
        <v>24.19</v>
      </c>
      <c r="N3160" s="3">
        <v>47.99</v>
      </c>
      <c r="O3160" s="2" t="s">
        <v>97</v>
      </c>
      <c r="P3160" s="2" t="s">
        <v>98</v>
      </c>
      <c r="Q3160" s="2" t="s">
        <v>99</v>
      </c>
      <c r="R3160" s="2" t="s">
        <v>100</v>
      </c>
      <c r="S3160" s="2" t="s">
        <v>10332</v>
      </c>
      <c r="T3160" s="2" t="s">
        <v>5161</v>
      </c>
      <c r="U3160" s="2" t="s">
        <v>901</v>
      </c>
      <c r="V3160" s="2" t="s">
        <v>461</v>
      </c>
      <c r="W3160" s="2" t="s">
        <v>609</v>
      </c>
      <c r="X3160" s="2" t="s">
        <v>493</v>
      </c>
      <c r="Y3160" s="2" t="s">
        <v>920</v>
      </c>
      <c r="Z3160" s="4">
        <v>135</v>
      </c>
      <c r="AA3160" s="4">
        <f>=ROUNDDOWN(12.2727272727273,0)</f>
      </c>
      <c r="AB3160" s="5">
        <v>11</v>
      </c>
      <c r="AC3160" s="2" t="s">
        <v>1142</v>
      </c>
      <c r="AD3160" s="4">
        <v>30</v>
      </c>
      <c r="AE3160" s="4">
        <v>180</v>
      </c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 t="s">
        <v>100</v>
      </c>
      <c r="AW3160" s="8" t="s">
        <v>100</v>
      </c>
      <c r="AX3160" s="4" t="s">
        <v>100</v>
      </c>
      <c r="AY3160" s="8" t="s">
        <v>100</v>
      </c>
      <c r="AZ3160" s="7" t="s">
        <v>100</v>
      </c>
      <c r="BA3160" s="7" t="s">
        <v>100</v>
      </c>
      <c r="BB3160" s="7"/>
      <c r="BC3160" s="4" t="s">
        <v>100</v>
      </c>
      <c r="BD3160" s="8" t="s">
        <v>100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 t="s">
        <v>100</v>
      </c>
      <c r="BJ3160" s="4">
        <v>15</v>
      </c>
      <c r="BK3160" s="8">
        <v>359.94</v>
      </c>
      <c r="BL3160" s="2" t="s">
        <v>10335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171</v>
      </c>
      <c r="BV3160" s="2" t="s">
        <v>97</v>
      </c>
      <c r="BW3160" s="2" t="s">
        <v>100</v>
      </c>
      <c r="BX3160" s="2" t="s">
        <v>100</v>
      </c>
      <c r="BY3160" s="2" t="s">
        <v>112</v>
      </c>
      <c r="BZ3160" s="2" t="s">
        <v>100</v>
      </c>
    </row>
    <row r="3161">
      <c r="A3161" s="2" t="s">
        <v>10336</v>
      </c>
      <c r="B3161" s="2" t="s">
        <v>9043</v>
      </c>
      <c r="C3161" s="2" t="s">
        <v>4466</v>
      </c>
      <c r="D3161" s="2" t="s">
        <v>9044</v>
      </c>
      <c r="E3161" s="2" t="s">
        <v>9045</v>
      </c>
      <c r="F3161" s="2" t="s">
        <v>10241</v>
      </c>
      <c r="G3161" s="2" t="s">
        <v>10241</v>
      </c>
      <c r="H3161" s="2" t="s">
        <v>10241</v>
      </c>
      <c r="I3161" s="2" t="s">
        <v>9627</v>
      </c>
      <c r="J3161" s="2" t="s">
        <v>490</v>
      </c>
      <c r="K3161" s="2" t="s">
        <v>223</v>
      </c>
      <c r="L3161" s="3">
        <v>25.3</v>
      </c>
      <c r="M3161" s="3">
        <v>26.56</v>
      </c>
      <c r="N3161" s="3">
        <v>54.99</v>
      </c>
      <c r="O3161" s="2" t="s">
        <v>97</v>
      </c>
      <c r="P3161" s="2" t="s">
        <v>156</v>
      </c>
      <c r="Q3161" s="2" t="s">
        <v>99</v>
      </c>
      <c r="R3161" s="2" t="s">
        <v>100</v>
      </c>
      <c r="S3161" s="2" t="s">
        <v>10332</v>
      </c>
      <c r="T3161" s="2" t="s">
        <v>5161</v>
      </c>
      <c r="U3161" s="2" t="s">
        <v>1228</v>
      </c>
      <c r="V3161" s="2" t="s">
        <v>461</v>
      </c>
      <c r="W3161" s="2" t="s">
        <v>609</v>
      </c>
      <c r="X3161" s="2" t="s">
        <v>493</v>
      </c>
      <c r="Y3161" s="2" t="s">
        <v>7032</v>
      </c>
      <c r="Z3161" s="4">
        <v>30</v>
      </c>
      <c r="AA3161" s="4">
        <f>=ROUNDDOWN(1.875,0)</f>
      </c>
      <c r="AB3161" s="5">
        <v>16</v>
      </c>
      <c r="AC3161" s="2" t="s">
        <v>1142</v>
      </c>
      <c r="AD3161" s="4">
        <v>140</v>
      </c>
      <c r="AE3161" s="4">
        <v>380</v>
      </c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 t="s">
        <v>100</v>
      </c>
      <c r="AW3161" s="8" t="s">
        <v>100</v>
      </c>
      <c r="AX3161" s="4" t="s">
        <v>100</v>
      </c>
      <c r="AY3161" s="8" t="s">
        <v>100</v>
      </c>
      <c r="AZ3161" s="7" t="s">
        <v>100</v>
      </c>
      <c r="BA3161" s="7" t="s">
        <v>100</v>
      </c>
      <c r="BB3161" s="7"/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 t="s">
        <v>100</v>
      </c>
      <c r="BJ3161" s="4">
        <v>13</v>
      </c>
      <c r="BK3161" s="8">
        <v>362.77</v>
      </c>
      <c r="BL3161" s="2" t="s">
        <v>4125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171</v>
      </c>
      <c r="BV3161" s="2" t="s">
        <v>97</v>
      </c>
      <c r="BW3161" s="2" t="s">
        <v>100</v>
      </c>
      <c r="BX3161" s="2" t="s">
        <v>100</v>
      </c>
      <c r="BY3161" s="2" t="s">
        <v>112</v>
      </c>
      <c r="BZ3161" s="2" t="s">
        <v>100</v>
      </c>
    </row>
    <row r="3162">
      <c r="A3162" s="2" t="s">
        <v>10337</v>
      </c>
      <c r="B3162" s="2" t="s">
        <v>9043</v>
      </c>
      <c r="C3162" s="2" t="s">
        <v>4466</v>
      </c>
      <c r="D3162" s="2" t="s">
        <v>9044</v>
      </c>
      <c r="E3162" s="2" t="s">
        <v>9045</v>
      </c>
      <c r="F3162" s="2" t="s">
        <v>10241</v>
      </c>
      <c r="G3162" s="2" t="s">
        <v>10241</v>
      </c>
      <c r="H3162" s="2" t="s">
        <v>10241</v>
      </c>
      <c r="I3162" s="2" t="s">
        <v>9627</v>
      </c>
      <c r="J3162" s="2" t="s">
        <v>95</v>
      </c>
      <c r="K3162" s="2" t="s">
        <v>223</v>
      </c>
      <c r="L3162" s="3">
        <v>28.2</v>
      </c>
      <c r="M3162" s="3">
        <v>29.61</v>
      </c>
      <c r="N3162" s="3">
        <v>59.99</v>
      </c>
      <c r="O3162" s="2" t="s">
        <v>97</v>
      </c>
      <c r="P3162" s="2" t="s">
        <v>123</v>
      </c>
      <c r="Q3162" s="2" t="s">
        <v>99</v>
      </c>
      <c r="R3162" s="2" t="s">
        <v>100</v>
      </c>
      <c r="S3162" s="2" t="s">
        <v>10332</v>
      </c>
      <c r="T3162" s="2" t="s">
        <v>5161</v>
      </c>
      <c r="U3162" s="2" t="s">
        <v>1228</v>
      </c>
      <c r="V3162" s="2" t="s">
        <v>461</v>
      </c>
      <c r="W3162" s="2" t="s">
        <v>609</v>
      </c>
      <c r="X3162" s="2" t="s">
        <v>493</v>
      </c>
      <c r="Y3162" s="2" t="s">
        <v>7032</v>
      </c>
      <c r="Z3162" s="4"/>
      <c r="AA3162" s="4">
        <f>=ROUNDDOWN({0},0)</f>
      </c>
      <c r="AB3162" s="5">
        <v>27</v>
      </c>
      <c r="AC3162" s="2" t="s">
        <v>1142</v>
      </c>
      <c r="AD3162" s="4">
        <v>240</v>
      </c>
      <c r="AE3162" s="4">
        <v>650</v>
      </c>
      <c r="AF3162" s="6">
        <v>65</v>
      </c>
      <c r="AG3162" s="6"/>
      <c r="AH3162" s="7">
        <v>0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 t="s">
        <v>100</v>
      </c>
      <c r="AW3162" s="8" t="s">
        <v>100</v>
      </c>
      <c r="AX3162" s="4" t="s">
        <v>100</v>
      </c>
      <c r="AY3162" s="8" t="s">
        <v>100</v>
      </c>
      <c r="AZ3162" s="7" t="s">
        <v>100</v>
      </c>
      <c r="BA3162" s="7" t="s">
        <v>100</v>
      </c>
      <c r="BB3162" s="7"/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 t="s">
        <v>100</v>
      </c>
      <c r="BJ3162" s="4">
        <v>9</v>
      </c>
      <c r="BK3162" s="8">
        <v>272.5</v>
      </c>
      <c r="BL3162" s="2" t="s">
        <v>2209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171</v>
      </c>
      <c r="BV3162" s="2" t="s">
        <v>97</v>
      </c>
      <c r="BW3162" s="2" t="s">
        <v>100</v>
      </c>
      <c r="BX3162" s="2" t="s">
        <v>100</v>
      </c>
      <c r="BY3162" s="2" t="s">
        <v>112</v>
      </c>
      <c r="BZ3162" s="2" t="s">
        <v>100</v>
      </c>
    </row>
    <row r="3163">
      <c r="A3163" s="2" t="s">
        <v>10338</v>
      </c>
      <c r="B3163" s="2" t="s">
        <v>9043</v>
      </c>
      <c r="C3163" s="2" t="s">
        <v>4466</v>
      </c>
      <c r="D3163" s="2" t="s">
        <v>9044</v>
      </c>
      <c r="E3163" s="2" t="s">
        <v>9045</v>
      </c>
      <c r="F3163" s="2" t="s">
        <v>10241</v>
      </c>
      <c r="G3163" s="2" t="s">
        <v>10241</v>
      </c>
      <c r="H3163" s="2" t="s">
        <v>10241</v>
      </c>
      <c r="I3163" s="2" t="s">
        <v>9627</v>
      </c>
      <c r="J3163" s="2" t="s">
        <v>114</v>
      </c>
      <c r="K3163" s="2" t="s">
        <v>223</v>
      </c>
      <c r="L3163" s="3">
        <v>31.2</v>
      </c>
      <c r="M3163" s="3">
        <v>32.76</v>
      </c>
      <c r="N3163" s="3">
        <v>64.99</v>
      </c>
      <c r="O3163" s="2" t="s">
        <v>97</v>
      </c>
      <c r="P3163" s="2" t="s">
        <v>98</v>
      </c>
      <c r="Q3163" s="2" t="s">
        <v>99</v>
      </c>
      <c r="R3163" s="2" t="s">
        <v>100</v>
      </c>
      <c r="S3163" s="2" t="s">
        <v>10332</v>
      </c>
      <c r="T3163" s="2" t="s">
        <v>5161</v>
      </c>
      <c r="U3163" s="2" t="s">
        <v>1228</v>
      </c>
      <c r="V3163" s="2" t="s">
        <v>461</v>
      </c>
      <c r="W3163" s="2" t="s">
        <v>609</v>
      </c>
      <c r="X3163" s="2" t="s">
        <v>493</v>
      </c>
      <c r="Y3163" s="2" t="s">
        <v>920</v>
      </c>
      <c r="Z3163" s="4">
        <v>205</v>
      </c>
      <c r="AA3163" s="4">
        <f>=ROUNDDOWN(14.6428571428571,0)</f>
      </c>
      <c r="AB3163" s="5">
        <v>14</v>
      </c>
      <c r="AC3163" s="2" t="s">
        <v>3027</v>
      </c>
      <c r="AD3163" s="4">
        <v>150</v>
      </c>
      <c r="AE3163" s="4">
        <v>150</v>
      </c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 t="s">
        <v>100</v>
      </c>
      <c r="AW3163" s="8" t="s">
        <v>100</v>
      </c>
      <c r="AX3163" s="4" t="s">
        <v>100</v>
      </c>
      <c r="AY3163" s="8" t="s">
        <v>100</v>
      </c>
      <c r="AZ3163" s="7" t="s">
        <v>100</v>
      </c>
      <c r="BA3163" s="7" t="s">
        <v>100</v>
      </c>
      <c r="BB3163" s="7"/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 t="s">
        <v>100</v>
      </c>
      <c r="BJ3163" s="4">
        <v>18</v>
      </c>
      <c r="BK3163" s="8">
        <v>602.85</v>
      </c>
      <c r="BL3163" s="2" t="s">
        <v>10339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171</v>
      </c>
      <c r="BV3163" s="2" t="s">
        <v>97</v>
      </c>
      <c r="BW3163" s="2" t="s">
        <v>100</v>
      </c>
      <c r="BX3163" s="2" t="s">
        <v>100</v>
      </c>
      <c r="BY3163" s="2" t="s">
        <v>112</v>
      </c>
      <c r="BZ3163" s="2" t="s">
        <v>100</v>
      </c>
    </row>
    <row r="3164">
      <c r="A3164" s="2" t="s">
        <v>10340</v>
      </c>
      <c r="B3164" s="2" t="s">
        <v>9043</v>
      </c>
      <c r="C3164" s="2" t="s">
        <v>4466</v>
      </c>
      <c r="D3164" s="2" t="s">
        <v>9044</v>
      </c>
      <c r="E3164" s="2" t="s">
        <v>9045</v>
      </c>
      <c r="F3164" s="2" t="s">
        <v>10241</v>
      </c>
      <c r="G3164" s="2" t="s">
        <v>10241</v>
      </c>
      <c r="H3164" s="2" t="s">
        <v>10241</v>
      </c>
      <c r="I3164" s="2" t="s">
        <v>9627</v>
      </c>
      <c r="J3164" s="2" t="s">
        <v>118</v>
      </c>
      <c r="K3164" s="2" t="s">
        <v>223</v>
      </c>
      <c r="L3164" s="3">
        <v>31.85</v>
      </c>
      <c r="M3164" s="3">
        <v>33.44</v>
      </c>
      <c r="N3164" s="3">
        <v>64.99</v>
      </c>
      <c r="O3164" s="2" t="s">
        <v>97</v>
      </c>
      <c r="P3164" s="2" t="s">
        <v>98</v>
      </c>
      <c r="Q3164" s="2" t="s">
        <v>99</v>
      </c>
      <c r="R3164" s="2" t="s">
        <v>100</v>
      </c>
      <c r="S3164" s="2" t="s">
        <v>10332</v>
      </c>
      <c r="T3164" s="2" t="s">
        <v>5161</v>
      </c>
      <c r="U3164" s="2" t="s">
        <v>1228</v>
      </c>
      <c r="V3164" s="2" t="s">
        <v>461</v>
      </c>
      <c r="W3164" s="2" t="s">
        <v>609</v>
      </c>
      <c r="X3164" s="2" t="s">
        <v>493</v>
      </c>
      <c r="Y3164" s="2" t="s">
        <v>920</v>
      </c>
      <c r="Z3164" s="4">
        <v>36</v>
      </c>
      <c r="AA3164" s="4">
        <f>=ROUNDDOWN(5.14285714285714,0)</f>
      </c>
      <c r="AB3164" s="5">
        <v>7</v>
      </c>
      <c r="AC3164" s="2" t="s">
        <v>1142</v>
      </c>
      <c r="AD3164" s="4">
        <v>40</v>
      </c>
      <c r="AE3164" s="4">
        <v>150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 t="s">
        <v>100</v>
      </c>
      <c r="AW3164" s="8" t="s">
        <v>100</v>
      </c>
      <c r="AX3164" s="4" t="s">
        <v>100</v>
      </c>
      <c r="AY3164" s="8" t="s">
        <v>100</v>
      </c>
      <c r="AZ3164" s="7" t="s">
        <v>100</v>
      </c>
      <c r="BA3164" s="7" t="s">
        <v>100</v>
      </c>
      <c r="BB3164" s="7"/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 t="s">
        <v>100</v>
      </c>
      <c r="BJ3164" s="4">
        <v>12</v>
      </c>
      <c r="BK3164" s="8">
        <v>420.62</v>
      </c>
      <c r="BL3164" s="2" t="s">
        <v>4492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171</v>
      </c>
      <c r="BV3164" s="2" t="s">
        <v>97</v>
      </c>
      <c r="BW3164" s="2" t="s">
        <v>100</v>
      </c>
      <c r="BX3164" s="2" t="s">
        <v>100</v>
      </c>
      <c r="BY3164" s="2" t="s">
        <v>112</v>
      </c>
      <c r="BZ3164" s="2" t="s">
        <v>100</v>
      </c>
    </row>
    <row r="3165">
      <c r="A3165" s="2" t="s">
        <v>10341</v>
      </c>
      <c r="B3165" s="2" t="s">
        <v>9043</v>
      </c>
      <c r="C3165" s="2" t="s">
        <v>4466</v>
      </c>
      <c r="D3165" s="2" t="s">
        <v>9044</v>
      </c>
      <c r="E3165" s="2" t="s">
        <v>9045</v>
      </c>
      <c r="F3165" s="2" t="s">
        <v>10241</v>
      </c>
      <c r="G3165" s="2" t="s">
        <v>10241</v>
      </c>
      <c r="H3165" s="2" t="s">
        <v>10241</v>
      </c>
      <c r="I3165" s="2" t="s">
        <v>9627</v>
      </c>
      <c r="J3165" s="2" t="s">
        <v>1443</v>
      </c>
      <c r="K3165" s="2" t="s">
        <v>236</v>
      </c>
      <c r="L3165" s="3">
        <v>21.62</v>
      </c>
      <c r="M3165" s="3">
        <v>22.7</v>
      </c>
      <c r="N3165" s="3">
        <v>46.99</v>
      </c>
      <c r="O3165" s="2" t="s">
        <v>97</v>
      </c>
      <c r="P3165" s="2" t="s">
        <v>98</v>
      </c>
      <c r="Q3165" s="2" t="s">
        <v>99</v>
      </c>
      <c r="R3165" s="2" t="s">
        <v>100</v>
      </c>
      <c r="S3165" s="2" t="s">
        <v>10342</v>
      </c>
      <c r="T3165" s="2" t="s">
        <v>5161</v>
      </c>
      <c r="U3165" s="2" t="s">
        <v>901</v>
      </c>
      <c r="V3165" s="2" t="s">
        <v>461</v>
      </c>
      <c r="W3165" s="2" t="s">
        <v>609</v>
      </c>
      <c r="X3165" s="2" t="s">
        <v>493</v>
      </c>
      <c r="Y3165" s="2" t="s">
        <v>144</v>
      </c>
      <c r="Z3165" s="4"/>
      <c r="AA3165" s="4">
        <f>=ROUNDDOWN({0},0)</f>
      </c>
      <c r="AB3165" s="5">
        <v>13</v>
      </c>
      <c r="AC3165" s="2" t="s">
        <v>1142</v>
      </c>
      <c r="AD3165" s="4">
        <v>100</v>
      </c>
      <c r="AE3165" s="4">
        <v>290</v>
      </c>
      <c r="AF3165" s="6">
        <v>65</v>
      </c>
      <c r="AG3165" s="6"/>
      <c r="AH3165" s="7">
        <v>0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 t="s">
        <v>100</v>
      </c>
      <c r="AW3165" s="8" t="s">
        <v>100</v>
      </c>
      <c r="AX3165" s="4" t="s">
        <v>100</v>
      </c>
      <c r="AY3165" s="8" t="s">
        <v>100</v>
      </c>
      <c r="AZ3165" s="7" t="s">
        <v>100</v>
      </c>
      <c r="BA3165" s="7" t="s">
        <v>100</v>
      </c>
      <c r="BB3165" s="7"/>
      <c r="BC3165" s="4" t="s">
        <v>100</v>
      </c>
      <c r="BD3165" s="8" t="s">
        <v>100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 t="s">
        <v>100</v>
      </c>
      <c r="BJ3165" s="4"/>
      <c r="BK3165" s="8"/>
      <c r="BL3165" s="2" t="s">
        <v>100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109</v>
      </c>
      <c r="BV3165" s="2" t="s">
        <v>97</v>
      </c>
      <c r="BW3165" s="2" t="s">
        <v>464</v>
      </c>
      <c r="BX3165" s="2" t="s">
        <v>870</v>
      </c>
      <c r="BY3165" s="2" t="s">
        <v>112</v>
      </c>
      <c r="BZ3165" s="2" t="s">
        <v>100</v>
      </c>
    </row>
    <row r="3166">
      <c r="A3166" s="2" t="s">
        <v>10343</v>
      </c>
      <c r="B3166" s="2" t="s">
        <v>9043</v>
      </c>
      <c r="C3166" s="2" t="s">
        <v>4466</v>
      </c>
      <c r="D3166" s="2" t="s">
        <v>9044</v>
      </c>
      <c r="E3166" s="2" t="s">
        <v>9045</v>
      </c>
      <c r="F3166" s="2" t="s">
        <v>10241</v>
      </c>
      <c r="G3166" s="2" t="s">
        <v>10241</v>
      </c>
      <c r="H3166" s="2" t="s">
        <v>10241</v>
      </c>
      <c r="I3166" s="2" t="s">
        <v>9627</v>
      </c>
      <c r="J3166" s="2" t="s">
        <v>1806</v>
      </c>
      <c r="K3166" s="2" t="s">
        <v>236</v>
      </c>
      <c r="L3166" s="3">
        <v>23.04</v>
      </c>
      <c r="M3166" s="3">
        <v>24.19</v>
      </c>
      <c r="N3166" s="3">
        <v>47.99</v>
      </c>
      <c r="O3166" s="2" t="s">
        <v>97</v>
      </c>
      <c r="P3166" s="2" t="s">
        <v>98</v>
      </c>
      <c r="Q3166" s="2" t="s">
        <v>99</v>
      </c>
      <c r="R3166" s="2" t="s">
        <v>100</v>
      </c>
      <c r="S3166" s="2" t="s">
        <v>10342</v>
      </c>
      <c r="T3166" s="2" t="s">
        <v>5161</v>
      </c>
      <c r="U3166" s="2" t="s">
        <v>901</v>
      </c>
      <c r="V3166" s="2" t="s">
        <v>461</v>
      </c>
      <c r="W3166" s="2" t="s">
        <v>609</v>
      </c>
      <c r="X3166" s="2" t="s">
        <v>493</v>
      </c>
      <c r="Y3166" s="2" t="s">
        <v>144</v>
      </c>
      <c r="Z3166" s="4">
        <v>75</v>
      </c>
      <c r="AA3166" s="4">
        <f>=ROUNDDOWN(18.75,0)</f>
      </c>
      <c r="AB3166" s="5">
        <v>4</v>
      </c>
      <c r="AC3166" s="2" t="s">
        <v>3027</v>
      </c>
      <c r="AD3166" s="4">
        <v>40</v>
      </c>
      <c r="AE3166" s="4">
        <v>40</v>
      </c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 t="s">
        <v>100</v>
      </c>
      <c r="AW3166" s="8" t="s">
        <v>100</v>
      </c>
      <c r="AX3166" s="4" t="s">
        <v>100</v>
      </c>
      <c r="AY3166" s="8" t="s">
        <v>100</v>
      </c>
      <c r="AZ3166" s="7" t="s">
        <v>100</v>
      </c>
      <c r="BA3166" s="7" t="s">
        <v>100</v>
      </c>
      <c r="BB3166" s="7"/>
      <c r="BC3166" s="4" t="s">
        <v>100</v>
      </c>
      <c r="BD3166" s="8" t="s">
        <v>100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 t="s">
        <v>100</v>
      </c>
      <c r="BJ3166" s="4"/>
      <c r="BK3166" s="8"/>
      <c r="BL3166" s="2" t="s">
        <v>100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109</v>
      </c>
      <c r="BV3166" s="2" t="s">
        <v>97</v>
      </c>
      <c r="BW3166" s="2" t="s">
        <v>464</v>
      </c>
      <c r="BX3166" s="2" t="s">
        <v>1898</v>
      </c>
      <c r="BY3166" s="2" t="s">
        <v>112</v>
      </c>
      <c r="BZ3166" s="2" t="s">
        <v>100</v>
      </c>
    </row>
    <row r="3167">
      <c r="A3167" s="2" t="s">
        <v>10344</v>
      </c>
      <c r="B3167" s="2" t="s">
        <v>9043</v>
      </c>
      <c r="C3167" s="2" t="s">
        <v>4466</v>
      </c>
      <c r="D3167" s="2" t="s">
        <v>9044</v>
      </c>
      <c r="E3167" s="2" t="s">
        <v>9045</v>
      </c>
      <c r="F3167" s="2" t="s">
        <v>10241</v>
      </c>
      <c r="G3167" s="2" t="s">
        <v>10241</v>
      </c>
      <c r="H3167" s="2" t="s">
        <v>10241</v>
      </c>
      <c r="I3167" s="2" t="s">
        <v>9627</v>
      </c>
      <c r="J3167" s="2" t="s">
        <v>490</v>
      </c>
      <c r="K3167" s="2" t="s">
        <v>236</v>
      </c>
      <c r="L3167" s="3">
        <v>25.3</v>
      </c>
      <c r="M3167" s="3">
        <v>26.56</v>
      </c>
      <c r="N3167" s="3">
        <v>54.99</v>
      </c>
      <c r="O3167" s="2" t="s">
        <v>97</v>
      </c>
      <c r="P3167" s="2" t="s">
        <v>98</v>
      </c>
      <c r="Q3167" s="2" t="s">
        <v>99</v>
      </c>
      <c r="R3167" s="2" t="s">
        <v>100</v>
      </c>
      <c r="S3167" s="2" t="s">
        <v>10342</v>
      </c>
      <c r="T3167" s="2" t="s">
        <v>5161</v>
      </c>
      <c r="U3167" s="2" t="s">
        <v>1228</v>
      </c>
      <c r="V3167" s="2" t="s">
        <v>461</v>
      </c>
      <c r="W3167" s="2" t="s">
        <v>609</v>
      </c>
      <c r="X3167" s="2" t="s">
        <v>493</v>
      </c>
      <c r="Y3167" s="2" t="s">
        <v>144</v>
      </c>
      <c r="Z3167" s="4">
        <v>46</v>
      </c>
      <c r="AA3167" s="4">
        <f>=ROUNDDOWN(7.66666666666667,0)</f>
      </c>
      <c r="AB3167" s="5">
        <v>6</v>
      </c>
      <c r="AC3167" s="2" t="s">
        <v>1142</v>
      </c>
      <c r="AD3167" s="4">
        <v>40</v>
      </c>
      <c r="AE3167" s="4">
        <v>130</v>
      </c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 t="s">
        <v>100</v>
      </c>
      <c r="AW3167" s="8" t="s">
        <v>100</v>
      </c>
      <c r="AX3167" s="4" t="s">
        <v>100</v>
      </c>
      <c r="AY3167" s="8" t="s">
        <v>100</v>
      </c>
      <c r="AZ3167" s="7" t="s">
        <v>100</v>
      </c>
      <c r="BA3167" s="7" t="s">
        <v>100</v>
      </c>
      <c r="BB3167" s="7"/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 t="s">
        <v>100</v>
      </c>
      <c r="BJ3167" s="4">
        <v>2</v>
      </c>
      <c r="BK3167" s="8">
        <v>55.66</v>
      </c>
      <c r="BL3167" s="2" t="s">
        <v>6336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109</v>
      </c>
      <c r="BV3167" s="2" t="s">
        <v>97</v>
      </c>
      <c r="BW3167" s="2" t="s">
        <v>464</v>
      </c>
      <c r="BX3167" s="2" t="s">
        <v>1900</v>
      </c>
      <c r="BY3167" s="2" t="s">
        <v>112</v>
      </c>
      <c r="BZ3167" s="2" t="s">
        <v>100</v>
      </c>
    </row>
    <row r="3168">
      <c r="A3168" s="2" t="s">
        <v>10345</v>
      </c>
      <c r="B3168" s="2" t="s">
        <v>9043</v>
      </c>
      <c r="C3168" s="2" t="s">
        <v>4466</v>
      </c>
      <c r="D3168" s="2" t="s">
        <v>9044</v>
      </c>
      <c r="E3168" s="2" t="s">
        <v>9045</v>
      </c>
      <c r="F3168" s="2" t="s">
        <v>10241</v>
      </c>
      <c r="G3168" s="2" t="s">
        <v>10241</v>
      </c>
      <c r="H3168" s="2" t="s">
        <v>10241</v>
      </c>
      <c r="I3168" s="2" t="s">
        <v>9627</v>
      </c>
      <c r="J3168" s="2" t="s">
        <v>95</v>
      </c>
      <c r="K3168" s="2" t="s">
        <v>236</v>
      </c>
      <c r="L3168" s="3">
        <v>28.2</v>
      </c>
      <c r="M3168" s="3">
        <v>29.61</v>
      </c>
      <c r="N3168" s="3">
        <v>59.99</v>
      </c>
      <c r="O3168" s="2" t="s">
        <v>97</v>
      </c>
      <c r="P3168" s="2" t="s">
        <v>98</v>
      </c>
      <c r="Q3168" s="2" t="s">
        <v>99</v>
      </c>
      <c r="R3168" s="2" t="s">
        <v>100</v>
      </c>
      <c r="S3168" s="2" t="s">
        <v>10342</v>
      </c>
      <c r="T3168" s="2" t="s">
        <v>5161</v>
      </c>
      <c r="U3168" s="2" t="s">
        <v>1228</v>
      </c>
      <c r="V3168" s="2" t="s">
        <v>461</v>
      </c>
      <c r="W3168" s="2" t="s">
        <v>609</v>
      </c>
      <c r="X3168" s="2" t="s">
        <v>493</v>
      </c>
      <c r="Y3168" s="2" t="s">
        <v>144</v>
      </c>
      <c r="Z3168" s="4">
        <v>153</v>
      </c>
      <c r="AA3168" s="4">
        <f>=ROUNDDOWN(9.5625,0)</f>
      </c>
      <c r="AB3168" s="5">
        <v>16</v>
      </c>
      <c r="AC3168" s="2" t="s">
        <v>1142</v>
      </c>
      <c r="AD3168" s="4">
        <v>60</v>
      </c>
      <c r="AE3168" s="4">
        <v>320</v>
      </c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 t="s">
        <v>100</v>
      </c>
      <c r="AW3168" s="8" t="s">
        <v>100</v>
      </c>
      <c r="AX3168" s="4" t="s">
        <v>100</v>
      </c>
      <c r="AY3168" s="8" t="s">
        <v>100</v>
      </c>
      <c r="AZ3168" s="7" t="s">
        <v>100</v>
      </c>
      <c r="BA3168" s="7" t="s">
        <v>100</v>
      </c>
      <c r="BB3168" s="7"/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 t="s">
        <v>100</v>
      </c>
      <c r="BJ3168" s="4">
        <v>10</v>
      </c>
      <c r="BK3168" s="8">
        <v>311.74</v>
      </c>
      <c r="BL3168" s="2" t="s">
        <v>10346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109</v>
      </c>
      <c r="BV3168" s="2" t="s">
        <v>97</v>
      </c>
      <c r="BW3168" s="2" t="s">
        <v>464</v>
      </c>
      <c r="BX3168" s="2" t="s">
        <v>870</v>
      </c>
      <c r="BY3168" s="2" t="s">
        <v>112</v>
      </c>
      <c r="BZ3168" s="2" t="s">
        <v>100</v>
      </c>
    </row>
    <row r="3169">
      <c r="A3169" s="2" t="s">
        <v>10347</v>
      </c>
      <c r="B3169" s="2" t="s">
        <v>9043</v>
      </c>
      <c r="C3169" s="2" t="s">
        <v>4466</v>
      </c>
      <c r="D3169" s="2" t="s">
        <v>9044</v>
      </c>
      <c r="E3169" s="2" t="s">
        <v>9045</v>
      </c>
      <c r="F3169" s="2" t="s">
        <v>10241</v>
      </c>
      <c r="G3169" s="2" t="s">
        <v>10241</v>
      </c>
      <c r="H3169" s="2" t="s">
        <v>10241</v>
      </c>
      <c r="I3169" s="2" t="s">
        <v>9627</v>
      </c>
      <c r="J3169" s="2" t="s">
        <v>114</v>
      </c>
      <c r="K3169" s="2" t="s">
        <v>236</v>
      </c>
      <c r="L3169" s="3">
        <v>31.2</v>
      </c>
      <c r="M3169" s="3">
        <v>32.76</v>
      </c>
      <c r="N3169" s="3">
        <v>64.99</v>
      </c>
      <c r="O3169" s="2" t="s">
        <v>97</v>
      </c>
      <c r="P3169" s="2" t="s">
        <v>98</v>
      </c>
      <c r="Q3169" s="2" t="s">
        <v>99</v>
      </c>
      <c r="R3169" s="2" t="s">
        <v>100</v>
      </c>
      <c r="S3169" s="2" t="s">
        <v>10342</v>
      </c>
      <c r="T3169" s="2" t="s">
        <v>5161</v>
      </c>
      <c r="U3169" s="2" t="s">
        <v>1228</v>
      </c>
      <c r="V3169" s="2" t="s">
        <v>461</v>
      </c>
      <c r="W3169" s="2" t="s">
        <v>609</v>
      </c>
      <c r="X3169" s="2" t="s">
        <v>493</v>
      </c>
      <c r="Y3169" s="2" t="s">
        <v>144</v>
      </c>
      <c r="Z3169" s="4">
        <v>176</v>
      </c>
      <c r="AA3169" s="4">
        <f>=ROUNDDOWN(16,0)</f>
      </c>
      <c r="AB3169" s="5">
        <v>11</v>
      </c>
      <c r="AC3169" s="2" t="s">
        <v>3027</v>
      </c>
      <c r="AD3169" s="4">
        <v>140</v>
      </c>
      <c r="AE3169" s="4">
        <v>140</v>
      </c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/>
      <c r="AQ3169" s="8"/>
      <c r="AR3169" s="4"/>
      <c r="AS3169" s="8"/>
      <c r="AT3169" s="7"/>
      <c r="AU3169" s="7"/>
      <c r="AV3169" s="4" t="s">
        <v>100</v>
      </c>
      <c r="AW3169" s="8" t="s">
        <v>100</v>
      </c>
      <c r="AX3169" s="4" t="s">
        <v>100</v>
      </c>
      <c r="AY3169" s="8" t="s">
        <v>100</v>
      </c>
      <c r="AZ3169" s="7" t="s">
        <v>100</v>
      </c>
      <c r="BA3169" s="7" t="s">
        <v>100</v>
      </c>
      <c r="BB3169" s="7"/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 t="s">
        <v>100</v>
      </c>
      <c r="BJ3169" s="4">
        <v>8</v>
      </c>
      <c r="BK3169" s="8">
        <v>266.38</v>
      </c>
      <c r="BL3169" s="2" t="s">
        <v>1636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109</v>
      </c>
      <c r="BV3169" s="2" t="s">
        <v>97</v>
      </c>
      <c r="BW3169" s="2" t="s">
        <v>464</v>
      </c>
      <c r="BX3169" s="2" t="s">
        <v>1818</v>
      </c>
      <c r="BY3169" s="2" t="s">
        <v>112</v>
      </c>
      <c r="BZ3169" s="2" t="s">
        <v>100</v>
      </c>
    </row>
    <row r="3170">
      <c r="A3170" s="2" t="s">
        <v>10348</v>
      </c>
      <c r="B3170" s="2" t="s">
        <v>9043</v>
      </c>
      <c r="C3170" s="2" t="s">
        <v>4466</v>
      </c>
      <c r="D3170" s="2" t="s">
        <v>9044</v>
      </c>
      <c r="E3170" s="2" t="s">
        <v>9045</v>
      </c>
      <c r="F3170" s="2" t="s">
        <v>10241</v>
      </c>
      <c r="G3170" s="2" t="s">
        <v>10241</v>
      </c>
      <c r="H3170" s="2" t="s">
        <v>10241</v>
      </c>
      <c r="I3170" s="2" t="s">
        <v>9627</v>
      </c>
      <c r="J3170" s="2" t="s">
        <v>118</v>
      </c>
      <c r="K3170" s="2" t="s">
        <v>236</v>
      </c>
      <c r="L3170" s="3">
        <v>31.85</v>
      </c>
      <c r="M3170" s="3">
        <v>33.44</v>
      </c>
      <c r="N3170" s="3">
        <v>64.99</v>
      </c>
      <c r="O3170" s="2" t="s">
        <v>97</v>
      </c>
      <c r="P3170" s="2" t="s">
        <v>98</v>
      </c>
      <c r="Q3170" s="2" t="s">
        <v>99</v>
      </c>
      <c r="R3170" s="2" t="s">
        <v>100</v>
      </c>
      <c r="S3170" s="2" t="s">
        <v>10342</v>
      </c>
      <c r="T3170" s="2" t="s">
        <v>5161</v>
      </c>
      <c r="U3170" s="2" t="s">
        <v>1228</v>
      </c>
      <c r="V3170" s="2" t="s">
        <v>461</v>
      </c>
      <c r="W3170" s="2" t="s">
        <v>609</v>
      </c>
      <c r="X3170" s="2" t="s">
        <v>493</v>
      </c>
      <c r="Y3170" s="2" t="s">
        <v>144</v>
      </c>
      <c r="Z3170" s="4"/>
      <c r="AA3170" s="4">
        <f>=ROUNDDOWN({0},0)</f>
      </c>
      <c r="AB3170" s="5">
        <v>5</v>
      </c>
      <c r="AC3170" s="2" t="s">
        <v>1142</v>
      </c>
      <c r="AD3170" s="4">
        <v>50</v>
      </c>
      <c r="AE3170" s="4">
        <v>150</v>
      </c>
      <c r="AF3170" s="6">
        <v>65</v>
      </c>
      <c r="AG3170" s="6"/>
      <c r="AH3170" s="7">
        <v>0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 t="s">
        <v>100</v>
      </c>
      <c r="AW3170" s="8" t="s">
        <v>100</v>
      </c>
      <c r="AX3170" s="4" t="s">
        <v>100</v>
      </c>
      <c r="AY3170" s="8" t="s">
        <v>100</v>
      </c>
      <c r="AZ3170" s="7" t="s">
        <v>100</v>
      </c>
      <c r="BA3170" s="7" t="s">
        <v>100</v>
      </c>
      <c r="BB3170" s="7"/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 t="s">
        <v>100</v>
      </c>
      <c r="BJ3170" s="4"/>
      <c r="BK3170" s="8"/>
      <c r="BL3170" s="2" t="s">
        <v>100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109</v>
      </c>
      <c r="BV3170" s="2" t="s">
        <v>97</v>
      </c>
      <c r="BW3170" s="2" t="s">
        <v>464</v>
      </c>
      <c r="BX3170" s="2" t="s">
        <v>1165</v>
      </c>
      <c r="BY3170" s="2" t="s">
        <v>112</v>
      </c>
      <c r="BZ3170" s="2" t="s">
        <v>100</v>
      </c>
    </row>
    <row r="3171">
      <c r="A3171" s="2" t="s">
        <v>10349</v>
      </c>
      <c r="B3171" s="2" t="s">
        <v>9043</v>
      </c>
      <c r="C3171" s="2" t="s">
        <v>4466</v>
      </c>
      <c r="D3171" s="2" t="s">
        <v>9044</v>
      </c>
      <c r="E3171" s="2" t="s">
        <v>9045</v>
      </c>
      <c r="F3171" s="2" t="s">
        <v>10350</v>
      </c>
      <c r="G3171" s="2" t="s">
        <v>10350</v>
      </c>
      <c r="H3171" s="2" t="s">
        <v>10350</v>
      </c>
      <c r="I3171" s="2" t="s">
        <v>9627</v>
      </c>
      <c r="J3171" s="2" t="s">
        <v>1443</v>
      </c>
      <c r="K3171" s="2" t="s">
        <v>96</v>
      </c>
      <c r="L3171" s="3">
        <v>19.78</v>
      </c>
      <c r="M3171" s="3">
        <v>20.77</v>
      </c>
      <c r="N3171" s="3">
        <v>42.99</v>
      </c>
      <c r="O3171" s="2" t="s">
        <v>97</v>
      </c>
      <c r="P3171" s="2" t="s">
        <v>139</v>
      </c>
      <c r="Q3171" s="2" t="s">
        <v>99</v>
      </c>
      <c r="R3171" s="2" t="s">
        <v>100</v>
      </c>
      <c r="S3171" s="2" t="s">
        <v>10351</v>
      </c>
      <c r="T3171" s="2" t="s">
        <v>4296</v>
      </c>
      <c r="U3171" s="2" t="s">
        <v>100</v>
      </c>
      <c r="V3171" s="2" t="s">
        <v>461</v>
      </c>
      <c r="W3171" s="2" t="s">
        <v>609</v>
      </c>
      <c r="X3171" s="2" t="s">
        <v>100</v>
      </c>
      <c r="Y3171" s="2" t="s">
        <v>144</v>
      </c>
      <c r="Z3171" s="4">
        <v>321</v>
      </c>
      <c r="AA3171" s="4">
        <f>=ROUNDDOWN(7.82926829268293,0)</f>
      </c>
      <c r="AB3171" s="5">
        <v>41</v>
      </c>
      <c r="AC3171" s="2" t="s">
        <v>1142</v>
      </c>
      <c r="AD3171" s="4">
        <v>220</v>
      </c>
      <c r="AE3171" s="4">
        <v>960</v>
      </c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>
        <v>1</v>
      </c>
      <c r="AW3171" s="8">
        <v>28.35</v>
      </c>
      <c r="AX3171" s="4" t="s">
        <v>100</v>
      </c>
      <c r="AY3171" s="8" t="s">
        <v>100</v>
      </c>
      <c r="AZ3171" s="7" t="s">
        <v>100</v>
      </c>
      <c r="BA3171" s="7" t="s">
        <v>100</v>
      </c>
      <c r="BB3171" s="7"/>
      <c r="BC3171" s="4">
        <v>1</v>
      </c>
      <c r="BD3171" s="8">
        <v>28.35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>
        <v>1</v>
      </c>
      <c r="BJ3171" s="4">
        <v>7</v>
      </c>
      <c r="BK3171" s="8">
        <v>152.32</v>
      </c>
      <c r="BL3171" s="2" t="s">
        <v>6336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109</v>
      </c>
      <c r="BV3171" s="2" t="s">
        <v>97</v>
      </c>
      <c r="BW3171" s="2" t="s">
        <v>4173</v>
      </c>
      <c r="BX3171" s="2" t="s">
        <v>971</v>
      </c>
      <c r="BY3171" s="2" t="s">
        <v>112</v>
      </c>
      <c r="BZ3171" s="2" t="s">
        <v>100</v>
      </c>
    </row>
    <row r="3172">
      <c r="A3172" s="2" t="s">
        <v>10352</v>
      </c>
      <c r="B3172" s="2" t="s">
        <v>9043</v>
      </c>
      <c r="C3172" s="2" t="s">
        <v>4466</v>
      </c>
      <c r="D3172" s="2" t="s">
        <v>9044</v>
      </c>
      <c r="E3172" s="2" t="s">
        <v>9045</v>
      </c>
      <c r="F3172" s="2" t="s">
        <v>10350</v>
      </c>
      <c r="G3172" s="2" t="s">
        <v>10350</v>
      </c>
      <c r="H3172" s="2" t="s">
        <v>10350</v>
      </c>
      <c r="I3172" s="2" t="s">
        <v>9627</v>
      </c>
      <c r="J3172" s="2" t="s">
        <v>490</v>
      </c>
      <c r="K3172" s="2" t="s">
        <v>96</v>
      </c>
      <c r="L3172" s="3">
        <v>25.3</v>
      </c>
      <c r="M3172" s="3">
        <v>26.56</v>
      </c>
      <c r="N3172" s="3">
        <v>54.99</v>
      </c>
      <c r="O3172" s="2" t="s">
        <v>97</v>
      </c>
      <c r="P3172" s="2" t="s">
        <v>139</v>
      </c>
      <c r="Q3172" s="2" t="s">
        <v>99</v>
      </c>
      <c r="R3172" s="2" t="s">
        <v>100</v>
      </c>
      <c r="S3172" s="2" t="s">
        <v>10351</v>
      </c>
      <c r="T3172" s="2" t="s">
        <v>4296</v>
      </c>
      <c r="U3172" s="2" t="s">
        <v>100</v>
      </c>
      <c r="V3172" s="2" t="s">
        <v>461</v>
      </c>
      <c r="W3172" s="2" t="s">
        <v>609</v>
      </c>
      <c r="X3172" s="2" t="s">
        <v>100</v>
      </c>
      <c r="Y3172" s="2" t="s">
        <v>144</v>
      </c>
      <c r="Z3172" s="4">
        <v>167</v>
      </c>
      <c r="AA3172" s="4">
        <f>=ROUNDDOWN(3.79545454545455,0)</f>
      </c>
      <c r="AB3172" s="5">
        <v>44</v>
      </c>
      <c r="AC3172" s="2" t="s">
        <v>1142</v>
      </c>
      <c r="AD3172" s="4">
        <v>310</v>
      </c>
      <c r="AE3172" s="4">
        <v>1030</v>
      </c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/>
      <c r="AQ3172" s="8"/>
      <c r="AR3172" s="4"/>
      <c r="AS3172" s="8"/>
      <c r="AT3172" s="7"/>
      <c r="AU3172" s="7"/>
      <c r="AV3172" s="4" t="s">
        <v>100</v>
      </c>
      <c r="AW3172" s="8" t="s">
        <v>100</v>
      </c>
      <c r="AX3172" s="4" t="s">
        <v>100</v>
      </c>
      <c r="AY3172" s="8" t="s">
        <v>100</v>
      </c>
      <c r="AZ3172" s="7" t="s">
        <v>100</v>
      </c>
      <c r="BA3172" s="7" t="s">
        <v>100</v>
      </c>
      <c r="BB3172" s="7"/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 t="s">
        <v>100</v>
      </c>
      <c r="BJ3172" s="4">
        <v>17</v>
      </c>
      <c r="BK3172" s="8">
        <v>471.54</v>
      </c>
      <c r="BL3172" s="2" t="s">
        <v>10353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109</v>
      </c>
      <c r="BV3172" s="2" t="s">
        <v>97</v>
      </c>
      <c r="BW3172" s="2" t="s">
        <v>4173</v>
      </c>
      <c r="BX3172" s="2" t="s">
        <v>10354</v>
      </c>
      <c r="BY3172" s="2" t="s">
        <v>112</v>
      </c>
      <c r="BZ3172" s="2" t="s">
        <v>100</v>
      </c>
    </row>
    <row r="3173">
      <c r="A3173" s="2" t="s">
        <v>10355</v>
      </c>
      <c r="B3173" s="2" t="s">
        <v>9043</v>
      </c>
      <c r="C3173" s="2" t="s">
        <v>4466</v>
      </c>
      <c r="D3173" s="2" t="s">
        <v>9044</v>
      </c>
      <c r="E3173" s="2" t="s">
        <v>9045</v>
      </c>
      <c r="F3173" s="2" t="s">
        <v>10350</v>
      </c>
      <c r="G3173" s="2" t="s">
        <v>10350</v>
      </c>
      <c r="H3173" s="2" t="s">
        <v>10350</v>
      </c>
      <c r="I3173" s="2" t="s">
        <v>9627</v>
      </c>
      <c r="J3173" s="2" t="s">
        <v>95</v>
      </c>
      <c r="K3173" s="2" t="s">
        <v>96</v>
      </c>
      <c r="L3173" s="3">
        <v>28.35</v>
      </c>
      <c r="M3173" s="3">
        <v>29.77</v>
      </c>
      <c r="N3173" s="3">
        <v>62.99</v>
      </c>
      <c r="O3173" s="2" t="s">
        <v>97</v>
      </c>
      <c r="P3173" s="2" t="s">
        <v>317</v>
      </c>
      <c r="Q3173" s="2" t="s">
        <v>99</v>
      </c>
      <c r="R3173" s="2" t="s">
        <v>100</v>
      </c>
      <c r="S3173" s="2" t="s">
        <v>10351</v>
      </c>
      <c r="T3173" s="2" t="s">
        <v>4296</v>
      </c>
      <c r="U3173" s="2" t="s">
        <v>100</v>
      </c>
      <c r="V3173" s="2" t="s">
        <v>461</v>
      </c>
      <c r="W3173" s="2" t="s">
        <v>609</v>
      </c>
      <c r="X3173" s="2" t="s">
        <v>100</v>
      </c>
      <c r="Y3173" s="2" t="s">
        <v>144</v>
      </c>
      <c r="Z3173" s="4">
        <v>65</v>
      </c>
      <c r="AA3173" s="4">
        <f>=ROUNDDOWN(0.485074626865672,0)</f>
      </c>
      <c r="AB3173" s="5">
        <v>134</v>
      </c>
      <c r="AC3173" s="2" t="s">
        <v>1142</v>
      </c>
      <c r="AD3173" s="4">
        <v>1050</v>
      </c>
      <c r="AE3173" s="4">
        <v>3450</v>
      </c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1</v>
      </c>
      <c r="AQ3173" s="8">
        <v>28.35</v>
      </c>
      <c r="AR3173" s="4"/>
      <c r="AS3173" s="8"/>
      <c r="AT3173" s="7"/>
      <c r="AU3173" s="7"/>
      <c r="AV3173" s="4" t="s">
        <v>100</v>
      </c>
      <c r="AW3173" s="8" t="s">
        <v>100</v>
      </c>
      <c r="AX3173" s="4" t="s">
        <v>100</v>
      </c>
      <c r="AY3173" s="8" t="s">
        <v>100</v>
      </c>
      <c r="AZ3173" s="7" t="s">
        <v>100</v>
      </c>
      <c r="BA3173" s="7" t="s">
        <v>100</v>
      </c>
      <c r="BB3173" s="7">
        <v>1</v>
      </c>
      <c r="BC3173" s="4" t="s">
        <v>100</v>
      </c>
      <c r="BD3173" s="8" t="s">
        <v>100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 t="s">
        <v>100</v>
      </c>
      <c r="BJ3173" s="4">
        <v>37</v>
      </c>
      <c r="BK3173" s="8">
        <v>1081.64</v>
      </c>
      <c r="BL3173" s="2" t="s">
        <v>10356</v>
      </c>
      <c r="BM3173" s="7">
        <v>0.027</v>
      </c>
      <c r="BN3173" s="7">
        <v>0.0262</v>
      </c>
      <c r="BO3173" s="4">
        <v>1</v>
      </c>
      <c r="BP3173" s="8">
        <v>28.35</v>
      </c>
      <c r="BQ3173" s="4"/>
      <c r="BR3173" s="8"/>
      <c r="BS3173" s="7"/>
      <c r="BT3173" s="7"/>
      <c r="BU3173" s="2" t="s">
        <v>109</v>
      </c>
      <c r="BV3173" s="2" t="s">
        <v>97</v>
      </c>
      <c r="BW3173" s="2" t="s">
        <v>4173</v>
      </c>
      <c r="BX3173" s="2" t="s">
        <v>10357</v>
      </c>
      <c r="BY3173" s="2" t="s">
        <v>112</v>
      </c>
      <c r="BZ3173" s="2" t="s">
        <v>100</v>
      </c>
    </row>
    <row r="3174">
      <c r="A3174" s="2" t="s">
        <v>10358</v>
      </c>
      <c r="B3174" s="2" t="s">
        <v>9043</v>
      </c>
      <c r="C3174" s="2" t="s">
        <v>4466</v>
      </c>
      <c r="D3174" s="2" t="s">
        <v>9044</v>
      </c>
      <c r="E3174" s="2" t="s">
        <v>9045</v>
      </c>
      <c r="F3174" s="2" t="s">
        <v>10350</v>
      </c>
      <c r="G3174" s="2" t="s">
        <v>10350</v>
      </c>
      <c r="H3174" s="2" t="s">
        <v>10350</v>
      </c>
      <c r="I3174" s="2" t="s">
        <v>9627</v>
      </c>
      <c r="J3174" s="2" t="s">
        <v>114</v>
      </c>
      <c r="K3174" s="2" t="s">
        <v>96</v>
      </c>
      <c r="L3174" s="3">
        <v>34.5</v>
      </c>
      <c r="M3174" s="3">
        <v>36.22</v>
      </c>
      <c r="N3174" s="3">
        <v>74.99</v>
      </c>
      <c r="O3174" s="2" t="s">
        <v>97</v>
      </c>
      <c r="P3174" s="2" t="s">
        <v>317</v>
      </c>
      <c r="Q3174" s="2" t="s">
        <v>99</v>
      </c>
      <c r="R3174" s="2" t="s">
        <v>100</v>
      </c>
      <c r="S3174" s="2" t="s">
        <v>10351</v>
      </c>
      <c r="T3174" s="2" t="s">
        <v>4296</v>
      </c>
      <c r="U3174" s="2" t="s">
        <v>100</v>
      </c>
      <c r="V3174" s="2" t="s">
        <v>461</v>
      </c>
      <c r="W3174" s="2" t="s">
        <v>609</v>
      </c>
      <c r="X3174" s="2" t="s">
        <v>100</v>
      </c>
      <c r="Y3174" s="2" t="s">
        <v>144</v>
      </c>
      <c r="Z3174" s="4">
        <v>3</v>
      </c>
      <c r="AA3174" s="4">
        <f>=ROUNDDOWN(0.037037037037037,0)</f>
      </c>
      <c r="AB3174" s="5">
        <v>81</v>
      </c>
      <c r="AC3174" s="2" t="s">
        <v>1142</v>
      </c>
      <c r="AD3174" s="4">
        <v>520</v>
      </c>
      <c r="AE3174" s="4">
        <v>1690</v>
      </c>
      <c r="AF3174" s="6">
        <v>65</v>
      </c>
      <c r="AG3174" s="6"/>
      <c r="AH3174" s="7">
        <v>0.3871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 t="s">
        <v>100</v>
      </c>
      <c r="AW3174" s="8" t="s">
        <v>100</v>
      </c>
      <c r="AX3174" s="4" t="s">
        <v>100</v>
      </c>
      <c r="AY3174" s="8" t="s">
        <v>100</v>
      </c>
      <c r="AZ3174" s="7" t="s">
        <v>100</v>
      </c>
      <c r="BA3174" s="7" t="s">
        <v>100</v>
      </c>
      <c r="BB3174" s="7"/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 t="s">
        <v>100</v>
      </c>
      <c r="BJ3174" s="4">
        <v>47</v>
      </c>
      <c r="BK3174" s="8">
        <v>1733.54</v>
      </c>
      <c r="BL3174" s="2" t="s">
        <v>10359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109</v>
      </c>
      <c r="BV3174" s="2" t="s">
        <v>97</v>
      </c>
      <c r="BW3174" s="2" t="s">
        <v>4173</v>
      </c>
      <c r="BX3174" s="2" t="s">
        <v>432</v>
      </c>
      <c r="BY3174" s="2" t="s">
        <v>112</v>
      </c>
      <c r="BZ3174" s="2" t="s">
        <v>100</v>
      </c>
    </row>
    <row r="3175">
      <c r="A3175" s="2" t="s">
        <v>10360</v>
      </c>
      <c r="B3175" s="2" t="s">
        <v>9043</v>
      </c>
      <c r="C3175" s="2" t="s">
        <v>4466</v>
      </c>
      <c r="D3175" s="2" t="s">
        <v>9044</v>
      </c>
      <c r="E3175" s="2" t="s">
        <v>9045</v>
      </c>
      <c r="F3175" s="2" t="s">
        <v>10350</v>
      </c>
      <c r="G3175" s="2" t="s">
        <v>10350</v>
      </c>
      <c r="H3175" s="2" t="s">
        <v>10350</v>
      </c>
      <c r="I3175" s="2" t="s">
        <v>9627</v>
      </c>
      <c r="J3175" s="2" t="s">
        <v>1443</v>
      </c>
      <c r="K3175" s="2" t="s">
        <v>471</v>
      </c>
      <c r="L3175" s="3">
        <v>19.78</v>
      </c>
      <c r="M3175" s="3">
        <v>20.77</v>
      </c>
      <c r="N3175" s="3">
        <v>42.99</v>
      </c>
      <c r="O3175" s="2" t="s">
        <v>97</v>
      </c>
      <c r="P3175" s="2" t="s">
        <v>98</v>
      </c>
      <c r="Q3175" s="2" t="s">
        <v>99</v>
      </c>
      <c r="R3175" s="2" t="s">
        <v>100</v>
      </c>
      <c r="S3175" s="2" t="s">
        <v>10361</v>
      </c>
      <c r="T3175" s="2" t="s">
        <v>4296</v>
      </c>
      <c r="U3175" s="2" t="s">
        <v>100</v>
      </c>
      <c r="V3175" s="2" t="s">
        <v>461</v>
      </c>
      <c r="W3175" s="2" t="s">
        <v>609</v>
      </c>
      <c r="X3175" s="2" t="s">
        <v>100</v>
      </c>
      <c r="Y3175" s="2" t="s">
        <v>144</v>
      </c>
      <c r="Z3175" s="4">
        <v>96</v>
      </c>
      <c r="AA3175" s="4">
        <f>=ROUNDDOWN(6.4,0)</f>
      </c>
      <c r="AB3175" s="5">
        <v>15</v>
      </c>
      <c r="AC3175" s="2" t="s">
        <v>1142</v>
      </c>
      <c r="AD3175" s="4">
        <v>70</v>
      </c>
      <c r="AE3175" s="4">
        <v>350</v>
      </c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>
        <v>0</v>
      </c>
      <c r="AP3175" s="4"/>
      <c r="AQ3175" s="8"/>
      <c r="AR3175" s="4"/>
      <c r="AS3175" s="8"/>
      <c r="AT3175" s="7"/>
      <c r="AU3175" s="7"/>
      <c r="AV3175" s="4" t="s">
        <v>100</v>
      </c>
      <c r="AW3175" s="8" t="s">
        <v>100</v>
      </c>
      <c r="AX3175" s="4" t="s">
        <v>100</v>
      </c>
      <c r="AY3175" s="8" t="s">
        <v>100</v>
      </c>
      <c r="AZ3175" s="7" t="s">
        <v>100</v>
      </c>
      <c r="BA3175" s="7" t="s">
        <v>100</v>
      </c>
      <c r="BB3175" s="7"/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 t="s">
        <v>100</v>
      </c>
      <c r="BJ3175" s="4">
        <v>14</v>
      </c>
      <c r="BK3175" s="8">
        <v>331.84</v>
      </c>
      <c r="BL3175" s="2" t="s">
        <v>10362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109</v>
      </c>
      <c r="BV3175" s="2" t="s">
        <v>97</v>
      </c>
      <c r="BW3175" s="2" t="s">
        <v>159</v>
      </c>
      <c r="BX3175" s="2" t="s">
        <v>5225</v>
      </c>
      <c r="BY3175" s="2" t="s">
        <v>112</v>
      </c>
      <c r="BZ3175" s="2" t="s">
        <v>100</v>
      </c>
    </row>
    <row r="3176">
      <c r="A3176" s="2" t="s">
        <v>10363</v>
      </c>
      <c r="B3176" s="2" t="s">
        <v>9043</v>
      </c>
      <c r="C3176" s="2" t="s">
        <v>4466</v>
      </c>
      <c r="D3176" s="2" t="s">
        <v>9044</v>
      </c>
      <c r="E3176" s="2" t="s">
        <v>9045</v>
      </c>
      <c r="F3176" s="2" t="s">
        <v>10350</v>
      </c>
      <c r="G3176" s="2" t="s">
        <v>10350</v>
      </c>
      <c r="H3176" s="2" t="s">
        <v>10350</v>
      </c>
      <c r="I3176" s="2" t="s">
        <v>9627</v>
      </c>
      <c r="J3176" s="2" t="s">
        <v>490</v>
      </c>
      <c r="K3176" s="2" t="s">
        <v>471</v>
      </c>
      <c r="L3176" s="3">
        <v>25.3</v>
      </c>
      <c r="M3176" s="3">
        <v>26.56</v>
      </c>
      <c r="N3176" s="3">
        <v>54.99</v>
      </c>
      <c r="O3176" s="2" t="s">
        <v>97</v>
      </c>
      <c r="P3176" s="2" t="s">
        <v>98</v>
      </c>
      <c r="Q3176" s="2" t="s">
        <v>99</v>
      </c>
      <c r="R3176" s="2" t="s">
        <v>100</v>
      </c>
      <c r="S3176" s="2" t="s">
        <v>10361</v>
      </c>
      <c r="T3176" s="2" t="s">
        <v>4296</v>
      </c>
      <c r="U3176" s="2" t="s">
        <v>100</v>
      </c>
      <c r="V3176" s="2" t="s">
        <v>461</v>
      </c>
      <c r="W3176" s="2" t="s">
        <v>609</v>
      </c>
      <c r="X3176" s="2" t="s">
        <v>100</v>
      </c>
      <c r="Y3176" s="2" t="s">
        <v>144</v>
      </c>
      <c r="Z3176" s="4">
        <v>66</v>
      </c>
      <c r="AA3176" s="4">
        <f>=ROUNDDOWN(6.6,0)</f>
      </c>
      <c r="AB3176" s="5">
        <v>10</v>
      </c>
      <c r="AC3176" s="2" t="s">
        <v>1142</v>
      </c>
      <c r="AD3176" s="4">
        <v>40</v>
      </c>
      <c r="AE3176" s="4">
        <v>210</v>
      </c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 t="s">
        <v>100</v>
      </c>
      <c r="AW3176" s="8" t="s">
        <v>100</v>
      </c>
      <c r="AX3176" s="4" t="s">
        <v>100</v>
      </c>
      <c r="AY3176" s="8" t="s">
        <v>100</v>
      </c>
      <c r="AZ3176" s="7" t="s">
        <v>100</v>
      </c>
      <c r="BA3176" s="7" t="s">
        <v>100</v>
      </c>
      <c r="BB3176" s="7"/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 t="s">
        <v>100</v>
      </c>
      <c r="BJ3176" s="4">
        <v>13</v>
      </c>
      <c r="BK3176" s="8">
        <v>380.97</v>
      </c>
      <c r="BL3176" s="2" t="s">
        <v>601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159</v>
      </c>
      <c r="BX3176" s="2" t="s">
        <v>10364</v>
      </c>
      <c r="BY3176" s="2" t="s">
        <v>112</v>
      </c>
      <c r="BZ3176" s="2" t="s">
        <v>100</v>
      </c>
    </row>
    <row r="3177">
      <c r="A3177" s="2" t="s">
        <v>10365</v>
      </c>
      <c r="B3177" s="2" t="s">
        <v>9043</v>
      </c>
      <c r="C3177" s="2" t="s">
        <v>4466</v>
      </c>
      <c r="D3177" s="2" t="s">
        <v>9044</v>
      </c>
      <c r="E3177" s="2" t="s">
        <v>9045</v>
      </c>
      <c r="F3177" s="2" t="s">
        <v>10350</v>
      </c>
      <c r="G3177" s="2" t="s">
        <v>10350</v>
      </c>
      <c r="H3177" s="2" t="s">
        <v>10350</v>
      </c>
      <c r="I3177" s="2" t="s">
        <v>9627</v>
      </c>
      <c r="J3177" s="2" t="s">
        <v>95</v>
      </c>
      <c r="K3177" s="2" t="s">
        <v>471</v>
      </c>
      <c r="L3177" s="3">
        <v>28.35</v>
      </c>
      <c r="M3177" s="3">
        <v>29.77</v>
      </c>
      <c r="N3177" s="3">
        <v>62.99</v>
      </c>
      <c r="O3177" s="2" t="s">
        <v>97</v>
      </c>
      <c r="P3177" s="2" t="s">
        <v>98</v>
      </c>
      <c r="Q3177" s="2" t="s">
        <v>99</v>
      </c>
      <c r="R3177" s="2" t="s">
        <v>100</v>
      </c>
      <c r="S3177" s="2" t="s">
        <v>10361</v>
      </c>
      <c r="T3177" s="2" t="s">
        <v>4296</v>
      </c>
      <c r="U3177" s="2" t="s">
        <v>100</v>
      </c>
      <c r="V3177" s="2" t="s">
        <v>461</v>
      </c>
      <c r="W3177" s="2" t="s">
        <v>609</v>
      </c>
      <c r="X3177" s="2" t="s">
        <v>100</v>
      </c>
      <c r="Y3177" s="2" t="s">
        <v>144</v>
      </c>
      <c r="Z3177" s="4">
        <v>56</v>
      </c>
      <c r="AA3177" s="4">
        <f>=ROUNDDOWN(2,0)</f>
      </c>
      <c r="AB3177" s="5">
        <v>28</v>
      </c>
      <c r="AC3177" s="2" t="s">
        <v>1142</v>
      </c>
      <c r="AD3177" s="4">
        <v>260</v>
      </c>
      <c r="AE3177" s="4">
        <v>770</v>
      </c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 t="s">
        <v>100</v>
      </c>
      <c r="AW3177" s="8" t="s">
        <v>100</v>
      </c>
      <c r="AX3177" s="4" t="s">
        <v>100</v>
      </c>
      <c r="AY3177" s="8" t="s">
        <v>100</v>
      </c>
      <c r="AZ3177" s="7" t="s">
        <v>100</v>
      </c>
      <c r="BA3177" s="7" t="s">
        <v>100</v>
      </c>
      <c r="BB3177" s="7"/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 t="s">
        <v>100</v>
      </c>
      <c r="BJ3177" s="4">
        <v>19</v>
      </c>
      <c r="BK3177" s="8">
        <v>602.81</v>
      </c>
      <c r="BL3177" s="2" t="s">
        <v>4485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109</v>
      </c>
      <c r="BV3177" s="2" t="s">
        <v>97</v>
      </c>
      <c r="BW3177" s="2" t="s">
        <v>159</v>
      </c>
      <c r="BX3177" s="2" t="s">
        <v>4239</v>
      </c>
      <c r="BY3177" s="2" t="s">
        <v>112</v>
      </c>
      <c r="BZ3177" s="2" t="s">
        <v>100</v>
      </c>
    </row>
    <row r="3178">
      <c r="A3178" s="2" t="s">
        <v>10366</v>
      </c>
      <c r="B3178" s="2" t="s">
        <v>9043</v>
      </c>
      <c r="C3178" s="2" t="s">
        <v>4466</v>
      </c>
      <c r="D3178" s="2" t="s">
        <v>9044</v>
      </c>
      <c r="E3178" s="2" t="s">
        <v>9045</v>
      </c>
      <c r="F3178" s="2" t="s">
        <v>10350</v>
      </c>
      <c r="G3178" s="2" t="s">
        <v>10350</v>
      </c>
      <c r="H3178" s="2" t="s">
        <v>10350</v>
      </c>
      <c r="I3178" s="2" t="s">
        <v>9627</v>
      </c>
      <c r="J3178" s="2" t="s">
        <v>114</v>
      </c>
      <c r="K3178" s="2" t="s">
        <v>471</v>
      </c>
      <c r="L3178" s="3">
        <v>34.5</v>
      </c>
      <c r="M3178" s="3">
        <v>36.22</v>
      </c>
      <c r="N3178" s="3">
        <v>74.99</v>
      </c>
      <c r="O3178" s="2" t="s">
        <v>97</v>
      </c>
      <c r="P3178" s="2" t="s">
        <v>98</v>
      </c>
      <c r="Q3178" s="2" t="s">
        <v>99</v>
      </c>
      <c r="R3178" s="2" t="s">
        <v>100</v>
      </c>
      <c r="S3178" s="2" t="s">
        <v>10361</v>
      </c>
      <c r="T3178" s="2" t="s">
        <v>4296</v>
      </c>
      <c r="U3178" s="2" t="s">
        <v>100</v>
      </c>
      <c r="V3178" s="2" t="s">
        <v>461</v>
      </c>
      <c r="W3178" s="2" t="s">
        <v>609</v>
      </c>
      <c r="X3178" s="2" t="s">
        <v>100</v>
      </c>
      <c r="Y3178" s="2" t="s">
        <v>144</v>
      </c>
      <c r="Z3178" s="4"/>
      <c r="AA3178" s="4">
        <f>=ROUNDDOWN({0},0)</f>
      </c>
      <c r="AB3178" s="5">
        <v>31</v>
      </c>
      <c r="AC3178" s="2" t="s">
        <v>1142</v>
      </c>
      <c r="AD3178" s="4">
        <v>200</v>
      </c>
      <c r="AE3178" s="4">
        <v>660</v>
      </c>
      <c r="AF3178" s="6">
        <v>65</v>
      </c>
      <c r="AG3178" s="6"/>
      <c r="AH3178" s="7">
        <v>0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/>
      <c r="AQ3178" s="8"/>
      <c r="AR3178" s="4"/>
      <c r="AS3178" s="8"/>
      <c r="AT3178" s="7"/>
      <c r="AU3178" s="7"/>
      <c r="AV3178" s="4" t="s">
        <v>100</v>
      </c>
      <c r="AW3178" s="8" t="s">
        <v>100</v>
      </c>
      <c r="AX3178" s="4" t="s">
        <v>100</v>
      </c>
      <c r="AY3178" s="8" t="s">
        <v>100</v>
      </c>
      <c r="AZ3178" s="7" t="s">
        <v>100</v>
      </c>
      <c r="BA3178" s="7" t="s">
        <v>100</v>
      </c>
      <c r="BB3178" s="7"/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 t="s">
        <v>100</v>
      </c>
      <c r="BJ3178" s="4"/>
      <c r="BK3178" s="8"/>
      <c r="BL3178" s="2" t="s">
        <v>100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159</v>
      </c>
      <c r="BX3178" s="2" t="s">
        <v>10367</v>
      </c>
      <c r="BY3178" s="2" t="s">
        <v>112</v>
      </c>
      <c r="BZ3178" s="2" t="s">
        <v>100</v>
      </c>
    </row>
    <row r="3179">
      <c r="A3179" s="2" t="s">
        <v>10368</v>
      </c>
      <c r="B3179" s="2" t="s">
        <v>9043</v>
      </c>
      <c r="C3179" s="2" t="s">
        <v>4466</v>
      </c>
      <c r="D3179" s="2" t="s">
        <v>9044</v>
      </c>
      <c r="E3179" s="2" t="s">
        <v>9045</v>
      </c>
      <c r="F3179" s="2" t="s">
        <v>10350</v>
      </c>
      <c r="G3179" s="2" t="s">
        <v>10350</v>
      </c>
      <c r="H3179" s="2" t="s">
        <v>10350</v>
      </c>
      <c r="I3179" s="2" t="s">
        <v>9627</v>
      </c>
      <c r="J3179" s="2" t="s">
        <v>1443</v>
      </c>
      <c r="K3179" s="2" t="s">
        <v>179</v>
      </c>
      <c r="L3179" s="3">
        <v>19.78</v>
      </c>
      <c r="M3179" s="3">
        <v>20.77</v>
      </c>
      <c r="N3179" s="3">
        <v>42.99</v>
      </c>
      <c r="O3179" s="2" t="s">
        <v>97</v>
      </c>
      <c r="P3179" s="2" t="s">
        <v>123</v>
      </c>
      <c r="Q3179" s="2" t="s">
        <v>99</v>
      </c>
      <c r="R3179" s="2" t="s">
        <v>100</v>
      </c>
      <c r="S3179" s="2" t="s">
        <v>10369</v>
      </c>
      <c r="T3179" s="2" t="s">
        <v>4296</v>
      </c>
      <c r="U3179" s="2" t="s">
        <v>100</v>
      </c>
      <c r="V3179" s="2" t="s">
        <v>461</v>
      </c>
      <c r="W3179" s="2" t="s">
        <v>609</v>
      </c>
      <c r="X3179" s="2" t="s">
        <v>100</v>
      </c>
      <c r="Y3179" s="2" t="s">
        <v>144</v>
      </c>
      <c r="Z3179" s="4">
        <v>18</v>
      </c>
      <c r="AA3179" s="4">
        <f>=ROUNDDOWN(0.545454545454545,0)</f>
      </c>
      <c r="AB3179" s="5">
        <v>33</v>
      </c>
      <c r="AC3179" s="2" t="s">
        <v>1142</v>
      </c>
      <c r="AD3179" s="4">
        <v>270</v>
      </c>
      <c r="AE3179" s="4">
        <v>860</v>
      </c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 t="s">
        <v>100</v>
      </c>
      <c r="AW3179" s="8" t="s">
        <v>100</v>
      </c>
      <c r="AX3179" s="4" t="s">
        <v>100</v>
      </c>
      <c r="AY3179" s="8" t="s">
        <v>100</v>
      </c>
      <c r="AZ3179" s="7" t="s">
        <v>100</v>
      </c>
      <c r="BA3179" s="7" t="s">
        <v>100</v>
      </c>
      <c r="BB3179" s="7"/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 t="s">
        <v>100</v>
      </c>
      <c r="BJ3179" s="4">
        <v>42</v>
      </c>
      <c r="BK3179" s="8">
        <v>908.46</v>
      </c>
      <c r="BL3179" s="2" t="s">
        <v>10362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5163</v>
      </c>
      <c r="BX3179" s="2" t="s">
        <v>4073</v>
      </c>
      <c r="BY3179" s="2" t="s">
        <v>112</v>
      </c>
      <c r="BZ3179" s="2" t="s">
        <v>100</v>
      </c>
    </row>
    <row r="3180">
      <c r="A3180" s="2" t="s">
        <v>10370</v>
      </c>
      <c r="B3180" s="2" t="s">
        <v>9043</v>
      </c>
      <c r="C3180" s="2" t="s">
        <v>4466</v>
      </c>
      <c r="D3180" s="2" t="s">
        <v>9044</v>
      </c>
      <c r="E3180" s="2" t="s">
        <v>9045</v>
      </c>
      <c r="F3180" s="2" t="s">
        <v>10350</v>
      </c>
      <c r="G3180" s="2" t="s">
        <v>10350</v>
      </c>
      <c r="H3180" s="2" t="s">
        <v>10350</v>
      </c>
      <c r="I3180" s="2" t="s">
        <v>9627</v>
      </c>
      <c r="J3180" s="2" t="s">
        <v>490</v>
      </c>
      <c r="K3180" s="2" t="s">
        <v>179</v>
      </c>
      <c r="L3180" s="3">
        <v>25.3</v>
      </c>
      <c r="M3180" s="3">
        <v>26.56</v>
      </c>
      <c r="N3180" s="3">
        <v>54.99</v>
      </c>
      <c r="O3180" s="2" t="s">
        <v>97</v>
      </c>
      <c r="P3180" s="2" t="s">
        <v>156</v>
      </c>
      <c r="Q3180" s="2" t="s">
        <v>99</v>
      </c>
      <c r="R3180" s="2" t="s">
        <v>100</v>
      </c>
      <c r="S3180" s="2" t="s">
        <v>10369</v>
      </c>
      <c r="T3180" s="2" t="s">
        <v>4296</v>
      </c>
      <c r="U3180" s="2" t="s">
        <v>100</v>
      </c>
      <c r="V3180" s="2" t="s">
        <v>461</v>
      </c>
      <c r="W3180" s="2" t="s">
        <v>609</v>
      </c>
      <c r="X3180" s="2" t="s">
        <v>100</v>
      </c>
      <c r="Y3180" s="2" t="s">
        <v>144</v>
      </c>
      <c r="Z3180" s="4">
        <v>111</v>
      </c>
      <c r="AA3180" s="4">
        <f>=ROUNDDOWN(5.55,0)</f>
      </c>
      <c r="AB3180" s="5">
        <v>20</v>
      </c>
      <c r="AC3180" s="2" t="s">
        <v>1142</v>
      </c>
      <c r="AD3180" s="4">
        <v>100</v>
      </c>
      <c r="AE3180" s="4">
        <v>440</v>
      </c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 t="s">
        <v>100</v>
      </c>
      <c r="AW3180" s="8" t="s">
        <v>100</v>
      </c>
      <c r="AX3180" s="4" t="s">
        <v>100</v>
      </c>
      <c r="AY3180" s="8" t="s">
        <v>100</v>
      </c>
      <c r="AZ3180" s="7" t="s">
        <v>100</v>
      </c>
      <c r="BA3180" s="7" t="s">
        <v>100</v>
      </c>
      <c r="BB3180" s="7"/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 t="s">
        <v>100</v>
      </c>
      <c r="BJ3180" s="4">
        <v>12</v>
      </c>
      <c r="BK3180" s="8">
        <v>336.93</v>
      </c>
      <c r="BL3180" s="2" t="s">
        <v>10371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5163</v>
      </c>
      <c r="BX3180" s="2" t="s">
        <v>6635</v>
      </c>
      <c r="BY3180" s="2" t="s">
        <v>112</v>
      </c>
      <c r="BZ3180" s="2" t="s">
        <v>100</v>
      </c>
    </row>
    <row r="3181">
      <c r="A3181" s="2" t="s">
        <v>10372</v>
      </c>
      <c r="B3181" s="2" t="s">
        <v>9043</v>
      </c>
      <c r="C3181" s="2" t="s">
        <v>4466</v>
      </c>
      <c r="D3181" s="2" t="s">
        <v>9044</v>
      </c>
      <c r="E3181" s="2" t="s">
        <v>9045</v>
      </c>
      <c r="F3181" s="2" t="s">
        <v>10350</v>
      </c>
      <c r="G3181" s="2" t="s">
        <v>10350</v>
      </c>
      <c r="H3181" s="2" t="s">
        <v>10350</v>
      </c>
      <c r="I3181" s="2" t="s">
        <v>9627</v>
      </c>
      <c r="J3181" s="2" t="s">
        <v>95</v>
      </c>
      <c r="K3181" s="2" t="s">
        <v>179</v>
      </c>
      <c r="L3181" s="3">
        <v>28.35</v>
      </c>
      <c r="M3181" s="3">
        <v>29.77</v>
      </c>
      <c r="N3181" s="3">
        <v>62.99</v>
      </c>
      <c r="O3181" s="2" t="s">
        <v>97</v>
      </c>
      <c r="P3181" s="2" t="s">
        <v>317</v>
      </c>
      <c r="Q3181" s="2" t="s">
        <v>99</v>
      </c>
      <c r="R3181" s="2" t="s">
        <v>100</v>
      </c>
      <c r="S3181" s="2" t="s">
        <v>10369</v>
      </c>
      <c r="T3181" s="2" t="s">
        <v>4296</v>
      </c>
      <c r="U3181" s="2" t="s">
        <v>100</v>
      </c>
      <c r="V3181" s="2" t="s">
        <v>461</v>
      </c>
      <c r="W3181" s="2" t="s">
        <v>609</v>
      </c>
      <c r="X3181" s="2" t="s">
        <v>100</v>
      </c>
      <c r="Y3181" s="2" t="s">
        <v>144</v>
      </c>
      <c r="Z3181" s="4"/>
      <c r="AA3181" s="4">
        <f>=ROUNDDOWN({0},0)</f>
      </c>
      <c r="AB3181" s="5">
        <v>50</v>
      </c>
      <c r="AC3181" s="2" t="s">
        <v>1142</v>
      </c>
      <c r="AD3181" s="4">
        <v>440</v>
      </c>
      <c r="AE3181" s="4">
        <v>1340</v>
      </c>
      <c r="AF3181" s="6">
        <v>65</v>
      </c>
      <c r="AG3181" s="6"/>
      <c r="AH3181" s="7">
        <v>0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 t="s">
        <v>100</v>
      </c>
      <c r="AW3181" s="8" t="s">
        <v>100</v>
      </c>
      <c r="AX3181" s="4" t="s">
        <v>100</v>
      </c>
      <c r="AY3181" s="8" t="s">
        <v>100</v>
      </c>
      <c r="AZ3181" s="7" t="s">
        <v>100</v>
      </c>
      <c r="BA3181" s="7" t="s">
        <v>100</v>
      </c>
      <c r="BB3181" s="7"/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 t="s">
        <v>100</v>
      </c>
      <c r="BJ3181" s="4"/>
      <c r="BK3181" s="8"/>
      <c r="BL3181" s="2" t="s">
        <v>100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109</v>
      </c>
      <c r="BV3181" s="2" t="s">
        <v>97</v>
      </c>
      <c r="BW3181" s="2" t="s">
        <v>5163</v>
      </c>
      <c r="BX3181" s="2" t="s">
        <v>358</v>
      </c>
      <c r="BY3181" s="2" t="s">
        <v>112</v>
      </c>
      <c r="BZ3181" s="2" t="s">
        <v>100</v>
      </c>
    </row>
    <row r="3182">
      <c r="A3182" s="2" t="s">
        <v>10373</v>
      </c>
      <c r="B3182" s="2" t="s">
        <v>9043</v>
      </c>
      <c r="C3182" s="2" t="s">
        <v>4466</v>
      </c>
      <c r="D3182" s="2" t="s">
        <v>9044</v>
      </c>
      <c r="E3182" s="2" t="s">
        <v>9045</v>
      </c>
      <c r="F3182" s="2" t="s">
        <v>10350</v>
      </c>
      <c r="G3182" s="2" t="s">
        <v>10350</v>
      </c>
      <c r="H3182" s="2" t="s">
        <v>10350</v>
      </c>
      <c r="I3182" s="2" t="s">
        <v>9627</v>
      </c>
      <c r="J3182" s="2" t="s">
        <v>114</v>
      </c>
      <c r="K3182" s="2" t="s">
        <v>179</v>
      </c>
      <c r="L3182" s="3">
        <v>34.5</v>
      </c>
      <c r="M3182" s="3">
        <v>36.22</v>
      </c>
      <c r="N3182" s="3">
        <v>74.99</v>
      </c>
      <c r="O3182" s="2" t="s">
        <v>97</v>
      </c>
      <c r="P3182" s="2" t="s">
        <v>139</v>
      </c>
      <c r="Q3182" s="2" t="s">
        <v>99</v>
      </c>
      <c r="R3182" s="2" t="s">
        <v>100</v>
      </c>
      <c r="S3182" s="2" t="s">
        <v>10369</v>
      </c>
      <c r="T3182" s="2" t="s">
        <v>4296</v>
      </c>
      <c r="U3182" s="2" t="s">
        <v>100</v>
      </c>
      <c r="V3182" s="2" t="s">
        <v>461</v>
      </c>
      <c r="W3182" s="2" t="s">
        <v>609</v>
      </c>
      <c r="X3182" s="2" t="s">
        <v>100</v>
      </c>
      <c r="Y3182" s="2" t="s">
        <v>144</v>
      </c>
      <c r="Z3182" s="4"/>
      <c r="AA3182" s="4">
        <f>=ROUNDDOWN({0},0)</f>
      </c>
      <c r="AB3182" s="5">
        <v>33</v>
      </c>
      <c r="AC3182" s="2" t="s">
        <v>1142</v>
      </c>
      <c r="AD3182" s="4">
        <v>240</v>
      </c>
      <c r="AE3182" s="4">
        <v>740</v>
      </c>
      <c r="AF3182" s="6">
        <v>65</v>
      </c>
      <c r="AG3182" s="6"/>
      <c r="AH3182" s="7">
        <v>0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 t="s">
        <v>100</v>
      </c>
      <c r="AW3182" s="8" t="s">
        <v>100</v>
      </c>
      <c r="AX3182" s="4" t="s">
        <v>100</v>
      </c>
      <c r="AY3182" s="8" t="s">
        <v>100</v>
      </c>
      <c r="AZ3182" s="7" t="s">
        <v>100</v>
      </c>
      <c r="BA3182" s="7" t="s">
        <v>100</v>
      </c>
      <c r="BB3182" s="7"/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 t="s">
        <v>100</v>
      </c>
      <c r="BJ3182" s="4"/>
      <c r="BK3182" s="8"/>
      <c r="BL3182" s="2" t="s">
        <v>100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109</v>
      </c>
      <c r="BV3182" s="2" t="s">
        <v>97</v>
      </c>
      <c r="BW3182" s="2" t="s">
        <v>5163</v>
      </c>
      <c r="BX3182" s="2" t="s">
        <v>6638</v>
      </c>
      <c r="BY3182" s="2" t="s">
        <v>112</v>
      </c>
      <c r="BZ3182" s="2" t="s">
        <v>100</v>
      </c>
    </row>
    <row r="3183">
      <c r="A3183" s="2" t="s">
        <v>10374</v>
      </c>
      <c r="B3183" s="2" t="s">
        <v>9043</v>
      </c>
      <c r="C3183" s="2" t="s">
        <v>4466</v>
      </c>
      <c r="D3183" s="2" t="s">
        <v>9044</v>
      </c>
      <c r="E3183" s="2" t="s">
        <v>9045</v>
      </c>
      <c r="F3183" s="2" t="s">
        <v>10350</v>
      </c>
      <c r="G3183" s="2" t="s">
        <v>10350</v>
      </c>
      <c r="H3183" s="2" t="s">
        <v>10350</v>
      </c>
      <c r="I3183" s="2" t="s">
        <v>9627</v>
      </c>
      <c r="J3183" s="2" t="s">
        <v>1443</v>
      </c>
      <c r="K3183" s="2" t="s">
        <v>138</v>
      </c>
      <c r="L3183" s="3">
        <v>19.78</v>
      </c>
      <c r="M3183" s="3">
        <v>20.77</v>
      </c>
      <c r="N3183" s="3">
        <v>42.99</v>
      </c>
      <c r="O3183" s="2" t="s">
        <v>97</v>
      </c>
      <c r="P3183" s="2" t="s">
        <v>98</v>
      </c>
      <c r="Q3183" s="2" t="s">
        <v>99</v>
      </c>
      <c r="R3183" s="2" t="s">
        <v>100</v>
      </c>
      <c r="S3183" s="2" t="s">
        <v>10375</v>
      </c>
      <c r="T3183" s="2" t="s">
        <v>4296</v>
      </c>
      <c r="U3183" s="2" t="s">
        <v>100</v>
      </c>
      <c r="V3183" s="2" t="s">
        <v>461</v>
      </c>
      <c r="W3183" s="2" t="s">
        <v>609</v>
      </c>
      <c r="X3183" s="2" t="s">
        <v>100</v>
      </c>
      <c r="Y3183" s="2" t="s">
        <v>144</v>
      </c>
      <c r="Z3183" s="4">
        <v>51</v>
      </c>
      <c r="AA3183" s="4">
        <f>=ROUNDDOWN(5.1,0)</f>
      </c>
      <c r="AB3183" s="5">
        <v>10</v>
      </c>
      <c r="AC3183" s="2" t="s">
        <v>1142</v>
      </c>
      <c r="AD3183" s="4">
        <v>80</v>
      </c>
      <c r="AE3183" s="4">
        <v>280</v>
      </c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 t="s">
        <v>100</v>
      </c>
      <c r="AW3183" s="8" t="s">
        <v>100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/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 t="s">
        <v>100</v>
      </c>
      <c r="BJ3183" s="4">
        <v>9</v>
      </c>
      <c r="BK3183" s="8">
        <v>196.99</v>
      </c>
      <c r="BL3183" s="2" t="s">
        <v>10376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109</v>
      </c>
      <c r="BV3183" s="2" t="s">
        <v>97</v>
      </c>
      <c r="BW3183" s="2" t="s">
        <v>159</v>
      </c>
      <c r="BX3183" s="2" t="s">
        <v>163</v>
      </c>
      <c r="BY3183" s="2" t="s">
        <v>112</v>
      </c>
      <c r="BZ3183" s="2" t="s">
        <v>100</v>
      </c>
    </row>
    <row r="3184">
      <c r="A3184" s="2" t="s">
        <v>10377</v>
      </c>
      <c r="B3184" s="2" t="s">
        <v>9043</v>
      </c>
      <c r="C3184" s="2" t="s">
        <v>4466</v>
      </c>
      <c r="D3184" s="2" t="s">
        <v>9044</v>
      </c>
      <c r="E3184" s="2" t="s">
        <v>9045</v>
      </c>
      <c r="F3184" s="2" t="s">
        <v>10350</v>
      </c>
      <c r="G3184" s="2" t="s">
        <v>10350</v>
      </c>
      <c r="H3184" s="2" t="s">
        <v>10350</v>
      </c>
      <c r="I3184" s="2" t="s">
        <v>9627</v>
      </c>
      <c r="J3184" s="2" t="s">
        <v>490</v>
      </c>
      <c r="K3184" s="2" t="s">
        <v>138</v>
      </c>
      <c r="L3184" s="3">
        <v>25.3</v>
      </c>
      <c r="M3184" s="3">
        <v>26.56</v>
      </c>
      <c r="N3184" s="3">
        <v>54.99</v>
      </c>
      <c r="O3184" s="2" t="s">
        <v>97</v>
      </c>
      <c r="P3184" s="2" t="s">
        <v>98</v>
      </c>
      <c r="Q3184" s="2" t="s">
        <v>99</v>
      </c>
      <c r="R3184" s="2" t="s">
        <v>100</v>
      </c>
      <c r="S3184" s="2" t="s">
        <v>10375</v>
      </c>
      <c r="T3184" s="2" t="s">
        <v>4296</v>
      </c>
      <c r="U3184" s="2" t="s">
        <v>100</v>
      </c>
      <c r="V3184" s="2" t="s">
        <v>461</v>
      </c>
      <c r="W3184" s="2" t="s">
        <v>609</v>
      </c>
      <c r="X3184" s="2" t="s">
        <v>100</v>
      </c>
      <c r="Y3184" s="2" t="s">
        <v>3395</v>
      </c>
      <c r="Z3184" s="4"/>
      <c r="AA3184" s="4">
        <f>=ROUNDDOWN({0},0)</f>
      </c>
      <c r="AB3184" s="5">
        <v>12</v>
      </c>
      <c r="AC3184" s="2" t="s">
        <v>1142</v>
      </c>
      <c r="AD3184" s="4">
        <v>100</v>
      </c>
      <c r="AE3184" s="4">
        <v>300</v>
      </c>
      <c r="AF3184" s="6">
        <v>65</v>
      </c>
      <c r="AG3184" s="6"/>
      <c r="AH3184" s="7">
        <v>0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/>
      <c r="AQ3184" s="8"/>
      <c r="AR3184" s="4"/>
      <c r="AS3184" s="8"/>
      <c r="AT3184" s="7"/>
      <c r="AU3184" s="7"/>
      <c r="AV3184" s="4" t="s">
        <v>100</v>
      </c>
      <c r="AW3184" s="8" t="s">
        <v>100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/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 t="s">
        <v>100</v>
      </c>
      <c r="BJ3184" s="4"/>
      <c r="BK3184" s="8"/>
      <c r="BL3184" s="2" t="s">
        <v>100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109</v>
      </c>
      <c r="BV3184" s="2" t="s">
        <v>97</v>
      </c>
      <c r="BW3184" s="2" t="s">
        <v>5163</v>
      </c>
      <c r="BX3184" s="2" t="s">
        <v>10378</v>
      </c>
      <c r="BY3184" s="2" t="s">
        <v>112</v>
      </c>
      <c r="BZ3184" s="2" t="s">
        <v>100</v>
      </c>
    </row>
    <row r="3185">
      <c r="A3185" s="2" t="s">
        <v>10379</v>
      </c>
      <c r="B3185" s="2" t="s">
        <v>9043</v>
      </c>
      <c r="C3185" s="2" t="s">
        <v>4466</v>
      </c>
      <c r="D3185" s="2" t="s">
        <v>9044</v>
      </c>
      <c r="E3185" s="2" t="s">
        <v>9045</v>
      </c>
      <c r="F3185" s="2" t="s">
        <v>10350</v>
      </c>
      <c r="G3185" s="2" t="s">
        <v>10350</v>
      </c>
      <c r="H3185" s="2" t="s">
        <v>10350</v>
      </c>
      <c r="I3185" s="2" t="s">
        <v>9627</v>
      </c>
      <c r="J3185" s="2" t="s">
        <v>95</v>
      </c>
      <c r="K3185" s="2" t="s">
        <v>138</v>
      </c>
      <c r="L3185" s="3">
        <v>28.35</v>
      </c>
      <c r="M3185" s="3">
        <v>29.77</v>
      </c>
      <c r="N3185" s="3">
        <v>62.99</v>
      </c>
      <c r="O3185" s="2" t="s">
        <v>97</v>
      </c>
      <c r="P3185" s="2" t="s">
        <v>317</v>
      </c>
      <c r="Q3185" s="2" t="s">
        <v>99</v>
      </c>
      <c r="R3185" s="2" t="s">
        <v>100</v>
      </c>
      <c r="S3185" s="2" t="s">
        <v>10375</v>
      </c>
      <c r="T3185" s="2" t="s">
        <v>4296</v>
      </c>
      <c r="U3185" s="2" t="s">
        <v>100</v>
      </c>
      <c r="V3185" s="2" t="s">
        <v>461</v>
      </c>
      <c r="W3185" s="2" t="s">
        <v>609</v>
      </c>
      <c r="X3185" s="2" t="s">
        <v>100</v>
      </c>
      <c r="Y3185" s="2" t="s">
        <v>1108</v>
      </c>
      <c r="Z3185" s="4"/>
      <c r="AA3185" s="4">
        <f>=ROUNDDOWN({0},0)</f>
      </c>
      <c r="AB3185" s="5">
        <v>50</v>
      </c>
      <c r="AC3185" s="2" t="s">
        <v>1142</v>
      </c>
      <c r="AD3185" s="4">
        <v>430</v>
      </c>
      <c r="AE3185" s="4">
        <v>1340</v>
      </c>
      <c r="AF3185" s="6">
        <v>65</v>
      </c>
      <c r="AG3185" s="6"/>
      <c r="AH3185" s="7">
        <v>0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 t="s">
        <v>100</v>
      </c>
      <c r="AW3185" s="8" t="s">
        <v>100</v>
      </c>
      <c r="AX3185" s="4" t="s">
        <v>100</v>
      </c>
      <c r="AY3185" s="8" t="s">
        <v>100</v>
      </c>
      <c r="AZ3185" s="7" t="s">
        <v>100</v>
      </c>
      <c r="BA3185" s="7" t="s">
        <v>100</v>
      </c>
      <c r="BB3185" s="7"/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 t="s">
        <v>100</v>
      </c>
      <c r="BJ3185" s="4"/>
      <c r="BK3185" s="8"/>
      <c r="BL3185" s="2" t="s">
        <v>100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109</v>
      </c>
      <c r="BV3185" s="2" t="s">
        <v>97</v>
      </c>
      <c r="BW3185" s="2" t="s">
        <v>5163</v>
      </c>
      <c r="BX3185" s="2" t="s">
        <v>4073</v>
      </c>
      <c r="BY3185" s="2" t="s">
        <v>112</v>
      </c>
      <c r="BZ3185" s="2" t="s">
        <v>100</v>
      </c>
    </row>
    <row r="3186">
      <c r="A3186" s="2" t="s">
        <v>10380</v>
      </c>
      <c r="B3186" s="2" t="s">
        <v>9043</v>
      </c>
      <c r="C3186" s="2" t="s">
        <v>4466</v>
      </c>
      <c r="D3186" s="2" t="s">
        <v>9044</v>
      </c>
      <c r="E3186" s="2" t="s">
        <v>9045</v>
      </c>
      <c r="F3186" s="2" t="s">
        <v>10350</v>
      </c>
      <c r="G3186" s="2" t="s">
        <v>10350</v>
      </c>
      <c r="H3186" s="2" t="s">
        <v>10350</v>
      </c>
      <c r="I3186" s="2" t="s">
        <v>9627</v>
      </c>
      <c r="J3186" s="2" t="s">
        <v>114</v>
      </c>
      <c r="K3186" s="2" t="s">
        <v>138</v>
      </c>
      <c r="L3186" s="3">
        <v>34.5</v>
      </c>
      <c r="M3186" s="3">
        <v>36.22</v>
      </c>
      <c r="N3186" s="3">
        <v>74.99</v>
      </c>
      <c r="O3186" s="2" t="s">
        <v>97</v>
      </c>
      <c r="P3186" s="2" t="s">
        <v>123</v>
      </c>
      <c r="Q3186" s="2" t="s">
        <v>99</v>
      </c>
      <c r="R3186" s="2" t="s">
        <v>100</v>
      </c>
      <c r="S3186" s="2" t="s">
        <v>10375</v>
      </c>
      <c r="T3186" s="2" t="s">
        <v>4296</v>
      </c>
      <c r="U3186" s="2" t="s">
        <v>100</v>
      </c>
      <c r="V3186" s="2" t="s">
        <v>461</v>
      </c>
      <c r="W3186" s="2" t="s">
        <v>609</v>
      </c>
      <c r="X3186" s="2" t="s">
        <v>100</v>
      </c>
      <c r="Y3186" s="2" t="s">
        <v>144</v>
      </c>
      <c r="Z3186" s="4">
        <v>3</v>
      </c>
      <c r="AA3186" s="4">
        <f>=ROUNDDOWN(0.115384615384615,0)</f>
      </c>
      <c r="AB3186" s="5">
        <v>26</v>
      </c>
      <c r="AC3186" s="2" t="s">
        <v>1142</v>
      </c>
      <c r="AD3186" s="4">
        <v>200</v>
      </c>
      <c r="AE3186" s="4">
        <v>600</v>
      </c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 t="s">
        <v>100</v>
      </c>
      <c r="AW3186" s="8" t="s">
        <v>100</v>
      </c>
      <c r="AX3186" s="4" t="s">
        <v>100</v>
      </c>
      <c r="AY3186" s="8" t="s">
        <v>100</v>
      </c>
      <c r="AZ3186" s="7" t="s">
        <v>100</v>
      </c>
      <c r="BA3186" s="7" t="s">
        <v>100</v>
      </c>
      <c r="BB3186" s="7"/>
      <c r="BC3186" s="4" t="s">
        <v>100</v>
      </c>
      <c r="BD3186" s="8" t="s">
        <v>100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 t="s">
        <v>100</v>
      </c>
      <c r="BJ3186" s="4">
        <v>29</v>
      </c>
      <c r="BK3186" s="8">
        <v>1034.01</v>
      </c>
      <c r="BL3186" s="2" t="s">
        <v>726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109</v>
      </c>
      <c r="BV3186" s="2" t="s">
        <v>97</v>
      </c>
      <c r="BW3186" s="2" t="s">
        <v>5163</v>
      </c>
      <c r="BX3186" s="2" t="s">
        <v>160</v>
      </c>
      <c r="BY3186" s="2" t="s">
        <v>112</v>
      </c>
      <c r="BZ3186" s="2" t="s">
        <v>100</v>
      </c>
    </row>
    <row r="3187">
      <c r="A3187" s="2" t="s">
        <v>10381</v>
      </c>
      <c r="B3187" s="2" t="s">
        <v>9043</v>
      </c>
      <c r="C3187" s="2" t="s">
        <v>4466</v>
      </c>
      <c r="D3187" s="2" t="s">
        <v>9044</v>
      </c>
      <c r="E3187" s="2" t="s">
        <v>9045</v>
      </c>
      <c r="F3187" s="2" t="s">
        <v>10350</v>
      </c>
      <c r="G3187" s="2" t="s">
        <v>10350</v>
      </c>
      <c r="H3187" s="2" t="s">
        <v>10350</v>
      </c>
      <c r="I3187" s="2" t="s">
        <v>9627</v>
      </c>
      <c r="J3187" s="2" t="s">
        <v>1443</v>
      </c>
      <c r="K3187" s="2" t="s">
        <v>256</v>
      </c>
      <c r="L3187" s="3">
        <v>19.78</v>
      </c>
      <c r="M3187" s="3">
        <v>20.77</v>
      </c>
      <c r="N3187" s="3">
        <v>42.99</v>
      </c>
      <c r="O3187" s="2" t="s">
        <v>97</v>
      </c>
      <c r="P3187" s="2" t="s">
        <v>98</v>
      </c>
      <c r="Q3187" s="2" t="s">
        <v>99</v>
      </c>
      <c r="R3187" s="2" t="s">
        <v>100</v>
      </c>
      <c r="S3187" s="2" t="s">
        <v>10382</v>
      </c>
      <c r="T3187" s="2" t="s">
        <v>4296</v>
      </c>
      <c r="U3187" s="2" t="s">
        <v>100</v>
      </c>
      <c r="V3187" s="2" t="s">
        <v>461</v>
      </c>
      <c r="W3187" s="2" t="s">
        <v>609</v>
      </c>
      <c r="X3187" s="2" t="s">
        <v>100</v>
      </c>
      <c r="Y3187" s="2" t="s">
        <v>144</v>
      </c>
      <c r="Z3187" s="4">
        <v>122</v>
      </c>
      <c r="AA3187" s="4">
        <f>=ROUNDDOWN(17.4285714285714,0)</f>
      </c>
      <c r="AB3187" s="5">
        <v>7</v>
      </c>
      <c r="AC3187" s="2" t="s">
        <v>3027</v>
      </c>
      <c r="AD3187" s="4">
        <v>120</v>
      </c>
      <c r="AE3187" s="4">
        <v>120</v>
      </c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/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 t="s">
        <v>100</v>
      </c>
      <c r="BJ3187" s="4">
        <v>11</v>
      </c>
      <c r="BK3187" s="8">
        <v>233.7</v>
      </c>
      <c r="BL3187" s="2" t="s">
        <v>10383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109</v>
      </c>
      <c r="BV3187" s="2" t="s">
        <v>97</v>
      </c>
      <c r="BW3187" s="2" t="s">
        <v>159</v>
      </c>
      <c r="BX3187" s="2" t="s">
        <v>1096</v>
      </c>
      <c r="BY3187" s="2" t="s">
        <v>112</v>
      </c>
      <c r="BZ3187" s="2" t="s">
        <v>100</v>
      </c>
    </row>
    <row r="3188">
      <c r="A3188" s="2" t="s">
        <v>10384</v>
      </c>
      <c r="B3188" s="2" t="s">
        <v>9043</v>
      </c>
      <c r="C3188" s="2" t="s">
        <v>4466</v>
      </c>
      <c r="D3188" s="2" t="s">
        <v>9044</v>
      </c>
      <c r="E3188" s="2" t="s">
        <v>9045</v>
      </c>
      <c r="F3188" s="2" t="s">
        <v>10350</v>
      </c>
      <c r="G3188" s="2" t="s">
        <v>10350</v>
      </c>
      <c r="H3188" s="2" t="s">
        <v>10350</v>
      </c>
      <c r="I3188" s="2" t="s">
        <v>9627</v>
      </c>
      <c r="J3188" s="2" t="s">
        <v>490</v>
      </c>
      <c r="K3188" s="2" t="s">
        <v>256</v>
      </c>
      <c r="L3188" s="3">
        <v>25.3</v>
      </c>
      <c r="M3188" s="3">
        <v>26.56</v>
      </c>
      <c r="N3188" s="3">
        <v>54.99</v>
      </c>
      <c r="O3188" s="2" t="s">
        <v>97</v>
      </c>
      <c r="P3188" s="2" t="s">
        <v>98</v>
      </c>
      <c r="Q3188" s="2" t="s">
        <v>99</v>
      </c>
      <c r="R3188" s="2" t="s">
        <v>100</v>
      </c>
      <c r="S3188" s="2" t="s">
        <v>10382</v>
      </c>
      <c r="T3188" s="2" t="s">
        <v>4296</v>
      </c>
      <c r="U3188" s="2" t="s">
        <v>100</v>
      </c>
      <c r="V3188" s="2" t="s">
        <v>461</v>
      </c>
      <c r="W3188" s="2" t="s">
        <v>609</v>
      </c>
      <c r="X3188" s="2" t="s">
        <v>100</v>
      </c>
      <c r="Y3188" s="2" t="s">
        <v>144</v>
      </c>
      <c r="Z3188" s="4"/>
      <c r="AA3188" s="4">
        <f>=ROUNDDOWN({0},0)</f>
      </c>
      <c r="AB3188" s="5">
        <v>13</v>
      </c>
      <c r="AC3188" s="2" t="s">
        <v>1142</v>
      </c>
      <c r="AD3188" s="4">
        <v>100</v>
      </c>
      <c r="AE3188" s="4">
        <v>330</v>
      </c>
      <c r="AF3188" s="6">
        <v>65</v>
      </c>
      <c r="AG3188" s="6"/>
      <c r="AH3188" s="7">
        <v>0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 t="s">
        <v>100</v>
      </c>
      <c r="AW3188" s="8" t="s">
        <v>100</v>
      </c>
      <c r="AX3188" s="4" t="s">
        <v>100</v>
      </c>
      <c r="AY3188" s="8" t="s">
        <v>100</v>
      </c>
      <c r="AZ3188" s="7" t="s">
        <v>100</v>
      </c>
      <c r="BA3188" s="7" t="s">
        <v>100</v>
      </c>
      <c r="BB3188" s="7"/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 t="s">
        <v>100</v>
      </c>
      <c r="BJ3188" s="4"/>
      <c r="BK3188" s="8"/>
      <c r="BL3188" s="2" t="s">
        <v>100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109</v>
      </c>
      <c r="BV3188" s="2" t="s">
        <v>97</v>
      </c>
      <c r="BW3188" s="2" t="s">
        <v>5163</v>
      </c>
      <c r="BX3188" s="2" t="s">
        <v>5331</v>
      </c>
      <c r="BY3188" s="2" t="s">
        <v>112</v>
      </c>
      <c r="BZ3188" s="2" t="s">
        <v>100</v>
      </c>
    </row>
    <row r="3189">
      <c r="A3189" s="2" t="s">
        <v>10385</v>
      </c>
      <c r="B3189" s="2" t="s">
        <v>9043</v>
      </c>
      <c r="C3189" s="2" t="s">
        <v>4466</v>
      </c>
      <c r="D3189" s="2" t="s">
        <v>9044</v>
      </c>
      <c r="E3189" s="2" t="s">
        <v>9045</v>
      </c>
      <c r="F3189" s="2" t="s">
        <v>10350</v>
      </c>
      <c r="G3189" s="2" t="s">
        <v>10350</v>
      </c>
      <c r="H3189" s="2" t="s">
        <v>10350</v>
      </c>
      <c r="I3189" s="2" t="s">
        <v>9627</v>
      </c>
      <c r="J3189" s="2" t="s">
        <v>95</v>
      </c>
      <c r="K3189" s="2" t="s">
        <v>256</v>
      </c>
      <c r="L3189" s="3">
        <v>28.35</v>
      </c>
      <c r="M3189" s="3">
        <v>29.77</v>
      </c>
      <c r="N3189" s="3">
        <v>62.99</v>
      </c>
      <c r="O3189" s="2" t="s">
        <v>97</v>
      </c>
      <c r="P3189" s="2" t="s">
        <v>139</v>
      </c>
      <c r="Q3189" s="2" t="s">
        <v>99</v>
      </c>
      <c r="R3189" s="2" t="s">
        <v>100</v>
      </c>
      <c r="S3189" s="2" t="s">
        <v>10382</v>
      </c>
      <c r="T3189" s="2" t="s">
        <v>4296</v>
      </c>
      <c r="U3189" s="2" t="s">
        <v>100</v>
      </c>
      <c r="V3189" s="2" t="s">
        <v>461</v>
      </c>
      <c r="W3189" s="2" t="s">
        <v>609</v>
      </c>
      <c r="X3189" s="2" t="s">
        <v>100</v>
      </c>
      <c r="Y3189" s="2" t="s">
        <v>144</v>
      </c>
      <c r="Z3189" s="4"/>
      <c r="AA3189" s="4">
        <f>=ROUNDDOWN({0},0)</f>
      </c>
      <c r="AB3189" s="5">
        <v>33</v>
      </c>
      <c r="AC3189" s="2" t="s">
        <v>1142</v>
      </c>
      <c r="AD3189" s="4">
        <v>280</v>
      </c>
      <c r="AE3189" s="4">
        <v>880</v>
      </c>
      <c r="AF3189" s="6">
        <v>65</v>
      </c>
      <c r="AG3189" s="6"/>
      <c r="AH3189" s="7">
        <v>0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 t="s">
        <v>100</v>
      </c>
      <c r="AW3189" s="8" t="s">
        <v>100</v>
      </c>
      <c r="AX3189" s="4" t="s">
        <v>100</v>
      </c>
      <c r="AY3189" s="8" t="s">
        <v>100</v>
      </c>
      <c r="AZ3189" s="7" t="s">
        <v>100</v>
      </c>
      <c r="BA3189" s="7" t="s">
        <v>100</v>
      </c>
      <c r="BB3189" s="7"/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 t="s">
        <v>100</v>
      </c>
      <c r="BJ3189" s="4"/>
      <c r="BK3189" s="8"/>
      <c r="BL3189" s="2" t="s">
        <v>100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109</v>
      </c>
      <c r="BV3189" s="2" t="s">
        <v>97</v>
      </c>
      <c r="BW3189" s="2" t="s">
        <v>5163</v>
      </c>
      <c r="BX3189" s="2" t="s">
        <v>160</v>
      </c>
      <c r="BY3189" s="2" t="s">
        <v>112</v>
      </c>
      <c r="BZ3189" s="2" t="s">
        <v>100</v>
      </c>
    </row>
    <row r="3190">
      <c r="A3190" s="2" t="s">
        <v>10386</v>
      </c>
      <c r="B3190" s="2" t="s">
        <v>9043</v>
      </c>
      <c r="C3190" s="2" t="s">
        <v>4466</v>
      </c>
      <c r="D3190" s="2" t="s">
        <v>9044</v>
      </c>
      <c r="E3190" s="2" t="s">
        <v>9045</v>
      </c>
      <c r="F3190" s="2" t="s">
        <v>10350</v>
      </c>
      <c r="G3190" s="2" t="s">
        <v>10350</v>
      </c>
      <c r="H3190" s="2" t="s">
        <v>10350</v>
      </c>
      <c r="I3190" s="2" t="s">
        <v>9627</v>
      </c>
      <c r="J3190" s="2" t="s">
        <v>114</v>
      </c>
      <c r="K3190" s="2" t="s">
        <v>256</v>
      </c>
      <c r="L3190" s="3">
        <v>34.5</v>
      </c>
      <c r="M3190" s="3">
        <v>36.22</v>
      </c>
      <c r="N3190" s="3">
        <v>74.99</v>
      </c>
      <c r="O3190" s="2" t="s">
        <v>97</v>
      </c>
      <c r="P3190" s="2" t="s">
        <v>98</v>
      </c>
      <c r="Q3190" s="2" t="s">
        <v>99</v>
      </c>
      <c r="R3190" s="2" t="s">
        <v>100</v>
      </c>
      <c r="S3190" s="2" t="s">
        <v>10382</v>
      </c>
      <c r="T3190" s="2" t="s">
        <v>4296</v>
      </c>
      <c r="U3190" s="2" t="s">
        <v>100</v>
      </c>
      <c r="V3190" s="2" t="s">
        <v>461</v>
      </c>
      <c r="W3190" s="2" t="s">
        <v>609</v>
      </c>
      <c r="X3190" s="2" t="s">
        <v>100</v>
      </c>
      <c r="Y3190" s="2" t="s">
        <v>3395</v>
      </c>
      <c r="Z3190" s="4">
        <v>2</v>
      </c>
      <c r="AA3190" s="4">
        <f>=ROUNDDOWN(0.142857142857143,0)</f>
      </c>
      <c r="AB3190" s="5">
        <v>14</v>
      </c>
      <c r="AC3190" s="2" t="s">
        <v>1142</v>
      </c>
      <c r="AD3190" s="4">
        <v>100</v>
      </c>
      <c r="AE3190" s="4">
        <v>320</v>
      </c>
      <c r="AF3190" s="6">
        <v>65</v>
      </c>
      <c r="AG3190" s="6"/>
      <c r="AH3190" s="7">
        <v>0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 t="s">
        <v>100</v>
      </c>
      <c r="AW3190" s="8" t="s">
        <v>100</v>
      </c>
      <c r="AX3190" s="4" t="s">
        <v>100</v>
      </c>
      <c r="AY3190" s="8" t="s">
        <v>100</v>
      </c>
      <c r="AZ3190" s="7" t="s">
        <v>100</v>
      </c>
      <c r="BA3190" s="7" t="s">
        <v>100</v>
      </c>
      <c r="BB3190" s="7"/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 t="s">
        <v>100</v>
      </c>
      <c r="BJ3190" s="4"/>
      <c r="BK3190" s="8"/>
      <c r="BL3190" s="2" t="s">
        <v>100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109</v>
      </c>
      <c r="BV3190" s="2" t="s">
        <v>97</v>
      </c>
      <c r="BW3190" s="2" t="s">
        <v>5163</v>
      </c>
      <c r="BX3190" s="2" t="s">
        <v>5331</v>
      </c>
      <c r="BY3190" s="2" t="s">
        <v>112</v>
      </c>
      <c r="BZ3190" s="2" t="s">
        <v>100</v>
      </c>
    </row>
    <row r="3191">
      <c r="A3191" s="2" t="s">
        <v>10387</v>
      </c>
      <c r="B3191" s="2" t="s">
        <v>9043</v>
      </c>
      <c r="C3191" s="2" t="s">
        <v>4466</v>
      </c>
      <c r="D3191" s="2" t="s">
        <v>9044</v>
      </c>
      <c r="E3191" s="2" t="s">
        <v>9045</v>
      </c>
      <c r="F3191" s="2" t="s">
        <v>10350</v>
      </c>
      <c r="G3191" s="2" t="s">
        <v>10350</v>
      </c>
      <c r="H3191" s="2" t="s">
        <v>10350</v>
      </c>
      <c r="I3191" s="2" t="s">
        <v>9627</v>
      </c>
      <c r="J3191" s="2" t="s">
        <v>1443</v>
      </c>
      <c r="K3191" s="2" t="s">
        <v>1373</v>
      </c>
      <c r="L3191" s="3">
        <v>19.78</v>
      </c>
      <c r="M3191" s="3">
        <v>20.77</v>
      </c>
      <c r="N3191" s="3">
        <v>42.99</v>
      </c>
      <c r="O3191" s="2" t="s">
        <v>97</v>
      </c>
      <c r="P3191" s="2" t="s">
        <v>156</v>
      </c>
      <c r="Q3191" s="2" t="s">
        <v>99</v>
      </c>
      <c r="R3191" s="2" t="s">
        <v>100</v>
      </c>
      <c r="S3191" s="2" t="s">
        <v>10388</v>
      </c>
      <c r="T3191" s="2" t="s">
        <v>4296</v>
      </c>
      <c r="U3191" s="2" t="s">
        <v>100</v>
      </c>
      <c r="V3191" s="2" t="s">
        <v>461</v>
      </c>
      <c r="W3191" s="2" t="s">
        <v>609</v>
      </c>
      <c r="X3191" s="2" t="s">
        <v>100</v>
      </c>
      <c r="Y3191" s="2" t="s">
        <v>144</v>
      </c>
      <c r="Z3191" s="4"/>
      <c r="AA3191" s="4">
        <f>=ROUNDDOWN({0},0)</f>
      </c>
      <c r="AB3191" s="5">
        <v>26</v>
      </c>
      <c r="AC3191" s="2" t="s">
        <v>1142</v>
      </c>
      <c r="AD3191" s="4">
        <v>220</v>
      </c>
      <c r="AE3191" s="4">
        <v>710</v>
      </c>
      <c r="AF3191" s="6">
        <v>65</v>
      </c>
      <c r="AG3191" s="6"/>
      <c r="AH3191" s="7">
        <v>0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 t="s">
        <v>100</v>
      </c>
      <c r="AW3191" s="8" t="s">
        <v>100</v>
      </c>
      <c r="AX3191" s="4" t="s">
        <v>100</v>
      </c>
      <c r="AY3191" s="8" t="s">
        <v>100</v>
      </c>
      <c r="AZ3191" s="7" t="s">
        <v>100</v>
      </c>
      <c r="BA3191" s="7" t="s">
        <v>100</v>
      </c>
      <c r="BB3191" s="7"/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 t="s">
        <v>100</v>
      </c>
      <c r="BJ3191" s="4"/>
      <c r="BK3191" s="8"/>
      <c r="BL3191" s="2" t="s">
        <v>100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109</v>
      </c>
      <c r="BV3191" s="2" t="s">
        <v>97</v>
      </c>
      <c r="BW3191" s="2" t="s">
        <v>5163</v>
      </c>
      <c r="BX3191" s="2" t="s">
        <v>512</v>
      </c>
      <c r="BY3191" s="2" t="s">
        <v>112</v>
      </c>
      <c r="BZ3191" s="2" t="s">
        <v>100</v>
      </c>
    </row>
    <row r="3192">
      <c r="A3192" s="2" t="s">
        <v>10389</v>
      </c>
      <c r="B3192" s="2" t="s">
        <v>9043</v>
      </c>
      <c r="C3192" s="2" t="s">
        <v>4466</v>
      </c>
      <c r="D3192" s="2" t="s">
        <v>9044</v>
      </c>
      <c r="E3192" s="2" t="s">
        <v>9045</v>
      </c>
      <c r="F3192" s="2" t="s">
        <v>10350</v>
      </c>
      <c r="G3192" s="2" t="s">
        <v>10350</v>
      </c>
      <c r="H3192" s="2" t="s">
        <v>10350</v>
      </c>
      <c r="I3192" s="2" t="s">
        <v>9627</v>
      </c>
      <c r="J3192" s="2" t="s">
        <v>490</v>
      </c>
      <c r="K3192" s="2" t="s">
        <v>1373</v>
      </c>
      <c r="L3192" s="3">
        <v>25.3</v>
      </c>
      <c r="M3192" s="3">
        <v>26.56</v>
      </c>
      <c r="N3192" s="3">
        <v>54.99</v>
      </c>
      <c r="O3192" s="2" t="s">
        <v>97</v>
      </c>
      <c r="P3192" s="2" t="s">
        <v>156</v>
      </c>
      <c r="Q3192" s="2" t="s">
        <v>99</v>
      </c>
      <c r="R3192" s="2" t="s">
        <v>100</v>
      </c>
      <c r="S3192" s="2" t="s">
        <v>10388</v>
      </c>
      <c r="T3192" s="2" t="s">
        <v>4296</v>
      </c>
      <c r="U3192" s="2" t="s">
        <v>100</v>
      </c>
      <c r="V3192" s="2" t="s">
        <v>461</v>
      </c>
      <c r="W3192" s="2" t="s">
        <v>609</v>
      </c>
      <c r="X3192" s="2" t="s">
        <v>100</v>
      </c>
      <c r="Y3192" s="2" t="s">
        <v>144</v>
      </c>
      <c r="Z3192" s="4">
        <v>3</v>
      </c>
      <c r="AA3192" s="4">
        <f>=ROUNDDOWN(0.115384615384615,0)</f>
      </c>
      <c r="AB3192" s="5">
        <v>26</v>
      </c>
      <c r="AC3192" s="2" t="s">
        <v>1142</v>
      </c>
      <c r="AD3192" s="4">
        <v>190</v>
      </c>
      <c r="AE3192" s="4">
        <v>620</v>
      </c>
      <c r="AF3192" s="6">
        <v>65</v>
      </c>
      <c r="AG3192" s="6"/>
      <c r="AH3192" s="7">
        <v>0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 t="s">
        <v>100</v>
      </c>
      <c r="AW3192" s="8" t="s">
        <v>100</v>
      </c>
      <c r="AX3192" s="4" t="s">
        <v>100</v>
      </c>
      <c r="AY3192" s="8" t="s">
        <v>100</v>
      </c>
      <c r="AZ3192" s="7" t="s">
        <v>100</v>
      </c>
      <c r="BA3192" s="7" t="s">
        <v>100</v>
      </c>
      <c r="BB3192" s="7"/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 t="s">
        <v>100</v>
      </c>
      <c r="BJ3192" s="4"/>
      <c r="BK3192" s="8"/>
      <c r="BL3192" s="2" t="s">
        <v>100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109</v>
      </c>
      <c r="BV3192" s="2" t="s">
        <v>97</v>
      </c>
      <c r="BW3192" s="2" t="s">
        <v>5163</v>
      </c>
      <c r="BX3192" s="2" t="s">
        <v>160</v>
      </c>
      <c r="BY3192" s="2" t="s">
        <v>112</v>
      </c>
      <c r="BZ3192" s="2" t="s">
        <v>100</v>
      </c>
    </row>
    <row r="3193">
      <c r="A3193" s="2" t="s">
        <v>10390</v>
      </c>
      <c r="B3193" s="2" t="s">
        <v>9043</v>
      </c>
      <c r="C3193" s="2" t="s">
        <v>4466</v>
      </c>
      <c r="D3193" s="2" t="s">
        <v>9044</v>
      </c>
      <c r="E3193" s="2" t="s">
        <v>9045</v>
      </c>
      <c r="F3193" s="2" t="s">
        <v>10350</v>
      </c>
      <c r="G3193" s="2" t="s">
        <v>10350</v>
      </c>
      <c r="H3193" s="2" t="s">
        <v>10350</v>
      </c>
      <c r="I3193" s="2" t="s">
        <v>9627</v>
      </c>
      <c r="J3193" s="2" t="s">
        <v>95</v>
      </c>
      <c r="K3193" s="2" t="s">
        <v>1373</v>
      </c>
      <c r="L3193" s="3">
        <v>28.35</v>
      </c>
      <c r="M3193" s="3">
        <v>29.77</v>
      </c>
      <c r="N3193" s="3">
        <v>62.99</v>
      </c>
      <c r="O3193" s="2" t="s">
        <v>97</v>
      </c>
      <c r="P3193" s="2" t="s">
        <v>317</v>
      </c>
      <c r="Q3193" s="2" t="s">
        <v>99</v>
      </c>
      <c r="R3193" s="2" t="s">
        <v>100</v>
      </c>
      <c r="S3193" s="2" t="s">
        <v>10388</v>
      </c>
      <c r="T3193" s="2" t="s">
        <v>4296</v>
      </c>
      <c r="U3193" s="2" t="s">
        <v>100</v>
      </c>
      <c r="V3193" s="2" t="s">
        <v>461</v>
      </c>
      <c r="W3193" s="2" t="s">
        <v>609</v>
      </c>
      <c r="X3193" s="2" t="s">
        <v>100</v>
      </c>
      <c r="Y3193" s="2" t="s">
        <v>144</v>
      </c>
      <c r="Z3193" s="4"/>
      <c r="AA3193" s="4">
        <f>=ROUNDDOWN({0},0)</f>
      </c>
      <c r="AB3193" s="5">
        <v>59</v>
      </c>
      <c r="AC3193" s="2" t="s">
        <v>1142</v>
      </c>
      <c r="AD3193" s="4">
        <v>510</v>
      </c>
      <c r="AE3193" s="4">
        <v>1570</v>
      </c>
      <c r="AF3193" s="6">
        <v>65</v>
      </c>
      <c r="AG3193" s="6"/>
      <c r="AH3193" s="7">
        <v>0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 t="s">
        <v>100</v>
      </c>
      <c r="AW3193" s="8" t="s">
        <v>100</v>
      </c>
      <c r="AX3193" s="4" t="s">
        <v>100</v>
      </c>
      <c r="AY3193" s="8" t="s">
        <v>100</v>
      </c>
      <c r="AZ3193" s="7" t="s">
        <v>100</v>
      </c>
      <c r="BA3193" s="7" t="s">
        <v>100</v>
      </c>
      <c r="BB3193" s="7"/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 t="s">
        <v>100</v>
      </c>
      <c r="BJ3193" s="4"/>
      <c r="BK3193" s="8"/>
      <c r="BL3193" s="2" t="s">
        <v>100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109</v>
      </c>
      <c r="BV3193" s="2" t="s">
        <v>97</v>
      </c>
      <c r="BW3193" s="2" t="s">
        <v>5163</v>
      </c>
      <c r="BX3193" s="2" t="s">
        <v>4239</v>
      </c>
      <c r="BY3193" s="2" t="s">
        <v>112</v>
      </c>
      <c r="BZ3193" s="2" t="s">
        <v>100</v>
      </c>
    </row>
    <row r="3194">
      <c r="A3194" s="2" t="s">
        <v>10391</v>
      </c>
      <c r="B3194" s="2" t="s">
        <v>9043</v>
      </c>
      <c r="C3194" s="2" t="s">
        <v>4466</v>
      </c>
      <c r="D3194" s="2" t="s">
        <v>9044</v>
      </c>
      <c r="E3194" s="2" t="s">
        <v>9045</v>
      </c>
      <c r="F3194" s="2" t="s">
        <v>10350</v>
      </c>
      <c r="G3194" s="2" t="s">
        <v>10350</v>
      </c>
      <c r="H3194" s="2" t="s">
        <v>10350</v>
      </c>
      <c r="I3194" s="2" t="s">
        <v>9627</v>
      </c>
      <c r="J3194" s="2" t="s">
        <v>114</v>
      </c>
      <c r="K3194" s="2" t="s">
        <v>1373</v>
      </c>
      <c r="L3194" s="3">
        <v>34.5</v>
      </c>
      <c r="M3194" s="3">
        <v>36.22</v>
      </c>
      <c r="N3194" s="3">
        <v>74.99</v>
      </c>
      <c r="O3194" s="2" t="s">
        <v>97</v>
      </c>
      <c r="P3194" s="2" t="s">
        <v>317</v>
      </c>
      <c r="Q3194" s="2" t="s">
        <v>99</v>
      </c>
      <c r="R3194" s="2" t="s">
        <v>100</v>
      </c>
      <c r="S3194" s="2" t="s">
        <v>10388</v>
      </c>
      <c r="T3194" s="2" t="s">
        <v>4296</v>
      </c>
      <c r="U3194" s="2" t="s">
        <v>100</v>
      </c>
      <c r="V3194" s="2" t="s">
        <v>461</v>
      </c>
      <c r="W3194" s="2" t="s">
        <v>609</v>
      </c>
      <c r="X3194" s="2" t="s">
        <v>100</v>
      </c>
      <c r="Y3194" s="2" t="s">
        <v>144</v>
      </c>
      <c r="Z3194" s="4">
        <v>3</v>
      </c>
      <c r="AA3194" s="4">
        <f>=ROUNDDOWN(0.0697674418604651,0)</f>
      </c>
      <c r="AB3194" s="5">
        <v>43</v>
      </c>
      <c r="AC3194" s="2" t="s">
        <v>1142</v>
      </c>
      <c r="AD3194" s="4">
        <v>290</v>
      </c>
      <c r="AE3194" s="4">
        <v>930</v>
      </c>
      <c r="AF3194" s="6">
        <v>65</v>
      </c>
      <c r="AG3194" s="6"/>
      <c r="AH3194" s="7">
        <v>0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 t="s">
        <v>100</v>
      </c>
      <c r="AW3194" s="8" t="s">
        <v>100</v>
      </c>
      <c r="AX3194" s="4" t="s">
        <v>100</v>
      </c>
      <c r="AY3194" s="8" t="s">
        <v>100</v>
      </c>
      <c r="AZ3194" s="7" t="s">
        <v>100</v>
      </c>
      <c r="BA3194" s="7" t="s">
        <v>100</v>
      </c>
      <c r="BB3194" s="7"/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 t="s">
        <v>100</v>
      </c>
      <c r="BJ3194" s="4"/>
      <c r="BK3194" s="8"/>
      <c r="BL3194" s="2" t="s">
        <v>100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5163</v>
      </c>
      <c r="BX3194" s="2" t="s">
        <v>358</v>
      </c>
      <c r="BY3194" s="2" t="s">
        <v>112</v>
      </c>
      <c r="BZ3194" s="2" t="s">
        <v>100</v>
      </c>
    </row>
    <row r="3195">
      <c r="A3195" s="2" t="s">
        <v>10392</v>
      </c>
      <c r="B3195" s="2" t="s">
        <v>9043</v>
      </c>
      <c r="C3195" s="2" t="s">
        <v>2357</v>
      </c>
      <c r="D3195" s="2" t="s">
        <v>9044</v>
      </c>
      <c r="E3195" s="2" t="s">
        <v>9045</v>
      </c>
      <c r="F3195" s="2" t="s">
        <v>10393</v>
      </c>
      <c r="G3195" s="2" t="s">
        <v>10393</v>
      </c>
      <c r="H3195" s="2" t="s">
        <v>10393</v>
      </c>
      <c r="I3195" s="2" t="s">
        <v>9627</v>
      </c>
      <c r="J3195" s="2" t="s">
        <v>1443</v>
      </c>
      <c r="K3195" s="2" t="s">
        <v>10394</v>
      </c>
      <c r="L3195" s="3">
        <v>19.8</v>
      </c>
      <c r="M3195" s="3">
        <v>20.79</v>
      </c>
      <c r="N3195" s="3">
        <v>44.99</v>
      </c>
      <c r="O3195" s="2" t="s">
        <v>97</v>
      </c>
      <c r="P3195" s="2" t="s">
        <v>98</v>
      </c>
      <c r="Q3195" s="2" t="s">
        <v>99</v>
      </c>
      <c r="R3195" s="2" t="s">
        <v>100</v>
      </c>
      <c r="S3195" s="2" t="s">
        <v>10395</v>
      </c>
      <c r="T3195" s="2" t="s">
        <v>9205</v>
      </c>
      <c r="U3195" s="2" t="s">
        <v>100</v>
      </c>
      <c r="V3195" s="2" t="s">
        <v>3451</v>
      </c>
      <c r="W3195" s="2" t="s">
        <v>270</v>
      </c>
      <c r="X3195" s="2" t="s">
        <v>609</v>
      </c>
      <c r="Y3195" s="2" t="s">
        <v>503</v>
      </c>
      <c r="Z3195" s="4">
        <v>19</v>
      </c>
      <c r="AA3195" s="4">
        <f>=ROUNDDOWN(3.16666666666667,0)</f>
      </c>
      <c r="AB3195" s="5">
        <v>6</v>
      </c>
      <c r="AC3195" s="2" t="s">
        <v>1142</v>
      </c>
      <c r="AD3195" s="4">
        <v>66</v>
      </c>
      <c r="AE3195" s="4">
        <v>189</v>
      </c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6</v>
      </c>
      <c r="AQ3195" s="8">
        <v>159.42</v>
      </c>
      <c r="AR3195" s="4"/>
      <c r="AS3195" s="8"/>
      <c r="AT3195" s="7"/>
      <c r="AU3195" s="7"/>
      <c r="AV3195" s="4">
        <v>6</v>
      </c>
      <c r="AW3195" s="8">
        <v>159.42</v>
      </c>
      <c r="AX3195" s="4" t="s">
        <v>100</v>
      </c>
      <c r="AY3195" s="8" t="s">
        <v>100</v>
      </c>
      <c r="AZ3195" s="7" t="s">
        <v>100</v>
      </c>
      <c r="BA3195" s="7" t="s">
        <v>100</v>
      </c>
      <c r="BB3195" s="7">
        <v>1</v>
      </c>
      <c r="BC3195" s="4">
        <v>6</v>
      </c>
      <c r="BD3195" s="8">
        <v>159.42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>
        <v>1</v>
      </c>
      <c r="BJ3195" s="4">
        <v>8</v>
      </c>
      <c r="BK3195" s="8">
        <v>206.25</v>
      </c>
      <c r="BL3195" s="2" t="s">
        <v>10396</v>
      </c>
      <c r="BM3195" s="7">
        <v>0.75</v>
      </c>
      <c r="BN3195" s="7">
        <v>0.7729</v>
      </c>
      <c r="BO3195" s="4">
        <v>6</v>
      </c>
      <c r="BP3195" s="8">
        <v>159.42</v>
      </c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2365</v>
      </c>
      <c r="BX3195" s="2" t="s">
        <v>10397</v>
      </c>
      <c r="BY3195" s="2" t="s">
        <v>112</v>
      </c>
      <c r="BZ3195" s="2" t="s">
        <v>100</v>
      </c>
    </row>
    <row r="3196">
      <c r="A3196" s="2" t="s">
        <v>10398</v>
      </c>
      <c r="B3196" s="2" t="s">
        <v>9043</v>
      </c>
      <c r="C3196" s="2" t="s">
        <v>2357</v>
      </c>
      <c r="D3196" s="2" t="s">
        <v>9044</v>
      </c>
      <c r="E3196" s="2" t="s">
        <v>9045</v>
      </c>
      <c r="F3196" s="2" t="s">
        <v>10393</v>
      </c>
      <c r="G3196" s="2" t="s">
        <v>10393</v>
      </c>
      <c r="H3196" s="2" t="s">
        <v>10393</v>
      </c>
      <c r="I3196" s="2" t="s">
        <v>9627</v>
      </c>
      <c r="J3196" s="2" t="s">
        <v>490</v>
      </c>
      <c r="K3196" s="2" t="s">
        <v>10394</v>
      </c>
      <c r="L3196" s="3">
        <v>21.78</v>
      </c>
      <c r="M3196" s="3">
        <v>22.87</v>
      </c>
      <c r="N3196" s="3">
        <v>49.99</v>
      </c>
      <c r="O3196" s="2" t="s">
        <v>97</v>
      </c>
      <c r="P3196" s="2" t="s">
        <v>98</v>
      </c>
      <c r="Q3196" s="2" t="s">
        <v>99</v>
      </c>
      <c r="R3196" s="2" t="s">
        <v>100</v>
      </c>
      <c r="S3196" s="2" t="s">
        <v>10395</v>
      </c>
      <c r="T3196" s="2" t="s">
        <v>9205</v>
      </c>
      <c r="U3196" s="2" t="s">
        <v>100</v>
      </c>
      <c r="V3196" s="2" t="s">
        <v>3451</v>
      </c>
      <c r="W3196" s="2" t="s">
        <v>270</v>
      </c>
      <c r="X3196" s="2" t="s">
        <v>609</v>
      </c>
      <c r="Y3196" s="2" t="s">
        <v>503</v>
      </c>
      <c r="Z3196" s="4">
        <v>3</v>
      </c>
      <c r="AA3196" s="4">
        <f>=ROUNDDOWN(0.428571428571429,0)</f>
      </c>
      <c r="AB3196" s="5">
        <v>7</v>
      </c>
      <c r="AC3196" s="2" t="s">
        <v>1142</v>
      </c>
      <c r="AD3196" s="4">
        <v>78</v>
      </c>
      <c r="AE3196" s="4">
        <v>214</v>
      </c>
      <c r="AF3196" s="6">
        <v>65</v>
      </c>
      <c r="AG3196" s="6"/>
      <c r="AH3196" s="7">
        <v>0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 t="s">
        <v>100</v>
      </c>
      <c r="AW3196" s="8" t="s">
        <v>100</v>
      </c>
      <c r="AX3196" s="4" t="s">
        <v>100</v>
      </c>
      <c r="AY3196" s="8" t="s">
        <v>100</v>
      </c>
      <c r="AZ3196" s="7" t="s">
        <v>100</v>
      </c>
      <c r="BA3196" s="7" t="s">
        <v>100</v>
      </c>
      <c r="BB3196" s="7"/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 t="s">
        <v>100</v>
      </c>
      <c r="BJ3196" s="4"/>
      <c r="BK3196" s="8"/>
      <c r="BL3196" s="2" t="s">
        <v>100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2365</v>
      </c>
      <c r="BX3196" s="2" t="s">
        <v>9618</v>
      </c>
      <c r="BY3196" s="2" t="s">
        <v>112</v>
      </c>
      <c r="BZ3196" s="2" t="s">
        <v>149</v>
      </c>
    </row>
    <row r="3197">
      <c r="A3197" s="2" t="s">
        <v>10399</v>
      </c>
      <c r="B3197" s="2" t="s">
        <v>9043</v>
      </c>
      <c r="C3197" s="2" t="s">
        <v>2357</v>
      </c>
      <c r="D3197" s="2" t="s">
        <v>9044</v>
      </c>
      <c r="E3197" s="2" t="s">
        <v>9045</v>
      </c>
      <c r="F3197" s="2" t="s">
        <v>10393</v>
      </c>
      <c r="G3197" s="2" t="s">
        <v>10393</v>
      </c>
      <c r="H3197" s="2" t="s">
        <v>10393</v>
      </c>
      <c r="I3197" s="2" t="s">
        <v>9627</v>
      </c>
      <c r="J3197" s="2" t="s">
        <v>95</v>
      </c>
      <c r="K3197" s="2" t="s">
        <v>10394</v>
      </c>
      <c r="L3197" s="3">
        <v>24.3</v>
      </c>
      <c r="M3197" s="3">
        <v>25.52</v>
      </c>
      <c r="N3197" s="3">
        <v>54.99</v>
      </c>
      <c r="O3197" s="2" t="s">
        <v>97</v>
      </c>
      <c r="P3197" s="2" t="s">
        <v>98</v>
      </c>
      <c r="Q3197" s="2" t="s">
        <v>99</v>
      </c>
      <c r="R3197" s="2" t="s">
        <v>100</v>
      </c>
      <c r="S3197" s="2" t="s">
        <v>10400</v>
      </c>
      <c r="T3197" s="2" t="s">
        <v>9205</v>
      </c>
      <c r="U3197" s="2" t="s">
        <v>100</v>
      </c>
      <c r="V3197" s="2" t="s">
        <v>3451</v>
      </c>
      <c r="W3197" s="2" t="s">
        <v>270</v>
      </c>
      <c r="X3197" s="2" t="s">
        <v>609</v>
      </c>
      <c r="Y3197" s="2" t="s">
        <v>10401</v>
      </c>
      <c r="Z3197" s="4"/>
      <c r="AA3197" s="4">
        <f>=ROUNDDOWN({0},0)</f>
      </c>
      <c r="AB3197" s="5">
        <v>11</v>
      </c>
      <c r="AC3197" s="2" t="s">
        <v>1142</v>
      </c>
      <c r="AD3197" s="4">
        <v>122</v>
      </c>
      <c r="AE3197" s="4">
        <v>317</v>
      </c>
      <c r="AF3197" s="6">
        <v>65</v>
      </c>
      <c r="AG3197" s="6"/>
      <c r="AH3197" s="7">
        <v>0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 t="s">
        <v>100</v>
      </c>
      <c r="AW3197" s="8" t="s">
        <v>100</v>
      </c>
      <c r="AX3197" s="4" t="s">
        <v>100</v>
      </c>
      <c r="AY3197" s="8" t="s">
        <v>100</v>
      </c>
      <c r="AZ3197" s="7" t="s">
        <v>100</v>
      </c>
      <c r="BA3197" s="7" t="s">
        <v>100</v>
      </c>
      <c r="BB3197" s="7"/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 t="s">
        <v>100</v>
      </c>
      <c r="BJ3197" s="4"/>
      <c r="BK3197" s="8"/>
      <c r="BL3197" s="2" t="s">
        <v>100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109</v>
      </c>
      <c r="BV3197" s="2" t="s">
        <v>97</v>
      </c>
      <c r="BW3197" s="2" t="s">
        <v>2365</v>
      </c>
      <c r="BX3197" s="2" t="s">
        <v>8863</v>
      </c>
      <c r="BY3197" s="2" t="s">
        <v>112</v>
      </c>
      <c r="BZ3197" s="2" t="s">
        <v>149</v>
      </c>
    </row>
    <row r="3198">
      <c r="A3198" s="2" t="s">
        <v>10402</v>
      </c>
      <c r="B3198" s="2" t="s">
        <v>9043</v>
      </c>
      <c r="C3198" s="2" t="s">
        <v>2357</v>
      </c>
      <c r="D3198" s="2" t="s">
        <v>9044</v>
      </c>
      <c r="E3198" s="2" t="s">
        <v>9045</v>
      </c>
      <c r="F3198" s="2" t="s">
        <v>10393</v>
      </c>
      <c r="G3198" s="2" t="s">
        <v>10393</v>
      </c>
      <c r="H3198" s="2" t="s">
        <v>10393</v>
      </c>
      <c r="I3198" s="2" t="s">
        <v>9627</v>
      </c>
      <c r="J3198" s="2" t="s">
        <v>114</v>
      </c>
      <c r="K3198" s="2" t="s">
        <v>10394</v>
      </c>
      <c r="L3198" s="3">
        <v>28.98</v>
      </c>
      <c r="M3198" s="3">
        <v>30.43</v>
      </c>
      <c r="N3198" s="3">
        <v>64.99</v>
      </c>
      <c r="O3198" s="2" t="s">
        <v>97</v>
      </c>
      <c r="P3198" s="2" t="s">
        <v>98</v>
      </c>
      <c r="Q3198" s="2" t="s">
        <v>99</v>
      </c>
      <c r="R3198" s="2" t="s">
        <v>100</v>
      </c>
      <c r="S3198" s="2" t="s">
        <v>10400</v>
      </c>
      <c r="T3198" s="2" t="s">
        <v>9205</v>
      </c>
      <c r="U3198" s="2" t="s">
        <v>100</v>
      </c>
      <c r="V3198" s="2" t="s">
        <v>3451</v>
      </c>
      <c r="W3198" s="2" t="s">
        <v>270</v>
      </c>
      <c r="X3198" s="2" t="s">
        <v>609</v>
      </c>
      <c r="Y3198" s="2" t="s">
        <v>503</v>
      </c>
      <c r="Z3198" s="4"/>
      <c r="AA3198" s="4">
        <f>=ROUNDDOWN({0},0)</f>
      </c>
      <c r="AB3198" s="5">
        <v>6</v>
      </c>
      <c r="AC3198" s="2" t="s">
        <v>1142</v>
      </c>
      <c r="AD3198" s="4">
        <v>66</v>
      </c>
      <c r="AE3198" s="4">
        <v>173</v>
      </c>
      <c r="AF3198" s="6">
        <v>65</v>
      </c>
      <c r="AG3198" s="6"/>
      <c r="AH3198" s="7">
        <v>0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 t="s">
        <v>100</v>
      </c>
      <c r="AW3198" s="8" t="s">
        <v>100</v>
      </c>
      <c r="AX3198" s="4" t="s">
        <v>100</v>
      </c>
      <c r="AY3198" s="8" t="s">
        <v>100</v>
      </c>
      <c r="AZ3198" s="7" t="s">
        <v>100</v>
      </c>
      <c r="BA3198" s="7" t="s">
        <v>100</v>
      </c>
      <c r="BB3198" s="7"/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 t="s">
        <v>100</v>
      </c>
      <c r="BJ3198" s="4"/>
      <c r="BK3198" s="8"/>
      <c r="BL3198" s="2" t="s">
        <v>100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2365</v>
      </c>
      <c r="BX3198" s="2" t="s">
        <v>6403</v>
      </c>
      <c r="BY3198" s="2" t="s">
        <v>112</v>
      </c>
      <c r="BZ3198" s="2" t="s">
        <v>149</v>
      </c>
    </row>
    <row r="3199">
      <c r="A3199" s="2" t="s">
        <v>10403</v>
      </c>
      <c r="B3199" s="2" t="s">
        <v>9043</v>
      </c>
      <c r="C3199" s="2" t="s">
        <v>2357</v>
      </c>
      <c r="D3199" s="2" t="s">
        <v>9044</v>
      </c>
      <c r="E3199" s="2" t="s">
        <v>9045</v>
      </c>
      <c r="F3199" s="2" t="s">
        <v>10393</v>
      </c>
      <c r="G3199" s="2" t="s">
        <v>10393</v>
      </c>
      <c r="H3199" s="2" t="s">
        <v>10393</v>
      </c>
      <c r="I3199" s="2" t="s">
        <v>9627</v>
      </c>
      <c r="J3199" s="2" t="s">
        <v>118</v>
      </c>
      <c r="K3199" s="2" t="s">
        <v>10394</v>
      </c>
      <c r="L3199" s="3">
        <v>28.98</v>
      </c>
      <c r="M3199" s="3">
        <v>30.43</v>
      </c>
      <c r="N3199" s="3">
        <v>64.99</v>
      </c>
      <c r="O3199" s="2" t="s">
        <v>97</v>
      </c>
      <c r="P3199" s="2" t="s">
        <v>98</v>
      </c>
      <c r="Q3199" s="2" t="s">
        <v>99</v>
      </c>
      <c r="R3199" s="2" t="s">
        <v>100</v>
      </c>
      <c r="S3199" s="2" t="s">
        <v>10400</v>
      </c>
      <c r="T3199" s="2" t="s">
        <v>9205</v>
      </c>
      <c r="U3199" s="2" t="s">
        <v>100</v>
      </c>
      <c r="V3199" s="2" t="s">
        <v>3451</v>
      </c>
      <c r="W3199" s="2" t="s">
        <v>270</v>
      </c>
      <c r="X3199" s="2" t="s">
        <v>609</v>
      </c>
      <c r="Y3199" s="2" t="s">
        <v>10401</v>
      </c>
      <c r="Z3199" s="4">
        <v>514</v>
      </c>
      <c r="AA3199" s="4">
        <f>=ROUNDDOWN(171.333333333333,0)</f>
      </c>
      <c r="AB3199" s="5">
        <v>3</v>
      </c>
      <c r="AC3199" s="2" t="s">
        <v>100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 t="s">
        <v>100</v>
      </c>
      <c r="AW3199" s="8" t="s">
        <v>100</v>
      </c>
      <c r="AX3199" s="4" t="s">
        <v>100</v>
      </c>
      <c r="AY3199" s="8" t="s">
        <v>100</v>
      </c>
      <c r="AZ3199" s="7" t="s">
        <v>100</v>
      </c>
      <c r="BA3199" s="7" t="s">
        <v>100</v>
      </c>
      <c r="BB3199" s="7"/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 t="s">
        <v>100</v>
      </c>
      <c r="BJ3199" s="4">
        <v>8</v>
      </c>
      <c r="BK3199" s="8">
        <v>273.25</v>
      </c>
      <c r="BL3199" s="2" t="s">
        <v>4485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109</v>
      </c>
      <c r="BV3199" s="2" t="s">
        <v>97</v>
      </c>
      <c r="BW3199" s="2" t="s">
        <v>2365</v>
      </c>
      <c r="BX3199" s="2" t="s">
        <v>10404</v>
      </c>
      <c r="BY3199" s="2" t="s">
        <v>112</v>
      </c>
      <c r="BZ3199" s="2" t="s">
        <v>149</v>
      </c>
    </row>
    <row r="3200">
      <c r="A3200" s="2" t="s">
        <v>10405</v>
      </c>
      <c r="B3200" s="2" t="s">
        <v>9043</v>
      </c>
      <c r="C3200" s="2" t="s">
        <v>2357</v>
      </c>
      <c r="D3200" s="2" t="s">
        <v>9044</v>
      </c>
      <c r="E3200" s="2" t="s">
        <v>9045</v>
      </c>
      <c r="F3200" s="2" t="s">
        <v>10393</v>
      </c>
      <c r="G3200" s="2" t="s">
        <v>10393</v>
      </c>
      <c r="H3200" s="2" t="s">
        <v>10393</v>
      </c>
      <c r="I3200" s="2" t="s">
        <v>9627</v>
      </c>
      <c r="J3200" s="2" t="s">
        <v>1443</v>
      </c>
      <c r="K3200" s="2" t="s">
        <v>10406</v>
      </c>
      <c r="L3200" s="3">
        <v>19.8</v>
      </c>
      <c r="M3200" s="3">
        <v>20.79</v>
      </c>
      <c r="N3200" s="3">
        <v>44.99</v>
      </c>
      <c r="O3200" s="2" t="s">
        <v>97</v>
      </c>
      <c r="P3200" s="2" t="s">
        <v>98</v>
      </c>
      <c r="Q3200" s="2" t="s">
        <v>99</v>
      </c>
      <c r="R3200" s="2" t="s">
        <v>100</v>
      </c>
      <c r="S3200" s="2" t="s">
        <v>10407</v>
      </c>
      <c r="T3200" s="2" t="s">
        <v>9205</v>
      </c>
      <c r="U3200" s="2" t="s">
        <v>901</v>
      </c>
      <c r="V3200" s="2" t="s">
        <v>3451</v>
      </c>
      <c r="W3200" s="2" t="s">
        <v>270</v>
      </c>
      <c r="X3200" s="2" t="s">
        <v>609</v>
      </c>
      <c r="Y3200" s="2" t="s">
        <v>10408</v>
      </c>
      <c r="Z3200" s="4">
        <v>189</v>
      </c>
      <c r="AA3200" s="4">
        <f>=ROUNDDOWN(17.1818181818182,0)</f>
      </c>
      <c r="AB3200" s="5">
        <v>11</v>
      </c>
      <c r="AC3200" s="2" t="s">
        <v>1142</v>
      </c>
      <c r="AD3200" s="4">
        <v>54</v>
      </c>
      <c r="AE3200" s="4">
        <v>284</v>
      </c>
      <c r="AF3200" s="6">
        <v>74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/>
      <c r="AQ3200" s="8"/>
      <c r="AR3200" s="4"/>
      <c r="AS3200" s="8"/>
      <c r="AT3200" s="7"/>
      <c r="AU3200" s="7"/>
      <c r="AV3200" s="4" t="s">
        <v>100</v>
      </c>
      <c r="AW3200" s="8" t="s">
        <v>100</v>
      </c>
      <c r="AX3200" s="4" t="s">
        <v>100</v>
      </c>
      <c r="AY3200" s="8" t="s">
        <v>100</v>
      </c>
      <c r="AZ3200" s="7" t="s">
        <v>100</v>
      </c>
      <c r="BA3200" s="7" t="s">
        <v>100</v>
      </c>
      <c r="BB3200" s="7"/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 t="s">
        <v>100</v>
      </c>
      <c r="BJ3200" s="4">
        <v>5</v>
      </c>
      <c r="BK3200" s="8">
        <v>109.15</v>
      </c>
      <c r="BL3200" s="2" t="s">
        <v>4176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171</v>
      </c>
      <c r="BV3200" s="2" t="s">
        <v>97</v>
      </c>
      <c r="BW3200" s="2" t="s">
        <v>100</v>
      </c>
      <c r="BX3200" s="2" t="s">
        <v>100</v>
      </c>
      <c r="BY3200" s="2" t="s">
        <v>112</v>
      </c>
      <c r="BZ3200" s="2" t="s">
        <v>100</v>
      </c>
    </row>
    <row r="3201">
      <c r="A3201" s="2" t="s">
        <v>10409</v>
      </c>
      <c r="B3201" s="2" t="s">
        <v>9043</v>
      </c>
      <c r="C3201" s="2" t="s">
        <v>2357</v>
      </c>
      <c r="D3201" s="2" t="s">
        <v>9044</v>
      </c>
      <c r="E3201" s="2" t="s">
        <v>9045</v>
      </c>
      <c r="F3201" s="2" t="s">
        <v>10393</v>
      </c>
      <c r="G3201" s="2" t="s">
        <v>10393</v>
      </c>
      <c r="H3201" s="2" t="s">
        <v>10393</v>
      </c>
      <c r="I3201" s="2" t="s">
        <v>9627</v>
      </c>
      <c r="J3201" s="2" t="s">
        <v>490</v>
      </c>
      <c r="K3201" s="2" t="s">
        <v>10406</v>
      </c>
      <c r="L3201" s="3">
        <v>21.78</v>
      </c>
      <c r="M3201" s="3">
        <v>22.87</v>
      </c>
      <c r="N3201" s="3">
        <v>49.99</v>
      </c>
      <c r="O3201" s="2" t="s">
        <v>97</v>
      </c>
      <c r="P3201" s="2" t="s">
        <v>98</v>
      </c>
      <c r="Q3201" s="2" t="s">
        <v>99</v>
      </c>
      <c r="R3201" s="2" t="s">
        <v>100</v>
      </c>
      <c r="S3201" s="2" t="s">
        <v>10407</v>
      </c>
      <c r="T3201" s="2" t="s">
        <v>9205</v>
      </c>
      <c r="U3201" s="2" t="s">
        <v>1228</v>
      </c>
      <c r="V3201" s="2" t="s">
        <v>3451</v>
      </c>
      <c r="W3201" s="2" t="s">
        <v>270</v>
      </c>
      <c r="X3201" s="2" t="s">
        <v>609</v>
      </c>
      <c r="Y3201" s="2" t="s">
        <v>10408</v>
      </c>
      <c r="Z3201" s="4">
        <v>8</v>
      </c>
      <c r="AA3201" s="4">
        <f>=ROUNDDOWN(0.8,0)</f>
      </c>
      <c r="AB3201" s="5">
        <v>10</v>
      </c>
      <c r="AC3201" s="2" t="s">
        <v>1142</v>
      </c>
      <c r="AD3201" s="4">
        <v>110</v>
      </c>
      <c r="AE3201" s="4">
        <v>317</v>
      </c>
      <c r="AF3201" s="6">
        <v>74</v>
      </c>
      <c r="AG3201" s="6"/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 t="s">
        <v>100</v>
      </c>
      <c r="AW3201" s="8" t="s">
        <v>100</v>
      </c>
      <c r="AX3201" s="4" t="s">
        <v>100</v>
      </c>
      <c r="AY3201" s="8" t="s">
        <v>100</v>
      </c>
      <c r="AZ3201" s="7" t="s">
        <v>100</v>
      </c>
      <c r="BA3201" s="7" t="s">
        <v>100</v>
      </c>
      <c r="BB3201" s="7"/>
      <c r="BC3201" s="4" t="s">
        <v>100</v>
      </c>
      <c r="BD3201" s="8" t="s">
        <v>100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 t="s">
        <v>100</v>
      </c>
      <c r="BJ3201" s="4"/>
      <c r="BK3201" s="8"/>
      <c r="BL3201" s="2" t="s">
        <v>100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171</v>
      </c>
      <c r="BV3201" s="2" t="s">
        <v>97</v>
      </c>
      <c r="BW3201" s="2" t="s">
        <v>100</v>
      </c>
      <c r="BX3201" s="2" t="s">
        <v>100</v>
      </c>
      <c r="BY3201" s="2" t="s">
        <v>112</v>
      </c>
      <c r="BZ3201" s="2" t="s">
        <v>100</v>
      </c>
    </row>
    <row r="3202">
      <c r="A3202" s="2" t="s">
        <v>10410</v>
      </c>
      <c r="B3202" s="2" t="s">
        <v>9043</v>
      </c>
      <c r="C3202" s="2" t="s">
        <v>2357</v>
      </c>
      <c r="D3202" s="2" t="s">
        <v>9044</v>
      </c>
      <c r="E3202" s="2" t="s">
        <v>9045</v>
      </c>
      <c r="F3202" s="2" t="s">
        <v>10393</v>
      </c>
      <c r="G3202" s="2" t="s">
        <v>10393</v>
      </c>
      <c r="H3202" s="2" t="s">
        <v>10393</v>
      </c>
      <c r="I3202" s="2" t="s">
        <v>9627</v>
      </c>
      <c r="J3202" s="2" t="s">
        <v>95</v>
      </c>
      <c r="K3202" s="2" t="s">
        <v>10406</v>
      </c>
      <c r="L3202" s="3">
        <v>24.3</v>
      </c>
      <c r="M3202" s="3">
        <v>25.52</v>
      </c>
      <c r="N3202" s="3">
        <v>54.99</v>
      </c>
      <c r="O3202" s="2" t="s">
        <v>97</v>
      </c>
      <c r="P3202" s="2" t="s">
        <v>156</v>
      </c>
      <c r="Q3202" s="2" t="s">
        <v>99</v>
      </c>
      <c r="R3202" s="2" t="s">
        <v>100</v>
      </c>
      <c r="S3202" s="2" t="s">
        <v>10407</v>
      </c>
      <c r="T3202" s="2" t="s">
        <v>9205</v>
      </c>
      <c r="U3202" s="2" t="s">
        <v>1228</v>
      </c>
      <c r="V3202" s="2" t="s">
        <v>3451</v>
      </c>
      <c r="W3202" s="2" t="s">
        <v>270</v>
      </c>
      <c r="X3202" s="2" t="s">
        <v>609</v>
      </c>
      <c r="Y3202" s="2" t="s">
        <v>10408</v>
      </c>
      <c r="Z3202" s="4">
        <v>1</v>
      </c>
      <c r="AA3202" s="4">
        <f>=ROUNDDOWN(0.0384615384615385,0)</f>
      </c>
      <c r="AB3202" s="5">
        <v>26</v>
      </c>
      <c r="AC3202" s="2" t="s">
        <v>1142</v>
      </c>
      <c r="AD3202" s="4">
        <v>261</v>
      </c>
      <c r="AE3202" s="4">
        <v>742</v>
      </c>
      <c r="AF3202" s="6">
        <v>74</v>
      </c>
      <c r="AG3202" s="6"/>
      <c r="AH3202" s="7">
        <v>0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 t="s">
        <v>100</v>
      </c>
      <c r="AW3202" s="8" t="s">
        <v>100</v>
      </c>
      <c r="AX3202" s="4" t="s">
        <v>100</v>
      </c>
      <c r="AY3202" s="8" t="s">
        <v>100</v>
      </c>
      <c r="AZ3202" s="7" t="s">
        <v>100</v>
      </c>
      <c r="BA3202" s="7" t="s">
        <v>100</v>
      </c>
      <c r="BB3202" s="7"/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 t="s">
        <v>100</v>
      </c>
      <c r="BJ3202" s="4"/>
      <c r="BK3202" s="8"/>
      <c r="BL3202" s="2" t="s">
        <v>100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171</v>
      </c>
      <c r="BV3202" s="2" t="s">
        <v>97</v>
      </c>
      <c r="BW3202" s="2" t="s">
        <v>100</v>
      </c>
      <c r="BX3202" s="2" t="s">
        <v>100</v>
      </c>
      <c r="BY3202" s="2" t="s">
        <v>112</v>
      </c>
      <c r="BZ3202" s="2" t="s">
        <v>100</v>
      </c>
    </row>
    <row r="3203">
      <c r="A3203" s="2" t="s">
        <v>10411</v>
      </c>
      <c r="B3203" s="2" t="s">
        <v>9043</v>
      </c>
      <c r="C3203" s="2" t="s">
        <v>2357</v>
      </c>
      <c r="D3203" s="2" t="s">
        <v>9044</v>
      </c>
      <c r="E3203" s="2" t="s">
        <v>9045</v>
      </c>
      <c r="F3203" s="2" t="s">
        <v>10393</v>
      </c>
      <c r="G3203" s="2" t="s">
        <v>10393</v>
      </c>
      <c r="H3203" s="2" t="s">
        <v>10393</v>
      </c>
      <c r="I3203" s="2" t="s">
        <v>9627</v>
      </c>
      <c r="J3203" s="2" t="s">
        <v>114</v>
      </c>
      <c r="K3203" s="2" t="s">
        <v>10406</v>
      </c>
      <c r="L3203" s="3">
        <v>28.98</v>
      </c>
      <c r="M3203" s="3">
        <v>30.43</v>
      </c>
      <c r="N3203" s="3">
        <v>64.99</v>
      </c>
      <c r="O3203" s="2" t="s">
        <v>97</v>
      </c>
      <c r="P3203" s="2" t="s">
        <v>98</v>
      </c>
      <c r="Q3203" s="2" t="s">
        <v>99</v>
      </c>
      <c r="R3203" s="2" t="s">
        <v>100</v>
      </c>
      <c r="S3203" s="2" t="s">
        <v>10407</v>
      </c>
      <c r="T3203" s="2" t="s">
        <v>9205</v>
      </c>
      <c r="U3203" s="2" t="s">
        <v>1228</v>
      </c>
      <c r="V3203" s="2" t="s">
        <v>3451</v>
      </c>
      <c r="W3203" s="2" t="s">
        <v>270</v>
      </c>
      <c r="X3203" s="2" t="s">
        <v>609</v>
      </c>
      <c r="Y3203" s="2" t="s">
        <v>10408</v>
      </c>
      <c r="Z3203" s="4"/>
      <c r="AA3203" s="4">
        <f>=ROUNDDOWN({0},0)</f>
      </c>
      <c r="AB3203" s="5">
        <v>14</v>
      </c>
      <c r="AC3203" s="2" t="s">
        <v>1142</v>
      </c>
      <c r="AD3203" s="4">
        <v>151</v>
      </c>
      <c r="AE3203" s="4">
        <v>417</v>
      </c>
      <c r="AF3203" s="6">
        <v>74</v>
      </c>
      <c r="AG3203" s="6"/>
      <c r="AH3203" s="7">
        <v>0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 t="s">
        <v>100</v>
      </c>
      <c r="AW3203" s="8" t="s">
        <v>100</v>
      </c>
      <c r="AX3203" s="4" t="s">
        <v>100</v>
      </c>
      <c r="AY3203" s="8" t="s">
        <v>100</v>
      </c>
      <c r="AZ3203" s="7" t="s">
        <v>100</v>
      </c>
      <c r="BA3203" s="7" t="s">
        <v>100</v>
      </c>
      <c r="BB3203" s="7"/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 t="s">
        <v>100</v>
      </c>
      <c r="BJ3203" s="4"/>
      <c r="BK3203" s="8"/>
      <c r="BL3203" s="2" t="s">
        <v>100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171</v>
      </c>
      <c r="BV3203" s="2" t="s">
        <v>97</v>
      </c>
      <c r="BW3203" s="2" t="s">
        <v>100</v>
      </c>
      <c r="BX3203" s="2" t="s">
        <v>100</v>
      </c>
      <c r="BY3203" s="2" t="s">
        <v>112</v>
      </c>
      <c r="BZ3203" s="2" t="s">
        <v>100</v>
      </c>
    </row>
    <row r="3204">
      <c r="A3204" s="2" t="s">
        <v>10412</v>
      </c>
      <c r="B3204" s="2" t="s">
        <v>9043</v>
      </c>
      <c r="C3204" s="2" t="s">
        <v>2357</v>
      </c>
      <c r="D3204" s="2" t="s">
        <v>9044</v>
      </c>
      <c r="E3204" s="2" t="s">
        <v>9045</v>
      </c>
      <c r="F3204" s="2" t="s">
        <v>10393</v>
      </c>
      <c r="G3204" s="2" t="s">
        <v>10393</v>
      </c>
      <c r="H3204" s="2" t="s">
        <v>10393</v>
      </c>
      <c r="I3204" s="2" t="s">
        <v>9627</v>
      </c>
      <c r="J3204" s="2" t="s">
        <v>118</v>
      </c>
      <c r="K3204" s="2" t="s">
        <v>10406</v>
      </c>
      <c r="L3204" s="3">
        <v>28.98</v>
      </c>
      <c r="M3204" s="3">
        <v>30.43</v>
      </c>
      <c r="N3204" s="3">
        <v>64.99</v>
      </c>
      <c r="O3204" s="2" t="s">
        <v>97</v>
      </c>
      <c r="P3204" s="2" t="s">
        <v>98</v>
      </c>
      <c r="Q3204" s="2" t="s">
        <v>99</v>
      </c>
      <c r="R3204" s="2" t="s">
        <v>100</v>
      </c>
      <c r="S3204" s="2" t="s">
        <v>10407</v>
      </c>
      <c r="T3204" s="2" t="s">
        <v>9205</v>
      </c>
      <c r="U3204" s="2" t="s">
        <v>1228</v>
      </c>
      <c r="V3204" s="2" t="s">
        <v>3451</v>
      </c>
      <c r="W3204" s="2" t="s">
        <v>270</v>
      </c>
      <c r="X3204" s="2" t="s">
        <v>609</v>
      </c>
      <c r="Y3204" s="2" t="s">
        <v>10408</v>
      </c>
      <c r="Z3204" s="4"/>
      <c r="AA3204" s="4">
        <f>=ROUNDDOWN({0},0)</f>
      </c>
      <c r="AB3204" s="5">
        <v>7</v>
      </c>
      <c r="AC3204" s="2" t="s">
        <v>1142</v>
      </c>
      <c r="AD3204" s="4">
        <v>76</v>
      </c>
      <c r="AE3204" s="4">
        <v>214</v>
      </c>
      <c r="AF3204" s="6">
        <v>74</v>
      </c>
      <c r="AG3204" s="6"/>
      <c r="AH3204" s="7">
        <v>0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 t="s">
        <v>100</v>
      </c>
      <c r="AW3204" s="8" t="s">
        <v>100</v>
      </c>
      <c r="AX3204" s="4" t="s">
        <v>100</v>
      </c>
      <c r="AY3204" s="8" t="s">
        <v>100</v>
      </c>
      <c r="AZ3204" s="7" t="s">
        <v>100</v>
      </c>
      <c r="BA3204" s="7" t="s">
        <v>100</v>
      </c>
      <c r="BB3204" s="7"/>
      <c r="BC3204" s="4" t="s">
        <v>100</v>
      </c>
      <c r="BD3204" s="8" t="s">
        <v>100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 t="s">
        <v>100</v>
      </c>
      <c r="BJ3204" s="4"/>
      <c r="BK3204" s="8"/>
      <c r="BL3204" s="2" t="s">
        <v>100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171</v>
      </c>
      <c r="BV3204" s="2" t="s">
        <v>97</v>
      </c>
      <c r="BW3204" s="2" t="s">
        <v>100</v>
      </c>
      <c r="BX3204" s="2" t="s">
        <v>100</v>
      </c>
      <c r="BY3204" s="2" t="s">
        <v>112</v>
      </c>
      <c r="BZ3204" s="2" t="s">
        <v>100</v>
      </c>
    </row>
    <row r="3205">
      <c r="A3205" s="2" t="s">
        <v>10413</v>
      </c>
      <c r="B3205" s="2" t="s">
        <v>9043</v>
      </c>
      <c r="C3205" s="2" t="s">
        <v>2357</v>
      </c>
      <c r="D3205" s="2" t="s">
        <v>9044</v>
      </c>
      <c r="E3205" s="2" t="s">
        <v>9045</v>
      </c>
      <c r="F3205" s="2" t="s">
        <v>10393</v>
      </c>
      <c r="G3205" s="2" t="s">
        <v>10393</v>
      </c>
      <c r="H3205" s="2" t="s">
        <v>10393</v>
      </c>
      <c r="I3205" s="2" t="s">
        <v>9627</v>
      </c>
      <c r="J3205" s="2" t="s">
        <v>95</v>
      </c>
      <c r="K3205" s="2" t="s">
        <v>10018</v>
      </c>
      <c r="L3205" s="3">
        <v>24.3</v>
      </c>
      <c r="M3205" s="3">
        <v>25.52</v>
      </c>
      <c r="N3205" s="3">
        <v>54.99</v>
      </c>
      <c r="O3205" s="2" t="s">
        <v>97</v>
      </c>
      <c r="P3205" s="2" t="s">
        <v>98</v>
      </c>
      <c r="Q3205" s="2" t="s">
        <v>99</v>
      </c>
      <c r="R3205" s="2" t="s">
        <v>100</v>
      </c>
      <c r="S3205" s="2" t="s">
        <v>10414</v>
      </c>
      <c r="T3205" s="2" t="s">
        <v>9205</v>
      </c>
      <c r="U3205" s="2" t="s">
        <v>100</v>
      </c>
      <c r="V3205" s="2" t="s">
        <v>269</v>
      </c>
      <c r="W3205" s="2" t="s">
        <v>270</v>
      </c>
      <c r="X3205" s="2" t="s">
        <v>609</v>
      </c>
      <c r="Y3205" s="2" t="s">
        <v>499</v>
      </c>
      <c r="Z3205" s="4"/>
      <c r="AA3205" s="4">
        <f>=ROUNDDOWN({0},0)</f>
      </c>
      <c r="AB3205" s="5">
        <v>43</v>
      </c>
      <c r="AC3205" s="2" t="s">
        <v>1142</v>
      </c>
      <c r="AD3205" s="4">
        <v>421</v>
      </c>
      <c r="AE3205" s="4">
        <v>1127</v>
      </c>
      <c r="AF3205" s="6">
        <v>65</v>
      </c>
      <c r="AG3205" s="6"/>
      <c r="AH3205" s="7">
        <v>0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 t="s">
        <v>100</v>
      </c>
      <c r="AW3205" s="8" t="s">
        <v>100</v>
      </c>
      <c r="AX3205" s="4" t="s">
        <v>100</v>
      </c>
      <c r="AY3205" s="8" t="s">
        <v>100</v>
      </c>
      <c r="AZ3205" s="7" t="s">
        <v>100</v>
      </c>
      <c r="BA3205" s="7" t="s">
        <v>100</v>
      </c>
      <c r="BB3205" s="7"/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 t="s">
        <v>100</v>
      </c>
      <c r="BJ3205" s="4"/>
      <c r="BK3205" s="8"/>
      <c r="BL3205" s="2" t="s">
        <v>100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109</v>
      </c>
      <c r="BV3205" s="2" t="s">
        <v>97</v>
      </c>
      <c r="BW3205" s="2" t="s">
        <v>10415</v>
      </c>
      <c r="BX3205" s="2" t="s">
        <v>2459</v>
      </c>
      <c r="BY3205" s="2" t="s">
        <v>112</v>
      </c>
      <c r="BZ3205" s="2" t="s">
        <v>100</v>
      </c>
    </row>
    <row r="3206">
      <c r="A3206" s="2" t="s">
        <v>10416</v>
      </c>
      <c r="B3206" s="2" t="s">
        <v>9043</v>
      </c>
      <c r="C3206" s="2" t="s">
        <v>2357</v>
      </c>
      <c r="D3206" s="2" t="s">
        <v>9044</v>
      </c>
      <c r="E3206" s="2" t="s">
        <v>9045</v>
      </c>
      <c r="F3206" s="2" t="s">
        <v>10393</v>
      </c>
      <c r="G3206" s="2" t="s">
        <v>10393</v>
      </c>
      <c r="H3206" s="2" t="s">
        <v>10393</v>
      </c>
      <c r="I3206" s="2" t="s">
        <v>9627</v>
      </c>
      <c r="J3206" s="2" t="s">
        <v>114</v>
      </c>
      <c r="K3206" s="2" t="s">
        <v>10018</v>
      </c>
      <c r="L3206" s="3">
        <v>28.98</v>
      </c>
      <c r="M3206" s="3">
        <v>30.43</v>
      </c>
      <c r="N3206" s="3">
        <v>64.99</v>
      </c>
      <c r="O3206" s="2" t="s">
        <v>97</v>
      </c>
      <c r="P3206" s="2" t="s">
        <v>98</v>
      </c>
      <c r="Q3206" s="2" t="s">
        <v>99</v>
      </c>
      <c r="R3206" s="2" t="s">
        <v>100</v>
      </c>
      <c r="S3206" s="2" t="s">
        <v>10414</v>
      </c>
      <c r="T3206" s="2" t="s">
        <v>9205</v>
      </c>
      <c r="U3206" s="2" t="s">
        <v>100</v>
      </c>
      <c r="V3206" s="2" t="s">
        <v>269</v>
      </c>
      <c r="W3206" s="2" t="s">
        <v>270</v>
      </c>
      <c r="X3206" s="2" t="s">
        <v>609</v>
      </c>
      <c r="Y3206" s="2" t="s">
        <v>499</v>
      </c>
      <c r="Z3206" s="4"/>
      <c r="AA3206" s="4">
        <f>=ROUNDDOWN({0},0)</f>
      </c>
      <c r="AB3206" s="5">
        <v>12</v>
      </c>
      <c r="AC3206" s="2" t="s">
        <v>1142</v>
      </c>
      <c r="AD3206" s="4">
        <v>124</v>
      </c>
      <c r="AE3206" s="4">
        <v>330</v>
      </c>
      <c r="AF3206" s="6">
        <v>65</v>
      </c>
      <c r="AG3206" s="6"/>
      <c r="AH3206" s="7">
        <v>0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 t="s">
        <v>100</v>
      </c>
      <c r="AW3206" s="8" t="s">
        <v>100</v>
      </c>
      <c r="AX3206" s="4" t="s">
        <v>100</v>
      </c>
      <c r="AY3206" s="8" t="s">
        <v>100</v>
      </c>
      <c r="AZ3206" s="7" t="s">
        <v>100</v>
      </c>
      <c r="BA3206" s="7" t="s">
        <v>100</v>
      </c>
      <c r="BB3206" s="7"/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 t="s">
        <v>100</v>
      </c>
      <c r="BJ3206" s="4"/>
      <c r="BK3206" s="8"/>
      <c r="BL3206" s="2" t="s">
        <v>100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109</v>
      </c>
      <c r="BV3206" s="2" t="s">
        <v>97</v>
      </c>
      <c r="BW3206" s="2" t="s">
        <v>2365</v>
      </c>
      <c r="BX3206" s="2" t="s">
        <v>2369</v>
      </c>
      <c r="BY3206" s="2" t="s">
        <v>112</v>
      </c>
      <c r="BZ3206" s="2" t="s">
        <v>100</v>
      </c>
    </row>
    <row r="3207">
      <c r="A3207" s="2" t="s">
        <v>10417</v>
      </c>
      <c r="B3207" s="2" t="s">
        <v>9043</v>
      </c>
      <c r="C3207" s="2" t="s">
        <v>2357</v>
      </c>
      <c r="D3207" s="2" t="s">
        <v>9044</v>
      </c>
      <c r="E3207" s="2" t="s">
        <v>9045</v>
      </c>
      <c r="F3207" s="2" t="s">
        <v>10393</v>
      </c>
      <c r="G3207" s="2" t="s">
        <v>10393</v>
      </c>
      <c r="H3207" s="2" t="s">
        <v>10393</v>
      </c>
      <c r="I3207" s="2" t="s">
        <v>9627</v>
      </c>
      <c r="J3207" s="2" t="s">
        <v>118</v>
      </c>
      <c r="K3207" s="2" t="s">
        <v>10018</v>
      </c>
      <c r="L3207" s="3">
        <v>28.98</v>
      </c>
      <c r="M3207" s="3">
        <v>30.43</v>
      </c>
      <c r="N3207" s="3">
        <v>64.99</v>
      </c>
      <c r="O3207" s="2" t="s">
        <v>97</v>
      </c>
      <c r="P3207" s="2" t="s">
        <v>98</v>
      </c>
      <c r="Q3207" s="2" t="s">
        <v>99</v>
      </c>
      <c r="R3207" s="2" t="s">
        <v>100</v>
      </c>
      <c r="S3207" s="2" t="s">
        <v>10414</v>
      </c>
      <c r="T3207" s="2" t="s">
        <v>9205</v>
      </c>
      <c r="U3207" s="2" t="s">
        <v>100</v>
      </c>
      <c r="V3207" s="2" t="s">
        <v>269</v>
      </c>
      <c r="W3207" s="2" t="s">
        <v>270</v>
      </c>
      <c r="X3207" s="2" t="s">
        <v>609</v>
      </c>
      <c r="Y3207" s="2" t="s">
        <v>499</v>
      </c>
      <c r="Z3207" s="4"/>
      <c r="AA3207" s="4">
        <f>=ROUNDDOWN({0},0)</f>
      </c>
      <c r="AB3207" s="5">
        <v>7</v>
      </c>
      <c r="AC3207" s="2" t="s">
        <v>1142</v>
      </c>
      <c r="AD3207" s="4">
        <v>81</v>
      </c>
      <c r="AE3207" s="4">
        <v>233</v>
      </c>
      <c r="AF3207" s="6">
        <v>65</v>
      </c>
      <c r="AG3207" s="6"/>
      <c r="AH3207" s="7">
        <v>0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 t="s">
        <v>100</v>
      </c>
      <c r="AW3207" s="8" t="s">
        <v>100</v>
      </c>
      <c r="AX3207" s="4" t="s">
        <v>100</v>
      </c>
      <c r="AY3207" s="8" t="s">
        <v>100</v>
      </c>
      <c r="AZ3207" s="7" t="s">
        <v>100</v>
      </c>
      <c r="BA3207" s="7" t="s">
        <v>100</v>
      </c>
      <c r="BB3207" s="7"/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 t="s">
        <v>100</v>
      </c>
      <c r="BJ3207" s="4"/>
      <c r="BK3207" s="8"/>
      <c r="BL3207" s="2" t="s">
        <v>100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2365</v>
      </c>
      <c r="BX3207" s="2" t="s">
        <v>4471</v>
      </c>
      <c r="BY3207" s="2" t="s">
        <v>112</v>
      </c>
      <c r="BZ3207" s="2" t="s">
        <v>100</v>
      </c>
    </row>
    <row r="3208">
      <c r="A3208" s="2" t="s">
        <v>10418</v>
      </c>
      <c r="B3208" s="2" t="s">
        <v>9043</v>
      </c>
      <c r="C3208" s="2" t="s">
        <v>2357</v>
      </c>
      <c r="D3208" s="2" t="s">
        <v>9044</v>
      </c>
      <c r="E3208" s="2" t="s">
        <v>9045</v>
      </c>
      <c r="F3208" s="2" t="s">
        <v>10393</v>
      </c>
      <c r="G3208" s="2" t="s">
        <v>10393</v>
      </c>
      <c r="H3208" s="2" t="s">
        <v>10393</v>
      </c>
      <c r="I3208" s="2" t="s">
        <v>9627</v>
      </c>
      <c r="J3208" s="2" t="s">
        <v>95</v>
      </c>
      <c r="K3208" s="2" t="s">
        <v>10419</v>
      </c>
      <c r="L3208" s="3">
        <v>24.3</v>
      </c>
      <c r="M3208" s="3">
        <v>25.52</v>
      </c>
      <c r="N3208" s="3">
        <v>54.99</v>
      </c>
      <c r="O3208" s="2" t="s">
        <v>97</v>
      </c>
      <c r="P3208" s="2" t="s">
        <v>156</v>
      </c>
      <c r="Q3208" s="2" t="s">
        <v>99</v>
      </c>
      <c r="R3208" s="2" t="s">
        <v>100</v>
      </c>
      <c r="S3208" s="2" t="s">
        <v>10420</v>
      </c>
      <c r="T3208" s="2" t="s">
        <v>9205</v>
      </c>
      <c r="U3208" s="2" t="s">
        <v>1228</v>
      </c>
      <c r="V3208" s="2" t="s">
        <v>3451</v>
      </c>
      <c r="W3208" s="2" t="s">
        <v>609</v>
      </c>
      <c r="X3208" s="2" t="s">
        <v>100</v>
      </c>
      <c r="Y3208" s="2" t="s">
        <v>10185</v>
      </c>
      <c r="Z3208" s="4"/>
      <c r="AA3208" s="4">
        <f>=ROUNDDOWN({0},0)</f>
      </c>
      <c r="AB3208" s="5">
        <v>33</v>
      </c>
      <c r="AC3208" s="2" t="s">
        <v>1142</v>
      </c>
      <c r="AD3208" s="4">
        <v>325</v>
      </c>
      <c r="AE3208" s="4">
        <v>845</v>
      </c>
      <c r="AF3208" s="6">
        <v>70</v>
      </c>
      <c r="AG3208" s="6"/>
      <c r="AH3208" s="7">
        <v>0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/>
      <c r="AQ3208" s="8"/>
      <c r="AR3208" s="4"/>
      <c r="AS3208" s="8"/>
      <c r="AT3208" s="7"/>
      <c r="AU3208" s="7"/>
      <c r="AV3208" s="4" t="s">
        <v>100</v>
      </c>
      <c r="AW3208" s="8" t="s">
        <v>100</v>
      </c>
      <c r="AX3208" s="4" t="s">
        <v>100</v>
      </c>
      <c r="AY3208" s="8" t="s">
        <v>100</v>
      </c>
      <c r="AZ3208" s="7" t="s">
        <v>100</v>
      </c>
      <c r="BA3208" s="7" t="s">
        <v>100</v>
      </c>
      <c r="BB3208" s="7"/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 t="s">
        <v>100</v>
      </c>
      <c r="BJ3208" s="4">
        <v>1</v>
      </c>
      <c r="BK3208" s="8">
        <v>28.8</v>
      </c>
      <c r="BL3208" s="2" t="s">
        <v>5450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109</v>
      </c>
      <c r="BV3208" s="2" t="s">
        <v>97</v>
      </c>
      <c r="BW3208" s="2" t="s">
        <v>10421</v>
      </c>
      <c r="BX3208" s="2" t="s">
        <v>5124</v>
      </c>
      <c r="BY3208" s="2" t="s">
        <v>112</v>
      </c>
      <c r="BZ3208" s="2" t="s">
        <v>100</v>
      </c>
    </row>
    <row r="3209">
      <c r="A3209" s="2" t="s">
        <v>10422</v>
      </c>
      <c r="B3209" s="2" t="s">
        <v>9043</v>
      </c>
      <c r="C3209" s="2" t="s">
        <v>2357</v>
      </c>
      <c r="D3209" s="2" t="s">
        <v>9044</v>
      </c>
      <c r="E3209" s="2" t="s">
        <v>9045</v>
      </c>
      <c r="F3209" s="2" t="s">
        <v>10393</v>
      </c>
      <c r="G3209" s="2" t="s">
        <v>10393</v>
      </c>
      <c r="H3209" s="2" t="s">
        <v>10393</v>
      </c>
      <c r="I3209" s="2" t="s">
        <v>9627</v>
      </c>
      <c r="J3209" s="2" t="s">
        <v>114</v>
      </c>
      <c r="K3209" s="2" t="s">
        <v>10419</v>
      </c>
      <c r="L3209" s="3">
        <v>28.98</v>
      </c>
      <c r="M3209" s="3">
        <v>30.43</v>
      </c>
      <c r="N3209" s="3">
        <v>64.99</v>
      </c>
      <c r="O3209" s="2" t="s">
        <v>97</v>
      </c>
      <c r="P3209" s="2" t="s">
        <v>98</v>
      </c>
      <c r="Q3209" s="2" t="s">
        <v>99</v>
      </c>
      <c r="R3209" s="2" t="s">
        <v>100</v>
      </c>
      <c r="S3209" s="2" t="s">
        <v>10423</v>
      </c>
      <c r="T3209" s="2" t="s">
        <v>9205</v>
      </c>
      <c r="U3209" s="2" t="s">
        <v>1228</v>
      </c>
      <c r="V3209" s="2" t="s">
        <v>3451</v>
      </c>
      <c r="W3209" s="2" t="s">
        <v>270</v>
      </c>
      <c r="X3209" s="2" t="s">
        <v>609</v>
      </c>
      <c r="Y3209" s="2" t="s">
        <v>10185</v>
      </c>
      <c r="Z3209" s="4"/>
      <c r="AA3209" s="4">
        <f>=ROUNDDOWN({0},0)</f>
      </c>
      <c r="AB3209" s="5">
        <v>11</v>
      </c>
      <c r="AC3209" s="2" t="s">
        <v>1142</v>
      </c>
      <c r="AD3209" s="4">
        <v>115</v>
      </c>
      <c r="AE3209" s="4">
        <v>298</v>
      </c>
      <c r="AF3209" s="6">
        <v>70</v>
      </c>
      <c r="AG3209" s="6"/>
      <c r="AH3209" s="7">
        <v>0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 t="s">
        <v>100</v>
      </c>
      <c r="AW3209" s="8" t="s">
        <v>100</v>
      </c>
      <c r="AX3209" s="4" t="s">
        <v>100</v>
      </c>
      <c r="AY3209" s="8" t="s">
        <v>100</v>
      </c>
      <c r="AZ3209" s="7" t="s">
        <v>100</v>
      </c>
      <c r="BA3209" s="7" t="s">
        <v>100</v>
      </c>
      <c r="BB3209" s="7"/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 t="s">
        <v>100</v>
      </c>
      <c r="BJ3209" s="4"/>
      <c r="BK3209" s="8"/>
      <c r="BL3209" s="2" t="s">
        <v>100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2365</v>
      </c>
      <c r="BX3209" s="2" t="s">
        <v>6270</v>
      </c>
      <c r="BY3209" s="2" t="s">
        <v>112</v>
      </c>
      <c r="BZ3209" s="2" t="s">
        <v>100</v>
      </c>
    </row>
    <row r="3210">
      <c r="A3210" s="2" t="s">
        <v>10424</v>
      </c>
      <c r="B3210" s="2" t="s">
        <v>9043</v>
      </c>
      <c r="C3210" s="2" t="s">
        <v>2357</v>
      </c>
      <c r="D3210" s="2" t="s">
        <v>9044</v>
      </c>
      <c r="E3210" s="2" t="s">
        <v>9045</v>
      </c>
      <c r="F3210" s="2" t="s">
        <v>10393</v>
      </c>
      <c r="G3210" s="2" t="s">
        <v>10393</v>
      </c>
      <c r="H3210" s="2" t="s">
        <v>10393</v>
      </c>
      <c r="I3210" s="2" t="s">
        <v>9627</v>
      </c>
      <c r="J3210" s="2" t="s">
        <v>118</v>
      </c>
      <c r="K3210" s="2" t="s">
        <v>10419</v>
      </c>
      <c r="L3210" s="3">
        <v>28.98</v>
      </c>
      <c r="M3210" s="3">
        <v>30.43</v>
      </c>
      <c r="N3210" s="3">
        <v>64.99</v>
      </c>
      <c r="O3210" s="2" t="s">
        <v>97</v>
      </c>
      <c r="P3210" s="2" t="s">
        <v>98</v>
      </c>
      <c r="Q3210" s="2" t="s">
        <v>99</v>
      </c>
      <c r="R3210" s="2" t="s">
        <v>100</v>
      </c>
      <c r="S3210" s="2" t="s">
        <v>10425</v>
      </c>
      <c r="T3210" s="2" t="s">
        <v>9205</v>
      </c>
      <c r="U3210" s="2" t="s">
        <v>1228</v>
      </c>
      <c r="V3210" s="2" t="s">
        <v>3451</v>
      </c>
      <c r="W3210" s="2" t="s">
        <v>270</v>
      </c>
      <c r="X3210" s="2" t="s">
        <v>609</v>
      </c>
      <c r="Y3210" s="2" t="s">
        <v>10185</v>
      </c>
      <c r="Z3210" s="4">
        <v>2</v>
      </c>
      <c r="AA3210" s="4">
        <f>=ROUNDDOWN(0.25,0)</f>
      </c>
      <c r="AB3210" s="5">
        <v>8</v>
      </c>
      <c r="AC3210" s="2" t="s">
        <v>1142</v>
      </c>
      <c r="AD3210" s="4">
        <v>78</v>
      </c>
      <c r="AE3210" s="4">
        <v>210</v>
      </c>
      <c r="AF3210" s="6">
        <v>70</v>
      </c>
      <c r="AG3210" s="6"/>
      <c r="AH3210" s="7">
        <v>0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 t="s">
        <v>100</v>
      </c>
      <c r="AW3210" s="8" t="s">
        <v>100</v>
      </c>
      <c r="AX3210" s="4" t="s">
        <v>100</v>
      </c>
      <c r="AY3210" s="8" t="s">
        <v>100</v>
      </c>
      <c r="AZ3210" s="7" t="s">
        <v>100</v>
      </c>
      <c r="BA3210" s="7" t="s">
        <v>100</v>
      </c>
      <c r="BB3210" s="7"/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 t="s">
        <v>100</v>
      </c>
      <c r="BJ3210" s="4"/>
      <c r="BK3210" s="8"/>
      <c r="BL3210" s="2" t="s">
        <v>100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109</v>
      </c>
      <c r="BV3210" s="2" t="s">
        <v>97</v>
      </c>
      <c r="BW3210" s="2" t="s">
        <v>10421</v>
      </c>
      <c r="BX3210" s="2" t="s">
        <v>10426</v>
      </c>
      <c r="BY3210" s="2" t="s">
        <v>112</v>
      </c>
      <c r="BZ3210" s="2" t="s">
        <v>100</v>
      </c>
    </row>
    <row r="3211">
      <c r="A3211" s="2" t="s">
        <v>10427</v>
      </c>
      <c r="B3211" s="2" t="s">
        <v>9043</v>
      </c>
      <c r="C3211" s="2" t="s">
        <v>2357</v>
      </c>
      <c r="D3211" s="2" t="s">
        <v>9044</v>
      </c>
      <c r="E3211" s="2" t="s">
        <v>9045</v>
      </c>
      <c r="F3211" s="2" t="s">
        <v>10393</v>
      </c>
      <c r="G3211" s="2" t="s">
        <v>10393</v>
      </c>
      <c r="H3211" s="2" t="s">
        <v>10393</v>
      </c>
      <c r="I3211" s="2" t="s">
        <v>9627</v>
      </c>
      <c r="J3211" s="2" t="s">
        <v>95</v>
      </c>
      <c r="K3211" s="2" t="s">
        <v>10428</v>
      </c>
      <c r="L3211" s="3">
        <v>24.3</v>
      </c>
      <c r="M3211" s="3">
        <v>25.52</v>
      </c>
      <c r="N3211" s="3">
        <v>54.99</v>
      </c>
      <c r="O3211" s="2" t="s">
        <v>97</v>
      </c>
      <c r="P3211" s="2" t="s">
        <v>317</v>
      </c>
      <c r="Q3211" s="2" t="s">
        <v>99</v>
      </c>
      <c r="R3211" s="2" t="s">
        <v>100</v>
      </c>
      <c r="S3211" s="2" t="s">
        <v>10429</v>
      </c>
      <c r="T3211" s="2" t="s">
        <v>9205</v>
      </c>
      <c r="U3211" s="2" t="s">
        <v>100</v>
      </c>
      <c r="V3211" s="2" t="s">
        <v>3451</v>
      </c>
      <c r="W3211" s="2" t="s">
        <v>270</v>
      </c>
      <c r="X3211" s="2" t="s">
        <v>609</v>
      </c>
      <c r="Y3211" s="2" t="s">
        <v>144</v>
      </c>
      <c r="Z3211" s="4">
        <v>3</v>
      </c>
      <c r="AA3211" s="4">
        <f>=ROUNDDOWN(0.0454545454545455,0)</f>
      </c>
      <c r="AB3211" s="5">
        <v>66</v>
      </c>
      <c r="AC3211" s="2" t="s">
        <v>1142</v>
      </c>
      <c r="AD3211" s="4">
        <v>648</v>
      </c>
      <c r="AE3211" s="4">
        <v>1728</v>
      </c>
      <c r="AF3211" s="6">
        <v>65</v>
      </c>
      <c r="AG3211" s="6"/>
      <c r="AH3211" s="7">
        <v>0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 t="s">
        <v>100</v>
      </c>
      <c r="AW3211" s="8" t="s">
        <v>100</v>
      </c>
      <c r="AX3211" s="4" t="s">
        <v>100</v>
      </c>
      <c r="AY3211" s="8" t="s">
        <v>100</v>
      </c>
      <c r="AZ3211" s="7" t="s">
        <v>100</v>
      </c>
      <c r="BA3211" s="7" t="s">
        <v>100</v>
      </c>
      <c r="BB3211" s="7"/>
      <c r="BC3211" s="4" t="s">
        <v>100</v>
      </c>
      <c r="BD3211" s="8" t="s">
        <v>100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 t="s">
        <v>100</v>
      </c>
      <c r="BJ3211" s="4"/>
      <c r="BK3211" s="8"/>
      <c r="BL3211" s="2" t="s">
        <v>100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109</v>
      </c>
      <c r="BV3211" s="2" t="s">
        <v>97</v>
      </c>
      <c r="BW3211" s="2" t="s">
        <v>10430</v>
      </c>
      <c r="BX3211" s="2" t="s">
        <v>4961</v>
      </c>
      <c r="BY3211" s="2" t="s">
        <v>112</v>
      </c>
      <c r="BZ3211" s="2" t="s">
        <v>100</v>
      </c>
    </row>
    <row r="3212">
      <c r="A3212" s="2" t="s">
        <v>10431</v>
      </c>
      <c r="B3212" s="2" t="s">
        <v>9043</v>
      </c>
      <c r="C3212" s="2" t="s">
        <v>2357</v>
      </c>
      <c r="D3212" s="2" t="s">
        <v>9044</v>
      </c>
      <c r="E3212" s="2" t="s">
        <v>9045</v>
      </c>
      <c r="F3212" s="2" t="s">
        <v>10393</v>
      </c>
      <c r="G3212" s="2" t="s">
        <v>10393</v>
      </c>
      <c r="H3212" s="2" t="s">
        <v>10393</v>
      </c>
      <c r="I3212" s="2" t="s">
        <v>9627</v>
      </c>
      <c r="J3212" s="2" t="s">
        <v>114</v>
      </c>
      <c r="K3212" s="2" t="s">
        <v>10428</v>
      </c>
      <c r="L3212" s="3">
        <v>28.98</v>
      </c>
      <c r="M3212" s="3">
        <v>30.43</v>
      </c>
      <c r="N3212" s="3">
        <v>64.99</v>
      </c>
      <c r="O3212" s="2" t="s">
        <v>97</v>
      </c>
      <c r="P3212" s="2" t="s">
        <v>156</v>
      </c>
      <c r="Q3212" s="2" t="s">
        <v>99</v>
      </c>
      <c r="R3212" s="2" t="s">
        <v>100</v>
      </c>
      <c r="S3212" s="2" t="s">
        <v>10429</v>
      </c>
      <c r="T3212" s="2" t="s">
        <v>9205</v>
      </c>
      <c r="U3212" s="2" t="s">
        <v>100</v>
      </c>
      <c r="V3212" s="2" t="s">
        <v>3451</v>
      </c>
      <c r="W3212" s="2" t="s">
        <v>270</v>
      </c>
      <c r="X3212" s="2" t="s">
        <v>609</v>
      </c>
      <c r="Y3212" s="2" t="s">
        <v>144</v>
      </c>
      <c r="Z3212" s="4"/>
      <c r="AA3212" s="4">
        <f>=ROUNDDOWN({0},0)</f>
      </c>
      <c r="AB3212" s="5">
        <v>17</v>
      </c>
      <c r="AC3212" s="2" t="s">
        <v>1142</v>
      </c>
      <c r="AD3212" s="4">
        <v>172</v>
      </c>
      <c r="AE3212" s="4">
        <v>453</v>
      </c>
      <c r="AF3212" s="6">
        <v>65</v>
      </c>
      <c r="AG3212" s="6"/>
      <c r="AH3212" s="7">
        <v>0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 t="s">
        <v>100</v>
      </c>
      <c r="AW3212" s="8" t="s">
        <v>100</v>
      </c>
      <c r="AX3212" s="4" t="s">
        <v>100</v>
      </c>
      <c r="AY3212" s="8" t="s">
        <v>100</v>
      </c>
      <c r="AZ3212" s="7" t="s">
        <v>100</v>
      </c>
      <c r="BA3212" s="7" t="s">
        <v>100</v>
      </c>
      <c r="BB3212" s="7"/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 t="s">
        <v>100</v>
      </c>
      <c r="BJ3212" s="4"/>
      <c r="BK3212" s="8"/>
      <c r="BL3212" s="2" t="s">
        <v>100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10430</v>
      </c>
      <c r="BX3212" s="2" t="s">
        <v>5050</v>
      </c>
      <c r="BY3212" s="2" t="s">
        <v>112</v>
      </c>
      <c r="BZ3212" s="2" t="s">
        <v>100</v>
      </c>
    </row>
    <row r="3213">
      <c r="A3213" s="2" t="s">
        <v>10432</v>
      </c>
      <c r="B3213" s="2" t="s">
        <v>9043</v>
      </c>
      <c r="C3213" s="2" t="s">
        <v>2357</v>
      </c>
      <c r="D3213" s="2" t="s">
        <v>9044</v>
      </c>
      <c r="E3213" s="2" t="s">
        <v>9045</v>
      </c>
      <c r="F3213" s="2" t="s">
        <v>10393</v>
      </c>
      <c r="G3213" s="2" t="s">
        <v>10393</v>
      </c>
      <c r="H3213" s="2" t="s">
        <v>10393</v>
      </c>
      <c r="I3213" s="2" t="s">
        <v>9627</v>
      </c>
      <c r="J3213" s="2" t="s">
        <v>118</v>
      </c>
      <c r="K3213" s="2" t="s">
        <v>10428</v>
      </c>
      <c r="L3213" s="3">
        <v>28.98</v>
      </c>
      <c r="M3213" s="3">
        <v>30.43</v>
      </c>
      <c r="N3213" s="3">
        <v>64.99</v>
      </c>
      <c r="O3213" s="2" t="s">
        <v>97</v>
      </c>
      <c r="P3213" s="2" t="s">
        <v>98</v>
      </c>
      <c r="Q3213" s="2" t="s">
        <v>99</v>
      </c>
      <c r="R3213" s="2" t="s">
        <v>100</v>
      </c>
      <c r="S3213" s="2" t="s">
        <v>10429</v>
      </c>
      <c r="T3213" s="2" t="s">
        <v>9205</v>
      </c>
      <c r="U3213" s="2" t="s">
        <v>100</v>
      </c>
      <c r="V3213" s="2" t="s">
        <v>3451</v>
      </c>
      <c r="W3213" s="2" t="s">
        <v>270</v>
      </c>
      <c r="X3213" s="2" t="s">
        <v>609</v>
      </c>
      <c r="Y3213" s="2" t="s">
        <v>144</v>
      </c>
      <c r="Z3213" s="4"/>
      <c r="AA3213" s="4">
        <f>=ROUNDDOWN({0},0)</f>
      </c>
      <c r="AB3213" s="5">
        <v>11</v>
      </c>
      <c r="AC3213" s="2" t="s">
        <v>1142</v>
      </c>
      <c r="AD3213" s="4">
        <v>109</v>
      </c>
      <c r="AE3213" s="4">
        <v>297</v>
      </c>
      <c r="AF3213" s="6">
        <v>65</v>
      </c>
      <c r="AG3213" s="6"/>
      <c r="AH3213" s="7">
        <v>0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 t="s">
        <v>100</v>
      </c>
      <c r="AW3213" s="8" t="s">
        <v>100</v>
      </c>
      <c r="AX3213" s="4" t="s">
        <v>100</v>
      </c>
      <c r="AY3213" s="8" t="s">
        <v>100</v>
      </c>
      <c r="AZ3213" s="7" t="s">
        <v>100</v>
      </c>
      <c r="BA3213" s="7" t="s">
        <v>100</v>
      </c>
      <c r="BB3213" s="7"/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 t="s">
        <v>100</v>
      </c>
      <c r="BJ3213" s="4"/>
      <c r="BK3213" s="8"/>
      <c r="BL3213" s="2" t="s">
        <v>100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109</v>
      </c>
      <c r="BV3213" s="2" t="s">
        <v>97</v>
      </c>
      <c r="BW3213" s="2" t="s">
        <v>2365</v>
      </c>
      <c r="BX3213" s="2" t="s">
        <v>6377</v>
      </c>
      <c r="BY3213" s="2" t="s">
        <v>112</v>
      </c>
      <c r="BZ3213" s="2" t="s">
        <v>100</v>
      </c>
    </row>
    <row r="3214">
      <c r="A3214" s="2" t="s">
        <v>10433</v>
      </c>
      <c r="B3214" s="2" t="s">
        <v>9043</v>
      </c>
      <c r="C3214" s="2" t="s">
        <v>2357</v>
      </c>
      <c r="D3214" s="2" t="s">
        <v>9044</v>
      </c>
      <c r="E3214" s="2" t="s">
        <v>9045</v>
      </c>
      <c r="F3214" s="2" t="s">
        <v>10393</v>
      </c>
      <c r="G3214" s="2" t="s">
        <v>10393</v>
      </c>
      <c r="H3214" s="2" t="s">
        <v>10393</v>
      </c>
      <c r="I3214" s="2" t="s">
        <v>9627</v>
      </c>
      <c r="J3214" s="2" t="s">
        <v>95</v>
      </c>
      <c r="K3214" s="2" t="s">
        <v>10434</v>
      </c>
      <c r="L3214" s="3">
        <v>24.3</v>
      </c>
      <c r="M3214" s="3">
        <v>25.52</v>
      </c>
      <c r="N3214" s="3">
        <v>54.99</v>
      </c>
      <c r="O3214" s="2" t="s">
        <v>97</v>
      </c>
      <c r="P3214" s="2" t="s">
        <v>156</v>
      </c>
      <c r="Q3214" s="2" t="s">
        <v>99</v>
      </c>
      <c r="R3214" s="2" t="s">
        <v>100</v>
      </c>
      <c r="S3214" s="2" t="s">
        <v>10435</v>
      </c>
      <c r="T3214" s="2" t="s">
        <v>9205</v>
      </c>
      <c r="U3214" s="2" t="s">
        <v>100</v>
      </c>
      <c r="V3214" s="2" t="s">
        <v>3451</v>
      </c>
      <c r="W3214" s="2" t="s">
        <v>270</v>
      </c>
      <c r="X3214" s="2" t="s">
        <v>609</v>
      </c>
      <c r="Y3214" s="2" t="s">
        <v>499</v>
      </c>
      <c r="Z3214" s="4"/>
      <c r="AA3214" s="4">
        <f>=ROUNDDOWN({0},0)</f>
      </c>
      <c r="AB3214" s="5">
        <v>30</v>
      </c>
      <c r="AC3214" s="2" t="s">
        <v>1142</v>
      </c>
      <c r="AD3214" s="4">
        <v>307</v>
      </c>
      <c r="AE3214" s="4">
        <v>807</v>
      </c>
      <c r="AF3214" s="6">
        <v>65</v>
      </c>
      <c r="AG3214" s="6"/>
      <c r="AH3214" s="7">
        <v>0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 t="s">
        <v>100</v>
      </c>
      <c r="AW3214" s="8" t="s">
        <v>100</v>
      </c>
      <c r="AX3214" s="4" t="s">
        <v>100</v>
      </c>
      <c r="AY3214" s="8" t="s">
        <v>100</v>
      </c>
      <c r="AZ3214" s="7" t="s">
        <v>100</v>
      </c>
      <c r="BA3214" s="7" t="s">
        <v>100</v>
      </c>
      <c r="BB3214" s="7"/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 t="s">
        <v>100</v>
      </c>
      <c r="BJ3214" s="4"/>
      <c r="BK3214" s="8"/>
      <c r="BL3214" s="2" t="s">
        <v>100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10415</v>
      </c>
      <c r="BX3214" s="2" t="s">
        <v>5057</v>
      </c>
      <c r="BY3214" s="2" t="s">
        <v>112</v>
      </c>
      <c r="BZ3214" s="2" t="s">
        <v>100</v>
      </c>
    </row>
    <row r="3215">
      <c r="A3215" s="2" t="s">
        <v>10436</v>
      </c>
      <c r="B3215" s="2" t="s">
        <v>9043</v>
      </c>
      <c r="C3215" s="2" t="s">
        <v>2357</v>
      </c>
      <c r="D3215" s="2" t="s">
        <v>9044</v>
      </c>
      <c r="E3215" s="2" t="s">
        <v>9045</v>
      </c>
      <c r="F3215" s="2" t="s">
        <v>10393</v>
      </c>
      <c r="G3215" s="2" t="s">
        <v>10393</v>
      </c>
      <c r="H3215" s="2" t="s">
        <v>10393</v>
      </c>
      <c r="I3215" s="2" t="s">
        <v>9627</v>
      </c>
      <c r="J3215" s="2" t="s">
        <v>114</v>
      </c>
      <c r="K3215" s="2" t="s">
        <v>10434</v>
      </c>
      <c r="L3215" s="3">
        <v>28.98</v>
      </c>
      <c r="M3215" s="3">
        <v>30.43</v>
      </c>
      <c r="N3215" s="3">
        <v>64.99</v>
      </c>
      <c r="O3215" s="2" t="s">
        <v>97</v>
      </c>
      <c r="P3215" s="2" t="s">
        <v>98</v>
      </c>
      <c r="Q3215" s="2" t="s">
        <v>99</v>
      </c>
      <c r="R3215" s="2" t="s">
        <v>100</v>
      </c>
      <c r="S3215" s="2" t="s">
        <v>10435</v>
      </c>
      <c r="T3215" s="2" t="s">
        <v>9205</v>
      </c>
      <c r="U3215" s="2" t="s">
        <v>100</v>
      </c>
      <c r="V3215" s="2" t="s">
        <v>3451</v>
      </c>
      <c r="W3215" s="2" t="s">
        <v>270</v>
      </c>
      <c r="X3215" s="2" t="s">
        <v>609</v>
      </c>
      <c r="Y3215" s="2" t="s">
        <v>499</v>
      </c>
      <c r="Z3215" s="4"/>
      <c r="AA3215" s="4">
        <f>=ROUNDDOWN({0},0)</f>
      </c>
      <c r="AB3215" s="5">
        <v>9</v>
      </c>
      <c r="AC3215" s="2" t="s">
        <v>1142</v>
      </c>
      <c r="AD3215" s="4">
        <v>97</v>
      </c>
      <c r="AE3215" s="4">
        <v>262</v>
      </c>
      <c r="AF3215" s="6">
        <v>65</v>
      </c>
      <c r="AG3215" s="6"/>
      <c r="AH3215" s="7">
        <v>0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 t="s">
        <v>100</v>
      </c>
      <c r="AW3215" s="8" t="s">
        <v>100</v>
      </c>
      <c r="AX3215" s="4" t="s">
        <v>100</v>
      </c>
      <c r="AY3215" s="8" t="s">
        <v>100</v>
      </c>
      <c r="AZ3215" s="7" t="s">
        <v>100</v>
      </c>
      <c r="BA3215" s="7" t="s">
        <v>100</v>
      </c>
      <c r="BB3215" s="7"/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 t="s">
        <v>100</v>
      </c>
      <c r="BJ3215" s="4"/>
      <c r="BK3215" s="8"/>
      <c r="BL3215" s="2" t="s">
        <v>100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109</v>
      </c>
      <c r="BV3215" s="2" t="s">
        <v>97</v>
      </c>
      <c r="BW3215" s="2" t="s">
        <v>10415</v>
      </c>
      <c r="BX3215" s="2" t="s">
        <v>10437</v>
      </c>
      <c r="BY3215" s="2" t="s">
        <v>112</v>
      </c>
      <c r="BZ3215" s="2" t="s">
        <v>100</v>
      </c>
    </row>
    <row r="3216">
      <c r="A3216" s="2" t="s">
        <v>10438</v>
      </c>
      <c r="B3216" s="2" t="s">
        <v>9043</v>
      </c>
      <c r="C3216" s="2" t="s">
        <v>2357</v>
      </c>
      <c r="D3216" s="2" t="s">
        <v>9044</v>
      </c>
      <c r="E3216" s="2" t="s">
        <v>9045</v>
      </c>
      <c r="F3216" s="2" t="s">
        <v>10393</v>
      </c>
      <c r="G3216" s="2" t="s">
        <v>10393</v>
      </c>
      <c r="H3216" s="2" t="s">
        <v>10393</v>
      </c>
      <c r="I3216" s="2" t="s">
        <v>9627</v>
      </c>
      <c r="J3216" s="2" t="s">
        <v>118</v>
      </c>
      <c r="K3216" s="2" t="s">
        <v>10434</v>
      </c>
      <c r="L3216" s="3">
        <v>28.98</v>
      </c>
      <c r="M3216" s="3">
        <v>30.43</v>
      </c>
      <c r="N3216" s="3">
        <v>64.99</v>
      </c>
      <c r="O3216" s="2" t="s">
        <v>97</v>
      </c>
      <c r="P3216" s="2" t="s">
        <v>98</v>
      </c>
      <c r="Q3216" s="2" t="s">
        <v>99</v>
      </c>
      <c r="R3216" s="2" t="s">
        <v>100</v>
      </c>
      <c r="S3216" s="2" t="s">
        <v>10435</v>
      </c>
      <c r="T3216" s="2" t="s">
        <v>9205</v>
      </c>
      <c r="U3216" s="2" t="s">
        <v>100</v>
      </c>
      <c r="V3216" s="2" t="s">
        <v>3451</v>
      </c>
      <c r="W3216" s="2" t="s">
        <v>270</v>
      </c>
      <c r="X3216" s="2" t="s">
        <v>609</v>
      </c>
      <c r="Y3216" s="2" t="s">
        <v>499</v>
      </c>
      <c r="Z3216" s="4">
        <v>3</v>
      </c>
      <c r="AA3216" s="4">
        <f>=ROUNDDOWN(0.428571428571429,0)</f>
      </c>
      <c r="AB3216" s="5">
        <v>7</v>
      </c>
      <c r="AC3216" s="2" t="s">
        <v>1142</v>
      </c>
      <c r="AD3216" s="4">
        <v>74</v>
      </c>
      <c r="AE3216" s="4">
        <v>190</v>
      </c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 t="s">
        <v>100</v>
      </c>
      <c r="AW3216" s="8" t="s">
        <v>100</v>
      </c>
      <c r="AX3216" s="4" t="s">
        <v>100</v>
      </c>
      <c r="AY3216" s="8" t="s">
        <v>100</v>
      </c>
      <c r="AZ3216" s="7" t="s">
        <v>100</v>
      </c>
      <c r="BA3216" s="7" t="s">
        <v>100</v>
      </c>
      <c r="BB3216" s="7"/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 t="s">
        <v>100</v>
      </c>
      <c r="BJ3216" s="4">
        <v>7</v>
      </c>
      <c r="BK3216" s="8">
        <v>247.31</v>
      </c>
      <c r="BL3216" s="2" t="s">
        <v>10439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109</v>
      </c>
      <c r="BV3216" s="2" t="s">
        <v>97</v>
      </c>
      <c r="BW3216" s="2" t="s">
        <v>2365</v>
      </c>
      <c r="BX3216" s="2" t="s">
        <v>2057</v>
      </c>
      <c r="BY3216" s="2" t="s">
        <v>112</v>
      </c>
      <c r="BZ3216" s="2" t="s">
        <v>100</v>
      </c>
    </row>
    <row r="3217">
      <c r="A3217" s="2" t="s">
        <v>10440</v>
      </c>
      <c r="B3217" s="2" t="s">
        <v>9043</v>
      </c>
      <c r="C3217" s="2" t="s">
        <v>2357</v>
      </c>
      <c r="D3217" s="2" t="s">
        <v>9044</v>
      </c>
      <c r="E3217" s="2" t="s">
        <v>9045</v>
      </c>
      <c r="F3217" s="2" t="s">
        <v>10393</v>
      </c>
      <c r="G3217" s="2" t="s">
        <v>10393</v>
      </c>
      <c r="H3217" s="2" t="s">
        <v>10393</v>
      </c>
      <c r="I3217" s="2" t="s">
        <v>9627</v>
      </c>
      <c r="J3217" s="2" t="s">
        <v>95</v>
      </c>
      <c r="K3217" s="2" t="s">
        <v>10441</v>
      </c>
      <c r="L3217" s="3">
        <v>24.3</v>
      </c>
      <c r="M3217" s="3">
        <v>25.52</v>
      </c>
      <c r="N3217" s="3">
        <v>54.99</v>
      </c>
      <c r="O3217" s="2" t="s">
        <v>97</v>
      </c>
      <c r="P3217" s="2" t="s">
        <v>156</v>
      </c>
      <c r="Q3217" s="2" t="s">
        <v>99</v>
      </c>
      <c r="R3217" s="2" t="s">
        <v>100</v>
      </c>
      <c r="S3217" s="2" t="s">
        <v>10442</v>
      </c>
      <c r="T3217" s="2" t="s">
        <v>9205</v>
      </c>
      <c r="U3217" s="2" t="s">
        <v>100</v>
      </c>
      <c r="V3217" s="2" t="s">
        <v>269</v>
      </c>
      <c r="W3217" s="2" t="s">
        <v>270</v>
      </c>
      <c r="X3217" s="2" t="s">
        <v>609</v>
      </c>
      <c r="Y3217" s="2" t="s">
        <v>1108</v>
      </c>
      <c r="Z3217" s="4"/>
      <c r="AA3217" s="4">
        <f>=ROUNDDOWN({0},0)</f>
      </c>
      <c r="AB3217" s="5">
        <v>31</v>
      </c>
      <c r="AC3217" s="2" t="s">
        <v>1142</v>
      </c>
      <c r="AD3217" s="4">
        <v>309</v>
      </c>
      <c r="AE3217" s="4">
        <v>881</v>
      </c>
      <c r="AF3217" s="6">
        <v>65</v>
      </c>
      <c r="AG3217" s="6"/>
      <c r="AH3217" s="7">
        <v>0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 t="s">
        <v>100</v>
      </c>
      <c r="AW3217" s="8" t="s">
        <v>100</v>
      </c>
      <c r="AX3217" s="4" t="s">
        <v>100</v>
      </c>
      <c r="AY3217" s="8" t="s">
        <v>100</v>
      </c>
      <c r="AZ3217" s="7" t="s">
        <v>100</v>
      </c>
      <c r="BA3217" s="7" t="s">
        <v>100</v>
      </c>
      <c r="BB3217" s="7"/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 t="s">
        <v>100</v>
      </c>
      <c r="BJ3217" s="4"/>
      <c r="BK3217" s="8"/>
      <c r="BL3217" s="2" t="s">
        <v>100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2365</v>
      </c>
      <c r="BX3217" s="2" t="s">
        <v>10443</v>
      </c>
      <c r="BY3217" s="2" t="s">
        <v>112</v>
      </c>
      <c r="BZ3217" s="2" t="s">
        <v>100</v>
      </c>
    </row>
    <row r="3218">
      <c r="A3218" s="2" t="s">
        <v>10444</v>
      </c>
      <c r="B3218" s="2" t="s">
        <v>9043</v>
      </c>
      <c r="C3218" s="2" t="s">
        <v>2357</v>
      </c>
      <c r="D3218" s="2" t="s">
        <v>9044</v>
      </c>
      <c r="E3218" s="2" t="s">
        <v>9045</v>
      </c>
      <c r="F3218" s="2" t="s">
        <v>10393</v>
      </c>
      <c r="G3218" s="2" t="s">
        <v>10393</v>
      </c>
      <c r="H3218" s="2" t="s">
        <v>10393</v>
      </c>
      <c r="I3218" s="2" t="s">
        <v>9627</v>
      </c>
      <c r="J3218" s="2" t="s">
        <v>114</v>
      </c>
      <c r="K3218" s="2" t="s">
        <v>10441</v>
      </c>
      <c r="L3218" s="3">
        <v>28.98</v>
      </c>
      <c r="M3218" s="3">
        <v>30.43</v>
      </c>
      <c r="N3218" s="3">
        <v>64.99</v>
      </c>
      <c r="O3218" s="2" t="s">
        <v>97</v>
      </c>
      <c r="P3218" s="2" t="s">
        <v>98</v>
      </c>
      <c r="Q3218" s="2" t="s">
        <v>99</v>
      </c>
      <c r="R3218" s="2" t="s">
        <v>100</v>
      </c>
      <c r="S3218" s="2" t="s">
        <v>10442</v>
      </c>
      <c r="T3218" s="2" t="s">
        <v>9205</v>
      </c>
      <c r="U3218" s="2" t="s">
        <v>100</v>
      </c>
      <c r="V3218" s="2" t="s">
        <v>269</v>
      </c>
      <c r="W3218" s="2" t="s">
        <v>270</v>
      </c>
      <c r="X3218" s="2" t="s">
        <v>609</v>
      </c>
      <c r="Y3218" s="2" t="s">
        <v>144</v>
      </c>
      <c r="Z3218" s="4"/>
      <c r="AA3218" s="4">
        <f>=ROUNDDOWN({0},0)</f>
      </c>
      <c r="AB3218" s="5">
        <v>16</v>
      </c>
      <c r="AC3218" s="2" t="s">
        <v>1142</v>
      </c>
      <c r="AD3218" s="4">
        <v>168</v>
      </c>
      <c r="AE3218" s="4">
        <v>468</v>
      </c>
      <c r="AF3218" s="6">
        <v>65</v>
      </c>
      <c r="AG3218" s="6"/>
      <c r="AH3218" s="7">
        <v>0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/>
      <c r="AQ3218" s="8"/>
      <c r="AR3218" s="4"/>
      <c r="AS3218" s="8"/>
      <c r="AT3218" s="7"/>
      <c r="AU3218" s="7"/>
      <c r="AV3218" s="4" t="s">
        <v>100</v>
      </c>
      <c r="AW3218" s="8" t="s">
        <v>100</v>
      </c>
      <c r="AX3218" s="4" t="s">
        <v>100</v>
      </c>
      <c r="AY3218" s="8" t="s">
        <v>100</v>
      </c>
      <c r="AZ3218" s="7" t="s">
        <v>100</v>
      </c>
      <c r="BA3218" s="7" t="s">
        <v>100</v>
      </c>
      <c r="BB3218" s="7"/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 t="s">
        <v>100</v>
      </c>
      <c r="BJ3218" s="4"/>
      <c r="BK3218" s="8"/>
      <c r="BL3218" s="2" t="s">
        <v>100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109</v>
      </c>
      <c r="BV3218" s="2" t="s">
        <v>97</v>
      </c>
      <c r="BW3218" s="2" t="s">
        <v>2365</v>
      </c>
      <c r="BX3218" s="2" t="s">
        <v>6447</v>
      </c>
      <c r="BY3218" s="2" t="s">
        <v>112</v>
      </c>
      <c r="BZ3218" s="2" t="s">
        <v>100</v>
      </c>
    </row>
    <row r="3219">
      <c r="A3219" s="2" t="s">
        <v>10445</v>
      </c>
      <c r="B3219" s="2" t="s">
        <v>9043</v>
      </c>
      <c r="C3219" s="2" t="s">
        <v>2357</v>
      </c>
      <c r="D3219" s="2" t="s">
        <v>9044</v>
      </c>
      <c r="E3219" s="2" t="s">
        <v>9045</v>
      </c>
      <c r="F3219" s="2" t="s">
        <v>10393</v>
      </c>
      <c r="G3219" s="2" t="s">
        <v>10393</v>
      </c>
      <c r="H3219" s="2" t="s">
        <v>10393</v>
      </c>
      <c r="I3219" s="2" t="s">
        <v>9627</v>
      </c>
      <c r="J3219" s="2" t="s">
        <v>118</v>
      </c>
      <c r="K3219" s="2" t="s">
        <v>10441</v>
      </c>
      <c r="L3219" s="3">
        <v>28.98</v>
      </c>
      <c r="M3219" s="3">
        <v>30.43</v>
      </c>
      <c r="N3219" s="3">
        <v>64.99</v>
      </c>
      <c r="O3219" s="2" t="s">
        <v>97</v>
      </c>
      <c r="P3219" s="2" t="s">
        <v>98</v>
      </c>
      <c r="Q3219" s="2" t="s">
        <v>99</v>
      </c>
      <c r="R3219" s="2" t="s">
        <v>100</v>
      </c>
      <c r="S3219" s="2" t="s">
        <v>10442</v>
      </c>
      <c r="T3219" s="2" t="s">
        <v>9205</v>
      </c>
      <c r="U3219" s="2" t="s">
        <v>100</v>
      </c>
      <c r="V3219" s="2" t="s">
        <v>269</v>
      </c>
      <c r="W3219" s="2" t="s">
        <v>270</v>
      </c>
      <c r="X3219" s="2" t="s">
        <v>609</v>
      </c>
      <c r="Y3219" s="2" t="s">
        <v>144</v>
      </c>
      <c r="Z3219" s="4"/>
      <c r="AA3219" s="4">
        <f>=ROUNDDOWN({0},0)</f>
      </c>
      <c r="AB3219" s="5">
        <v>9</v>
      </c>
      <c r="AC3219" s="2" t="s">
        <v>1142</v>
      </c>
      <c r="AD3219" s="4">
        <v>96</v>
      </c>
      <c r="AE3219" s="4">
        <v>276</v>
      </c>
      <c r="AF3219" s="6">
        <v>65</v>
      </c>
      <c r="AG3219" s="6"/>
      <c r="AH3219" s="7">
        <v>0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/>
      <c r="AQ3219" s="8"/>
      <c r="AR3219" s="4"/>
      <c r="AS3219" s="8"/>
      <c r="AT3219" s="7"/>
      <c r="AU3219" s="7"/>
      <c r="AV3219" s="4" t="s">
        <v>100</v>
      </c>
      <c r="AW3219" s="8" t="s">
        <v>100</v>
      </c>
      <c r="AX3219" s="4" t="s">
        <v>100</v>
      </c>
      <c r="AY3219" s="8" t="s">
        <v>100</v>
      </c>
      <c r="AZ3219" s="7" t="s">
        <v>100</v>
      </c>
      <c r="BA3219" s="7" t="s">
        <v>100</v>
      </c>
      <c r="BB3219" s="7"/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 t="s">
        <v>100</v>
      </c>
      <c r="BJ3219" s="4"/>
      <c r="BK3219" s="8"/>
      <c r="BL3219" s="2" t="s">
        <v>100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109</v>
      </c>
      <c r="BV3219" s="2" t="s">
        <v>97</v>
      </c>
      <c r="BW3219" s="2" t="s">
        <v>2365</v>
      </c>
      <c r="BX3219" s="2" t="s">
        <v>10446</v>
      </c>
      <c r="BY3219" s="2" t="s">
        <v>112</v>
      </c>
      <c r="BZ3219" s="2" t="s">
        <v>100</v>
      </c>
    </row>
    <row r="3220">
      <c r="A3220" s="2" t="s">
        <v>10447</v>
      </c>
      <c r="B3220" s="2" t="s">
        <v>9043</v>
      </c>
      <c r="C3220" s="2" t="s">
        <v>2357</v>
      </c>
      <c r="D3220" s="2" t="s">
        <v>9044</v>
      </c>
      <c r="E3220" s="2" t="s">
        <v>9045</v>
      </c>
      <c r="F3220" s="2" t="s">
        <v>10393</v>
      </c>
      <c r="G3220" s="2" t="s">
        <v>10393</v>
      </c>
      <c r="H3220" s="2" t="s">
        <v>10393</v>
      </c>
      <c r="I3220" s="2" t="s">
        <v>9627</v>
      </c>
      <c r="J3220" s="2" t="s">
        <v>95</v>
      </c>
      <c r="K3220" s="2" t="s">
        <v>10448</v>
      </c>
      <c r="L3220" s="3">
        <v>24.3</v>
      </c>
      <c r="M3220" s="3">
        <v>25.52</v>
      </c>
      <c r="N3220" s="3">
        <v>54.99</v>
      </c>
      <c r="O3220" s="2" t="s">
        <v>97</v>
      </c>
      <c r="P3220" s="2" t="s">
        <v>139</v>
      </c>
      <c r="Q3220" s="2" t="s">
        <v>99</v>
      </c>
      <c r="R3220" s="2" t="s">
        <v>100</v>
      </c>
      <c r="S3220" s="2" t="s">
        <v>10449</v>
      </c>
      <c r="T3220" s="2" t="s">
        <v>9205</v>
      </c>
      <c r="U3220" s="2" t="s">
        <v>100</v>
      </c>
      <c r="V3220" s="2" t="s">
        <v>269</v>
      </c>
      <c r="W3220" s="2" t="s">
        <v>270</v>
      </c>
      <c r="X3220" s="2" t="s">
        <v>609</v>
      </c>
      <c r="Y3220" s="2" t="s">
        <v>144</v>
      </c>
      <c r="Z3220" s="4">
        <v>2</v>
      </c>
      <c r="AA3220" s="4">
        <f>=ROUNDDOWN(0.037037037037037,0)</f>
      </c>
      <c r="AB3220" s="5">
        <v>54</v>
      </c>
      <c r="AC3220" s="2" t="s">
        <v>1142</v>
      </c>
      <c r="AD3220" s="4">
        <v>529</v>
      </c>
      <c r="AE3220" s="4">
        <v>1433</v>
      </c>
      <c r="AF3220" s="6">
        <v>65</v>
      </c>
      <c r="AG3220" s="6"/>
      <c r="AH3220" s="7">
        <v>0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/>
      <c r="AQ3220" s="8"/>
      <c r="AR3220" s="4"/>
      <c r="AS3220" s="8"/>
      <c r="AT3220" s="7"/>
      <c r="AU3220" s="7"/>
      <c r="AV3220" s="4" t="s">
        <v>100</v>
      </c>
      <c r="AW3220" s="8" t="s">
        <v>100</v>
      </c>
      <c r="AX3220" s="4" t="s">
        <v>100</v>
      </c>
      <c r="AY3220" s="8" t="s">
        <v>100</v>
      </c>
      <c r="AZ3220" s="7" t="s">
        <v>100</v>
      </c>
      <c r="BA3220" s="7" t="s">
        <v>100</v>
      </c>
      <c r="BB3220" s="7"/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 t="s">
        <v>100</v>
      </c>
      <c r="BJ3220" s="4"/>
      <c r="BK3220" s="8"/>
      <c r="BL3220" s="2" t="s">
        <v>100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109</v>
      </c>
      <c r="BV3220" s="2" t="s">
        <v>97</v>
      </c>
      <c r="BW3220" s="2" t="s">
        <v>2365</v>
      </c>
      <c r="BX3220" s="2" t="s">
        <v>6391</v>
      </c>
      <c r="BY3220" s="2" t="s">
        <v>112</v>
      </c>
      <c r="BZ3220" s="2" t="s">
        <v>100</v>
      </c>
    </row>
    <row r="3221">
      <c r="A3221" s="2" t="s">
        <v>10450</v>
      </c>
      <c r="B3221" s="2" t="s">
        <v>9043</v>
      </c>
      <c r="C3221" s="2" t="s">
        <v>2357</v>
      </c>
      <c r="D3221" s="2" t="s">
        <v>9044</v>
      </c>
      <c r="E3221" s="2" t="s">
        <v>9045</v>
      </c>
      <c r="F3221" s="2" t="s">
        <v>10393</v>
      </c>
      <c r="G3221" s="2" t="s">
        <v>10393</v>
      </c>
      <c r="H3221" s="2" t="s">
        <v>10393</v>
      </c>
      <c r="I3221" s="2" t="s">
        <v>9627</v>
      </c>
      <c r="J3221" s="2" t="s">
        <v>114</v>
      </c>
      <c r="K3221" s="2" t="s">
        <v>10448</v>
      </c>
      <c r="L3221" s="3">
        <v>28.98</v>
      </c>
      <c r="M3221" s="3">
        <v>30.43</v>
      </c>
      <c r="N3221" s="3">
        <v>64.99</v>
      </c>
      <c r="O3221" s="2" t="s">
        <v>97</v>
      </c>
      <c r="P3221" s="2" t="s">
        <v>156</v>
      </c>
      <c r="Q3221" s="2" t="s">
        <v>99</v>
      </c>
      <c r="R3221" s="2" t="s">
        <v>100</v>
      </c>
      <c r="S3221" s="2" t="s">
        <v>10449</v>
      </c>
      <c r="T3221" s="2" t="s">
        <v>9205</v>
      </c>
      <c r="U3221" s="2" t="s">
        <v>100</v>
      </c>
      <c r="V3221" s="2" t="s">
        <v>269</v>
      </c>
      <c r="W3221" s="2" t="s">
        <v>270</v>
      </c>
      <c r="X3221" s="2" t="s">
        <v>609</v>
      </c>
      <c r="Y3221" s="2" t="s">
        <v>144</v>
      </c>
      <c r="Z3221" s="4"/>
      <c r="AA3221" s="4">
        <f>=ROUNDDOWN({0},0)</f>
      </c>
      <c r="AB3221" s="5">
        <v>30</v>
      </c>
      <c r="AC3221" s="2" t="s">
        <v>1142</v>
      </c>
      <c r="AD3221" s="4">
        <v>295</v>
      </c>
      <c r="AE3221" s="4">
        <v>841</v>
      </c>
      <c r="AF3221" s="6">
        <v>65</v>
      </c>
      <c r="AG3221" s="6"/>
      <c r="AH3221" s="7">
        <v>0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 t="s">
        <v>100</v>
      </c>
      <c r="AW3221" s="8" t="s">
        <v>100</v>
      </c>
      <c r="AX3221" s="4" t="s">
        <v>100</v>
      </c>
      <c r="AY3221" s="8" t="s">
        <v>100</v>
      </c>
      <c r="AZ3221" s="7" t="s">
        <v>100</v>
      </c>
      <c r="BA3221" s="7" t="s">
        <v>100</v>
      </c>
      <c r="BB3221" s="7"/>
      <c r="BC3221" s="4" t="s">
        <v>100</v>
      </c>
      <c r="BD3221" s="8" t="s">
        <v>100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 t="s">
        <v>100</v>
      </c>
      <c r="BJ3221" s="4"/>
      <c r="BK3221" s="8"/>
      <c r="BL3221" s="2" t="s">
        <v>100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109</v>
      </c>
      <c r="BV3221" s="2" t="s">
        <v>97</v>
      </c>
      <c r="BW3221" s="2" t="s">
        <v>2365</v>
      </c>
      <c r="BX3221" s="2" t="s">
        <v>10451</v>
      </c>
      <c r="BY3221" s="2" t="s">
        <v>112</v>
      </c>
      <c r="BZ3221" s="2" t="s">
        <v>100</v>
      </c>
    </row>
    <row r="3222">
      <c r="A3222" s="2" t="s">
        <v>10452</v>
      </c>
      <c r="B3222" s="2" t="s">
        <v>9043</v>
      </c>
      <c r="C3222" s="2" t="s">
        <v>2357</v>
      </c>
      <c r="D3222" s="2" t="s">
        <v>9044</v>
      </c>
      <c r="E3222" s="2" t="s">
        <v>9045</v>
      </c>
      <c r="F3222" s="2" t="s">
        <v>10393</v>
      </c>
      <c r="G3222" s="2" t="s">
        <v>10393</v>
      </c>
      <c r="H3222" s="2" t="s">
        <v>10393</v>
      </c>
      <c r="I3222" s="2" t="s">
        <v>9627</v>
      </c>
      <c r="J3222" s="2" t="s">
        <v>1443</v>
      </c>
      <c r="K3222" s="2" t="s">
        <v>10453</v>
      </c>
      <c r="L3222" s="3">
        <v>19.8</v>
      </c>
      <c r="M3222" s="3">
        <v>20.79</v>
      </c>
      <c r="N3222" s="3">
        <v>44.99</v>
      </c>
      <c r="O3222" s="2" t="s">
        <v>97</v>
      </c>
      <c r="P3222" s="2" t="s">
        <v>98</v>
      </c>
      <c r="Q3222" s="2" t="s">
        <v>99</v>
      </c>
      <c r="R3222" s="2" t="s">
        <v>100</v>
      </c>
      <c r="S3222" s="2" t="s">
        <v>10454</v>
      </c>
      <c r="T3222" s="2" t="s">
        <v>9205</v>
      </c>
      <c r="U3222" s="2" t="s">
        <v>901</v>
      </c>
      <c r="V3222" s="2" t="s">
        <v>3451</v>
      </c>
      <c r="W3222" s="2" t="s">
        <v>270</v>
      </c>
      <c r="X3222" s="2" t="s">
        <v>609</v>
      </c>
      <c r="Y3222" s="2" t="s">
        <v>10408</v>
      </c>
      <c r="Z3222" s="4">
        <v>52</v>
      </c>
      <c r="AA3222" s="4">
        <f>=ROUNDDOWN(1.85714285714286,0)</f>
      </c>
      <c r="AB3222" s="5">
        <v>28</v>
      </c>
      <c r="AC3222" s="2" t="s">
        <v>1142</v>
      </c>
      <c r="AD3222" s="4">
        <v>272</v>
      </c>
      <c r="AE3222" s="4">
        <v>794</v>
      </c>
      <c r="AF3222" s="6">
        <v>74</v>
      </c>
      <c r="AG3222" s="6"/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 t="s">
        <v>100</v>
      </c>
      <c r="AW3222" s="8" t="s">
        <v>100</v>
      </c>
      <c r="AX3222" s="4" t="s">
        <v>100</v>
      </c>
      <c r="AY3222" s="8" t="s">
        <v>100</v>
      </c>
      <c r="AZ3222" s="7" t="s">
        <v>100</v>
      </c>
      <c r="BA3222" s="7" t="s">
        <v>100</v>
      </c>
      <c r="BB3222" s="7"/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 t="s">
        <v>100</v>
      </c>
      <c r="BJ3222" s="4">
        <v>1</v>
      </c>
      <c r="BK3222" s="8">
        <v>21.13</v>
      </c>
      <c r="BL3222" s="2" t="s">
        <v>6840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171</v>
      </c>
      <c r="BV3222" s="2" t="s">
        <v>97</v>
      </c>
      <c r="BW3222" s="2" t="s">
        <v>100</v>
      </c>
      <c r="BX3222" s="2" t="s">
        <v>100</v>
      </c>
      <c r="BY3222" s="2" t="s">
        <v>112</v>
      </c>
      <c r="BZ3222" s="2" t="s">
        <v>100</v>
      </c>
    </row>
    <row r="3223">
      <c r="A3223" s="2" t="s">
        <v>10455</v>
      </c>
      <c r="B3223" s="2" t="s">
        <v>9043</v>
      </c>
      <c r="C3223" s="2" t="s">
        <v>2357</v>
      </c>
      <c r="D3223" s="2" t="s">
        <v>9044</v>
      </c>
      <c r="E3223" s="2" t="s">
        <v>9045</v>
      </c>
      <c r="F3223" s="2" t="s">
        <v>10393</v>
      </c>
      <c r="G3223" s="2" t="s">
        <v>10393</v>
      </c>
      <c r="H3223" s="2" t="s">
        <v>10393</v>
      </c>
      <c r="I3223" s="2" t="s">
        <v>9627</v>
      </c>
      <c r="J3223" s="2" t="s">
        <v>490</v>
      </c>
      <c r="K3223" s="2" t="s">
        <v>10453</v>
      </c>
      <c r="L3223" s="3">
        <v>21.78</v>
      </c>
      <c r="M3223" s="3">
        <v>22.87</v>
      </c>
      <c r="N3223" s="3">
        <v>49.99</v>
      </c>
      <c r="O3223" s="2" t="s">
        <v>97</v>
      </c>
      <c r="P3223" s="2" t="s">
        <v>156</v>
      </c>
      <c r="Q3223" s="2" t="s">
        <v>99</v>
      </c>
      <c r="R3223" s="2" t="s">
        <v>100</v>
      </c>
      <c r="S3223" s="2" t="s">
        <v>10454</v>
      </c>
      <c r="T3223" s="2" t="s">
        <v>9205</v>
      </c>
      <c r="U3223" s="2" t="s">
        <v>1228</v>
      </c>
      <c r="V3223" s="2" t="s">
        <v>3451</v>
      </c>
      <c r="W3223" s="2" t="s">
        <v>270</v>
      </c>
      <c r="X3223" s="2" t="s">
        <v>609</v>
      </c>
      <c r="Y3223" s="2" t="s">
        <v>10408</v>
      </c>
      <c r="Z3223" s="4"/>
      <c r="AA3223" s="4">
        <f>=ROUNDDOWN({0},0)</f>
      </c>
      <c r="AB3223" s="5">
        <v>52</v>
      </c>
      <c r="AC3223" s="2" t="s">
        <v>1142</v>
      </c>
      <c r="AD3223" s="4">
        <v>504</v>
      </c>
      <c r="AE3223" s="4">
        <v>1449</v>
      </c>
      <c r="AF3223" s="6">
        <v>74</v>
      </c>
      <c r="AG3223" s="6"/>
      <c r="AH3223" s="7">
        <v>0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 t="s">
        <v>100</v>
      </c>
      <c r="AW3223" s="8" t="s">
        <v>100</v>
      </c>
      <c r="AX3223" s="4" t="s">
        <v>100</v>
      </c>
      <c r="AY3223" s="8" t="s">
        <v>100</v>
      </c>
      <c r="AZ3223" s="7" t="s">
        <v>100</v>
      </c>
      <c r="BA3223" s="7" t="s">
        <v>100</v>
      </c>
      <c r="BB3223" s="7"/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 t="s">
        <v>100</v>
      </c>
      <c r="BJ3223" s="4"/>
      <c r="BK3223" s="8"/>
      <c r="BL3223" s="2" t="s">
        <v>100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171</v>
      </c>
      <c r="BV3223" s="2" t="s">
        <v>97</v>
      </c>
      <c r="BW3223" s="2" t="s">
        <v>100</v>
      </c>
      <c r="BX3223" s="2" t="s">
        <v>100</v>
      </c>
      <c r="BY3223" s="2" t="s">
        <v>112</v>
      </c>
      <c r="BZ3223" s="2" t="s">
        <v>100</v>
      </c>
    </row>
    <row r="3224">
      <c r="A3224" s="2" t="s">
        <v>10456</v>
      </c>
      <c r="B3224" s="2" t="s">
        <v>9043</v>
      </c>
      <c r="C3224" s="2" t="s">
        <v>2357</v>
      </c>
      <c r="D3224" s="2" t="s">
        <v>9044</v>
      </c>
      <c r="E3224" s="2" t="s">
        <v>9045</v>
      </c>
      <c r="F3224" s="2" t="s">
        <v>10393</v>
      </c>
      <c r="G3224" s="2" t="s">
        <v>10393</v>
      </c>
      <c r="H3224" s="2" t="s">
        <v>10393</v>
      </c>
      <c r="I3224" s="2" t="s">
        <v>9627</v>
      </c>
      <c r="J3224" s="2" t="s">
        <v>95</v>
      </c>
      <c r="K3224" s="2" t="s">
        <v>10453</v>
      </c>
      <c r="L3224" s="3">
        <v>24.3</v>
      </c>
      <c r="M3224" s="3">
        <v>25.52</v>
      </c>
      <c r="N3224" s="3">
        <v>54.99</v>
      </c>
      <c r="O3224" s="2" t="s">
        <v>97</v>
      </c>
      <c r="P3224" s="2" t="s">
        <v>156</v>
      </c>
      <c r="Q3224" s="2" t="s">
        <v>99</v>
      </c>
      <c r="R3224" s="2" t="s">
        <v>100</v>
      </c>
      <c r="S3224" s="2" t="s">
        <v>10454</v>
      </c>
      <c r="T3224" s="2" t="s">
        <v>9205</v>
      </c>
      <c r="U3224" s="2" t="s">
        <v>1228</v>
      </c>
      <c r="V3224" s="2" t="s">
        <v>3451</v>
      </c>
      <c r="W3224" s="2" t="s">
        <v>270</v>
      </c>
      <c r="X3224" s="2" t="s">
        <v>609</v>
      </c>
      <c r="Y3224" s="2" t="s">
        <v>10408</v>
      </c>
      <c r="Z3224" s="4"/>
      <c r="AA3224" s="4">
        <f>=ROUNDDOWN({0},0)</f>
      </c>
      <c r="AB3224" s="5">
        <v>86</v>
      </c>
      <c r="AC3224" s="2" t="s">
        <v>1142</v>
      </c>
      <c r="AD3224" s="4">
        <v>829</v>
      </c>
      <c r="AE3224" s="4">
        <v>2383</v>
      </c>
      <c r="AF3224" s="6">
        <v>74</v>
      </c>
      <c r="AG3224" s="6"/>
      <c r="AH3224" s="7">
        <v>0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 t="s">
        <v>100</v>
      </c>
      <c r="AW3224" s="8" t="s">
        <v>100</v>
      </c>
      <c r="AX3224" s="4" t="s">
        <v>100</v>
      </c>
      <c r="AY3224" s="8" t="s">
        <v>100</v>
      </c>
      <c r="AZ3224" s="7" t="s">
        <v>100</v>
      </c>
      <c r="BA3224" s="7" t="s">
        <v>100</v>
      </c>
      <c r="BB3224" s="7"/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 t="s">
        <v>100</v>
      </c>
      <c r="BJ3224" s="4"/>
      <c r="BK3224" s="8"/>
      <c r="BL3224" s="2" t="s">
        <v>100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171</v>
      </c>
      <c r="BV3224" s="2" t="s">
        <v>97</v>
      </c>
      <c r="BW3224" s="2" t="s">
        <v>100</v>
      </c>
      <c r="BX3224" s="2" t="s">
        <v>100</v>
      </c>
      <c r="BY3224" s="2" t="s">
        <v>112</v>
      </c>
      <c r="BZ3224" s="2" t="s">
        <v>100</v>
      </c>
    </row>
    <row r="3225">
      <c r="A3225" s="2" t="s">
        <v>10457</v>
      </c>
      <c r="B3225" s="2" t="s">
        <v>9043</v>
      </c>
      <c r="C3225" s="2" t="s">
        <v>2357</v>
      </c>
      <c r="D3225" s="2" t="s">
        <v>9044</v>
      </c>
      <c r="E3225" s="2" t="s">
        <v>9045</v>
      </c>
      <c r="F3225" s="2" t="s">
        <v>10393</v>
      </c>
      <c r="G3225" s="2" t="s">
        <v>10393</v>
      </c>
      <c r="H3225" s="2" t="s">
        <v>10393</v>
      </c>
      <c r="I3225" s="2" t="s">
        <v>9627</v>
      </c>
      <c r="J3225" s="2" t="s">
        <v>114</v>
      </c>
      <c r="K3225" s="2" t="s">
        <v>10453</v>
      </c>
      <c r="L3225" s="3">
        <v>28.98</v>
      </c>
      <c r="M3225" s="3">
        <v>30.43</v>
      </c>
      <c r="N3225" s="3">
        <v>64.99</v>
      </c>
      <c r="O3225" s="2" t="s">
        <v>97</v>
      </c>
      <c r="P3225" s="2" t="s">
        <v>156</v>
      </c>
      <c r="Q3225" s="2" t="s">
        <v>99</v>
      </c>
      <c r="R3225" s="2" t="s">
        <v>100</v>
      </c>
      <c r="S3225" s="2" t="s">
        <v>10454</v>
      </c>
      <c r="T3225" s="2" t="s">
        <v>9205</v>
      </c>
      <c r="U3225" s="2" t="s">
        <v>1228</v>
      </c>
      <c r="V3225" s="2" t="s">
        <v>3451</v>
      </c>
      <c r="W3225" s="2" t="s">
        <v>270</v>
      </c>
      <c r="X3225" s="2" t="s">
        <v>609</v>
      </c>
      <c r="Y3225" s="2" t="s">
        <v>10408</v>
      </c>
      <c r="Z3225" s="4"/>
      <c r="AA3225" s="4">
        <f>=ROUNDDOWN({0},0)</f>
      </c>
      <c r="AB3225" s="5">
        <v>34</v>
      </c>
      <c r="AC3225" s="2" t="s">
        <v>1142</v>
      </c>
      <c r="AD3225" s="4">
        <v>341</v>
      </c>
      <c r="AE3225" s="4">
        <v>980</v>
      </c>
      <c r="AF3225" s="6">
        <v>74</v>
      </c>
      <c r="AG3225" s="6"/>
      <c r="AH3225" s="7">
        <v>0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 t="s">
        <v>100</v>
      </c>
      <c r="AW3225" s="8" t="s">
        <v>100</v>
      </c>
      <c r="AX3225" s="4" t="s">
        <v>100</v>
      </c>
      <c r="AY3225" s="8" t="s">
        <v>100</v>
      </c>
      <c r="AZ3225" s="7" t="s">
        <v>100</v>
      </c>
      <c r="BA3225" s="7" t="s">
        <v>100</v>
      </c>
      <c r="BB3225" s="7"/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 t="s">
        <v>100</v>
      </c>
      <c r="BJ3225" s="4"/>
      <c r="BK3225" s="8"/>
      <c r="BL3225" s="2" t="s">
        <v>100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171</v>
      </c>
      <c r="BV3225" s="2" t="s">
        <v>97</v>
      </c>
      <c r="BW3225" s="2" t="s">
        <v>100</v>
      </c>
      <c r="BX3225" s="2" t="s">
        <v>100</v>
      </c>
      <c r="BY3225" s="2" t="s">
        <v>112</v>
      </c>
      <c r="BZ3225" s="2" t="s">
        <v>100</v>
      </c>
    </row>
    <row r="3226">
      <c r="A3226" s="2" t="s">
        <v>10458</v>
      </c>
      <c r="B3226" s="2" t="s">
        <v>9043</v>
      </c>
      <c r="C3226" s="2" t="s">
        <v>2357</v>
      </c>
      <c r="D3226" s="2" t="s">
        <v>9044</v>
      </c>
      <c r="E3226" s="2" t="s">
        <v>9045</v>
      </c>
      <c r="F3226" s="2" t="s">
        <v>10393</v>
      </c>
      <c r="G3226" s="2" t="s">
        <v>10393</v>
      </c>
      <c r="H3226" s="2" t="s">
        <v>10393</v>
      </c>
      <c r="I3226" s="2" t="s">
        <v>9627</v>
      </c>
      <c r="J3226" s="2" t="s">
        <v>118</v>
      </c>
      <c r="K3226" s="2" t="s">
        <v>10453</v>
      </c>
      <c r="L3226" s="3">
        <v>28.98</v>
      </c>
      <c r="M3226" s="3">
        <v>30.43</v>
      </c>
      <c r="N3226" s="3">
        <v>64.99</v>
      </c>
      <c r="O3226" s="2" t="s">
        <v>97</v>
      </c>
      <c r="P3226" s="2" t="s">
        <v>98</v>
      </c>
      <c r="Q3226" s="2" t="s">
        <v>99</v>
      </c>
      <c r="R3226" s="2" t="s">
        <v>100</v>
      </c>
      <c r="S3226" s="2" t="s">
        <v>10454</v>
      </c>
      <c r="T3226" s="2" t="s">
        <v>9205</v>
      </c>
      <c r="U3226" s="2" t="s">
        <v>1228</v>
      </c>
      <c r="V3226" s="2" t="s">
        <v>3451</v>
      </c>
      <c r="W3226" s="2" t="s">
        <v>270</v>
      </c>
      <c r="X3226" s="2" t="s">
        <v>609</v>
      </c>
      <c r="Y3226" s="2" t="s">
        <v>10408</v>
      </c>
      <c r="Z3226" s="4">
        <v>1</v>
      </c>
      <c r="AA3226" s="4">
        <f>=ROUNDDOWN(0.0769230769230769,0)</f>
      </c>
      <c r="AB3226" s="5">
        <v>13</v>
      </c>
      <c r="AC3226" s="2" t="s">
        <v>1142</v>
      </c>
      <c r="AD3226" s="4">
        <v>136</v>
      </c>
      <c r="AE3226" s="4">
        <v>402</v>
      </c>
      <c r="AF3226" s="6">
        <v>74</v>
      </c>
      <c r="AG3226" s="6"/>
      <c r="AH3226" s="7">
        <v>0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 t="s">
        <v>100</v>
      </c>
      <c r="AW3226" s="8" t="s">
        <v>100</v>
      </c>
      <c r="AX3226" s="4" t="s">
        <v>100</v>
      </c>
      <c r="AY3226" s="8" t="s">
        <v>100</v>
      </c>
      <c r="AZ3226" s="7" t="s">
        <v>100</v>
      </c>
      <c r="BA3226" s="7" t="s">
        <v>100</v>
      </c>
      <c r="BB3226" s="7"/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 t="s">
        <v>100</v>
      </c>
      <c r="BJ3226" s="4"/>
      <c r="BK3226" s="8"/>
      <c r="BL3226" s="2" t="s">
        <v>100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171</v>
      </c>
      <c r="BV3226" s="2" t="s">
        <v>97</v>
      </c>
      <c r="BW3226" s="2" t="s">
        <v>100</v>
      </c>
      <c r="BX3226" s="2" t="s">
        <v>100</v>
      </c>
      <c r="BY3226" s="2" t="s">
        <v>112</v>
      </c>
      <c r="BZ3226" s="2" t="s">
        <v>100</v>
      </c>
    </row>
    <row r="3227">
      <c r="A3227" s="2" t="s">
        <v>10459</v>
      </c>
      <c r="B3227" s="2" t="s">
        <v>9043</v>
      </c>
      <c r="C3227" s="2" t="s">
        <v>2357</v>
      </c>
      <c r="D3227" s="2" t="s">
        <v>9044</v>
      </c>
      <c r="E3227" s="2" t="s">
        <v>9045</v>
      </c>
      <c r="F3227" s="2" t="s">
        <v>10393</v>
      </c>
      <c r="G3227" s="2" t="s">
        <v>10393</v>
      </c>
      <c r="H3227" s="2" t="s">
        <v>10393</v>
      </c>
      <c r="I3227" s="2" t="s">
        <v>9627</v>
      </c>
      <c r="J3227" s="2" t="s">
        <v>95</v>
      </c>
      <c r="K3227" s="2" t="s">
        <v>10460</v>
      </c>
      <c r="L3227" s="3">
        <v>24.3</v>
      </c>
      <c r="M3227" s="3">
        <v>25.52</v>
      </c>
      <c r="N3227" s="3">
        <v>54.99</v>
      </c>
      <c r="O3227" s="2" t="s">
        <v>97</v>
      </c>
      <c r="P3227" s="2" t="s">
        <v>98</v>
      </c>
      <c r="Q3227" s="2" t="s">
        <v>99</v>
      </c>
      <c r="R3227" s="2" t="s">
        <v>100</v>
      </c>
      <c r="S3227" s="2" t="s">
        <v>10423</v>
      </c>
      <c r="T3227" s="2" t="s">
        <v>9205</v>
      </c>
      <c r="U3227" s="2" t="s">
        <v>1228</v>
      </c>
      <c r="V3227" s="2" t="s">
        <v>3451</v>
      </c>
      <c r="W3227" s="2" t="s">
        <v>270</v>
      </c>
      <c r="X3227" s="2" t="s">
        <v>609</v>
      </c>
      <c r="Y3227" s="2" t="s">
        <v>10185</v>
      </c>
      <c r="Z3227" s="4"/>
      <c r="AA3227" s="4">
        <f>=ROUNDDOWN({0},0)</f>
      </c>
      <c r="AB3227" s="5">
        <v>20</v>
      </c>
      <c r="AC3227" s="2" t="s">
        <v>1142</v>
      </c>
      <c r="AD3227" s="4">
        <v>206</v>
      </c>
      <c r="AE3227" s="4">
        <v>540</v>
      </c>
      <c r="AF3227" s="6">
        <v>65</v>
      </c>
      <c r="AG3227" s="6"/>
      <c r="AH3227" s="7">
        <v>0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 t="s">
        <v>100</v>
      </c>
      <c r="AW3227" s="8" t="s">
        <v>100</v>
      </c>
      <c r="AX3227" s="4" t="s">
        <v>100</v>
      </c>
      <c r="AY3227" s="8" t="s">
        <v>100</v>
      </c>
      <c r="AZ3227" s="7" t="s">
        <v>100</v>
      </c>
      <c r="BA3227" s="7" t="s">
        <v>100</v>
      </c>
      <c r="BB3227" s="7"/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 t="s">
        <v>100</v>
      </c>
      <c r="BJ3227" s="4"/>
      <c r="BK3227" s="8"/>
      <c r="BL3227" s="2" t="s">
        <v>100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109</v>
      </c>
      <c r="BV3227" s="2" t="s">
        <v>97</v>
      </c>
      <c r="BW3227" s="2" t="s">
        <v>10421</v>
      </c>
      <c r="BX3227" s="2" t="s">
        <v>4611</v>
      </c>
      <c r="BY3227" s="2" t="s">
        <v>112</v>
      </c>
      <c r="BZ3227" s="2" t="s">
        <v>149</v>
      </c>
    </row>
    <row r="3228">
      <c r="A3228" s="2" t="s">
        <v>10461</v>
      </c>
      <c r="B3228" s="2" t="s">
        <v>9043</v>
      </c>
      <c r="C3228" s="2" t="s">
        <v>2357</v>
      </c>
      <c r="D3228" s="2" t="s">
        <v>9044</v>
      </c>
      <c r="E3228" s="2" t="s">
        <v>9045</v>
      </c>
      <c r="F3228" s="2" t="s">
        <v>10393</v>
      </c>
      <c r="G3228" s="2" t="s">
        <v>10393</v>
      </c>
      <c r="H3228" s="2" t="s">
        <v>10393</v>
      </c>
      <c r="I3228" s="2" t="s">
        <v>9627</v>
      </c>
      <c r="J3228" s="2" t="s">
        <v>114</v>
      </c>
      <c r="K3228" s="2" t="s">
        <v>10460</v>
      </c>
      <c r="L3228" s="3">
        <v>28.98</v>
      </c>
      <c r="M3228" s="3">
        <v>30.43</v>
      </c>
      <c r="N3228" s="3">
        <v>64.99</v>
      </c>
      <c r="O3228" s="2" t="s">
        <v>97</v>
      </c>
      <c r="P3228" s="2" t="s">
        <v>98</v>
      </c>
      <c r="Q3228" s="2" t="s">
        <v>99</v>
      </c>
      <c r="R3228" s="2" t="s">
        <v>100</v>
      </c>
      <c r="S3228" s="2" t="s">
        <v>10423</v>
      </c>
      <c r="T3228" s="2" t="s">
        <v>9205</v>
      </c>
      <c r="U3228" s="2" t="s">
        <v>1228</v>
      </c>
      <c r="V3228" s="2" t="s">
        <v>3451</v>
      </c>
      <c r="W3228" s="2" t="s">
        <v>270</v>
      </c>
      <c r="X3228" s="2" t="s">
        <v>609</v>
      </c>
      <c r="Y3228" s="2" t="s">
        <v>10185</v>
      </c>
      <c r="Z3228" s="4"/>
      <c r="AA3228" s="4">
        <f>=ROUNDDOWN({0},0)</f>
      </c>
      <c r="AB3228" s="5">
        <v>8</v>
      </c>
      <c r="AC3228" s="2" t="s">
        <v>1142</v>
      </c>
      <c r="AD3228" s="4">
        <v>87</v>
      </c>
      <c r="AE3228" s="4">
        <v>232</v>
      </c>
      <c r="AF3228" s="6">
        <v>65</v>
      </c>
      <c r="AG3228" s="6"/>
      <c r="AH3228" s="7">
        <v>0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 t="s">
        <v>100</v>
      </c>
      <c r="AW3228" s="8" t="s">
        <v>100</v>
      </c>
      <c r="AX3228" s="4" t="s">
        <v>100</v>
      </c>
      <c r="AY3228" s="8" t="s">
        <v>100</v>
      </c>
      <c r="AZ3228" s="7" t="s">
        <v>100</v>
      </c>
      <c r="BA3228" s="7" t="s">
        <v>100</v>
      </c>
      <c r="BB3228" s="7"/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 t="s">
        <v>100</v>
      </c>
      <c r="BJ3228" s="4"/>
      <c r="BK3228" s="8"/>
      <c r="BL3228" s="2" t="s">
        <v>100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109</v>
      </c>
      <c r="BV3228" s="2" t="s">
        <v>97</v>
      </c>
      <c r="BW3228" s="2" t="s">
        <v>10421</v>
      </c>
      <c r="BX3228" s="2" t="s">
        <v>6155</v>
      </c>
      <c r="BY3228" s="2" t="s">
        <v>112</v>
      </c>
      <c r="BZ3228" s="2" t="s">
        <v>149</v>
      </c>
    </row>
    <row r="3229">
      <c r="A3229" s="2" t="s">
        <v>10462</v>
      </c>
      <c r="B3229" s="2" t="s">
        <v>9043</v>
      </c>
      <c r="C3229" s="2" t="s">
        <v>2357</v>
      </c>
      <c r="D3229" s="2" t="s">
        <v>9044</v>
      </c>
      <c r="E3229" s="2" t="s">
        <v>9045</v>
      </c>
      <c r="F3229" s="2" t="s">
        <v>10393</v>
      </c>
      <c r="G3229" s="2" t="s">
        <v>10393</v>
      </c>
      <c r="H3229" s="2" t="s">
        <v>10393</v>
      </c>
      <c r="I3229" s="2" t="s">
        <v>9627</v>
      </c>
      <c r="J3229" s="2" t="s">
        <v>118</v>
      </c>
      <c r="K3229" s="2" t="s">
        <v>10460</v>
      </c>
      <c r="L3229" s="3">
        <v>28.98</v>
      </c>
      <c r="M3229" s="3">
        <v>30.43</v>
      </c>
      <c r="N3229" s="3">
        <v>64.99</v>
      </c>
      <c r="O3229" s="2" t="s">
        <v>97</v>
      </c>
      <c r="P3229" s="2" t="s">
        <v>98</v>
      </c>
      <c r="Q3229" s="2" t="s">
        <v>99</v>
      </c>
      <c r="R3229" s="2" t="s">
        <v>100</v>
      </c>
      <c r="S3229" s="2" t="s">
        <v>10423</v>
      </c>
      <c r="T3229" s="2" t="s">
        <v>9205</v>
      </c>
      <c r="U3229" s="2" t="s">
        <v>1228</v>
      </c>
      <c r="V3229" s="2" t="s">
        <v>3451</v>
      </c>
      <c r="W3229" s="2" t="s">
        <v>270</v>
      </c>
      <c r="X3229" s="2" t="s">
        <v>609</v>
      </c>
      <c r="Y3229" s="2" t="s">
        <v>10185</v>
      </c>
      <c r="Z3229" s="4"/>
      <c r="AA3229" s="4">
        <f>=ROUNDDOWN({0},0)</f>
      </c>
      <c r="AB3229" s="5">
        <v>6</v>
      </c>
      <c r="AC3229" s="2" t="s">
        <v>1142</v>
      </c>
      <c r="AD3229" s="4">
        <v>74</v>
      </c>
      <c r="AE3229" s="4">
        <v>199</v>
      </c>
      <c r="AF3229" s="6">
        <v>65</v>
      </c>
      <c r="AG3229" s="6"/>
      <c r="AH3229" s="7">
        <v>0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 t="s">
        <v>100</v>
      </c>
      <c r="AW3229" s="8" t="s">
        <v>100</v>
      </c>
      <c r="AX3229" s="4" t="s">
        <v>100</v>
      </c>
      <c r="AY3229" s="8" t="s">
        <v>100</v>
      </c>
      <c r="AZ3229" s="7" t="s">
        <v>100</v>
      </c>
      <c r="BA3229" s="7" t="s">
        <v>100</v>
      </c>
      <c r="BB3229" s="7"/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 t="s">
        <v>100</v>
      </c>
      <c r="BJ3229" s="4"/>
      <c r="BK3229" s="8"/>
      <c r="BL3229" s="2" t="s">
        <v>100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109</v>
      </c>
      <c r="BV3229" s="2" t="s">
        <v>97</v>
      </c>
      <c r="BW3229" s="2" t="s">
        <v>10421</v>
      </c>
      <c r="BX3229" s="2" t="s">
        <v>8317</v>
      </c>
      <c r="BY3229" s="2" t="s">
        <v>112</v>
      </c>
      <c r="BZ3229" s="2" t="s">
        <v>149</v>
      </c>
    </row>
    <row r="3230">
      <c r="A3230" s="2" t="s">
        <v>10463</v>
      </c>
      <c r="B3230" s="2" t="s">
        <v>9043</v>
      </c>
      <c r="C3230" s="2" t="s">
        <v>2357</v>
      </c>
      <c r="D3230" s="2" t="s">
        <v>9044</v>
      </c>
      <c r="E3230" s="2" t="s">
        <v>9045</v>
      </c>
      <c r="F3230" s="2" t="s">
        <v>10393</v>
      </c>
      <c r="G3230" s="2" t="s">
        <v>10393</v>
      </c>
      <c r="H3230" s="2" t="s">
        <v>10393</v>
      </c>
      <c r="I3230" s="2" t="s">
        <v>9627</v>
      </c>
      <c r="J3230" s="2" t="s">
        <v>95</v>
      </c>
      <c r="K3230" s="2" t="s">
        <v>10297</v>
      </c>
      <c r="L3230" s="3">
        <v>24.3</v>
      </c>
      <c r="M3230" s="3">
        <v>25.52</v>
      </c>
      <c r="N3230" s="3">
        <v>54.99</v>
      </c>
      <c r="O3230" s="2" t="s">
        <v>97</v>
      </c>
      <c r="P3230" s="2" t="s">
        <v>156</v>
      </c>
      <c r="Q3230" s="2" t="s">
        <v>99</v>
      </c>
      <c r="R3230" s="2" t="s">
        <v>100</v>
      </c>
      <c r="S3230" s="2" t="s">
        <v>10464</v>
      </c>
      <c r="T3230" s="2" t="s">
        <v>9205</v>
      </c>
      <c r="U3230" s="2" t="s">
        <v>100</v>
      </c>
      <c r="V3230" s="2" t="s">
        <v>269</v>
      </c>
      <c r="W3230" s="2" t="s">
        <v>270</v>
      </c>
      <c r="X3230" s="2" t="s">
        <v>609</v>
      </c>
      <c r="Y3230" s="2" t="s">
        <v>503</v>
      </c>
      <c r="Z3230" s="4"/>
      <c r="AA3230" s="4">
        <f>=ROUNDDOWN({0},0)</f>
      </c>
      <c r="AB3230" s="5">
        <v>41</v>
      </c>
      <c r="AC3230" s="2" t="s">
        <v>1142</v>
      </c>
      <c r="AD3230" s="4">
        <v>406</v>
      </c>
      <c r="AE3230" s="4">
        <v>1120</v>
      </c>
      <c r="AF3230" s="6">
        <v>65</v>
      </c>
      <c r="AG3230" s="6"/>
      <c r="AH3230" s="7">
        <v>0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 t="s">
        <v>100</v>
      </c>
      <c r="AW3230" s="8" t="s">
        <v>100</v>
      </c>
      <c r="AX3230" s="4" t="s">
        <v>100</v>
      </c>
      <c r="AY3230" s="8" t="s">
        <v>100</v>
      </c>
      <c r="AZ3230" s="7" t="s">
        <v>100</v>
      </c>
      <c r="BA3230" s="7" t="s">
        <v>100</v>
      </c>
      <c r="BB3230" s="7"/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 t="s">
        <v>100</v>
      </c>
      <c r="BJ3230" s="4"/>
      <c r="BK3230" s="8"/>
      <c r="BL3230" s="2" t="s">
        <v>100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109</v>
      </c>
      <c r="BV3230" s="2" t="s">
        <v>97</v>
      </c>
      <c r="BW3230" s="2" t="s">
        <v>10415</v>
      </c>
      <c r="BX3230" s="2" t="s">
        <v>6315</v>
      </c>
      <c r="BY3230" s="2" t="s">
        <v>112</v>
      </c>
      <c r="BZ3230" s="2" t="s">
        <v>100</v>
      </c>
    </row>
    <row r="3231">
      <c r="A3231" s="2" t="s">
        <v>10465</v>
      </c>
      <c r="B3231" s="2" t="s">
        <v>9043</v>
      </c>
      <c r="C3231" s="2" t="s">
        <v>2357</v>
      </c>
      <c r="D3231" s="2" t="s">
        <v>9044</v>
      </c>
      <c r="E3231" s="2" t="s">
        <v>9045</v>
      </c>
      <c r="F3231" s="2" t="s">
        <v>10393</v>
      </c>
      <c r="G3231" s="2" t="s">
        <v>10393</v>
      </c>
      <c r="H3231" s="2" t="s">
        <v>10393</v>
      </c>
      <c r="I3231" s="2" t="s">
        <v>9627</v>
      </c>
      <c r="J3231" s="2" t="s">
        <v>114</v>
      </c>
      <c r="K3231" s="2" t="s">
        <v>10297</v>
      </c>
      <c r="L3231" s="3">
        <v>28.98</v>
      </c>
      <c r="M3231" s="3">
        <v>30.43</v>
      </c>
      <c r="N3231" s="3">
        <v>64.99</v>
      </c>
      <c r="O3231" s="2" t="s">
        <v>97</v>
      </c>
      <c r="P3231" s="2" t="s">
        <v>98</v>
      </c>
      <c r="Q3231" s="2" t="s">
        <v>99</v>
      </c>
      <c r="R3231" s="2" t="s">
        <v>100</v>
      </c>
      <c r="S3231" s="2" t="s">
        <v>10464</v>
      </c>
      <c r="T3231" s="2" t="s">
        <v>9205</v>
      </c>
      <c r="U3231" s="2" t="s">
        <v>100</v>
      </c>
      <c r="V3231" s="2" t="s">
        <v>269</v>
      </c>
      <c r="W3231" s="2" t="s">
        <v>270</v>
      </c>
      <c r="X3231" s="2" t="s">
        <v>609</v>
      </c>
      <c r="Y3231" s="2" t="s">
        <v>503</v>
      </c>
      <c r="Z3231" s="4"/>
      <c r="AA3231" s="4">
        <f>=ROUNDDOWN({0},0)</f>
      </c>
      <c r="AB3231" s="5">
        <v>11</v>
      </c>
      <c r="AC3231" s="2" t="s">
        <v>1142</v>
      </c>
      <c r="AD3231" s="4">
        <v>117</v>
      </c>
      <c r="AE3231" s="4">
        <v>308</v>
      </c>
      <c r="AF3231" s="6">
        <v>65</v>
      </c>
      <c r="AG3231" s="6"/>
      <c r="AH3231" s="7">
        <v>0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 t="s">
        <v>100</v>
      </c>
      <c r="AW3231" s="8" t="s">
        <v>100</v>
      </c>
      <c r="AX3231" s="4" t="s">
        <v>100</v>
      </c>
      <c r="AY3231" s="8" t="s">
        <v>100</v>
      </c>
      <c r="AZ3231" s="7" t="s">
        <v>100</v>
      </c>
      <c r="BA3231" s="7" t="s">
        <v>100</v>
      </c>
      <c r="BB3231" s="7"/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 t="s">
        <v>100</v>
      </c>
      <c r="BJ3231" s="4"/>
      <c r="BK3231" s="8"/>
      <c r="BL3231" s="2" t="s">
        <v>100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109</v>
      </c>
      <c r="BV3231" s="2" t="s">
        <v>97</v>
      </c>
      <c r="BW3231" s="2" t="s">
        <v>10415</v>
      </c>
      <c r="BX3231" s="2" t="s">
        <v>7893</v>
      </c>
      <c r="BY3231" s="2" t="s">
        <v>112</v>
      </c>
      <c r="BZ3231" s="2" t="s">
        <v>100</v>
      </c>
    </row>
    <row r="3232">
      <c r="A3232" s="2" t="s">
        <v>10466</v>
      </c>
      <c r="B3232" s="2" t="s">
        <v>9043</v>
      </c>
      <c r="C3232" s="2" t="s">
        <v>2357</v>
      </c>
      <c r="D3232" s="2" t="s">
        <v>9044</v>
      </c>
      <c r="E3232" s="2" t="s">
        <v>9045</v>
      </c>
      <c r="F3232" s="2" t="s">
        <v>10393</v>
      </c>
      <c r="G3232" s="2" t="s">
        <v>10393</v>
      </c>
      <c r="H3232" s="2" t="s">
        <v>10393</v>
      </c>
      <c r="I3232" s="2" t="s">
        <v>9627</v>
      </c>
      <c r="J3232" s="2" t="s">
        <v>118</v>
      </c>
      <c r="K3232" s="2" t="s">
        <v>10297</v>
      </c>
      <c r="L3232" s="3">
        <v>28.98</v>
      </c>
      <c r="M3232" s="3">
        <v>30.43</v>
      </c>
      <c r="N3232" s="3">
        <v>64.99</v>
      </c>
      <c r="O3232" s="2" t="s">
        <v>97</v>
      </c>
      <c r="P3232" s="2" t="s">
        <v>98</v>
      </c>
      <c r="Q3232" s="2" t="s">
        <v>99</v>
      </c>
      <c r="R3232" s="2" t="s">
        <v>100</v>
      </c>
      <c r="S3232" s="2" t="s">
        <v>10464</v>
      </c>
      <c r="T3232" s="2" t="s">
        <v>9205</v>
      </c>
      <c r="U3232" s="2" t="s">
        <v>100</v>
      </c>
      <c r="V3232" s="2" t="s">
        <v>269</v>
      </c>
      <c r="W3232" s="2" t="s">
        <v>270</v>
      </c>
      <c r="X3232" s="2" t="s">
        <v>609</v>
      </c>
      <c r="Y3232" s="2" t="s">
        <v>503</v>
      </c>
      <c r="Z3232" s="4"/>
      <c r="AA3232" s="4">
        <f>=ROUNDDOWN({0},0)</f>
      </c>
      <c r="AB3232" s="5">
        <v>6</v>
      </c>
      <c r="AC3232" s="2" t="s">
        <v>1142</v>
      </c>
      <c r="AD3232" s="4">
        <v>68</v>
      </c>
      <c r="AE3232" s="4">
        <v>182</v>
      </c>
      <c r="AF3232" s="6">
        <v>65</v>
      </c>
      <c r="AG3232" s="6"/>
      <c r="AH3232" s="7">
        <v>0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 t="s">
        <v>100</v>
      </c>
      <c r="AW3232" s="8" t="s">
        <v>100</v>
      </c>
      <c r="AX3232" s="4" t="s">
        <v>100</v>
      </c>
      <c r="AY3232" s="8" t="s">
        <v>100</v>
      </c>
      <c r="AZ3232" s="7" t="s">
        <v>100</v>
      </c>
      <c r="BA3232" s="7" t="s">
        <v>100</v>
      </c>
      <c r="BB3232" s="7"/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 t="s">
        <v>100</v>
      </c>
      <c r="BJ3232" s="4"/>
      <c r="BK3232" s="8"/>
      <c r="BL3232" s="2" t="s">
        <v>100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109</v>
      </c>
      <c r="BV3232" s="2" t="s">
        <v>97</v>
      </c>
      <c r="BW3232" s="2" t="s">
        <v>2365</v>
      </c>
      <c r="BX3232" s="2" t="s">
        <v>9694</v>
      </c>
      <c r="BY3232" s="2" t="s">
        <v>112</v>
      </c>
      <c r="BZ3232" s="2" t="s">
        <v>100</v>
      </c>
    </row>
    <row r="3233">
      <c r="A3233" s="2" t="s">
        <v>10467</v>
      </c>
      <c r="B3233" s="2" t="s">
        <v>9043</v>
      </c>
      <c r="C3233" s="2" t="s">
        <v>2357</v>
      </c>
      <c r="D3233" s="2" t="s">
        <v>9044</v>
      </c>
      <c r="E3233" s="2" t="s">
        <v>9045</v>
      </c>
      <c r="F3233" s="2" t="s">
        <v>10393</v>
      </c>
      <c r="G3233" s="2" t="s">
        <v>10393</v>
      </c>
      <c r="H3233" s="2" t="s">
        <v>10393</v>
      </c>
      <c r="I3233" s="2" t="s">
        <v>9627</v>
      </c>
      <c r="J3233" s="2" t="s">
        <v>95</v>
      </c>
      <c r="K3233" s="2" t="s">
        <v>2025</v>
      </c>
      <c r="L3233" s="3">
        <v>24.3</v>
      </c>
      <c r="M3233" s="3">
        <v>25.52</v>
      </c>
      <c r="N3233" s="3">
        <v>54.99</v>
      </c>
      <c r="O3233" s="2" t="s">
        <v>97</v>
      </c>
      <c r="P3233" s="2" t="s">
        <v>139</v>
      </c>
      <c r="Q3233" s="2" t="s">
        <v>99</v>
      </c>
      <c r="R3233" s="2" t="s">
        <v>100</v>
      </c>
      <c r="S3233" s="2" t="s">
        <v>10468</v>
      </c>
      <c r="T3233" s="2" t="s">
        <v>9205</v>
      </c>
      <c r="U3233" s="2" t="s">
        <v>100</v>
      </c>
      <c r="V3233" s="2" t="s">
        <v>269</v>
      </c>
      <c r="W3233" s="2" t="s">
        <v>270</v>
      </c>
      <c r="X3233" s="2" t="s">
        <v>609</v>
      </c>
      <c r="Y3233" s="2" t="s">
        <v>144</v>
      </c>
      <c r="Z3233" s="4"/>
      <c r="AA3233" s="4">
        <f>=ROUNDDOWN({0},0)</f>
      </c>
      <c r="AB3233" s="5">
        <v>52</v>
      </c>
      <c r="AC3233" s="2" t="s">
        <v>1142</v>
      </c>
      <c r="AD3233" s="4">
        <v>510</v>
      </c>
      <c r="AE3233" s="4">
        <v>1478</v>
      </c>
      <c r="AF3233" s="6">
        <v>65</v>
      </c>
      <c r="AG3233" s="6"/>
      <c r="AH3233" s="7">
        <v>0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 t="s">
        <v>100</v>
      </c>
      <c r="AW3233" s="8" t="s">
        <v>100</v>
      </c>
      <c r="AX3233" s="4" t="s">
        <v>100</v>
      </c>
      <c r="AY3233" s="8" t="s">
        <v>100</v>
      </c>
      <c r="AZ3233" s="7" t="s">
        <v>100</v>
      </c>
      <c r="BA3233" s="7" t="s">
        <v>100</v>
      </c>
      <c r="BB3233" s="7"/>
      <c r="BC3233" s="4" t="s">
        <v>100</v>
      </c>
      <c r="BD3233" s="8" t="s">
        <v>100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 t="s">
        <v>100</v>
      </c>
      <c r="BJ3233" s="4"/>
      <c r="BK3233" s="8"/>
      <c r="BL3233" s="2" t="s">
        <v>100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109</v>
      </c>
      <c r="BV3233" s="2" t="s">
        <v>97</v>
      </c>
      <c r="BW3233" s="2" t="s">
        <v>2365</v>
      </c>
      <c r="BX3233" s="2" t="s">
        <v>5494</v>
      </c>
      <c r="BY3233" s="2" t="s">
        <v>112</v>
      </c>
      <c r="BZ3233" s="2" t="s">
        <v>100</v>
      </c>
    </row>
    <row r="3234">
      <c r="A3234" s="2" t="s">
        <v>10469</v>
      </c>
      <c r="B3234" s="2" t="s">
        <v>9043</v>
      </c>
      <c r="C3234" s="2" t="s">
        <v>2357</v>
      </c>
      <c r="D3234" s="2" t="s">
        <v>9044</v>
      </c>
      <c r="E3234" s="2" t="s">
        <v>9045</v>
      </c>
      <c r="F3234" s="2" t="s">
        <v>10393</v>
      </c>
      <c r="G3234" s="2" t="s">
        <v>10393</v>
      </c>
      <c r="H3234" s="2" t="s">
        <v>10393</v>
      </c>
      <c r="I3234" s="2" t="s">
        <v>9627</v>
      </c>
      <c r="J3234" s="2" t="s">
        <v>114</v>
      </c>
      <c r="K3234" s="2" t="s">
        <v>2025</v>
      </c>
      <c r="L3234" s="3">
        <v>28.98</v>
      </c>
      <c r="M3234" s="3">
        <v>30.43</v>
      </c>
      <c r="N3234" s="3">
        <v>64.99</v>
      </c>
      <c r="O3234" s="2" t="s">
        <v>97</v>
      </c>
      <c r="P3234" s="2" t="s">
        <v>156</v>
      </c>
      <c r="Q3234" s="2" t="s">
        <v>99</v>
      </c>
      <c r="R3234" s="2" t="s">
        <v>100</v>
      </c>
      <c r="S3234" s="2" t="s">
        <v>10468</v>
      </c>
      <c r="T3234" s="2" t="s">
        <v>9205</v>
      </c>
      <c r="U3234" s="2" t="s">
        <v>100</v>
      </c>
      <c r="V3234" s="2" t="s">
        <v>269</v>
      </c>
      <c r="W3234" s="2" t="s">
        <v>270</v>
      </c>
      <c r="X3234" s="2" t="s">
        <v>609</v>
      </c>
      <c r="Y3234" s="2" t="s">
        <v>144</v>
      </c>
      <c r="Z3234" s="4"/>
      <c r="AA3234" s="4">
        <f>=ROUNDDOWN({0},0)</f>
      </c>
      <c r="AB3234" s="5">
        <v>27</v>
      </c>
      <c r="AC3234" s="2" t="s">
        <v>1142</v>
      </c>
      <c r="AD3234" s="4">
        <v>270</v>
      </c>
      <c r="AE3234" s="4">
        <v>791</v>
      </c>
      <c r="AF3234" s="6">
        <v>65</v>
      </c>
      <c r="AG3234" s="6"/>
      <c r="AH3234" s="7">
        <v>0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 t="s">
        <v>100</v>
      </c>
      <c r="AW3234" s="8" t="s">
        <v>100</v>
      </c>
      <c r="AX3234" s="4" t="s">
        <v>100</v>
      </c>
      <c r="AY3234" s="8" t="s">
        <v>100</v>
      </c>
      <c r="AZ3234" s="7" t="s">
        <v>100</v>
      </c>
      <c r="BA3234" s="7" t="s">
        <v>100</v>
      </c>
      <c r="BB3234" s="7"/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 t="s">
        <v>100</v>
      </c>
      <c r="BJ3234" s="4"/>
      <c r="BK3234" s="8"/>
      <c r="BL3234" s="2" t="s">
        <v>100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109</v>
      </c>
      <c r="BV3234" s="2" t="s">
        <v>97</v>
      </c>
      <c r="BW3234" s="2" t="s">
        <v>2365</v>
      </c>
      <c r="BX3234" s="2" t="s">
        <v>2369</v>
      </c>
      <c r="BY3234" s="2" t="s">
        <v>112</v>
      </c>
      <c r="BZ3234" s="2" t="s">
        <v>100</v>
      </c>
    </row>
    <row r="3235">
      <c r="A3235" s="2" t="s">
        <v>10470</v>
      </c>
      <c r="B3235" s="2" t="s">
        <v>9043</v>
      </c>
      <c r="C3235" s="2" t="s">
        <v>2357</v>
      </c>
      <c r="D3235" s="2" t="s">
        <v>9044</v>
      </c>
      <c r="E3235" s="2" t="s">
        <v>9045</v>
      </c>
      <c r="F3235" s="2" t="s">
        <v>10393</v>
      </c>
      <c r="G3235" s="2" t="s">
        <v>10393</v>
      </c>
      <c r="H3235" s="2" t="s">
        <v>10393</v>
      </c>
      <c r="I3235" s="2" t="s">
        <v>9627</v>
      </c>
      <c r="J3235" s="2" t="s">
        <v>118</v>
      </c>
      <c r="K3235" s="2" t="s">
        <v>2025</v>
      </c>
      <c r="L3235" s="3">
        <v>28.98</v>
      </c>
      <c r="M3235" s="3">
        <v>30.43</v>
      </c>
      <c r="N3235" s="3">
        <v>64.99</v>
      </c>
      <c r="O3235" s="2" t="s">
        <v>97</v>
      </c>
      <c r="P3235" s="2" t="s">
        <v>156</v>
      </c>
      <c r="Q3235" s="2" t="s">
        <v>99</v>
      </c>
      <c r="R3235" s="2" t="s">
        <v>100</v>
      </c>
      <c r="S3235" s="2" t="s">
        <v>10468</v>
      </c>
      <c r="T3235" s="2" t="s">
        <v>9205</v>
      </c>
      <c r="U3235" s="2" t="s">
        <v>100</v>
      </c>
      <c r="V3235" s="2" t="s">
        <v>269</v>
      </c>
      <c r="W3235" s="2" t="s">
        <v>270</v>
      </c>
      <c r="X3235" s="2" t="s">
        <v>609</v>
      </c>
      <c r="Y3235" s="2" t="s">
        <v>5839</v>
      </c>
      <c r="Z3235" s="4"/>
      <c r="AA3235" s="4">
        <f>=ROUNDDOWN({0},0)</f>
      </c>
      <c r="AB3235" s="5">
        <v>16</v>
      </c>
      <c r="AC3235" s="2" t="s">
        <v>1142</v>
      </c>
      <c r="AD3235" s="4">
        <v>164</v>
      </c>
      <c r="AE3235" s="4">
        <v>469</v>
      </c>
      <c r="AF3235" s="6">
        <v>65</v>
      </c>
      <c r="AG3235" s="6"/>
      <c r="AH3235" s="7">
        <v>0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 t="s">
        <v>100</v>
      </c>
      <c r="AW3235" s="8" t="s">
        <v>100</v>
      </c>
      <c r="AX3235" s="4" t="s">
        <v>100</v>
      </c>
      <c r="AY3235" s="8" t="s">
        <v>100</v>
      </c>
      <c r="AZ3235" s="7" t="s">
        <v>100</v>
      </c>
      <c r="BA3235" s="7" t="s">
        <v>100</v>
      </c>
      <c r="BB3235" s="7"/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 t="s">
        <v>100</v>
      </c>
      <c r="BJ3235" s="4"/>
      <c r="BK3235" s="8"/>
      <c r="BL3235" s="2" t="s">
        <v>100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109</v>
      </c>
      <c r="BV3235" s="2" t="s">
        <v>97</v>
      </c>
      <c r="BW3235" s="2" t="s">
        <v>2365</v>
      </c>
      <c r="BX3235" s="2" t="s">
        <v>10471</v>
      </c>
      <c r="BY3235" s="2" t="s">
        <v>112</v>
      </c>
      <c r="BZ3235" s="2" t="s">
        <v>100</v>
      </c>
    </row>
    <row r="3236">
      <c r="A3236" s="2" t="s">
        <v>10472</v>
      </c>
      <c r="B3236" s="2" t="s">
        <v>9043</v>
      </c>
      <c r="C3236" s="2" t="s">
        <v>2357</v>
      </c>
      <c r="D3236" s="2" t="s">
        <v>9044</v>
      </c>
      <c r="E3236" s="2" t="s">
        <v>9045</v>
      </c>
      <c r="F3236" s="2" t="s">
        <v>10393</v>
      </c>
      <c r="G3236" s="2" t="s">
        <v>10393</v>
      </c>
      <c r="H3236" s="2" t="s">
        <v>10393</v>
      </c>
      <c r="I3236" s="2" t="s">
        <v>9627</v>
      </c>
      <c r="J3236" s="2" t="s">
        <v>95</v>
      </c>
      <c r="K3236" s="2" t="s">
        <v>6563</v>
      </c>
      <c r="L3236" s="3">
        <v>24.3</v>
      </c>
      <c r="M3236" s="3">
        <v>25.52</v>
      </c>
      <c r="N3236" s="3">
        <v>54.99</v>
      </c>
      <c r="O3236" s="2" t="s">
        <v>97</v>
      </c>
      <c r="P3236" s="2" t="s">
        <v>156</v>
      </c>
      <c r="Q3236" s="2" t="s">
        <v>99</v>
      </c>
      <c r="R3236" s="2" t="s">
        <v>100</v>
      </c>
      <c r="S3236" s="2" t="s">
        <v>10425</v>
      </c>
      <c r="T3236" s="2" t="s">
        <v>9205</v>
      </c>
      <c r="U3236" s="2" t="s">
        <v>1228</v>
      </c>
      <c r="V3236" s="2" t="s">
        <v>4636</v>
      </c>
      <c r="W3236" s="2" t="s">
        <v>270</v>
      </c>
      <c r="X3236" s="2" t="s">
        <v>609</v>
      </c>
      <c r="Y3236" s="2" t="s">
        <v>10185</v>
      </c>
      <c r="Z3236" s="4">
        <v>3</v>
      </c>
      <c r="AA3236" s="4">
        <f>=ROUNDDOWN(0.111111111111111,0)</f>
      </c>
      <c r="AB3236" s="5">
        <v>27</v>
      </c>
      <c r="AC3236" s="2" t="s">
        <v>1142</v>
      </c>
      <c r="AD3236" s="4">
        <v>277</v>
      </c>
      <c r="AE3236" s="4">
        <v>722</v>
      </c>
      <c r="AF3236" s="6">
        <v>65</v>
      </c>
      <c r="AG3236" s="6"/>
      <c r="AH3236" s="7">
        <v>0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 t="s">
        <v>100</v>
      </c>
      <c r="AW3236" s="8" t="s">
        <v>100</v>
      </c>
      <c r="AX3236" s="4" t="s">
        <v>100</v>
      </c>
      <c r="AY3236" s="8" t="s">
        <v>100</v>
      </c>
      <c r="AZ3236" s="7" t="s">
        <v>100</v>
      </c>
      <c r="BA3236" s="7" t="s">
        <v>100</v>
      </c>
      <c r="BB3236" s="7"/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 t="s">
        <v>100</v>
      </c>
      <c r="BJ3236" s="4"/>
      <c r="BK3236" s="8"/>
      <c r="BL3236" s="2" t="s">
        <v>100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109</v>
      </c>
      <c r="BV3236" s="2" t="s">
        <v>97</v>
      </c>
      <c r="BW3236" s="2" t="s">
        <v>2365</v>
      </c>
      <c r="BX3236" s="2" t="s">
        <v>6403</v>
      </c>
      <c r="BY3236" s="2" t="s">
        <v>112</v>
      </c>
      <c r="BZ3236" s="2" t="s">
        <v>149</v>
      </c>
    </row>
    <row r="3237">
      <c r="A3237" s="2" t="s">
        <v>10473</v>
      </c>
      <c r="B3237" s="2" t="s">
        <v>9043</v>
      </c>
      <c r="C3237" s="2" t="s">
        <v>2357</v>
      </c>
      <c r="D3237" s="2" t="s">
        <v>9044</v>
      </c>
      <c r="E3237" s="2" t="s">
        <v>9045</v>
      </c>
      <c r="F3237" s="2" t="s">
        <v>10393</v>
      </c>
      <c r="G3237" s="2" t="s">
        <v>10393</v>
      </c>
      <c r="H3237" s="2" t="s">
        <v>10393</v>
      </c>
      <c r="I3237" s="2" t="s">
        <v>9627</v>
      </c>
      <c r="J3237" s="2" t="s">
        <v>114</v>
      </c>
      <c r="K3237" s="2" t="s">
        <v>6563</v>
      </c>
      <c r="L3237" s="3">
        <v>28.98</v>
      </c>
      <c r="M3237" s="3">
        <v>30.43</v>
      </c>
      <c r="N3237" s="3">
        <v>64.99</v>
      </c>
      <c r="O3237" s="2" t="s">
        <v>97</v>
      </c>
      <c r="P3237" s="2" t="s">
        <v>98</v>
      </c>
      <c r="Q3237" s="2" t="s">
        <v>99</v>
      </c>
      <c r="R3237" s="2" t="s">
        <v>100</v>
      </c>
      <c r="S3237" s="2" t="s">
        <v>10425</v>
      </c>
      <c r="T3237" s="2" t="s">
        <v>9205</v>
      </c>
      <c r="U3237" s="2" t="s">
        <v>1228</v>
      </c>
      <c r="V3237" s="2" t="s">
        <v>4636</v>
      </c>
      <c r="W3237" s="2" t="s">
        <v>270</v>
      </c>
      <c r="X3237" s="2" t="s">
        <v>609</v>
      </c>
      <c r="Y3237" s="2" t="s">
        <v>10185</v>
      </c>
      <c r="Z3237" s="4">
        <v>1</v>
      </c>
      <c r="AA3237" s="4">
        <f>=ROUNDDOWN(0.0769230769230769,0)</f>
      </c>
      <c r="AB3237" s="5">
        <v>13</v>
      </c>
      <c r="AC3237" s="2" t="s">
        <v>1142</v>
      </c>
      <c r="AD3237" s="4">
        <v>138</v>
      </c>
      <c r="AE3237" s="4">
        <v>352</v>
      </c>
      <c r="AF3237" s="6">
        <v>65</v>
      </c>
      <c r="AG3237" s="6"/>
      <c r="AH3237" s="7">
        <v>0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 t="s">
        <v>100</v>
      </c>
      <c r="AW3237" s="8" t="s">
        <v>100</v>
      </c>
      <c r="AX3237" s="4" t="s">
        <v>100</v>
      </c>
      <c r="AY3237" s="8" t="s">
        <v>100</v>
      </c>
      <c r="AZ3237" s="7" t="s">
        <v>100</v>
      </c>
      <c r="BA3237" s="7" t="s">
        <v>100</v>
      </c>
      <c r="BB3237" s="7"/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 t="s">
        <v>100</v>
      </c>
      <c r="BJ3237" s="4"/>
      <c r="BK3237" s="8"/>
      <c r="BL3237" s="2" t="s">
        <v>100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109</v>
      </c>
      <c r="BV3237" s="2" t="s">
        <v>97</v>
      </c>
      <c r="BW3237" s="2" t="s">
        <v>2365</v>
      </c>
      <c r="BX3237" s="2" t="s">
        <v>10474</v>
      </c>
      <c r="BY3237" s="2" t="s">
        <v>112</v>
      </c>
      <c r="BZ3237" s="2" t="s">
        <v>149</v>
      </c>
    </row>
    <row r="3238">
      <c r="A3238" s="2" t="s">
        <v>10475</v>
      </c>
      <c r="B3238" s="2" t="s">
        <v>9043</v>
      </c>
      <c r="C3238" s="2" t="s">
        <v>2357</v>
      </c>
      <c r="D3238" s="2" t="s">
        <v>9044</v>
      </c>
      <c r="E3238" s="2" t="s">
        <v>9045</v>
      </c>
      <c r="F3238" s="2" t="s">
        <v>10393</v>
      </c>
      <c r="G3238" s="2" t="s">
        <v>10393</v>
      </c>
      <c r="H3238" s="2" t="s">
        <v>10393</v>
      </c>
      <c r="I3238" s="2" t="s">
        <v>9627</v>
      </c>
      <c r="J3238" s="2" t="s">
        <v>118</v>
      </c>
      <c r="K3238" s="2" t="s">
        <v>6563</v>
      </c>
      <c r="L3238" s="3">
        <v>28.98</v>
      </c>
      <c r="M3238" s="3">
        <v>30.43</v>
      </c>
      <c r="N3238" s="3">
        <v>64.99</v>
      </c>
      <c r="O3238" s="2" t="s">
        <v>97</v>
      </c>
      <c r="P3238" s="2" t="s">
        <v>98</v>
      </c>
      <c r="Q3238" s="2" t="s">
        <v>99</v>
      </c>
      <c r="R3238" s="2" t="s">
        <v>100</v>
      </c>
      <c r="S3238" s="2" t="s">
        <v>10425</v>
      </c>
      <c r="T3238" s="2" t="s">
        <v>9205</v>
      </c>
      <c r="U3238" s="2" t="s">
        <v>1228</v>
      </c>
      <c r="V3238" s="2" t="s">
        <v>4636</v>
      </c>
      <c r="W3238" s="2" t="s">
        <v>270</v>
      </c>
      <c r="X3238" s="2" t="s">
        <v>609</v>
      </c>
      <c r="Y3238" s="2" t="s">
        <v>10185</v>
      </c>
      <c r="Z3238" s="4"/>
      <c r="AA3238" s="4">
        <f>=ROUNDDOWN({0},0)</f>
      </c>
      <c r="AB3238" s="5">
        <v>6</v>
      </c>
      <c r="AC3238" s="2" t="s">
        <v>1142</v>
      </c>
      <c r="AD3238" s="4">
        <v>68</v>
      </c>
      <c r="AE3238" s="4">
        <v>182</v>
      </c>
      <c r="AF3238" s="6">
        <v>65</v>
      </c>
      <c r="AG3238" s="6"/>
      <c r="AH3238" s="7">
        <v>0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 t="s">
        <v>100</v>
      </c>
      <c r="AW3238" s="8" t="s">
        <v>100</v>
      </c>
      <c r="AX3238" s="4" t="s">
        <v>100</v>
      </c>
      <c r="AY3238" s="8" t="s">
        <v>100</v>
      </c>
      <c r="AZ3238" s="7" t="s">
        <v>100</v>
      </c>
      <c r="BA3238" s="7" t="s">
        <v>100</v>
      </c>
      <c r="BB3238" s="7"/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 t="s">
        <v>100</v>
      </c>
      <c r="BJ3238" s="4"/>
      <c r="BK3238" s="8"/>
      <c r="BL3238" s="2" t="s">
        <v>100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109</v>
      </c>
      <c r="BV3238" s="2" t="s">
        <v>97</v>
      </c>
      <c r="BW3238" s="2" t="s">
        <v>2365</v>
      </c>
      <c r="BX3238" s="2" t="s">
        <v>7838</v>
      </c>
      <c r="BY3238" s="2" t="s">
        <v>112</v>
      </c>
      <c r="BZ3238" s="2" t="s">
        <v>149</v>
      </c>
    </row>
    <row r="3239">
      <c r="A3239" s="2" t="s">
        <v>10476</v>
      </c>
      <c r="B3239" s="2" t="s">
        <v>9043</v>
      </c>
      <c r="C3239" s="2" t="s">
        <v>2357</v>
      </c>
      <c r="D3239" s="2" t="s">
        <v>9044</v>
      </c>
      <c r="E3239" s="2" t="s">
        <v>9045</v>
      </c>
      <c r="F3239" s="2" t="s">
        <v>10393</v>
      </c>
      <c r="G3239" s="2" t="s">
        <v>10393</v>
      </c>
      <c r="H3239" s="2" t="s">
        <v>10393</v>
      </c>
      <c r="I3239" s="2" t="s">
        <v>9627</v>
      </c>
      <c r="J3239" s="2" t="s">
        <v>1443</v>
      </c>
      <c r="K3239" s="2" t="s">
        <v>10477</v>
      </c>
      <c r="L3239" s="3">
        <v>19.8</v>
      </c>
      <c r="M3239" s="3">
        <v>20.79</v>
      </c>
      <c r="N3239" s="3">
        <v>44.99</v>
      </c>
      <c r="O3239" s="2" t="s">
        <v>97</v>
      </c>
      <c r="P3239" s="2" t="s">
        <v>98</v>
      </c>
      <c r="Q3239" s="2" t="s">
        <v>99</v>
      </c>
      <c r="R3239" s="2" t="s">
        <v>100</v>
      </c>
      <c r="S3239" s="2" t="s">
        <v>10478</v>
      </c>
      <c r="T3239" s="2" t="s">
        <v>9205</v>
      </c>
      <c r="U3239" s="2" t="s">
        <v>100</v>
      </c>
      <c r="V3239" s="2" t="s">
        <v>3451</v>
      </c>
      <c r="W3239" s="2" t="s">
        <v>270</v>
      </c>
      <c r="X3239" s="2" t="s">
        <v>609</v>
      </c>
      <c r="Y3239" s="2" t="s">
        <v>499</v>
      </c>
      <c r="Z3239" s="4">
        <v>3</v>
      </c>
      <c r="AA3239" s="4">
        <f>=ROUNDDOWN(0.333333333333333,0)</f>
      </c>
      <c r="AB3239" s="5">
        <v>9</v>
      </c>
      <c r="AC3239" s="2" t="s">
        <v>1142</v>
      </c>
      <c r="AD3239" s="4">
        <v>98</v>
      </c>
      <c r="AE3239" s="4">
        <v>308</v>
      </c>
      <c r="AF3239" s="6">
        <v>65</v>
      </c>
      <c r="AG3239" s="6"/>
      <c r="AH3239" s="7">
        <v>0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 t="s">
        <v>100</v>
      </c>
      <c r="AW3239" s="8" t="s">
        <v>100</v>
      </c>
      <c r="AX3239" s="4" t="s">
        <v>100</v>
      </c>
      <c r="AY3239" s="8" t="s">
        <v>100</v>
      </c>
      <c r="AZ3239" s="7" t="s">
        <v>100</v>
      </c>
      <c r="BA3239" s="7" t="s">
        <v>100</v>
      </c>
      <c r="BB3239" s="7"/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 t="s">
        <v>100</v>
      </c>
      <c r="BJ3239" s="4"/>
      <c r="BK3239" s="8"/>
      <c r="BL3239" s="2" t="s">
        <v>100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109</v>
      </c>
      <c r="BV3239" s="2" t="s">
        <v>97</v>
      </c>
      <c r="BW3239" s="2" t="s">
        <v>10415</v>
      </c>
      <c r="BX3239" s="2" t="s">
        <v>5228</v>
      </c>
      <c r="BY3239" s="2" t="s">
        <v>112</v>
      </c>
      <c r="BZ3239" s="2" t="s">
        <v>149</v>
      </c>
    </row>
    <row r="3240">
      <c r="A3240" s="2" t="s">
        <v>10479</v>
      </c>
      <c r="B3240" s="2" t="s">
        <v>9043</v>
      </c>
      <c r="C3240" s="2" t="s">
        <v>2357</v>
      </c>
      <c r="D3240" s="2" t="s">
        <v>9044</v>
      </c>
      <c r="E3240" s="2" t="s">
        <v>9045</v>
      </c>
      <c r="F3240" s="2" t="s">
        <v>10393</v>
      </c>
      <c r="G3240" s="2" t="s">
        <v>10393</v>
      </c>
      <c r="H3240" s="2" t="s">
        <v>10393</v>
      </c>
      <c r="I3240" s="2" t="s">
        <v>9627</v>
      </c>
      <c r="J3240" s="2" t="s">
        <v>490</v>
      </c>
      <c r="K3240" s="2" t="s">
        <v>10477</v>
      </c>
      <c r="L3240" s="3">
        <v>21.78</v>
      </c>
      <c r="M3240" s="3">
        <v>22.87</v>
      </c>
      <c r="N3240" s="3">
        <v>49.99</v>
      </c>
      <c r="O3240" s="2" t="s">
        <v>97</v>
      </c>
      <c r="P3240" s="2" t="s">
        <v>98</v>
      </c>
      <c r="Q3240" s="2" t="s">
        <v>99</v>
      </c>
      <c r="R3240" s="2" t="s">
        <v>100</v>
      </c>
      <c r="S3240" s="2" t="s">
        <v>10478</v>
      </c>
      <c r="T3240" s="2" t="s">
        <v>9205</v>
      </c>
      <c r="U3240" s="2" t="s">
        <v>100</v>
      </c>
      <c r="V3240" s="2" t="s">
        <v>3451</v>
      </c>
      <c r="W3240" s="2" t="s">
        <v>270</v>
      </c>
      <c r="X3240" s="2" t="s">
        <v>609</v>
      </c>
      <c r="Y3240" s="2" t="s">
        <v>499</v>
      </c>
      <c r="Z3240" s="4"/>
      <c r="AA3240" s="4">
        <f>=ROUNDDOWN({0},0)</f>
      </c>
      <c r="AB3240" s="5">
        <v>13</v>
      </c>
      <c r="AC3240" s="2" t="s">
        <v>1142</v>
      </c>
      <c r="AD3240" s="4">
        <v>133</v>
      </c>
      <c r="AE3240" s="4">
        <v>419</v>
      </c>
      <c r="AF3240" s="6">
        <v>65</v>
      </c>
      <c r="AG3240" s="6"/>
      <c r="AH3240" s="7">
        <v>0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 t="s">
        <v>100</v>
      </c>
      <c r="AW3240" s="8" t="s">
        <v>100</v>
      </c>
      <c r="AX3240" s="4" t="s">
        <v>100</v>
      </c>
      <c r="AY3240" s="8" t="s">
        <v>100</v>
      </c>
      <c r="AZ3240" s="7" t="s">
        <v>100</v>
      </c>
      <c r="BA3240" s="7" t="s">
        <v>100</v>
      </c>
      <c r="BB3240" s="7"/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 t="s">
        <v>100</v>
      </c>
      <c r="BJ3240" s="4"/>
      <c r="BK3240" s="8"/>
      <c r="BL3240" s="2" t="s">
        <v>100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109</v>
      </c>
      <c r="BV3240" s="2" t="s">
        <v>97</v>
      </c>
      <c r="BW3240" s="2" t="s">
        <v>6286</v>
      </c>
      <c r="BX3240" s="2" t="s">
        <v>2369</v>
      </c>
      <c r="BY3240" s="2" t="s">
        <v>112</v>
      </c>
      <c r="BZ3240" s="2" t="s">
        <v>149</v>
      </c>
    </row>
    <row r="3241">
      <c r="A3241" s="2" t="s">
        <v>10480</v>
      </c>
      <c r="B3241" s="2" t="s">
        <v>9043</v>
      </c>
      <c r="C3241" s="2" t="s">
        <v>2357</v>
      </c>
      <c r="D3241" s="2" t="s">
        <v>9044</v>
      </c>
      <c r="E3241" s="2" t="s">
        <v>9045</v>
      </c>
      <c r="F3241" s="2" t="s">
        <v>10393</v>
      </c>
      <c r="G3241" s="2" t="s">
        <v>10393</v>
      </c>
      <c r="H3241" s="2" t="s">
        <v>10393</v>
      </c>
      <c r="I3241" s="2" t="s">
        <v>9627</v>
      </c>
      <c r="J3241" s="2" t="s">
        <v>95</v>
      </c>
      <c r="K3241" s="2" t="s">
        <v>10477</v>
      </c>
      <c r="L3241" s="3">
        <v>24.3</v>
      </c>
      <c r="M3241" s="3">
        <v>25.52</v>
      </c>
      <c r="N3241" s="3">
        <v>54.99</v>
      </c>
      <c r="O3241" s="2" t="s">
        <v>97</v>
      </c>
      <c r="P3241" s="2" t="s">
        <v>156</v>
      </c>
      <c r="Q3241" s="2" t="s">
        <v>99</v>
      </c>
      <c r="R3241" s="2" t="s">
        <v>100</v>
      </c>
      <c r="S3241" s="2" t="s">
        <v>10481</v>
      </c>
      <c r="T3241" s="2" t="s">
        <v>9205</v>
      </c>
      <c r="U3241" s="2" t="s">
        <v>100</v>
      </c>
      <c r="V3241" s="2" t="s">
        <v>3451</v>
      </c>
      <c r="W3241" s="2" t="s">
        <v>270</v>
      </c>
      <c r="X3241" s="2" t="s">
        <v>609</v>
      </c>
      <c r="Y3241" s="2" t="s">
        <v>499</v>
      </c>
      <c r="Z3241" s="4">
        <v>1</v>
      </c>
      <c r="AA3241" s="4">
        <f>=ROUNDDOWN(0.0526315789473684,0)</f>
      </c>
      <c r="AB3241" s="5">
        <v>19</v>
      </c>
      <c r="AC3241" s="2" t="s">
        <v>1142</v>
      </c>
      <c r="AD3241" s="4">
        <v>190</v>
      </c>
      <c r="AE3241" s="4">
        <v>564</v>
      </c>
      <c r="AF3241" s="6">
        <v>65</v>
      </c>
      <c r="AG3241" s="6"/>
      <c r="AH3241" s="7">
        <v>0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 t="s">
        <v>100</v>
      </c>
      <c r="AW3241" s="8" t="s">
        <v>100</v>
      </c>
      <c r="AX3241" s="4" t="s">
        <v>100</v>
      </c>
      <c r="AY3241" s="8" t="s">
        <v>100</v>
      </c>
      <c r="AZ3241" s="7" t="s">
        <v>100</v>
      </c>
      <c r="BA3241" s="7" t="s">
        <v>100</v>
      </c>
      <c r="BB3241" s="7"/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 t="s">
        <v>100</v>
      </c>
      <c r="BJ3241" s="4"/>
      <c r="BK3241" s="8"/>
      <c r="BL3241" s="2" t="s">
        <v>100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6286</v>
      </c>
      <c r="BX3241" s="2" t="s">
        <v>4611</v>
      </c>
      <c r="BY3241" s="2" t="s">
        <v>112</v>
      </c>
      <c r="BZ3241" s="2" t="s">
        <v>100</v>
      </c>
    </row>
    <row r="3242">
      <c r="A3242" s="2" t="s">
        <v>10482</v>
      </c>
      <c r="B3242" s="2" t="s">
        <v>9043</v>
      </c>
      <c r="C3242" s="2" t="s">
        <v>2357</v>
      </c>
      <c r="D3242" s="2" t="s">
        <v>9044</v>
      </c>
      <c r="E3242" s="2" t="s">
        <v>9045</v>
      </c>
      <c r="F3242" s="2" t="s">
        <v>10393</v>
      </c>
      <c r="G3242" s="2" t="s">
        <v>10393</v>
      </c>
      <c r="H3242" s="2" t="s">
        <v>10393</v>
      </c>
      <c r="I3242" s="2" t="s">
        <v>9627</v>
      </c>
      <c r="J3242" s="2" t="s">
        <v>114</v>
      </c>
      <c r="K3242" s="2" t="s">
        <v>10477</v>
      </c>
      <c r="L3242" s="3">
        <v>28.98</v>
      </c>
      <c r="M3242" s="3">
        <v>30.43</v>
      </c>
      <c r="N3242" s="3">
        <v>64.99</v>
      </c>
      <c r="O3242" s="2" t="s">
        <v>97</v>
      </c>
      <c r="P3242" s="2" t="s">
        <v>98</v>
      </c>
      <c r="Q3242" s="2" t="s">
        <v>99</v>
      </c>
      <c r="R3242" s="2" t="s">
        <v>100</v>
      </c>
      <c r="S3242" s="2" t="s">
        <v>10481</v>
      </c>
      <c r="T3242" s="2" t="s">
        <v>9205</v>
      </c>
      <c r="U3242" s="2" t="s">
        <v>100</v>
      </c>
      <c r="V3242" s="2" t="s">
        <v>3451</v>
      </c>
      <c r="W3242" s="2" t="s">
        <v>270</v>
      </c>
      <c r="X3242" s="2" t="s">
        <v>609</v>
      </c>
      <c r="Y3242" s="2" t="s">
        <v>499</v>
      </c>
      <c r="Z3242" s="4">
        <v>7</v>
      </c>
      <c r="AA3242" s="4">
        <f>=ROUNDDOWN(0.875,0)</f>
      </c>
      <c r="AB3242" s="5">
        <v>8</v>
      </c>
      <c r="AC3242" s="2" t="s">
        <v>1142</v>
      </c>
      <c r="AD3242" s="4">
        <v>84</v>
      </c>
      <c r="AE3242" s="4">
        <v>251</v>
      </c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 t="s">
        <v>100</v>
      </c>
      <c r="AW3242" s="8" t="s">
        <v>100</v>
      </c>
      <c r="AX3242" s="4" t="s">
        <v>100</v>
      </c>
      <c r="AY3242" s="8" t="s">
        <v>100</v>
      </c>
      <c r="AZ3242" s="7" t="s">
        <v>100</v>
      </c>
      <c r="BA3242" s="7" t="s">
        <v>100</v>
      </c>
      <c r="BB3242" s="7"/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 t="s">
        <v>100</v>
      </c>
      <c r="BJ3242" s="4">
        <v>2</v>
      </c>
      <c r="BK3242" s="8">
        <v>60.4</v>
      </c>
      <c r="BL3242" s="2" t="s">
        <v>6336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109</v>
      </c>
      <c r="BV3242" s="2" t="s">
        <v>97</v>
      </c>
      <c r="BW3242" s="2" t="s">
        <v>2365</v>
      </c>
      <c r="BX3242" s="2" t="s">
        <v>10483</v>
      </c>
      <c r="BY3242" s="2" t="s">
        <v>112</v>
      </c>
      <c r="BZ3242" s="2" t="s">
        <v>149</v>
      </c>
    </row>
    <row r="3243">
      <c r="A3243" s="2" t="s">
        <v>10484</v>
      </c>
      <c r="B3243" s="2" t="s">
        <v>9043</v>
      </c>
      <c r="C3243" s="2" t="s">
        <v>2357</v>
      </c>
      <c r="D3243" s="2" t="s">
        <v>9044</v>
      </c>
      <c r="E3243" s="2" t="s">
        <v>9045</v>
      </c>
      <c r="F3243" s="2" t="s">
        <v>10393</v>
      </c>
      <c r="G3243" s="2" t="s">
        <v>10393</v>
      </c>
      <c r="H3243" s="2" t="s">
        <v>10393</v>
      </c>
      <c r="I3243" s="2" t="s">
        <v>9627</v>
      </c>
      <c r="J3243" s="2" t="s">
        <v>118</v>
      </c>
      <c r="K3243" s="2" t="s">
        <v>10477</v>
      </c>
      <c r="L3243" s="3">
        <v>28.98</v>
      </c>
      <c r="M3243" s="3">
        <v>30.43</v>
      </c>
      <c r="N3243" s="3">
        <v>64.99</v>
      </c>
      <c r="O3243" s="2" t="s">
        <v>97</v>
      </c>
      <c r="P3243" s="2" t="s">
        <v>98</v>
      </c>
      <c r="Q3243" s="2" t="s">
        <v>99</v>
      </c>
      <c r="R3243" s="2" t="s">
        <v>100</v>
      </c>
      <c r="S3243" s="2" t="s">
        <v>10481</v>
      </c>
      <c r="T3243" s="2" t="s">
        <v>9205</v>
      </c>
      <c r="U3243" s="2" t="s">
        <v>100</v>
      </c>
      <c r="V3243" s="2" t="s">
        <v>3451</v>
      </c>
      <c r="W3243" s="2" t="s">
        <v>609</v>
      </c>
      <c r="X3243" s="2" t="s">
        <v>100</v>
      </c>
      <c r="Y3243" s="2" t="s">
        <v>499</v>
      </c>
      <c r="Z3243" s="4"/>
      <c r="AA3243" s="4">
        <f>=ROUNDDOWN({0},0)</f>
      </c>
      <c r="AB3243" s="5">
        <v>4</v>
      </c>
      <c r="AC3243" s="2" t="s">
        <v>1142</v>
      </c>
      <c r="AD3243" s="4">
        <v>53</v>
      </c>
      <c r="AE3243" s="4">
        <v>158</v>
      </c>
      <c r="AF3243" s="6">
        <v>65</v>
      </c>
      <c r="AG3243" s="6"/>
      <c r="AH3243" s="7">
        <v>0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 t="s">
        <v>100</v>
      </c>
      <c r="AW3243" s="8" t="s">
        <v>100</v>
      </c>
      <c r="AX3243" s="4" t="s">
        <v>100</v>
      </c>
      <c r="AY3243" s="8" t="s">
        <v>100</v>
      </c>
      <c r="AZ3243" s="7" t="s">
        <v>100</v>
      </c>
      <c r="BA3243" s="7" t="s">
        <v>100</v>
      </c>
      <c r="BB3243" s="7"/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 t="s">
        <v>100</v>
      </c>
      <c r="BJ3243" s="4"/>
      <c r="BK3243" s="8"/>
      <c r="BL3243" s="2" t="s">
        <v>100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109</v>
      </c>
      <c r="BV3243" s="2" t="s">
        <v>97</v>
      </c>
      <c r="BW3243" s="2" t="s">
        <v>2365</v>
      </c>
      <c r="BX3243" s="2" t="s">
        <v>10485</v>
      </c>
      <c r="BY3243" s="2" t="s">
        <v>112</v>
      </c>
      <c r="BZ3243" s="2" t="s">
        <v>149</v>
      </c>
    </row>
    <row r="3244">
      <c r="A3244" s="2" t="s">
        <v>10486</v>
      </c>
      <c r="B3244" s="2" t="s">
        <v>9043</v>
      </c>
      <c r="C3244" s="2" t="s">
        <v>10487</v>
      </c>
      <c r="D3244" s="2" t="s">
        <v>9044</v>
      </c>
      <c r="E3244" s="2" t="s">
        <v>9045</v>
      </c>
      <c r="F3244" s="2" t="s">
        <v>10488</v>
      </c>
      <c r="G3244" s="2" t="s">
        <v>10488</v>
      </c>
      <c r="H3244" s="2" t="s">
        <v>10488</v>
      </c>
      <c r="I3244" s="2" t="s">
        <v>10489</v>
      </c>
      <c r="J3244" s="2" t="s">
        <v>1443</v>
      </c>
      <c r="K3244" s="2" t="s">
        <v>4816</v>
      </c>
      <c r="L3244" s="3">
        <v>21.6</v>
      </c>
      <c r="M3244" s="3">
        <v>22.68</v>
      </c>
      <c r="N3244" s="3">
        <v>47.99</v>
      </c>
      <c r="O3244" s="2" t="s">
        <v>97</v>
      </c>
      <c r="P3244" s="2" t="s">
        <v>98</v>
      </c>
      <c r="Q3244" s="2" t="s">
        <v>99</v>
      </c>
      <c r="R3244" s="2" t="s">
        <v>100</v>
      </c>
      <c r="S3244" s="2" t="s">
        <v>10490</v>
      </c>
      <c r="T3244" s="2" t="s">
        <v>190</v>
      </c>
      <c r="U3244" s="2" t="s">
        <v>100</v>
      </c>
      <c r="V3244" s="2" t="s">
        <v>4677</v>
      </c>
      <c r="W3244" s="2" t="s">
        <v>609</v>
      </c>
      <c r="X3244" s="2" t="s">
        <v>100</v>
      </c>
      <c r="Y3244" s="2" t="s">
        <v>144</v>
      </c>
      <c r="Z3244" s="4">
        <v>128</v>
      </c>
      <c r="AA3244" s="4">
        <f>=ROUNDDOWN(5.81818181818182,0)</f>
      </c>
      <c r="AB3244" s="5">
        <v>22</v>
      </c>
      <c r="AC3244" s="2" t="s">
        <v>206</v>
      </c>
      <c r="AD3244" s="4">
        <v>136</v>
      </c>
      <c r="AE3244" s="4">
        <v>596</v>
      </c>
      <c r="AF3244" s="6">
        <v>67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1</v>
      </c>
      <c r="AQ3244" s="8">
        <v>21</v>
      </c>
      <c r="AR3244" s="4"/>
      <c r="AS3244" s="8"/>
      <c r="AT3244" s="7"/>
      <c r="AU3244" s="7"/>
      <c r="AV3244" s="4">
        <v>1</v>
      </c>
      <c r="AW3244" s="8">
        <v>21</v>
      </c>
      <c r="AX3244" s="4" t="s">
        <v>100</v>
      </c>
      <c r="AY3244" s="8" t="s">
        <v>100</v>
      </c>
      <c r="AZ3244" s="7" t="s">
        <v>100</v>
      </c>
      <c r="BA3244" s="7" t="s">
        <v>100</v>
      </c>
      <c r="BB3244" s="7">
        <v>1</v>
      </c>
      <c r="BC3244" s="4">
        <v>1</v>
      </c>
      <c r="BD3244" s="8">
        <v>21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>
        <v>1</v>
      </c>
      <c r="BJ3244" s="4">
        <v>67</v>
      </c>
      <c r="BK3244" s="8">
        <v>1486.68</v>
      </c>
      <c r="BL3244" s="2" t="s">
        <v>10491</v>
      </c>
      <c r="BM3244" s="7">
        <v>0.0149</v>
      </c>
      <c r="BN3244" s="7">
        <v>0.0141</v>
      </c>
      <c r="BO3244" s="4">
        <v>1</v>
      </c>
      <c r="BP3244" s="8">
        <v>21</v>
      </c>
      <c r="BQ3244" s="4"/>
      <c r="BR3244" s="8"/>
      <c r="BS3244" s="7"/>
      <c r="BT3244" s="7"/>
      <c r="BU3244" s="2" t="s">
        <v>109</v>
      </c>
      <c r="BV3244" s="2" t="s">
        <v>97</v>
      </c>
      <c r="BW3244" s="2" t="s">
        <v>464</v>
      </c>
      <c r="BX3244" s="2" t="s">
        <v>5813</v>
      </c>
      <c r="BY3244" s="2" t="s">
        <v>112</v>
      </c>
      <c r="BZ3244" s="2" t="s">
        <v>100</v>
      </c>
    </row>
    <row r="3245">
      <c r="A3245" s="2" t="s">
        <v>10492</v>
      </c>
      <c r="B3245" s="2" t="s">
        <v>9043</v>
      </c>
      <c r="C3245" s="2" t="s">
        <v>10487</v>
      </c>
      <c r="D3245" s="2" t="s">
        <v>9044</v>
      </c>
      <c r="E3245" s="2" t="s">
        <v>9045</v>
      </c>
      <c r="F3245" s="2" t="s">
        <v>10488</v>
      </c>
      <c r="G3245" s="2" t="s">
        <v>10488</v>
      </c>
      <c r="H3245" s="2" t="s">
        <v>10488</v>
      </c>
      <c r="I3245" s="2" t="s">
        <v>10489</v>
      </c>
      <c r="J3245" s="2" t="s">
        <v>95</v>
      </c>
      <c r="K3245" s="2" t="s">
        <v>4816</v>
      </c>
      <c r="L3245" s="3">
        <v>27</v>
      </c>
      <c r="M3245" s="3">
        <v>28.35</v>
      </c>
      <c r="N3245" s="3">
        <v>59.99</v>
      </c>
      <c r="O3245" s="2" t="s">
        <v>97</v>
      </c>
      <c r="P3245" s="2" t="s">
        <v>98</v>
      </c>
      <c r="Q3245" s="2" t="s">
        <v>99</v>
      </c>
      <c r="R3245" s="2" t="s">
        <v>100</v>
      </c>
      <c r="S3245" s="2" t="s">
        <v>10490</v>
      </c>
      <c r="T3245" s="2" t="s">
        <v>190</v>
      </c>
      <c r="U3245" s="2" t="s">
        <v>100</v>
      </c>
      <c r="V3245" s="2" t="s">
        <v>4677</v>
      </c>
      <c r="W3245" s="2" t="s">
        <v>609</v>
      </c>
      <c r="X3245" s="2" t="s">
        <v>100</v>
      </c>
      <c r="Y3245" s="2" t="s">
        <v>144</v>
      </c>
      <c r="Z3245" s="4">
        <v>130</v>
      </c>
      <c r="AA3245" s="4">
        <f>=ROUNDDOWN(9.28571428571429,0)</f>
      </c>
      <c r="AB3245" s="5">
        <v>14</v>
      </c>
      <c r="AC3245" s="2" t="s">
        <v>206</v>
      </c>
      <c r="AD3245" s="4">
        <v>117</v>
      </c>
      <c r="AE3245" s="4">
        <v>277</v>
      </c>
      <c r="AF3245" s="6">
        <v>67</v>
      </c>
      <c r="AG3245" s="6"/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/>
      <c r="AQ3245" s="8"/>
      <c r="AR3245" s="4"/>
      <c r="AS3245" s="8"/>
      <c r="AT3245" s="7"/>
      <c r="AU3245" s="7"/>
      <c r="AV3245" s="4" t="s">
        <v>100</v>
      </c>
      <c r="AW3245" s="8" t="s">
        <v>100</v>
      </c>
      <c r="AX3245" s="4" t="s">
        <v>100</v>
      </c>
      <c r="AY3245" s="8" t="s">
        <v>100</v>
      </c>
      <c r="AZ3245" s="7" t="s">
        <v>100</v>
      </c>
      <c r="BA3245" s="7" t="s">
        <v>100</v>
      </c>
      <c r="BB3245" s="7"/>
      <c r="BC3245" s="4" t="s">
        <v>100</v>
      </c>
      <c r="BD3245" s="8" t="s">
        <v>100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 t="s">
        <v>100</v>
      </c>
      <c r="BJ3245" s="4">
        <v>55</v>
      </c>
      <c r="BK3245" s="8">
        <v>1513.36</v>
      </c>
      <c r="BL3245" s="2" t="s">
        <v>357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109</v>
      </c>
      <c r="BV3245" s="2" t="s">
        <v>97</v>
      </c>
      <c r="BW3245" s="2" t="s">
        <v>464</v>
      </c>
      <c r="BX3245" s="2" t="s">
        <v>5451</v>
      </c>
      <c r="BY3245" s="2" t="s">
        <v>112</v>
      </c>
      <c r="BZ3245" s="2" t="s">
        <v>100</v>
      </c>
    </row>
    <row r="3246">
      <c r="A3246" s="2" t="s">
        <v>10493</v>
      </c>
      <c r="B3246" s="2" t="s">
        <v>9043</v>
      </c>
      <c r="C3246" s="2" t="s">
        <v>10487</v>
      </c>
      <c r="D3246" s="2" t="s">
        <v>9044</v>
      </c>
      <c r="E3246" s="2" t="s">
        <v>9045</v>
      </c>
      <c r="F3246" s="2" t="s">
        <v>10488</v>
      </c>
      <c r="G3246" s="2" t="s">
        <v>10488</v>
      </c>
      <c r="H3246" s="2" t="s">
        <v>10488</v>
      </c>
      <c r="I3246" s="2" t="s">
        <v>10489</v>
      </c>
      <c r="J3246" s="2" t="s">
        <v>95</v>
      </c>
      <c r="K3246" s="2" t="s">
        <v>386</v>
      </c>
      <c r="L3246" s="3">
        <v>27</v>
      </c>
      <c r="M3246" s="3">
        <v>28.35</v>
      </c>
      <c r="N3246" s="3">
        <v>59.99</v>
      </c>
      <c r="O3246" s="2" t="s">
        <v>97</v>
      </c>
      <c r="P3246" s="2" t="s">
        <v>98</v>
      </c>
      <c r="Q3246" s="2" t="s">
        <v>99</v>
      </c>
      <c r="R3246" s="2" t="s">
        <v>100</v>
      </c>
      <c r="S3246" s="2" t="s">
        <v>10494</v>
      </c>
      <c r="T3246" s="2" t="s">
        <v>190</v>
      </c>
      <c r="U3246" s="2" t="s">
        <v>100</v>
      </c>
      <c r="V3246" s="2" t="s">
        <v>4677</v>
      </c>
      <c r="W3246" s="2" t="s">
        <v>609</v>
      </c>
      <c r="X3246" s="2" t="s">
        <v>100</v>
      </c>
      <c r="Y3246" s="2" t="s">
        <v>144</v>
      </c>
      <c r="Z3246" s="4">
        <v>133</v>
      </c>
      <c r="AA3246" s="4">
        <f>=ROUNDDOWN(14.7777777777778,0)</f>
      </c>
      <c r="AB3246" s="5">
        <v>9</v>
      </c>
      <c r="AC3246" s="2" t="s">
        <v>206</v>
      </c>
      <c r="AD3246" s="4">
        <v>38</v>
      </c>
      <c r="AE3246" s="4">
        <v>178</v>
      </c>
      <c r="AF3246" s="6">
        <v>67</v>
      </c>
      <c r="AG3246" s="6"/>
      <c r="AH3246" s="7">
        <v>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/>
      <c r="AQ3246" s="8"/>
      <c r="AR3246" s="4"/>
      <c r="AS3246" s="8"/>
      <c r="AT3246" s="7"/>
      <c r="AU3246" s="7"/>
      <c r="AV3246" s="4"/>
      <c r="AW3246" s="8"/>
      <c r="AX3246" s="4"/>
      <c r="AY3246" s="8"/>
      <c r="AZ3246" s="7"/>
      <c r="BA3246" s="7"/>
      <c r="BB3246" s="7"/>
      <c r="BC3246" s="4" t="s">
        <v>100</v>
      </c>
      <c r="BD3246" s="8" t="s">
        <v>100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/>
      <c r="BJ3246" s="4">
        <v>24</v>
      </c>
      <c r="BK3246" s="8">
        <v>684.06</v>
      </c>
      <c r="BL3246" s="2" t="s">
        <v>357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109</v>
      </c>
      <c r="BV3246" s="2" t="s">
        <v>97</v>
      </c>
      <c r="BW3246" s="2" t="s">
        <v>464</v>
      </c>
      <c r="BX3246" s="2" t="s">
        <v>1892</v>
      </c>
      <c r="BY3246" s="2" t="s">
        <v>112</v>
      </c>
      <c r="BZ3246" s="2" t="s">
        <v>100</v>
      </c>
    </row>
    <row r="3247">
      <c r="A3247" s="2" t="s">
        <v>10495</v>
      </c>
      <c r="B3247" s="2" t="s">
        <v>9043</v>
      </c>
      <c r="C3247" s="2" t="s">
        <v>4042</v>
      </c>
      <c r="D3247" s="2" t="s">
        <v>9044</v>
      </c>
      <c r="E3247" s="2" t="s">
        <v>9045</v>
      </c>
      <c r="F3247" s="2" t="s">
        <v>10496</v>
      </c>
      <c r="G3247" s="2" t="s">
        <v>10496</v>
      </c>
      <c r="H3247" s="2" t="s">
        <v>10496</v>
      </c>
      <c r="I3247" s="2" t="s">
        <v>9627</v>
      </c>
      <c r="J3247" s="2" t="s">
        <v>1443</v>
      </c>
      <c r="K3247" s="2" t="s">
        <v>96</v>
      </c>
      <c r="L3247" s="3">
        <v>16.5</v>
      </c>
      <c r="M3247" s="3">
        <v>17.32</v>
      </c>
      <c r="N3247" s="3">
        <v>32.99</v>
      </c>
      <c r="O3247" s="2" t="s">
        <v>97</v>
      </c>
      <c r="P3247" s="2" t="s">
        <v>98</v>
      </c>
      <c r="Q3247" s="2" t="s">
        <v>99</v>
      </c>
      <c r="R3247" s="2" t="s">
        <v>100</v>
      </c>
      <c r="S3247" s="2" t="s">
        <v>10497</v>
      </c>
      <c r="T3247" s="2" t="s">
        <v>10498</v>
      </c>
      <c r="U3247" s="2" t="s">
        <v>100</v>
      </c>
      <c r="V3247" s="2" t="s">
        <v>461</v>
      </c>
      <c r="W3247" s="2" t="s">
        <v>609</v>
      </c>
      <c r="X3247" s="2" t="s">
        <v>100</v>
      </c>
      <c r="Y3247" s="2" t="s">
        <v>144</v>
      </c>
      <c r="Z3247" s="4">
        <v>138</v>
      </c>
      <c r="AA3247" s="4">
        <f>=ROUNDDOWN(27.6,0)</f>
      </c>
      <c r="AB3247" s="5">
        <v>5</v>
      </c>
      <c r="AC3247" s="2" t="s">
        <v>100</v>
      </c>
      <c r="AD3247" s="4"/>
      <c r="AE3247" s="4"/>
      <c r="AF3247" s="6">
        <v>66</v>
      </c>
      <c r="AG3247" s="6"/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>
        <v>1</v>
      </c>
      <c r="AQ3247" s="8">
        <v>17.01</v>
      </c>
      <c r="AR3247" s="4"/>
      <c r="AS3247" s="8"/>
      <c r="AT3247" s="7"/>
      <c r="AU3247" s="7"/>
      <c r="AV3247" s="4">
        <v>1</v>
      </c>
      <c r="AW3247" s="8">
        <v>17.01</v>
      </c>
      <c r="AX3247" s="4" t="s">
        <v>100</v>
      </c>
      <c r="AY3247" s="8" t="s">
        <v>100</v>
      </c>
      <c r="AZ3247" s="7" t="s">
        <v>100</v>
      </c>
      <c r="BA3247" s="7" t="s">
        <v>100</v>
      </c>
      <c r="BB3247" s="7">
        <v>1</v>
      </c>
      <c r="BC3247" s="4">
        <v>1</v>
      </c>
      <c r="BD3247" s="8">
        <v>17.01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>
        <v>1</v>
      </c>
      <c r="BJ3247" s="4">
        <v>20</v>
      </c>
      <c r="BK3247" s="8">
        <v>294.34</v>
      </c>
      <c r="BL3247" s="2" t="s">
        <v>4106</v>
      </c>
      <c r="BM3247" s="7">
        <v>0.05</v>
      </c>
      <c r="BN3247" s="7">
        <v>0.0578</v>
      </c>
      <c r="BO3247" s="4">
        <v>1</v>
      </c>
      <c r="BP3247" s="8">
        <v>17.01</v>
      </c>
      <c r="BQ3247" s="4"/>
      <c r="BR3247" s="8"/>
      <c r="BS3247" s="7"/>
      <c r="BT3247" s="7"/>
      <c r="BU3247" s="2" t="s">
        <v>109</v>
      </c>
      <c r="BV3247" s="2" t="s">
        <v>97</v>
      </c>
      <c r="BW3247" s="2" t="s">
        <v>4187</v>
      </c>
      <c r="BX3247" s="2" t="s">
        <v>5653</v>
      </c>
      <c r="BY3247" s="2" t="s">
        <v>112</v>
      </c>
      <c r="BZ3247" s="2" t="s">
        <v>100</v>
      </c>
    </row>
    <row r="3248">
      <c r="A3248" s="2" t="s">
        <v>10499</v>
      </c>
      <c r="B3248" s="2" t="s">
        <v>9043</v>
      </c>
      <c r="C3248" s="2" t="s">
        <v>4042</v>
      </c>
      <c r="D3248" s="2" t="s">
        <v>9044</v>
      </c>
      <c r="E3248" s="2" t="s">
        <v>9045</v>
      </c>
      <c r="F3248" s="2" t="s">
        <v>10496</v>
      </c>
      <c r="G3248" s="2" t="s">
        <v>10496</v>
      </c>
      <c r="H3248" s="2" t="s">
        <v>10496</v>
      </c>
      <c r="I3248" s="2" t="s">
        <v>9627</v>
      </c>
      <c r="J3248" s="2" t="s">
        <v>490</v>
      </c>
      <c r="K3248" s="2" t="s">
        <v>96</v>
      </c>
      <c r="L3248" s="3">
        <v>16.5</v>
      </c>
      <c r="M3248" s="3">
        <v>17.32</v>
      </c>
      <c r="N3248" s="3">
        <v>32.99</v>
      </c>
      <c r="O3248" s="2" t="s">
        <v>97</v>
      </c>
      <c r="P3248" s="2" t="s">
        <v>98</v>
      </c>
      <c r="Q3248" s="2" t="s">
        <v>99</v>
      </c>
      <c r="R3248" s="2" t="s">
        <v>100</v>
      </c>
      <c r="S3248" s="2" t="s">
        <v>10497</v>
      </c>
      <c r="T3248" s="2" t="s">
        <v>10498</v>
      </c>
      <c r="U3248" s="2" t="s">
        <v>100</v>
      </c>
      <c r="V3248" s="2" t="s">
        <v>461</v>
      </c>
      <c r="W3248" s="2" t="s">
        <v>609</v>
      </c>
      <c r="X3248" s="2" t="s">
        <v>100</v>
      </c>
      <c r="Y3248" s="2" t="s">
        <v>5012</v>
      </c>
      <c r="Z3248" s="4">
        <v>222</v>
      </c>
      <c r="AA3248" s="4">
        <f>=ROUNDDOWN(20.1818181818182,0)</f>
      </c>
      <c r="AB3248" s="5">
        <v>11</v>
      </c>
      <c r="AC3248" s="2" t="s">
        <v>1452</v>
      </c>
      <c r="AD3248" s="4">
        <v>100</v>
      </c>
      <c r="AE3248" s="4">
        <v>160</v>
      </c>
      <c r="AF3248" s="6">
        <v>66</v>
      </c>
      <c r="AG3248" s="6"/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/>
      <c r="AQ3248" s="8"/>
      <c r="AR3248" s="4"/>
      <c r="AS3248" s="8"/>
      <c r="AT3248" s="7"/>
      <c r="AU3248" s="7"/>
      <c r="AV3248" s="4" t="s">
        <v>100</v>
      </c>
      <c r="AW3248" s="8" t="s">
        <v>100</v>
      </c>
      <c r="AX3248" s="4" t="s">
        <v>100</v>
      </c>
      <c r="AY3248" s="8" t="s">
        <v>100</v>
      </c>
      <c r="AZ3248" s="7" t="s">
        <v>100</v>
      </c>
      <c r="BA3248" s="7" t="s">
        <v>100</v>
      </c>
      <c r="BB3248" s="7"/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 t="s">
        <v>100</v>
      </c>
      <c r="BJ3248" s="4">
        <v>22</v>
      </c>
      <c r="BK3248" s="8">
        <v>378.04</v>
      </c>
      <c r="BL3248" s="2" t="s">
        <v>10500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109</v>
      </c>
      <c r="BV3248" s="2" t="s">
        <v>97</v>
      </c>
      <c r="BW3248" s="2" t="s">
        <v>4187</v>
      </c>
      <c r="BX3248" s="2" t="s">
        <v>4194</v>
      </c>
      <c r="BY3248" s="2" t="s">
        <v>112</v>
      </c>
      <c r="BZ3248" s="2" t="s">
        <v>100</v>
      </c>
    </row>
    <row r="3249">
      <c r="A3249" s="2" t="s">
        <v>10501</v>
      </c>
      <c r="B3249" s="2" t="s">
        <v>9043</v>
      </c>
      <c r="C3249" s="2" t="s">
        <v>4042</v>
      </c>
      <c r="D3249" s="2" t="s">
        <v>9044</v>
      </c>
      <c r="E3249" s="2" t="s">
        <v>9045</v>
      </c>
      <c r="F3249" s="2" t="s">
        <v>10496</v>
      </c>
      <c r="G3249" s="2" t="s">
        <v>10496</v>
      </c>
      <c r="H3249" s="2" t="s">
        <v>10496</v>
      </c>
      <c r="I3249" s="2" t="s">
        <v>9627</v>
      </c>
      <c r="J3249" s="2" t="s">
        <v>114</v>
      </c>
      <c r="K3249" s="2" t="s">
        <v>96</v>
      </c>
      <c r="L3249" s="3">
        <v>21.5</v>
      </c>
      <c r="M3249" s="3">
        <v>22.58</v>
      </c>
      <c r="N3249" s="3">
        <v>42.99</v>
      </c>
      <c r="O3249" s="2" t="s">
        <v>97</v>
      </c>
      <c r="P3249" s="2" t="s">
        <v>98</v>
      </c>
      <c r="Q3249" s="2" t="s">
        <v>99</v>
      </c>
      <c r="R3249" s="2" t="s">
        <v>100</v>
      </c>
      <c r="S3249" s="2" t="s">
        <v>10497</v>
      </c>
      <c r="T3249" s="2" t="s">
        <v>10498</v>
      </c>
      <c r="U3249" s="2" t="s">
        <v>100</v>
      </c>
      <c r="V3249" s="2" t="s">
        <v>461</v>
      </c>
      <c r="W3249" s="2" t="s">
        <v>609</v>
      </c>
      <c r="X3249" s="2" t="s">
        <v>100</v>
      </c>
      <c r="Y3249" s="2" t="s">
        <v>5012</v>
      </c>
      <c r="Z3249" s="4">
        <v>271</v>
      </c>
      <c r="AA3249" s="4">
        <f>=ROUNDDOWN(14.2631578947368,0)</f>
      </c>
      <c r="AB3249" s="5">
        <v>19</v>
      </c>
      <c r="AC3249" s="2" t="s">
        <v>1452</v>
      </c>
      <c r="AD3249" s="4">
        <v>100</v>
      </c>
      <c r="AE3249" s="4">
        <v>200</v>
      </c>
      <c r="AF3249" s="6">
        <v>66</v>
      </c>
      <c r="AG3249" s="6"/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 t="s">
        <v>100</v>
      </c>
      <c r="AW3249" s="8" t="s">
        <v>100</v>
      </c>
      <c r="AX3249" s="4" t="s">
        <v>100</v>
      </c>
      <c r="AY3249" s="8" t="s">
        <v>100</v>
      </c>
      <c r="AZ3249" s="7" t="s">
        <v>100</v>
      </c>
      <c r="BA3249" s="7" t="s">
        <v>100</v>
      </c>
      <c r="BB3249" s="7"/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 t="s">
        <v>100</v>
      </c>
      <c r="BJ3249" s="4">
        <v>69</v>
      </c>
      <c r="BK3249" s="8">
        <v>1475.58</v>
      </c>
      <c r="BL3249" s="2" t="s">
        <v>10502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4187</v>
      </c>
      <c r="BX3249" s="2" t="s">
        <v>402</v>
      </c>
      <c r="BY3249" s="2" t="s">
        <v>112</v>
      </c>
      <c r="BZ3249" s="2" t="s">
        <v>100</v>
      </c>
    </row>
    <row r="3250">
      <c r="A3250" s="2" t="s">
        <v>10503</v>
      </c>
      <c r="B3250" s="2" t="s">
        <v>9043</v>
      </c>
      <c r="C3250" s="2" t="s">
        <v>4042</v>
      </c>
      <c r="D3250" s="2" t="s">
        <v>9044</v>
      </c>
      <c r="E3250" s="2" t="s">
        <v>9045</v>
      </c>
      <c r="F3250" s="2" t="s">
        <v>10496</v>
      </c>
      <c r="G3250" s="2" t="s">
        <v>10496</v>
      </c>
      <c r="H3250" s="2" t="s">
        <v>10496</v>
      </c>
      <c r="I3250" s="2" t="s">
        <v>9627</v>
      </c>
      <c r="J3250" s="2" t="s">
        <v>118</v>
      </c>
      <c r="K3250" s="2" t="s">
        <v>96</v>
      </c>
      <c r="L3250" s="3">
        <v>21.5</v>
      </c>
      <c r="M3250" s="3">
        <v>22.58</v>
      </c>
      <c r="N3250" s="3">
        <v>42.99</v>
      </c>
      <c r="O3250" s="2" t="s">
        <v>97</v>
      </c>
      <c r="P3250" s="2" t="s">
        <v>98</v>
      </c>
      <c r="Q3250" s="2" t="s">
        <v>99</v>
      </c>
      <c r="R3250" s="2" t="s">
        <v>100</v>
      </c>
      <c r="S3250" s="2" t="s">
        <v>10497</v>
      </c>
      <c r="T3250" s="2" t="s">
        <v>10498</v>
      </c>
      <c r="U3250" s="2" t="s">
        <v>100</v>
      </c>
      <c r="V3250" s="2" t="s">
        <v>461</v>
      </c>
      <c r="W3250" s="2" t="s">
        <v>609</v>
      </c>
      <c r="X3250" s="2" t="s">
        <v>100</v>
      </c>
      <c r="Y3250" s="2" t="s">
        <v>5012</v>
      </c>
      <c r="Z3250" s="4">
        <v>100</v>
      </c>
      <c r="AA3250" s="4">
        <f>=ROUNDDOWN(25,0)</f>
      </c>
      <c r="AB3250" s="5">
        <v>4</v>
      </c>
      <c r="AC3250" s="2" t="s">
        <v>100</v>
      </c>
      <c r="AD3250" s="4"/>
      <c r="AE3250" s="4"/>
      <c r="AF3250" s="6">
        <v>66</v>
      </c>
      <c r="AG3250" s="6"/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/>
      <c r="AQ3250" s="8"/>
      <c r="AR3250" s="4"/>
      <c r="AS3250" s="8"/>
      <c r="AT3250" s="7"/>
      <c r="AU3250" s="7"/>
      <c r="AV3250" s="4" t="s">
        <v>100</v>
      </c>
      <c r="AW3250" s="8" t="s">
        <v>100</v>
      </c>
      <c r="AX3250" s="4" t="s">
        <v>100</v>
      </c>
      <c r="AY3250" s="8" t="s">
        <v>100</v>
      </c>
      <c r="AZ3250" s="7" t="s">
        <v>100</v>
      </c>
      <c r="BA3250" s="7" t="s">
        <v>100</v>
      </c>
      <c r="BB3250" s="7"/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 t="s">
        <v>100</v>
      </c>
      <c r="BJ3250" s="4">
        <v>13</v>
      </c>
      <c r="BK3250" s="8">
        <v>288.36</v>
      </c>
      <c r="BL3250" s="2" t="s">
        <v>10504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4187</v>
      </c>
      <c r="BX3250" s="2" t="s">
        <v>9264</v>
      </c>
      <c r="BY3250" s="2" t="s">
        <v>112</v>
      </c>
      <c r="BZ3250" s="2" t="s">
        <v>100</v>
      </c>
    </row>
    <row r="3251">
      <c r="A3251" s="2" t="s">
        <v>10505</v>
      </c>
      <c r="B3251" s="2" t="s">
        <v>9043</v>
      </c>
      <c r="C3251" s="2" t="s">
        <v>4042</v>
      </c>
      <c r="D3251" s="2" t="s">
        <v>9044</v>
      </c>
      <c r="E3251" s="2" t="s">
        <v>9045</v>
      </c>
      <c r="F3251" s="2" t="s">
        <v>10496</v>
      </c>
      <c r="G3251" s="2" t="s">
        <v>10496</v>
      </c>
      <c r="H3251" s="2" t="s">
        <v>10496</v>
      </c>
      <c r="I3251" s="2" t="s">
        <v>9627</v>
      </c>
      <c r="J3251" s="2" t="s">
        <v>1443</v>
      </c>
      <c r="K3251" s="2" t="s">
        <v>471</v>
      </c>
      <c r="L3251" s="3">
        <v>16.5</v>
      </c>
      <c r="M3251" s="3">
        <v>17.32</v>
      </c>
      <c r="N3251" s="3">
        <v>32.99</v>
      </c>
      <c r="O3251" s="2" t="s">
        <v>97</v>
      </c>
      <c r="P3251" s="2" t="s">
        <v>98</v>
      </c>
      <c r="Q3251" s="2" t="s">
        <v>99</v>
      </c>
      <c r="R3251" s="2" t="s">
        <v>100</v>
      </c>
      <c r="S3251" s="2" t="s">
        <v>10506</v>
      </c>
      <c r="T3251" s="2" t="s">
        <v>10498</v>
      </c>
      <c r="U3251" s="2" t="s">
        <v>100</v>
      </c>
      <c r="V3251" s="2" t="s">
        <v>461</v>
      </c>
      <c r="W3251" s="2" t="s">
        <v>609</v>
      </c>
      <c r="X3251" s="2" t="s">
        <v>100</v>
      </c>
      <c r="Y3251" s="2" t="s">
        <v>5012</v>
      </c>
      <c r="Z3251" s="4">
        <v>118</v>
      </c>
      <c r="AA3251" s="4">
        <f>=ROUNDDOWN(59,0)</f>
      </c>
      <c r="AB3251" s="5">
        <v>2</v>
      </c>
      <c r="AC3251" s="2" t="s">
        <v>100</v>
      </c>
      <c r="AD3251" s="4"/>
      <c r="AE3251" s="4"/>
      <c r="AF3251" s="6">
        <v>66</v>
      </c>
      <c r="AG3251" s="6"/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/>
      <c r="AQ3251" s="8"/>
      <c r="AR3251" s="4"/>
      <c r="AS3251" s="8"/>
      <c r="AT3251" s="7"/>
      <c r="AU3251" s="7"/>
      <c r="AV3251" s="4" t="s">
        <v>100</v>
      </c>
      <c r="AW3251" s="8" t="s">
        <v>100</v>
      </c>
      <c r="AX3251" s="4" t="s">
        <v>100</v>
      </c>
      <c r="AY3251" s="8" t="s">
        <v>100</v>
      </c>
      <c r="AZ3251" s="7" t="s">
        <v>100</v>
      </c>
      <c r="BA3251" s="7" t="s">
        <v>100</v>
      </c>
      <c r="BB3251" s="7"/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 t="s">
        <v>100</v>
      </c>
      <c r="BJ3251" s="4">
        <v>5</v>
      </c>
      <c r="BK3251" s="8">
        <v>75.22</v>
      </c>
      <c r="BL3251" s="2" t="s">
        <v>9659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1824</v>
      </c>
      <c r="BX3251" s="2" t="s">
        <v>5367</v>
      </c>
      <c r="BY3251" s="2" t="s">
        <v>112</v>
      </c>
      <c r="BZ3251" s="2" t="s">
        <v>100</v>
      </c>
    </row>
    <row r="3252">
      <c r="A3252" s="2" t="s">
        <v>10507</v>
      </c>
      <c r="B3252" s="2" t="s">
        <v>9043</v>
      </c>
      <c r="C3252" s="2" t="s">
        <v>4042</v>
      </c>
      <c r="D3252" s="2" t="s">
        <v>9044</v>
      </c>
      <c r="E3252" s="2" t="s">
        <v>9045</v>
      </c>
      <c r="F3252" s="2" t="s">
        <v>10496</v>
      </c>
      <c r="G3252" s="2" t="s">
        <v>10496</v>
      </c>
      <c r="H3252" s="2" t="s">
        <v>10496</v>
      </c>
      <c r="I3252" s="2" t="s">
        <v>9627</v>
      </c>
      <c r="J3252" s="2" t="s">
        <v>490</v>
      </c>
      <c r="K3252" s="2" t="s">
        <v>471</v>
      </c>
      <c r="L3252" s="3">
        <v>16.5</v>
      </c>
      <c r="M3252" s="3">
        <v>17.32</v>
      </c>
      <c r="N3252" s="3">
        <v>32.99</v>
      </c>
      <c r="O3252" s="2" t="s">
        <v>97</v>
      </c>
      <c r="P3252" s="2" t="s">
        <v>707</v>
      </c>
      <c r="Q3252" s="2" t="s">
        <v>99</v>
      </c>
      <c r="R3252" s="2" t="s">
        <v>100</v>
      </c>
      <c r="S3252" s="2" t="s">
        <v>10506</v>
      </c>
      <c r="T3252" s="2" t="s">
        <v>10498</v>
      </c>
      <c r="U3252" s="2" t="s">
        <v>100</v>
      </c>
      <c r="V3252" s="2" t="s">
        <v>461</v>
      </c>
      <c r="W3252" s="2" t="s">
        <v>609</v>
      </c>
      <c r="X3252" s="2" t="s">
        <v>100</v>
      </c>
      <c r="Y3252" s="2" t="s">
        <v>5012</v>
      </c>
      <c r="Z3252" s="4">
        <v>457</v>
      </c>
      <c r="AA3252" s="4">
        <f>=ROUNDDOWN(152.333333333333,0)</f>
      </c>
      <c r="AB3252" s="5">
        <v>3</v>
      </c>
      <c r="AC3252" s="2" t="s">
        <v>100</v>
      </c>
      <c r="AD3252" s="4"/>
      <c r="AE3252" s="4"/>
      <c r="AF3252" s="6">
        <v>66</v>
      </c>
      <c r="AG3252" s="6"/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>
        <v>0</v>
      </c>
      <c r="AP3252" s="4"/>
      <c r="AQ3252" s="8"/>
      <c r="AR3252" s="4"/>
      <c r="AS3252" s="8"/>
      <c r="AT3252" s="7"/>
      <c r="AU3252" s="7"/>
      <c r="AV3252" s="4" t="s">
        <v>100</v>
      </c>
      <c r="AW3252" s="8" t="s">
        <v>100</v>
      </c>
      <c r="AX3252" s="4" t="s">
        <v>100</v>
      </c>
      <c r="AY3252" s="8" t="s">
        <v>100</v>
      </c>
      <c r="AZ3252" s="7" t="s">
        <v>100</v>
      </c>
      <c r="BA3252" s="7" t="s">
        <v>100</v>
      </c>
      <c r="BB3252" s="7"/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 t="s">
        <v>100</v>
      </c>
      <c r="BJ3252" s="4">
        <v>7</v>
      </c>
      <c r="BK3252" s="8">
        <v>117.8</v>
      </c>
      <c r="BL3252" s="2" t="s">
        <v>4269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109</v>
      </c>
      <c r="BV3252" s="2" t="s">
        <v>97</v>
      </c>
      <c r="BW3252" s="2" t="s">
        <v>1824</v>
      </c>
      <c r="BX3252" s="2" t="s">
        <v>5426</v>
      </c>
      <c r="BY3252" s="2" t="s">
        <v>112</v>
      </c>
      <c r="BZ3252" s="2" t="s">
        <v>100</v>
      </c>
    </row>
    <row r="3253">
      <c r="A3253" s="2" t="s">
        <v>10508</v>
      </c>
      <c r="B3253" s="2" t="s">
        <v>9043</v>
      </c>
      <c r="C3253" s="2" t="s">
        <v>4042</v>
      </c>
      <c r="D3253" s="2" t="s">
        <v>9044</v>
      </c>
      <c r="E3253" s="2" t="s">
        <v>9045</v>
      </c>
      <c r="F3253" s="2" t="s">
        <v>10496</v>
      </c>
      <c r="G3253" s="2" t="s">
        <v>10496</v>
      </c>
      <c r="H3253" s="2" t="s">
        <v>10496</v>
      </c>
      <c r="I3253" s="2" t="s">
        <v>9627</v>
      </c>
      <c r="J3253" s="2" t="s">
        <v>95</v>
      </c>
      <c r="K3253" s="2" t="s">
        <v>471</v>
      </c>
      <c r="L3253" s="3">
        <v>19</v>
      </c>
      <c r="M3253" s="3">
        <v>19.95</v>
      </c>
      <c r="N3253" s="3">
        <v>37.99</v>
      </c>
      <c r="O3253" s="2" t="s">
        <v>97</v>
      </c>
      <c r="P3253" s="2" t="s">
        <v>98</v>
      </c>
      <c r="Q3253" s="2" t="s">
        <v>99</v>
      </c>
      <c r="R3253" s="2" t="s">
        <v>100</v>
      </c>
      <c r="S3253" s="2" t="s">
        <v>10506</v>
      </c>
      <c r="T3253" s="2" t="s">
        <v>10498</v>
      </c>
      <c r="U3253" s="2" t="s">
        <v>100</v>
      </c>
      <c r="V3253" s="2" t="s">
        <v>461</v>
      </c>
      <c r="W3253" s="2" t="s">
        <v>609</v>
      </c>
      <c r="X3253" s="2" t="s">
        <v>100</v>
      </c>
      <c r="Y3253" s="2" t="s">
        <v>5012</v>
      </c>
      <c r="Z3253" s="4">
        <v>597</v>
      </c>
      <c r="AA3253" s="4">
        <f>=ROUNDDOWN(37.3125,0)</f>
      </c>
      <c r="AB3253" s="5">
        <v>16</v>
      </c>
      <c r="AC3253" s="2" t="s">
        <v>100</v>
      </c>
      <c r="AD3253" s="4"/>
      <c r="AE3253" s="4"/>
      <c r="AF3253" s="6">
        <v>66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/>
      <c r="AQ3253" s="8"/>
      <c r="AR3253" s="4"/>
      <c r="AS3253" s="8"/>
      <c r="AT3253" s="7"/>
      <c r="AU3253" s="7"/>
      <c r="AV3253" s="4" t="s">
        <v>100</v>
      </c>
      <c r="AW3253" s="8" t="s">
        <v>100</v>
      </c>
      <c r="AX3253" s="4" t="s">
        <v>100</v>
      </c>
      <c r="AY3253" s="8" t="s">
        <v>100</v>
      </c>
      <c r="AZ3253" s="7" t="s">
        <v>100</v>
      </c>
      <c r="BA3253" s="7" t="s">
        <v>100</v>
      </c>
      <c r="BB3253" s="7"/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 t="s">
        <v>100</v>
      </c>
      <c r="BJ3253" s="4">
        <v>28</v>
      </c>
      <c r="BK3253" s="8">
        <v>544.2</v>
      </c>
      <c r="BL3253" s="2" t="s">
        <v>10509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109</v>
      </c>
      <c r="BV3253" s="2" t="s">
        <v>97</v>
      </c>
      <c r="BW3253" s="2" t="s">
        <v>1824</v>
      </c>
      <c r="BX3253" s="2" t="s">
        <v>1892</v>
      </c>
      <c r="BY3253" s="2" t="s">
        <v>112</v>
      </c>
      <c r="BZ3253" s="2" t="s">
        <v>100</v>
      </c>
    </row>
    <row r="3254">
      <c r="A3254" s="2" t="s">
        <v>10510</v>
      </c>
      <c r="B3254" s="2" t="s">
        <v>9043</v>
      </c>
      <c r="C3254" s="2" t="s">
        <v>4042</v>
      </c>
      <c r="D3254" s="2" t="s">
        <v>9044</v>
      </c>
      <c r="E3254" s="2" t="s">
        <v>9045</v>
      </c>
      <c r="F3254" s="2" t="s">
        <v>10496</v>
      </c>
      <c r="G3254" s="2" t="s">
        <v>10496</v>
      </c>
      <c r="H3254" s="2" t="s">
        <v>10496</v>
      </c>
      <c r="I3254" s="2" t="s">
        <v>9627</v>
      </c>
      <c r="J3254" s="2" t="s">
        <v>114</v>
      </c>
      <c r="K3254" s="2" t="s">
        <v>471</v>
      </c>
      <c r="L3254" s="3">
        <v>21.5</v>
      </c>
      <c r="M3254" s="3">
        <v>22.58</v>
      </c>
      <c r="N3254" s="3">
        <v>42.99</v>
      </c>
      <c r="O3254" s="2" t="s">
        <v>97</v>
      </c>
      <c r="P3254" s="2" t="s">
        <v>98</v>
      </c>
      <c r="Q3254" s="2" t="s">
        <v>99</v>
      </c>
      <c r="R3254" s="2" t="s">
        <v>100</v>
      </c>
      <c r="S3254" s="2" t="s">
        <v>10506</v>
      </c>
      <c r="T3254" s="2" t="s">
        <v>10498</v>
      </c>
      <c r="U3254" s="2" t="s">
        <v>100</v>
      </c>
      <c r="V3254" s="2" t="s">
        <v>461</v>
      </c>
      <c r="W3254" s="2" t="s">
        <v>609</v>
      </c>
      <c r="X3254" s="2" t="s">
        <v>100</v>
      </c>
      <c r="Y3254" s="2" t="s">
        <v>5012</v>
      </c>
      <c r="Z3254" s="4">
        <v>304</v>
      </c>
      <c r="AA3254" s="4">
        <f>=ROUNDDOWN(38,0)</f>
      </c>
      <c r="AB3254" s="5">
        <v>8</v>
      </c>
      <c r="AC3254" s="2" t="s">
        <v>100</v>
      </c>
      <c r="AD3254" s="4"/>
      <c r="AE3254" s="4"/>
      <c r="AF3254" s="6">
        <v>66</v>
      </c>
      <c r="AG3254" s="6"/>
      <c r="AH3254" s="7">
        <v>1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 t="s">
        <v>100</v>
      </c>
      <c r="AW3254" s="8" t="s">
        <v>100</v>
      </c>
      <c r="AX3254" s="4" t="s">
        <v>100</v>
      </c>
      <c r="AY3254" s="8" t="s">
        <v>100</v>
      </c>
      <c r="AZ3254" s="7" t="s">
        <v>100</v>
      </c>
      <c r="BA3254" s="7" t="s">
        <v>100</v>
      </c>
      <c r="BB3254" s="7"/>
      <c r="BC3254" s="4" t="s">
        <v>100</v>
      </c>
      <c r="BD3254" s="8" t="s">
        <v>100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 t="s">
        <v>100</v>
      </c>
      <c r="BJ3254" s="4">
        <v>19</v>
      </c>
      <c r="BK3254" s="8">
        <v>420.88</v>
      </c>
      <c r="BL3254" s="2" t="s">
        <v>9720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109</v>
      </c>
      <c r="BV3254" s="2" t="s">
        <v>97</v>
      </c>
      <c r="BW3254" s="2" t="s">
        <v>1824</v>
      </c>
      <c r="BX3254" s="2" t="s">
        <v>5422</v>
      </c>
      <c r="BY3254" s="2" t="s">
        <v>112</v>
      </c>
      <c r="BZ3254" s="2" t="s">
        <v>100</v>
      </c>
    </row>
    <row r="3255">
      <c r="A3255" s="2" t="s">
        <v>10511</v>
      </c>
      <c r="B3255" s="2" t="s">
        <v>9043</v>
      </c>
      <c r="C3255" s="2" t="s">
        <v>4042</v>
      </c>
      <c r="D3255" s="2" t="s">
        <v>9044</v>
      </c>
      <c r="E3255" s="2" t="s">
        <v>9045</v>
      </c>
      <c r="F3255" s="2" t="s">
        <v>10496</v>
      </c>
      <c r="G3255" s="2" t="s">
        <v>10496</v>
      </c>
      <c r="H3255" s="2" t="s">
        <v>10496</v>
      </c>
      <c r="I3255" s="2" t="s">
        <v>9627</v>
      </c>
      <c r="J3255" s="2" t="s">
        <v>1443</v>
      </c>
      <c r="K3255" s="2" t="s">
        <v>1373</v>
      </c>
      <c r="L3255" s="3">
        <v>16.5</v>
      </c>
      <c r="M3255" s="3">
        <v>17.32</v>
      </c>
      <c r="N3255" s="3">
        <v>32.99</v>
      </c>
      <c r="O3255" s="2" t="s">
        <v>97</v>
      </c>
      <c r="P3255" s="2" t="s">
        <v>707</v>
      </c>
      <c r="Q3255" s="2" t="s">
        <v>99</v>
      </c>
      <c r="R3255" s="2" t="s">
        <v>100</v>
      </c>
      <c r="S3255" s="2" t="s">
        <v>10512</v>
      </c>
      <c r="T3255" s="2" t="s">
        <v>10498</v>
      </c>
      <c r="U3255" s="2" t="s">
        <v>100</v>
      </c>
      <c r="V3255" s="2" t="s">
        <v>461</v>
      </c>
      <c r="W3255" s="2" t="s">
        <v>609</v>
      </c>
      <c r="X3255" s="2" t="s">
        <v>100</v>
      </c>
      <c r="Y3255" s="2" t="s">
        <v>144</v>
      </c>
      <c r="Z3255" s="4">
        <v>67</v>
      </c>
      <c r="AA3255" s="4">
        <f>=ROUNDDOWN(33.5,0)</f>
      </c>
      <c r="AB3255" s="5">
        <v>2</v>
      </c>
      <c r="AC3255" s="2" t="s">
        <v>3082</v>
      </c>
      <c r="AD3255" s="4">
        <v>30</v>
      </c>
      <c r="AE3255" s="4">
        <v>30</v>
      </c>
      <c r="AF3255" s="6">
        <v>66</v>
      </c>
      <c r="AG3255" s="6"/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/>
      <c r="AQ3255" s="8"/>
      <c r="AR3255" s="4"/>
      <c r="AS3255" s="8"/>
      <c r="AT3255" s="7"/>
      <c r="AU3255" s="7"/>
      <c r="AV3255" s="4" t="s">
        <v>100</v>
      </c>
      <c r="AW3255" s="8" t="s">
        <v>100</v>
      </c>
      <c r="AX3255" s="4" t="s">
        <v>100</v>
      </c>
      <c r="AY3255" s="8" t="s">
        <v>100</v>
      </c>
      <c r="AZ3255" s="7" t="s">
        <v>100</v>
      </c>
      <c r="BA3255" s="7" t="s">
        <v>100</v>
      </c>
      <c r="BB3255" s="7"/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 t="s">
        <v>100</v>
      </c>
      <c r="BJ3255" s="4">
        <v>6</v>
      </c>
      <c r="BK3255" s="8">
        <v>86.65</v>
      </c>
      <c r="BL3255" s="2" t="s">
        <v>9659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109</v>
      </c>
      <c r="BV3255" s="2" t="s">
        <v>97</v>
      </c>
      <c r="BW3255" s="2" t="s">
        <v>1824</v>
      </c>
      <c r="BX3255" s="2" t="s">
        <v>3452</v>
      </c>
      <c r="BY3255" s="2" t="s">
        <v>112</v>
      </c>
      <c r="BZ3255" s="2" t="s">
        <v>100</v>
      </c>
    </row>
    <row r="3256">
      <c r="A3256" s="2" t="s">
        <v>10513</v>
      </c>
      <c r="B3256" s="2" t="s">
        <v>9043</v>
      </c>
      <c r="C3256" s="2" t="s">
        <v>4042</v>
      </c>
      <c r="D3256" s="2" t="s">
        <v>9044</v>
      </c>
      <c r="E3256" s="2" t="s">
        <v>9045</v>
      </c>
      <c r="F3256" s="2" t="s">
        <v>10496</v>
      </c>
      <c r="G3256" s="2" t="s">
        <v>10496</v>
      </c>
      <c r="H3256" s="2" t="s">
        <v>10496</v>
      </c>
      <c r="I3256" s="2" t="s">
        <v>9627</v>
      </c>
      <c r="J3256" s="2" t="s">
        <v>490</v>
      </c>
      <c r="K3256" s="2" t="s">
        <v>1373</v>
      </c>
      <c r="L3256" s="3">
        <v>16.5</v>
      </c>
      <c r="M3256" s="3">
        <v>17.32</v>
      </c>
      <c r="N3256" s="3">
        <v>32.99</v>
      </c>
      <c r="O3256" s="2" t="s">
        <v>97</v>
      </c>
      <c r="P3256" s="2" t="s">
        <v>98</v>
      </c>
      <c r="Q3256" s="2" t="s">
        <v>99</v>
      </c>
      <c r="R3256" s="2" t="s">
        <v>100</v>
      </c>
      <c r="S3256" s="2" t="s">
        <v>10512</v>
      </c>
      <c r="T3256" s="2" t="s">
        <v>10498</v>
      </c>
      <c r="U3256" s="2" t="s">
        <v>100</v>
      </c>
      <c r="V3256" s="2" t="s">
        <v>461</v>
      </c>
      <c r="W3256" s="2" t="s">
        <v>609</v>
      </c>
      <c r="X3256" s="2" t="s">
        <v>100</v>
      </c>
      <c r="Y3256" s="2" t="s">
        <v>144</v>
      </c>
      <c r="Z3256" s="4">
        <v>296</v>
      </c>
      <c r="AA3256" s="4">
        <f>=ROUNDDOWN(74,0)</f>
      </c>
      <c r="AB3256" s="5">
        <v>4</v>
      </c>
      <c r="AC3256" s="2" t="s">
        <v>100</v>
      </c>
      <c r="AD3256" s="4"/>
      <c r="AE3256" s="4"/>
      <c r="AF3256" s="6">
        <v>66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/>
      <c r="AQ3256" s="8"/>
      <c r="AR3256" s="4"/>
      <c r="AS3256" s="8"/>
      <c r="AT3256" s="7"/>
      <c r="AU3256" s="7"/>
      <c r="AV3256" s="4" t="s">
        <v>100</v>
      </c>
      <c r="AW3256" s="8" t="s">
        <v>100</v>
      </c>
      <c r="AX3256" s="4" t="s">
        <v>100</v>
      </c>
      <c r="AY3256" s="8" t="s">
        <v>100</v>
      </c>
      <c r="AZ3256" s="7" t="s">
        <v>100</v>
      </c>
      <c r="BA3256" s="7" t="s">
        <v>100</v>
      </c>
      <c r="BB3256" s="7"/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 t="s">
        <v>100</v>
      </c>
      <c r="BJ3256" s="4">
        <v>9</v>
      </c>
      <c r="BK3256" s="8">
        <v>150.88</v>
      </c>
      <c r="BL3256" s="2" t="s">
        <v>4269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109</v>
      </c>
      <c r="BV3256" s="2" t="s">
        <v>97</v>
      </c>
      <c r="BW3256" s="2" t="s">
        <v>4187</v>
      </c>
      <c r="BX3256" s="2" t="s">
        <v>980</v>
      </c>
      <c r="BY3256" s="2" t="s">
        <v>112</v>
      </c>
      <c r="BZ3256" s="2" t="s">
        <v>100</v>
      </c>
    </row>
    <row r="3257">
      <c r="A3257" s="2" t="s">
        <v>10514</v>
      </c>
      <c r="B3257" s="2" t="s">
        <v>9043</v>
      </c>
      <c r="C3257" s="2" t="s">
        <v>4042</v>
      </c>
      <c r="D3257" s="2" t="s">
        <v>9044</v>
      </c>
      <c r="E3257" s="2" t="s">
        <v>9045</v>
      </c>
      <c r="F3257" s="2" t="s">
        <v>10496</v>
      </c>
      <c r="G3257" s="2" t="s">
        <v>10496</v>
      </c>
      <c r="H3257" s="2" t="s">
        <v>10496</v>
      </c>
      <c r="I3257" s="2" t="s">
        <v>9627</v>
      </c>
      <c r="J3257" s="2" t="s">
        <v>114</v>
      </c>
      <c r="K3257" s="2" t="s">
        <v>1373</v>
      </c>
      <c r="L3257" s="3">
        <v>21.5</v>
      </c>
      <c r="M3257" s="3">
        <v>22.58</v>
      </c>
      <c r="N3257" s="3">
        <v>42.99</v>
      </c>
      <c r="O3257" s="2" t="s">
        <v>97</v>
      </c>
      <c r="P3257" s="2" t="s">
        <v>98</v>
      </c>
      <c r="Q3257" s="2" t="s">
        <v>99</v>
      </c>
      <c r="R3257" s="2" t="s">
        <v>100</v>
      </c>
      <c r="S3257" s="2" t="s">
        <v>10512</v>
      </c>
      <c r="T3257" s="2" t="s">
        <v>10498</v>
      </c>
      <c r="U3257" s="2" t="s">
        <v>100</v>
      </c>
      <c r="V3257" s="2" t="s">
        <v>461</v>
      </c>
      <c r="W3257" s="2" t="s">
        <v>609</v>
      </c>
      <c r="X3257" s="2" t="s">
        <v>100</v>
      </c>
      <c r="Y3257" s="2" t="s">
        <v>144</v>
      </c>
      <c r="Z3257" s="4">
        <v>256</v>
      </c>
      <c r="AA3257" s="4">
        <f>=ROUNDDOWN(32,0)</f>
      </c>
      <c r="AB3257" s="5">
        <v>8</v>
      </c>
      <c r="AC3257" s="2" t="s">
        <v>3082</v>
      </c>
      <c r="AD3257" s="4">
        <v>90</v>
      </c>
      <c r="AE3257" s="4">
        <v>90</v>
      </c>
      <c r="AF3257" s="6">
        <v>66</v>
      </c>
      <c r="AG3257" s="6"/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 t="s">
        <v>100</v>
      </c>
      <c r="AW3257" s="8" t="s">
        <v>100</v>
      </c>
      <c r="AX3257" s="4" t="s">
        <v>100</v>
      </c>
      <c r="AY3257" s="8" t="s">
        <v>100</v>
      </c>
      <c r="AZ3257" s="7" t="s">
        <v>100</v>
      </c>
      <c r="BA3257" s="7" t="s">
        <v>100</v>
      </c>
      <c r="BB3257" s="7"/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 t="s">
        <v>100</v>
      </c>
      <c r="BJ3257" s="4">
        <v>22</v>
      </c>
      <c r="BK3257" s="8">
        <v>494.47</v>
      </c>
      <c r="BL3257" s="2" t="s">
        <v>10515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109</v>
      </c>
      <c r="BV3257" s="2" t="s">
        <v>97</v>
      </c>
      <c r="BW3257" s="2" t="s">
        <v>1824</v>
      </c>
      <c r="BX3257" s="2" t="s">
        <v>5896</v>
      </c>
      <c r="BY3257" s="2" t="s">
        <v>112</v>
      </c>
      <c r="BZ3257" s="2" t="s">
        <v>100</v>
      </c>
    </row>
    <row r="3258">
      <c r="A3258" s="2" t="s">
        <v>10516</v>
      </c>
      <c r="B3258" s="2" t="s">
        <v>9043</v>
      </c>
      <c r="C3258" s="2" t="s">
        <v>4042</v>
      </c>
      <c r="D3258" s="2" t="s">
        <v>9044</v>
      </c>
      <c r="E3258" s="2" t="s">
        <v>9045</v>
      </c>
      <c r="F3258" s="2" t="s">
        <v>10496</v>
      </c>
      <c r="G3258" s="2" t="s">
        <v>10496</v>
      </c>
      <c r="H3258" s="2" t="s">
        <v>10496</v>
      </c>
      <c r="I3258" s="2" t="s">
        <v>9627</v>
      </c>
      <c r="J3258" s="2" t="s">
        <v>1443</v>
      </c>
      <c r="K3258" s="2" t="s">
        <v>4488</v>
      </c>
      <c r="L3258" s="3">
        <v>16.5</v>
      </c>
      <c r="M3258" s="3">
        <v>17.32</v>
      </c>
      <c r="N3258" s="3">
        <v>32.99</v>
      </c>
      <c r="O3258" s="2" t="s">
        <v>97</v>
      </c>
      <c r="P3258" s="2" t="s">
        <v>98</v>
      </c>
      <c r="Q3258" s="2" t="s">
        <v>99</v>
      </c>
      <c r="R3258" s="2" t="s">
        <v>100</v>
      </c>
      <c r="S3258" s="2" t="s">
        <v>10517</v>
      </c>
      <c r="T3258" s="2" t="s">
        <v>10498</v>
      </c>
      <c r="U3258" s="2" t="s">
        <v>901</v>
      </c>
      <c r="V3258" s="2" t="s">
        <v>461</v>
      </c>
      <c r="W3258" s="2" t="s">
        <v>609</v>
      </c>
      <c r="X3258" s="2" t="s">
        <v>493</v>
      </c>
      <c r="Y3258" s="2" t="s">
        <v>10518</v>
      </c>
      <c r="Z3258" s="4">
        <v>42</v>
      </c>
      <c r="AA3258" s="4">
        <f>=ROUNDDOWN(21,0)</f>
      </c>
      <c r="AB3258" s="5">
        <v>2</v>
      </c>
      <c r="AC3258" s="2" t="s">
        <v>1452</v>
      </c>
      <c r="AD3258" s="4">
        <v>30</v>
      </c>
      <c r="AE3258" s="4">
        <v>30</v>
      </c>
      <c r="AF3258" s="6">
        <v>66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/>
      <c r="AQ3258" s="8"/>
      <c r="AR3258" s="4"/>
      <c r="AS3258" s="8"/>
      <c r="AT3258" s="7"/>
      <c r="AU3258" s="7"/>
      <c r="AV3258" s="4" t="s">
        <v>100</v>
      </c>
      <c r="AW3258" s="8" t="s">
        <v>100</v>
      </c>
      <c r="AX3258" s="4" t="s">
        <v>100</v>
      </c>
      <c r="AY3258" s="8" t="s">
        <v>100</v>
      </c>
      <c r="AZ3258" s="7" t="s">
        <v>100</v>
      </c>
      <c r="BA3258" s="7" t="s">
        <v>100</v>
      </c>
      <c r="BB3258" s="7"/>
      <c r="BC3258" s="4" t="s">
        <v>100</v>
      </c>
      <c r="BD3258" s="8" t="s">
        <v>100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 t="s">
        <v>100</v>
      </c>
      <c r="BJ3258" s="4">
        <v>5</v>
      </c>
      <c r="BK3258" s="8">
        <v>86.42</v>
      </c>
      <c r="BL3258" s="2" t="s">
        <v>4269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171</v>
      </c>
      <c r="BV3258" s="2" t="s">
        <v>97</v>
      </c>
      <c r="BW3258" s="2" t="s">
        <v>100</v>
      </c>
      <c r="BX3258" s="2" t="s">
        <v>100</v>
      </c>
      <c r="BY3258" s="2" t="s">
        <v>112</v>
      </c>
      <c r="BZ3258" s="2" t="s">
        <v>100</v>
      </c>
    </row>
    <row r="3259">
      <c r="A3259" s="2" t="s">
        <v>10519</v>
      </c>
      <c r="B3259" s="2" t="s">
        <v>9043</v>
      </c>
      <c r="C3259" s="2" t="s">
        <v>4042</v>
      </c>
      <c r="D3259" s="2" t="s">
        <v>9044</v>
      </c>
      <c r="E3259" s="2" t="s">
        <v>9045</v>
      </c>
      <c r="F3259" s="2" t="s">
        <v>10496</v>
      </c>
      <c r="G3259" s="2" t="s">
        <v>10496</v>
      </c>
      <c r="H3259" s="2" t="s">
        <v>10496</v>
      </c>
      <c r="I3259" s="2" t="s">
        <v>9627</v>
      </c>
      <c r="J3259" s="2" t="s">
        <v>490</v>
      </c>
      <c r="K3259" s="2" t="s">
        <v>4488</v>
      </c>
      <c r="L3259" s="3">
        <v>16.5</v>
      </c>
      <c r="M3259" s="3">
        <v>17.32</v>
      </c>
      <c r="N3259" s="3">
        <v>32.99</v>
      </c>
      <c r="O3259" s="2" t="s">
        <v>97</v>
      </c>
      <c r="P3259" s="2" t="s">
        <v>98</v>
      </c>
      <c r="Q3259" s="2" t="s">
        <v>99</v>
      </c>
      <c r="R3259" s="2" t="s">
        <v>100</v>
      </c>
      <c r="S3259" s="2" t="s">
        <v>10517</v>
      </c>
      <c r="T3259" s="2" t="s">
        <v>10498</v>
      </c>
      <c r="U3259" s="2" t="s">
        <v>1228</v>
      </c>
      <c r="V3259" s="2" t="s">
        <v>461</v>
      </c>
      <c r="W3259" s="2" t="s">
        <v>609</v>
      </c>
      <c r="X3259" s="2" t="s">
        <v>493</v>
      </c>
      <c r="Y3259" s="2" t="s">
        <v>10518</v>
      </c>
      <c r="Z3259" s="4">
        <v>142</v>
      </c>
      <c r="AA3259" s="4">
        <f>=ROUNDDOWN(35.5,0)</f>
      </c>
      <c r="AB3259" s="5">
        <v>4</v>
      </c>
      <c r="AC3259" s="2" t="s">
        <v>3082</v>
      </c>
      <c r="AD3259" s="4">
        <v>20</v>
      </c>
      <c r="AE3259" s="4">
        <v>20</v>
      </c>
      <c r="AF3259" s="6">
        <v>66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/>
      <c r="AQ3259" s="8"/>
      <c r="AR3259" s="4"/>
      <c r="AS3259" s="8"/>
      <c r="AT3259" s="7"/>
      <c r="AU3259" s="7"/>
      <c r="AV3259" s="4" t="s">
        <v>100</v>
      </c>
      <c r="AW3259" s="8" t="s">
        <v>100</v>
      </c>
      <c r="AX3259" s="4" t="s">
        <v>100</v>
      </c>
      <c r="AY3259" s="8" t="s">
        <v>100</v>
      </c>
      <c r="AZ3259" s="7" t="s">
        <v>100</v>
      </c>
      <c r="BA3259" s="7" t="s">
        <v>100</v>
      </c>
      <c r="BB3259" s="7"/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 t="s">
        <v>100</v>
      </c>
      <c r="BJ3259" s="4">
        <v>9</v>
      </c>
      <c r="BK3259" s="8">
        <v>156.05</v>
      </c>
      <c r="BL3259" s="2" t="s">
        <v>9720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171</v>
      </c>
      <c r="BV3259" s="2" t="s">
        <v>97</v>
      </c>
      <c r="BW3259" s="2" t="s">
        <v>100</v>
      </c>
      <c r="BX3259" s="2" t="s">
        <v>100</v>
      </c>
      <c r="BY3259" s="2" t="s">
        <v>112</v>
      </c>
      <c r="BZ3259" s="2" t="s">
        <v>100</v>
      </c>
    </row>
    <row r="3260">
      <c r="A3260" s="2" t="s">
        <v>10520</v>
      </c>
      <c r="B3260" s="2" t="s">
        <v>9043</v>
      </c>
      <c r="C3260" s="2" t="s">
        <v>4042</v>
      </c>
      <c r="D3260" s="2" t="s">
        <v>9044</v>
      </c>
      <c r="E3260" s="2" t="s">
        <v>9045</v>
      </c>
      <c r="F3260" s="2" t="s">
        <v>10496</v>
      </c>
      <c r="G3260" s="2" t="s">
        <v>10496</v>
      </c>
      <c r="H3260" s="2" t="s">
        <v>10496</v>
      </c>
      <c r="I3260" s="2" t="s">
        <v>9627</v>
      </c>
      <c r="J3260" s="2" t="s">
        <v>95</v>
      </c>
      <c r="K3260" s="2" t="s">
        <v>4488</v>
      </c>
      <c r="L3260" s="3">
        <v>19</v>
      </c>
      <c r="M3260" s="3">
        <v>19.95</v>
      </c>
      <c r="N3260" s="3">
        <v>37.99</v>
      </c>
      <c r="O3260" s="2" t="s">
        <v>97</v>
      </c>
      <c r="P3260" s="2" t="s">
        <v>98</v>
      </c>
      <c r="Q3260" s="2" t="s">
        <v>99</v>
      </c>
      <c r="R3260" s="2" t="s">
        <v>100</v>
      </c>
      <c r="S3260" s="2" t="s">
        <v>10517</v>
      </c>
      <c r="T3260" s="2" t="s">
        <v>10498</v>
      </c>
      <c r="U3260" s="2" t="s">
        <v>1228</v>
      </c>
      <c r="V3260" s="2" t="s">
        <v>461</v>
      </c>
      <c r="W3260" s="2" t="s">
        <v>609</v>
      </c>
      <c r="X3260" s="2" t="s">
        <v>493</v>
      </c>
      <c r="Y3260" s="2" t="s">
        <v>10518</v>
      </c>
      <c r="Z3260" s="4">
        <v>404</v>
      </c>
      <c r="AA3260" s="4">
        <f>=ROUNDDOWN(28.8571428571429,0)</f>
      </c>
      <c r="AB3260" s="5">
        <v>14</v>
      </c>
      <c r="AC3260" s="2" t="s">
        <v>1452</v>
      </c>
      <c r="AD3260" s="4">
        <v>30</v>
      </c>
      <c r="AE3260" s="4">
        <v>200</v>
      </c>
      <c r="AF3260" s="6">
        <v>66</v>
      </c>
      <c r="AG3260" s="6"/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/>
      <c r="AQ3260" s="8"/>
      <c r="AR3260" s="4"/>
      <c r="AS3260" s="8"/>
      <c r="AT3260" s="7"/>
      <c r="AU3260" s="7"/>
      <c r="AV3260" s="4" t="s">
        <v>100</v>
      </c>
      <c r="AW3260" s="8" t="s">
        <v>100</v>
      </c>
      <c r="AX3260" s="4" t="s">
        <v>100</v>
      </c>
      <c r="AY3260" s="8" t="s">
        <v>100</v>
      </c>
      <c r="AZ3260" s="7" t="s">
        <v>100</v>
      </c>
      <c r="BA3260" s="7" t="s">
        <v>100</v>
      </c>
      <c r="BB3260" s="7"/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 t="s">
        <v>100</v>
      </c>
      <c r="BJ3260" s="4">
        <v>12</v>
      </c>
      <c r="BK3260" s="8">
        <v>235.03</v>
      </c>
      <c r="BL3260" s="2" t="s">
        <v>4269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171</v>
      </c>
      <c r="BV3260" s="2" t="s">
        <v>97</v>
      </c>
      <c r="BW3260" s="2" t="s">
        <v>100</v>
      </c>
      <c r="BX3260" s="2" t="s">
        <v>100</v>
      </c>
      <c r="BY3260" s="2" t="s">
        <v>112</v>
      </c>
      <c r="BZ3260" s="2" t="s">
        <v>100</v>
      </c>
    </row>
    <row r="3261">
      <c r="A3261" s="2" t="s">
        <v>10521</v>
      </c>
      <c r="B3261" s="2" t="s">
        <v>9043</v>
      </c>
      <c r="C3261" s="2" t="s">
        <v>4042</v>
      </c>
      <c r="D3261" s="2" t="s">
        <v>9044</v>
      </c>
      <c r="E3261" s="2" t="s">
        <v>9045</v>
      </c>
      <c r="F3261" s="2" t="s">
        <v>10496</v>
      </c>
      <c r="G3261" s="2" t="s">
        <v>10496</v>
      </c>
      <c r="H3261" s="2" t="s">
        <v>10496</v>
      </c>
      <c r="I3261" s="2" t="s">
        <v>9627</v>
      </c>
      <c r="J3261" s="2" t="s">
        <v>114</v>
      </c>
      <c r="K3261" s="2" t="s">
        <v>4488</v>
      </c>
      <c r="L3261" s="3">
        <v>21.5</v>
      </c>
      <c r="M3261" s="3">
        <v>22.58</v>
      </c>
      <c r="N3261" s="3">
        <v>42.99</v>
      </c>
      <c r="O3261" s="2" t="s">
        <v>97</v>
      </c>
      <c r="P3261" s="2" t="s">
        <v>98</v>
      </c>
      <c r="Q3261" s="2" t="s">
        <v>99</v>
      </c>
      <c r="R3261" s="2" t="s">
        <v>100</v>
      </c>
      <c r="S3261" s="2" t="s">
        <v>10517</v>
      </c>
      <c r="T3261" s="2" t="s">
        <v>10498</v>
      </c>
      <c r="U3261" s="2" t="s">
        <v>1228</v>
      </c>
      <c r="V3261" s="2" t="s">
        <v>461</v>
      </c>
      <c r="W3261" s="2" t="s">
        <v>609</v>
      </c>
      <c r="X3261" s="2" t="s">
        <v>493</v>
      </c>
      <c r="Y3261" s="2" t="s">
        <v>10518</v>
      </c>
      <c r="Z3261" s="4">
        <v>245</v>
      </c>
      <c r="AA3261" s="4">
        <f>=ROUNDDOWN(27.2222222222222,0)</f>
      </c>
      <c r="AB3261" s="5">
        <v>9</v>
      </c>
      <c r="AC3261" s="2" t="s">
        <v>1452</v>
      </c>
      <c r="AD3261" s="4">
        <v>30</v>
      </c>
      <c r="AE3261" s="4">
        <v>130</v>
      </c>
      <c r="AF3261" s="6">
        <v>66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/>
      <c r="AQ3261" s="8"/>
      <c r="AR3261" s="4"/>
      <c r="AS3261" s="8"/>
      <c r="AT3261" s="7"/>
      <c r="AU3261" s="7"/>
      <c r="AV3261" s="4" t="s">
        <v>100</v>
      </c>
      <c r="AW3261" s="8" t="s">
        <v>100</v>
      </c>
      <c r="AX3261" s="4" t="s">
        <v>100</v>
      </c>
      <c r="AY3261" s="8" t="s">
        <v>100</v>
      </c>
      <c r="AZ3261" s="7" t="s">
        <v>100</v>
      </c>
      <c r="BA3261" s="7" t="s">
        <v>100</v>
      </c>
      <c r="BB3261" s="7"/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 t="s">
        <v>100</v>
      </c>
      <c r="BJ3261" s="4">
        <v>14</v>
      </c>
      <c r="BK3261" s="8">
        <v>318.7</v>
      </c>
      <c r="BL3261" s="2" t="s">
        <v>9334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171</v>
      </c>
      <c r="BV3261" s="2" t="s">
        <v>97</v>
      </c>
      <c r="BW3261" s="2" t="s">
        <v>100</v>
      </c>
      <c r="BX3261" s="2" t="s">
        <v>100</v>
      </c>
      <c r="BY3261" s="2" t="s">
        <v>112</v>
      </c>
      <c r="BZ3261" s="2" t="s">
        <v>100</v>
      </c>
    </row>
    <row r="3262">
      <c r="A3262" s="2" t="s">
        <v>10522</v>
      </c>
      <c r="B3262" s="2" t="s">
        <v>9043</v>
      </c>
      <c r="C3262" s="2" t="s">
        <v>4042</v>
      </c>
      <c r="D3262" s="2" t="s">
        <v>9044</v>
      </c>
      <c r="E3262" s="2" t="s">
        <v>9045</v>
      </c>
      <c r="F3262" s="2" t="s">
        <v>10496</v>
      </c>
      <c r="G3262" s="2" t="s">
        <v>10496</v>
      </c>
      <c r="H3262" s="2" t="s">
        <v>10496</v>
      </c>
      <c r="I3262" s="2" t="s">
        <v>9627</v>
      </c>
      <c r="J3262" s="2" t="s">
        <v>1443</v>
      </c>
      <c r="K3262" s="2" t="s">
        <v>458</v>
      </c>
      <c r="L3262" s="3">
        <v>16.5</v>
      </c>
      <c r="M3262" s="3">
        <v>17.32</v>
      </c>
      <c r="N3262" s="3">
        <v>32.99</v>
      </c>
      <c r="O3262" s="2" t="s">
        <v>97</v>
      </c>
      <c r="P3262" s="2" t="s">
        <v>98</v>
      </c>
      <c r="Q3262" s="2" t="s">
        <v>99</v>
      </c>
      <c r="R3262" s="2" t="s">
        <v>100</v>
      </c>
      <c r="S3262" s="2" t="s">
        <v>10523</v>
      </c>
      <c r="T3262" s="2" t="s">
        <v>10498</v>
      </c>
      <c r="U3262" s="2" t="s">
        <v>100</v>
      </c>
      <c r="V3262" s="2" t="s">
        <v>461</v>
      </c>
      <c r="W3262" s="2" t="s">
        <v>609</v>
      </c>
      <c r="X3262" s="2" t="s">
        <v>100</v>
      </c>
      <c r="Y3262" s="2" t="s">
        <v>5012</v>
      </c>
      <c r="Z3262" s="4">
        <v>127</v>
      </c>
      <c r="AA3262" s="4">
        <f>=ROUNDDOWN(42.3333333333333,0)</f>
      </c>
      <c r="AB3262" s="5">
        <v>3</v>
      </c>
      <c r="AC3262" s="2" t="s">
        <v>3082</v>
      </c>
      <c r="AD3262" s="4">
        <v>60</v>
      </c>
      <c r="AE3262" s="4">
        <v>60</v>
      </c>
      <c r="AF3262" s="6">
        <v>66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/>
      <c r="AQ3262" s="8"/>
      <c r="AR3262" s="4"/>
      <c r="AS3262" s="8"/>
      <c r="AT3262" s="7"/>
      <c r="AU3262" s="7"/>
      <c r="AV3262" s="4" t="s">
        <v>100</v>
      </c>
      <c r="AW3262" s="8" t="s">
        <v>100</v>
      </c>
      <c r="AX3262" s="4" t="s">
        <v>100</v>
      </c>
      <c r="AY3262" s="8" t="s">
        <v>100</v>
      </c>
      <c r="AZ3262" s="7" t="s">
        <v>100</v>
      </c>
      <c r="BA3262" s="7" t="s">
        <v>100</v>
      </c>
      <c r="BB3262" s="7"/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 t="s">
        <v>100</v>
      </c>
      <c r="BJ3262" s="4">
        <v>11</v>
      </c>
      <c r="BK3262" s="8">
        <v>170.42</v>
      </c>
      <c r="BL3262" s="2" t="s">
        <v>10524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4187</v>
      </c>
      <c r="BX3262" s="2" t="s">
        <v>5367</v>
      </c>
      <c r="BY3262" s="2" t="s">
        <v>112</v>
      </c>
      <c r="BZ3262" s="2" t="s">
        <v>100</v>
      </c>
    </row>
    <row r="3263">
      <c r="A3263" s="2" t="s">
        <v>10525</v>
      </c>
      <c r="B3263" s="2" t="s">
        <v>9043</v>
      </c>
      <c r="C3263" s="2" t="s">
        <v>4042</v>
      </c>
      <c r="D3263" s="2" t="s">
        <v>9044</v>
      </c>
      <c r="E3263" s="2" t="s">
        <v>9045</v>
      </c>
      <c r="F3263" s="2" t="s">
        <v>10496</v>
      </c>
      <c r="G3263" s="2" t="s">
        <v>10496</v>
      </c>
      <c r="H3263" s="2" t="s">
        <v>10496</v>
      </c>
      <c r="I3263" s="2" t="s">
        <v>9627</v>
      </c>
      <c r="J3263" s="2" t="s">
        <v>490</v>
      </c>
      <c r="K3263" s="2" t="s">
        <v>458</v>
      </c>
      <c r="L3263" s="3">
        <v>16.5</v>
      </c>
      <c r="M3263" s="3">
        <v>17.32</v>
      </c>
      <c r="N3263" s="3">
        <v>32.99</v>
      </c>
      <c r="O3263" s="2" t="s">
        <v>97</v>
      </c>
      <c r="P3263" s="2" t="s">
        <v>98</v>
      </c>
      <c r="Q3263" s="2" t="s">
        <v>99</v>
      </c>
      <c r="R3263" s="2" t="s">
        <v>100</v>
      </c>
      <c r="S3263" s="2" t="s">
        <v>10523</v>
      </c>
      <c r="T3263" s="2" t="s">
        <v>10498</v>
      </c>
      <c r="U3263" s="2" t="s">
        <v>100</v>
      </c>
      <c r="V3263" s="2" t="s">
        <v>461</v>
      </c>
      <c r="W3263" s="2" t="s">
        <v>609</v>
      </c>
      <c r="X3263" s="2" t="s">
        <v>100</v>
      </c>
      <c r="Y3263" s="2" t="s">
        <v>5012</v>
      </c>
      <c r="Z3263" s="4">
        <v>146</v>
      </c>
      <c r="AA3263" s="4">
        <f>=ROUNDDOWN(36.5,0)</f>
      </c>
      <c r="AB3263" s="5">
        <v>4</v>
      </c>
      <c r="AC3263" s="2" t="s">
        <v>3082</v>
      </c>
      <c r="AD3263" s="4">
        <v>20</v>
      </c>
      <c r="AE3263" s="4">
        <v>20</v>
      </c>
      <c r="AF3263" s="6">
        <v>66</v>
      </c>
      <c r="AG3263" s="6"/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/>
      <c r="AQ3263" s="8"/>
      <c r="AR3263" s="4"/>
      <c r="AS3263" s="8"/>
      <c r="AT3263" s="7"/>
      <c r="AU3263" s="7"/>
      <c r="AV3263" s="4" t="s">
        <v>100</v>
      </c>
      <c r="AW3263" s="8" t="s">
        <v>100</v>
      </c>
      <c r="AX3263" s="4" t="s">
        <v>100</v>
      </c>
      <c r="AY3263" s="8" t="s">
        <v>100</v>
      </c>
      <c r="AZ3263" s="7" t="s">
        <v>100</v>
      </c>
      <c r="BA3263" s="7" t="s">
        <v>100</v>
      </c>
      <c r="BB3263" s="7"/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 t="s">
        <v>100</v>
      </c>
      <c r="BJ3263" s="4">
        <v>30</v>
      </c>
      <c r="BK3263" s="8">
        <v>511.44</v>
      </c>
      <c r="BL3263" s="2" t="s">
        <v>5927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4187</v>
      </c>
      <c r="BX3263" s="2" t="s">
        <v>5508</v>
      </c>
      <c r="BY3263" s="2" t="s">
        <v>112</v>
      </c>
      <c r="BZ3263" s="2" t="s">
        <v>100</v>
      </c>
    </row>
    <row r="3264">
      <c r="A3264" s="2" t="s">
        <v>10526</v>
      </c>
      <c r="B3264" s="2" t="s">
        <v>9043</v>
      </c>
      <c r="C3264" s="2" t="s">
        <v>4042</v>
      </c>
      <c r="D3264" s="2" t="s">
        <v>9044</v>
      </c>
      <c r="E3264" s="2" t="s">
        <v>9045</v>
      </c>
      <c r="F3264" s="2" t="s">
        <v>10496</v>
      </c>
      <c r="G3264" s="2" t="s">
        <v>10496</v>
      </c>
      <c r="H3264" s="2" t="s">
        <v>10496</v>
      </c>
      <c r="I3264" s="2" t="s">
        <v>9627</v>
      </c>
      <c r="J3264" s="2" t="s">
        <v>95</v>
      </c>
      <c r="K3264" s="2" t="s">
        <v>458</v>
      </c>
      <c r="L3264" s="3">
        <v>19</v>
      </c>
      <c r="M3264" s="3">
        <v>19.95</v>
      </c>
      <c r="N3264" s="3">
        <v>37.99</v>
      </c>
      <c r="O3264" s="2" t="s">
        <v>97</v>
      </c>
      <c r="P3264" s="2" t="s">
        <v>98</v>
      </c>
      <c r="Q3264" s="2" t="s">
        <v>99</v>
      </c>
      <c r="R3264" s="2" t="s">
        <v>100</v>
      </c>
      <c r="S3264" s="2" t="s">
        <v>10523</v>
      </c>
      <c r="T3264" s="2" t="s">
        <v>10498</v>
      </c>
      <c r="U3264" s="2" t="s">
        <v>100</v>
      </c>
      <c r="V3264" s="2" t="s">
        <v>461</v>
      </c>
      <c r="W3264" s="2" t="s">
        <v>609</v>
      </c>
      <c r="X3264" s="2" t="s">
        <v>100</v>
      </c>
      <c r="Y3264" s="2" t="s">
        <v>5012</v>
      </c>
      <c r="Z3264" s="4">
        <v>365</v>
      </c>
      <c r="AA3264" s="4">
        <f>=ROUNDDOWN(22.8125,0)</f>
      </c>
      <c r="AB3264" s="5">
        <v>16</v>
      </c>
      <c r="AC3264" s="2" t="s">
        <v>1452</v>
      </c>
      <c r="AD3264" s="4">
        <v>120</v>
      </c>
      <c r="AE3264" s="4">
        <v>320</v>
      </c>
      <c r="AF3264" s="6">
        <v>66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/>
      <c r="AQ3264" s="8"/>
      <c r="AR3264" s="4"/>
      <c r="AS3264" s="8"/>
      <c r="AT3264" s="7"/>
      <c r="AU3264" s="7"/>
      <c r="AV3264" s="4" t="s">
        <v>100</v>
      </c>
      <c r="AW3264" s="8" t="s">
        <v>100</v>
      </c>
      <c r="AX3264" s="4" t="s">
        <v>100</v>
      </c>
      <c r="AY3264" s="8" t="s">
        <v>100</v>
      </c>
      <c r="AZ3264" s="7" t="s">
        <v>100</v>
      </c>
      <c r="BA3264" s="7" t="s">
        <v>100</v>
      </c>
      <c r="BB3264" s="7"/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 t="s">
        <v>100</v>
      </c>
      <c r="BJ3264" s="4">
        <v>52</v>
      </c>
      <c r="BK3264" s="8">
        <v>1033.73</v>
      </c>
      <c r="BL3264" s="2" t="s">
        <v>10527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4187</v>
      </c>
      <c r="BX3264" s="2" t="s">
        <v>416</v>
      </c>
      <c r="BY3264" s="2" t="s">
        <v>112</v>
      </c>
      <c r="BZ3264" s="2" t="s">
        <v>100</v>
      </c>
    </row>
    <row r="3265">
      <c r="A3265" s="2" t="s">
        <v>10528</v>
      </c>
      <c r="B3265" s="2" t="s">
        <v>9043</v>
      </c>
      <c r="C3265" s="2" t="s">
        <v>4042</v>
      </c>
      <c r="D3265" s="2" t="s">
        <v>9044</v>
      </c>
      <c r="E3265" s="2" t="s">
        <v>9045</v>
      </c>
      <c r="F3265" s="2" t="s">
        <v>10496</v>
      </c>
      <c r="G3265" s="2" t="s">
        <v>10496</v>
      </c>
      <c r="H3265" s="2" t="s">
        <v>10496</v>
      </c>
      <c r="I3265" s="2" t="s">
        <v>9627</v>
      </c>
      <c r="J3265" s="2" t="s">
        <v>114</v>
      </c>
      <c r="K3265" s="2" t="s">
        <v>458</v>
      </c>
      <c r="L3265" s="3">
        <v>21.5</v>
      </c>
      <c r="M3265" s="3">
        <v>22.58</v>
      </c>
      <c r="N3265" s="3">
        <v>42.99</v>
      </c>
      <c r="O3265" s="2" t="s">
        <v>97</v>
      </c>
      <c r="P3265" s="2" t="s">
        <v>98</v>
      </c>
      <c r="Q3265" s="2" t="s">
        <v>99</v>
      </c>
      <c r="R3265" s="2" t="s">
        <v>100</v>
      </c>
      <c r="S3265" s="2" t="s">
        <v>10523</v>
      </c>
      <c r="T3265" s="2" t="s">
        <v>10498</v>
      </c>
      <c r="U3265" s="2" t="s">
        <v>100</v>
      </c>
      <c r="V3265" s="2" t="s">
        <v>461</v>
      </c>
      <c r="W3265" s="2" t="s">
        <v>609</v>
      </c>
      <c r="X3265" s="2" t="s">
        <v>100</v>
      </c>
      <c r="Y3265" s="2" t="s">
        <v>5012</v>
      </c>
      <c r="Z3265" s="4">
        <v>333</v>
      </c>
      <c r="AA3265" s="4">
        <f>=ROUNDDOWN(30.2727272727273,0)</f>
      </c>
      <c r="AB3265" s="5">
        <v>11</v>
      </c>
      <c r="AC3265" s="2" t="s">
        <v>3082</v>
      </c>
      <c r="AD3265" s="4">
        <v>100</v>
      </c>
      <c r="AE3265" s="4">
        <v>100</v>
      </c>
      <c r="AF3265" s="6">
        <v>66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 t="s">
        <v>100</v>
      </c>
      <c r="AW3265" s="8" t="s">
        <v>100</v>
      </c>
      <c r="AX3265" s="4" t="s">
        <v>100</v>
      </c>
      <c r="AY3265" s="8" t="s">
        <v>100</v>
      </c>
      <c r="AZ3265" s="7" t="s">
        <v>100</v>
      </c>
      <c r="BA3265" s="7" t="s">
        <v>100</v>
      </c>
      <c r="BB3265" s="7"/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 t="s">
        <v>100</v>
      </c>
      <c r="BJ3265" s="4">
        <v>55</v>
      </c>
      <c r="BK3265" s="8">
        <v>1247.27</v>
      </c>
      <c r="BL3265" s="2" t="s">
        <v>10529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4187</v>
      </c>
      <c r="BX3265" s="2" t="s">
        <v>10530</v>
      </c>
      <c r="BY3265" s="2" t="s">
        <v>112</v>
      </c>
      <c r="BZ3265" s="2" t="s">
        <v>100</v>
      </c>
    </row>
    <row r="3266">
      <c r="A3266" s="2" t="s">
        <v>10531</v>
      </c>
      <c r="B3266" s="2" t="s">
        <v>9043</v>
      </c>
      <c r="C3266" s="2" t="s">
        <v>4028</v>
      </c>
      <c r="D3266" s="2" t="s">
        <v>9044</v>
      </c>
      <c r="E3266" s="2" t="s">
        <v>9045</v>
      </c>
      <c r="F3266" s="2" t="s">
        <v>10532</v>
      </c>
      <c r="G3266" s="2" t="s">
        <v>10532</v>
      </c>
      <c r="H3266" s="2" t="s">
        <v>10532</v>
      </c>
      <c r="I3266" s="2" t="s">
        <v>10533</v>
      </c>
      <c r="J3266" s="2" t="s">
        <v>1443</v>
      </c>
      <c r="K3266" s="2" t="s">
        <v>165</v>
      </c>
      <c r="L3266" s="3">
        <v>21</v>
      </c>
      <c r="M3266" s="3">
        <v>22.05</v>
      </c>
      <c r="N3266" s="3">
        <v>44.99</v>
      </c>
      <c r="O3266" s="2" t="s">
        <v>97</v>
      </c>
      <c r="P3266" s="2" t="s">
        <v>98</v>
      </c>
      <c r="Q3266" s="2" t="s">
        <v>99</v>
      </c>
      <c r="R3266" s="2" t="s">
        <v>100</v>
      </c>
      <c r="S3266" s="2" t="s">
        <v>10534</v>
      </c>
      <c r="T3266" s="2" t="s">
        <v>9841</v>
      </c>
      <c r="U3266" s="2" t="s">
        <v>901</v>
      </c>
      <c r="V3266" s="2" t="s">
        <v>461</v>
      </c>
      <c r="W3266" s="2" t="s">
        <v>609</v>
      </c>
      <c r="X3266" s="2" t="s">
        <v>100</v>
      </c>
      <c r="Y3266" s="2" t="s">
        <v>7250</v>
      </c>
      <c r="Z3266" s="4">
        <v>128</v>
      </c>
      <c r="AA3266" s="4">
        <f>=ROUNDDOWN(64,0)</f>
      </c>
      <c r="AB3266" s="5">
        <v>2</v>
      </c>
      <c r="AC3266" s="2" t="s">
        <v>100</v>
      </c>
      <c r="AD3266" s="4"/>
      <c r="AE3266" s="4"/>
      <c r="AF3266" s="6">
        <v>67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/>
      <c r="AQ3266" s="8"/>
      <c r="AR3266" s="4"/>
      <c r="AS3266" s="8"/>
      <c r="AT3266" s="7"/>
      <c r="AU3266" s="7"/>
      <c r="AV3266" s="4" t="s">
        <v>100</v>
      </c>
      <c r="AW3266" s="8" t="s">
        <v>100</v>
      </c>
      <c r="AX3266" s="4" t="s">
        <v>100</v>
      </c>
      <c r="AY3266" s="8" t="s">
        <v>100</v>
      </c>
      <c r="AZ3266" s="7" t="s">
        <v>100</v>
      </c>
      <c r="BA3266" s="7" t="s">
        <v>100</v>
      </c>
      <c r="BB3266" s="7"/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/>
      <c r="BJ3266" s="4">
        <v>2</v>
      </c>
      <c r="BK3266" s="8">
        <v>46.3</v>
      </c>
      <c r="BL3266" s="2" t="s">
        <v>4176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171</v>
      </c>
      <c r="BV3266" s="2" t="s">
        <v>97</v>
      </c>
      <c r="BW3266" s="2" t="s">
        <v>100</v>
      </c>
      <c r="BX3266" s="2" t="s">
        <v>100</v>
      </c>
      <c r="BY3266" s="2" t="s">
        <v>112</v>
      </c>
      <c r="BZ3266" s="2" t="s">
        <v>100</v>
      </c>
    </row>
    <row r="3267">
      <c r="A3267" s="2" t="s">
        <v>10535</v>
      </c>
      <c r="B3267" s="2" t="s">
        <v>9043</v>
      </c>
      <c r="C3267" s="2" t="s">
        <v>4028</v>
      </c>
      <c r="D3267" s="2" t="s">
        <v>9044</v>
      </c>
      <c r="E3267" s="2" t="s">
        <v>9045</v>
      </c>
      <c r="F3267" s="2" t="s">
        <v>10532</v>
      </c>
      <c r="G3267" s="2" t="s">
        <v>10532</v>
      </c>
      <c r="H3267" s="2" t="s">
        <v>10532</v>
      </c>
      <c r="I3267" s="2" t="s">
        <v>10533</v>
      </c>
      <c r="J3267" s="2" t="s">
        <v>490</v>
      </c>
      <c r="K3267" s="2" t="s">
        <v>165</v>
      </c>
      <c r="L3267" s="3">
        <v>25.5</v>
      </c>
      <c r="M3267" s="3">
        <v>26.78</v>
      </c>
      <c r="N3267" s="3">
        <v>54.99</v>
      </c>
      <c r="O3267" s="2" t="s">
        <v>97</v>
      </c>
      <c r="P3267" s="2" t="s">
        <v>98</v>
      </c>
      <c r="Q3267" s="2" t="s">
        <v>99</v>
      </c>
      <c r="R3267" s="2" t="s">
        <v>100</v>
      </c>
      <c r="S3267" s="2" t="s">
        <v>10534</v>
      </c>
      <c r="T3267" s="2" t="s">
        <v>9841</v>
      </c>
      <c r="U3267" s="2" t="s">
        <v>1228</v>
      </c>
      <c r="V3267" s="2" t="s">
        <v>461</v>
      </c>
      <c r="W3267" s="2" t="s">
        <v>609</v>
      </c>
      <c r="X3267" s="2" t="s">
        <v>100</v>
      </c>
      <c r="Y3267" s="2" t="s">
        <v>7250</v>
      </c>
      <c r="Z3267" s="4">
        <v>103</v>
      </c>
      <c r="AA3267" s="4">
        <f>=ROUNDDOWN(34.3333333333333,0)</f>
      </c>
      <c r="AB3267" s="5">
        <v>3</v>
      </c>
      <c r="AC3267" s="2" t="s">
        <v>100</v>
      </c>
      <c r="AD3267" s="4"/>
      <c r="AE3267" s="4"/>
      <c r="AF3267" s="6">
        <v>67</v>
      </c>
      <c r="AG3267" s="6"/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/>
      <c r="AQ3267" s="8"/>
      <c r="AR3267" s="4"/>
      <c r="AS3267" s="8"/>
      <c r="AT3267" s="7"/>
      <c r="AU3267" s="7"/>
      <c r="AV3267" s="4" t="s">
        <v>100</v>
      </c>
      <c r="AW3267" s="8" t="s">
        <v>100</v>
      </c>
      <c r="AX3267" s="4" t="s">
        <v>100</v>
      </c>
      <c r="AY3267" s="8" t="s">
        <v>100</v>
      </c>
      <c r="AZ3267" s="7" t="s">
        <v>100</v>
      </c>
      <c r="BA3267" s="7" t="s">
        <v>100</v>
      </c>
      <c r="BB3267" s="7"/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/>
      <c r="BJ3267" s="4">
        <v>7</v>
      </c>
      <c r="BK3267" s="8">
        <v>197.58</v>
      </c>
      <c r="BL3267" s="2" t="s">
        <v>4269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171</v>
      </c>
      <c r="BV3267" s="2" t="s">
        <v>97</v>
      </c>
      <c r="BW3267" s="2" t="s">
        <v>100</v>
      </c>
      <c r="BX3267" s="2" t="s">
        <v>100</v>
      </c>
      <c r="BY3267" s="2" t="s">
        <v>112</v>
      </c>
      <c r="BZ3267" s="2" t="s">
        <v>100</v>
      </c>
    </row>
    <row r="3268">
      <c r="A3268" s="2" t="s">
        <v>10536</v>
      </c>
      <c r="B3268" s="2" t="s">
        <v>9043</v>
      </c>
      <c r="C3268" s="2" t="s">
        <v>4028</v>
      </c>
      <c r="D3268" s="2" t="s">
        <v>9044</v>
      </c>
      <c r="E3268" s="2" t="s">
        <v>9045</v>
      </c>
      <c r="F3268" s="2" t="s">
        <v>10532</v>
      </c>
      <c r="G3268" s="2" t="s">
        <v>10532</v>
      </c>
      <c r="H3268" s="2" t="s">
        <v>10532</v>
      </c>
      <c r="I3268" s="2" t="s">
        <v>10533</v>
      </c>
      <c r="J3268" s="2" t="s">
        <v>95</v>
      </c>
      <c r="K3268" s="2" t="s">
        <v>165</v>
      </c>
      <c r="L3268" s="3">
        <v>27.85</v>
      </c>
      <c r="M3268" s="3">
        <v>29.24</v>
      </c>
      <c r="N3268" s="3">
        <v>59.99</v>
      </c>
      <c r="O3268" s="2" t="s">
        <v>97</v>
      </c>
      <c r="P3268" s="2" t="s">
        <v>98</v>
      </c>
      <c r="Q3268" s="2" t="s">
        <v>99</v>
      </c>
      <c r="R3268" s="2" t="s">
        <v>100</v>
      </c>
      <c r="S3268" s="2" t="s">
        <v>10534</v>
      </c>
      <c r="T3268" s="2" t="s">
        <v>9841</v>
      </c>
      <c r="U3268" s="2" t="s">
        <v>1228</v>
      </c>
      <c r="V3268" s="2" t="s">
        <v>461</v>
      </c>
      <c r="W3268" s="2" t="s">
        <v>609</v>
      </c>
      <c r="X3268" s="2" t="s">
        <v>100</v>
      </c>
      <c r="Y3268" s="2" t="s">
        <v>7250</v>
      </c>
      <c r="Z3268" s="4">
        <v>342</v>
      </c>
      <c r="AA3268" s="4">
        <f>=ROUNDDOWN(57,0)</f>
      </c>
      <c r="AB3268" s="5">
        <v>6</v>
      </c>
      <c r="AC3268" s="2" t="s">
        <v>100</v>
      </c>
      <c r="AD3268" s="4"/>
      <c r="AE3268" s="4"/>
      <c r="AF3268" s="6">
        <v>67</v>
      </c>
      <c r="AG3268" s="6"/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/>
      <c r="AQ3268" s="8"/>
      <c r="AR3268" s="4"/>
      <c r="AS3268" s="8"/>
      <c r="AT3268" s="7"/>
      <c r="AU3268" s="7"/>
      <c r="AV3268" s="4" t="s">
        <v>100</v>
      </c>
      <c r="AW3268" s="8" t="s">
        <v>100</v>
      </c>
      <c r="AX3268" s="4" t="s">
        <v>100</v>
      </c>
      <c r="AY3268" s="8" t="s">
        <v>100</v>
      </c>
      <c r="AZ3268" s="7" t="s">
        <v>100</v>
      </c>
      <c r="BA3268" s="7" t="s">
        <v>100</v>
      </c>
      <c r="BB3268" s="7"/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/>
      <c r="BJ3268" s="4">
        <v>11</v>
      </c>
      <c r="BK3268" s="8">
        <v>345.68</v>
      </c>
      <c r="BL3268" s="2" t="s">
        <v>4462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171</v>
      </c>
      <c r="BV3268" s="2" t="s">
        <v>97</v>
      </c>
      <c r="BW3268" s="2" t="s">
        <v>100</v>
      </c>
      <c r="BX3268" s="2" t="s">
        <v>100</v>
      </c>
      <c r="BY3268" s="2" t="s">
        <v>112</v>
      </c>
      <c r="BZ3268" s="2" t="s">
        <v>100</v>
      </c>
    </row>
    <row r="3269">
      <c r="A3269" s="2" t="s">
        <v>10537</v>
      </c>
      <c r="B3269" s="2" t="s">
        <v>9043</v>
      </c>
      <c r="C3269" s="2" t="s">
        <v>4028</v>
      </c>
      <c r="D3269" s="2" t="s">
        <v>9044</v>
      </c>
      <c r="E3269" s="2" t="s">
        <v>9045</v>
      </c>
      <c r="F3269" s="2" t="s">
        <v>10532</v>
      </c>
      <c r="G3269" s="2" t="s">
        <v>10532</v>
      </c>
      <c r="H3269" s="2" t="s">
        <v>10532</v>
      </c>
      <c r="I3269" s="2" t="s">
        <v>10533</v>
      </c>
      <c r="J3269" s="2" t="s">
        <v>114</v>
      </c>
      <c r="K3269" s="2" t="s">
        <v>165</v>
      </c>
      <c r="L3269" s="3">
        <v>32.5</v>
      </c>
      <c r="M3269" s="3">
        <v>34.13</v>
      </c>
      <c r="N3269" s="3">
        <v>69.99</v>
      </c>
      <c r="O3269" s="2" t="s">
        <v>97</v>
      </c>
      <c r="P3269" s="2" t="s">
        <v>98</v>
      </c>
      <c r="Q3269" s="2" t="s">
        <v>99</v>
      </c>
      <c r="R3269" s="2" t="s">
        <v>100</v>
      </c>
      <c r="S3269" s="2" t="s">
        <v>10534</v>
      </c>
      <c r="T3269" s="2" t="s">
        <v>9841</v>
      </c>
      <c r="U3269" s="2" t="s">
        <v>1228</v>
      </c>
      <c r="V3269" s="2" t="s">
        <v>461</v>
      </c>
      <c r="W3269" s="2" t="s">
        <v>609</v>
      </c>
      <c r="X3269" s="2" t="s">
        <v>100</v>
      </c>
      <c r="Y3269" s="2" t="s">
        <v>7250</v>
      </c>
      <c r="Z3269" s="4">
        <v>137</v>
      </c>
      <c r="AA3269" s="4">
        <f>=ROUNDDOWN(27.4,0)</f>
      </c>
      <c r="AB3269" s="5">
        <v>5</v>
      </c>
      <c r="AC3269" s="2" t="s">
        <v>100</v>
      </c>
      <c r="AD3269" s="4"/>
      <c r="AE3269" s="4"/>
      <c r="AF3269" s="6">
        <v>67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/>
      <c r="AQ3269" s="8"/>
      <c r="AR3269" s="4"/>
      <c r="AS3269" s="8"/>
      <c r="AT3269" s="7"/>
      <c r="AU3269" s="7"/>
      <c r="AV3269" s="4" t="s">
        <v>100</v>
      </c>
      <c r="AW3269" s="8" t="s">
        <v>100</v>
      </c>
      <c r="AX3269" s="4" t="s">
        <v>100</v>
      </c>
      <c r="AY3269" s="8" t="s">
        <v>100</v>
      </c>
      <c r="AZ3269" s="7" t="s">
        <v>100</v>
      </c>
      <c r="BA3269" s="7" t="s">
        <v>100</v>
      </c>
      <c r="BB3269" s="7"/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/>
      <c r="BJ3269" s="4">
        <v>10</v>
      </c>
      <c r="BK3269" s="8">
        <v>359.85</v>
      </c>
      <c r="BL3269" s="2" t="s">
        <v>10538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171</v>
      </c>
      <c r="BV3269" s="2" t="s">
        <v>97</v>
      </c>
      <c r="BW3269" s="2" t="s">
        <v>100</v>
      </c>
      <c r="BX3269" s="2" t="s">
        <v>100</v>
      </c>
      <c r="BY3269" s="2" t="s">
        <v>112</v>
      </c>
      <c r="BZ3269" s="2" t="s">
        <v>100</v>
      </c>
    </row>
    <row r="3270">
      <c r="A3270" s="2" t="s">
        <v>10539</v>
      </c>
      <c r="B3270" s="2" t="s">
        <v>9043</v>
      </c>
      <c r="C3270" s="2" t="s">
        <v>4028</v>
      </c>
      <c r="D3270" s="2" t="s">
        <v>9044</v>
      </c>
      <c r="E3270" s="2" t="s">
        <v>9045</v>
      </c>
      <c r="F3270" s="2" t="s">
        <v>10532</v>
      </c>
      <c r="G3270" s="2" t="s">
        <v>10532</v>
      </c>
      <c r="H3270" s="2" t="s">
        <v>10532</v>
      </c>
      <c r="I3270" s="2" t="s">
        <v>10533</v>
      </c>
      <c r="J3270" s="2" t="s">
        <v>1443</v>
      </c>
      <c r="K3270" s="2" t="s">
        <v>96</v>
      </c>
      <c r="L3270" s="3">
        <v>21</v>
      </c>
      <c r="M3270" s="3">
        <v>22.05</v>
      </c>
      <c r="N3270" s="3">
        <v>44.99</v>
      </c>
      <c r="O3270" s="2" t="s">
        <v>97</v>
      </c>
      <c r="P3270" s="2" t="s">
        <v>98</v>
      </c>
      <c r="Q3270" s="2" t="s">
        <v>99</v>
      </c>
      <c r="R3270" s="2" t="s">
        <v>100</v>
      </c>
      <c r="S3270" s="2" t="s">
        <v>10540</v>
      </c>
      <c r="T3270" s="2" t="s">
        <v>9841</v>
      </c>
      <c r="U3270" s="2" t="s">
        <v>901</v>
      </c>
      <c r="V3270" s="2" t="s">
        <v>461</v>
      </c>
      <c r="W3270" s="2" t="s">
        <v>609</v>
      </c>
      <c r="X3270" s="2" t="s">
        <v>100</v>
      </c>
      <c r="Y3270" s="2" t="s">
        <v>7250</v>
      </c>
      <c r="Z3270" s="4">
        <v>126</v>
      </c>
      <c r="AA3270" s="4">
        <f>=ROUNDDOWN(63,0)</f>
      </c>
      <c r="AB3270" s="5">
        <v>2</v>
      </c>
      <c r="AC3270" s="2" t="s">
        <v>100</v>
      </c>
      <c r="AD3270" s="4"/>
      <c r="AE3270" s="4"/>
      <c r="AF3270" s="6">
        <v>67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/>
      <c r="AQ3270" s="8"/>
      <c r="AR3270" s="4"/>
      <c r="AS3270" s="8"/>
      <c r="AT3270" s="7"/>
      <c r="AU3270" s="7"/>
      <c r="AV3270" s="4" t="s">
        <v>100</v>
      </c>
      <c r="AW3270" s="8" t="s">
        <v>100</v>
      </c>
      <c r="AX3270" s="4" t="s">
        <v>100</v>
      </c>
      <c r="AY3270" s="8" t="s">
        <v>100</v>
      </c>
      <c r="AZ3270" s="7" t="s">
        <v>100</v>
      </c>
      <c r="BA3270" s="7" t="s">
        <v>100</v>
      </c>
      <c r="BB3270" s="7"/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/>
      <c r="BJ3270" s="4">
        <v>5</v>
      </c>
      <c r="BK3270" s="8">
        <v>117.41</v>
      </c>
      <c r="BL3270" s="2" t="s">
        <v>5666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171</v>
      </c>
      <c r="BV3270" s="2" t="s">
        <v>97</v>
      </c>
      <c r="BW3270" s="2" t="s">
        <v>100</v>
      </c>
      <c r="BX3270" s="2" t="s">
        <v>100</v>
      </c>
      <c r="BY3270" s="2" t="s">
        <v>112</v>
      </c>
      <c r="BZ3270" s="2" t="s">
        <v>100</v>
      </c>
    </row>
    <row r="3271">
      <c r="A3271" s="2" t="s">
        <v>10541</v>
      </c>
      <c r="B3271" s="2" t="s">
        <v>9043</v>
      </c>
      <c r="C3271" s="2" t="s">
        <v>4028</v>
      </c>
      <c r="D3271" s="2" t="s">
        <v>9044</v>
      </c>
      <c r="E3271" s="2" t="s">
        <v>9045</v>
      </c>
      <c r="F3271" s="2" t="s">
        <v>10532</v>
      </c>
      <c r="G3271" s="2" t="s">
        <v>10532</v>
      </c>
      <c r="H3271" s="2" t="s">
        <v>10532</v>
      </c>
      <c r="I3271" s="2" t="s">
        <v>10533</v>
      </c>
      <c r="J3271" s="2" t="s">
        <v>490</v>
      </c>
      <c r="K3271" s="2" t="s">
        <v>96</v>
      </c>
      <c r="L3271" s="3">
        <v>25.5</v>
      </c>
      <c r="M3271" s="3">
        <v>26.78</v>
      </c>
      <c r="N3271" s="3">
        <v>54.99</v>
      </c>
      <c r="O3271" s="2" t="s">
        <v>97</v>
      </c>
      <c r="P3271" s="2" t="s">
        <v>98</v>
      </c>
      <c r="Q3271" s="2" t="s">
        <v>99</v>
      </c>
      <c r="R3271" s="2" t="s">
        <v>100</v>
      </c>
      <c r="S3271" s="2" t="s">
        <v>10540</v>
      </c>
      <c r="T3271" s="2" t="s">
        <v>9841</v>
      </c>
      <c r="U3271" s="2" t="s">
        <v>1228</v>
      </c>
      <c r="V3271" s="2" t="s">
        <v>461</v>
      </c>
      <c r="W3271" s="2" t="s">
        <v>609</v>
      </c>
      <c r="X3271" s="2" t="s">
        <v>100</v>
      </c>
      <c r="Y3271" s="2" t="s">
        <v>7250</v>
      </c>
      <c r="Z3271" s="4">
        <v>214</v>
      </c>
      <c r="AA3271" s="4">
        <f>=ROUNDDOWN(107,0)</f>
      </c>
      <c r="AB3271" s="5">
        <v>2</v>
      </c>
      <c r="AC3271" s="2" t="s">
        <v>100</v>
      </c>
      <c r="AD3271" s="4"/>
      <c r="AE3271" s="4"/>
      <c r="AF3271" s="6">
        <v>67</v>
      </c>
      <c r="AG3271" s="6"/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/>
      <c r="AQ3271" s="8"/>
      <c r="AR3271" s="4"/>
      <c r="AS3271" s="8"/>
      <c r="AT3271" s="7"/>
      <c r="AU3271" s="7"/>
      <c r="AV3271" s="4" t="s">
        <v>100</v>
      </c>
      <c r="AW3271" s="8" t="s">
        <v>100</v>
      </c>
      <c r="AX3271" s="4" t="s">
        <v>100</v>
      </c>
      <c r="AY3271" s="8" t="s">
        <v>100</v>
      </c>
      <c r="AZ3271" s="7" t="s">
        <v>100</v>
      </c>
      <c r="BA3271" s="7" t="s">
        <v>100</v>
      </c>
      <c r="BB3271" s="7"/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/>
      <c r="BJ3271" s="4">
        <v>9</v>
      </c>
      <c r="BK3271" s="8">
        <v>253.8</v>
      </c>
      <c r="BL3271" s="2" t="s">
        <v>4269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171</v>
      </c>
      <c r="BV3271" s="2" t="s">
        <v>97</v>
      </c>
      <c r="BW3271" s="2" t="s">
        <v>100</v>
      </c>
      <c r="BX3271" s="2" t="s">
        <v>100</v>
      </c>
      <c r="BY3271" s="2" t="s">
        <v>112</v>
      </c>
      <c r="BZ3271" s="2" t="s">
        <v>100</v>
      </c>
    </row>
    <row r="3272">
      <c r="A3272" s="2" t="s">
        <v>10542</v>
      </c>
      <c r="B3272" s="2" t="s">
        <v>9043</v>
      </c>
      <c r="C3272" s="2" t="s">
        <v>4028</v>
      </c>
      <c r="D3272" s="2" t="s">
        <v>9044</v>
      </c>
      <c r="E3272" s="2" t="s">
        <v>9045</v>
      </c>
      <c r="F3272" s="2" t="s">
        <v>10532</v>
      </c>
      <c r="G3272" s="2" t="s">
        <v>10532</v>
      </c>
      <c r="H3272" s="2" t="s">
        <v>10532</v>
      </c>
      <c r="I3272" s="2" t="s">
        <v>10533</v>
      </c>
      <c r="J3272" s="2" t="s">
        <v>95</v>
      </c>
      <c r="K3272" s="2" t="s">
        <v>96</v>
      </c>
      <c r="L3272" s="3">
        <v>27.85</v>
      </c>
      <c r="M3272" s="3">
        <v>29.24</v>
      </c>
      <c r="N3272" s="3">
        <v>59.99</v>
      </c>
      <c r="O3272" s="2" t="s">
        <v>97</v>
      </c>
      <c r="P3272" s="2" t="s">
        <v>98</v>
      </c>
      <c r="Q3272" s="2" t="s">
        <v>99</v>
      </c>
      <c r="R3272" s="2" t="s">
        <v>100</v>
      </c>
      <c r="S3272" s="2" t="s">
        <v>10540</v>
      </c>
      <c r="T3272" s="2" t="s">
        <v>9841</v>
      </c>
      <c r="U3272" s="2" t="s">
        <v>1228</v>
      </c>
      <c r="V3272" s="2" t="s">
        <v>461</v>
      </c>
      <c r="W3272" s="2" t="s">
        <v>609</v>
      </c>
      <c r="X3272" s="2" t="s">
        <v>100</v>
      </c>
      <c r="Y3272" s="2" t="s">
        <v>7250</v>
      </c>
      <c r="Z3272" s="4">
        <v>366</v>
      </c>
      <c r="AA3272" s="4">
        <f>=ROUNDDOWN(52.2857142857143,0)</f>
      </c>
      <c r="AB3272" s="5">
        <v>7</v>
      </c>
      <c r="AC3272" s="2" t="s">
        <v>100</v>
      </c>
      <c r="AD3272" s="4"/>
      <c r="AE3272" s="4"/>
      <c r="AF3272" s="6">
        <v>67</v>
      </c>
      <c r="AG3272" s="6"/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/>
      <c r="AQ3272" s="8"/>
      <c r="AR3272" s="4"/>
      <c r="AS3272" s="8"/>
      <c r="AT3272" s="7"/>
      <c r="AU3272" s="7"/>
      <c r="AV3272" s="4" t="s">
        <v>100</v>
      </c>
      <c r="AW3272" s="8" t="s">
        <v>100</v>
      </c>
      <c r="AX3272" s="4" t="s">
        <v>100</v>
      </c>
      <c r="AY3272" s="8" t="s">
        <v>100</v>
      </c>
      <c r="AZ3272" s="7" t="s">
        <v>100</v>
      </c>
      <c r="BA3272" s="7" t="s">
        <v>100</v>
      </c>
      <c r="BB3272" s="7"/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/>
      <c r="BJ3272" s="4">
        <v>13</v>
      </c>
      <c r="BK3272" s="8">
        <v>399.1</v>
      </c>
      <c r="BL3272" s="2" t="s">
        <v>1387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171</v>
      </c>
      <c r="BV3272" s="2" t="s">
        <v>97</v>
      </c>
      <c r="BW3272" s="2" t="s">
        <v>100</v>
      </c>
      <c r="BX3272" s="2" t="s">
        <v>100</v>
      </c>
      <c r="BY3272" s="2" t="s">
        <v>112</v>
      </c>
      <c r="BZ3272" s="2" t="s">
        <v>100</v>
      </c>
    </row>
    <row r="3273">
      <c r="A3273" s="2" t="s">
        <v>10543</v>
      </c>
      <c r="B3273" s="2" t="s">
        <v>9043</v>
      </c>
      <c r="C3273" s="2" t="s">
        <v>4028</v>
      </c>
      <c r="D3273" s="2" t="s">
        <v>9044</v>
      </c>
      <c r="E3273" s="2" t="s">
        <v>9045</v>
      </c>
      <c r="F3273" s="2" t="s">
        <v>10532</v>
      </c>
      <c r="G3273" s="2" t="s">
        <v>10532</v>
      </c>
      <c r="H3273" s="2" t="s">
        <v>10532</v>
      </c>
      <c r="I3273" s="2" t="s">
        <v>10533</v>
      </c>
      <c r="J3273" s="2" t="s">
        <v>114</v>
      </c>
      <c r="K3273" s="2" t="s">
        <v>96</v>
      </c>
      <c r="L3273" s="3">
        <v>32.5</v>
      </c>
      <c r="M3273" s="3">
        <v>34.13</v>
      </c>
      <c r="N3273" s="3">
        <v>69.99</v>
      </c>
      <c r="O3273" s="2" t="s">
        <v>97</v>
      </c>
      <c r="P3273" s="2" t="s">
        <v>98</v>
      </c>
      <c r="Q3273" s="2" t="s">
        <v>99</v>
      </c>
      <c r="R3273" s="2" t="s">
        <v>100</v>
      </c>
      <c r="S3273" s="2" t="s">
        <v>10540</v>
      </c>
      <c r="T3273" s="2" t="s">
        <v>9841</v>
      </c>
      <c r="U3273" s="2" t="s">
        <v>1228</v>
      </c>
      <c r="V3273" s="2" t="s">
        <v>461</v>
      </c>
      <c r="W3273" s="2" t="s">
        <v>609</v>
      </c>
      <c r="X3273" s="2" t="s">
        <v>100</v>
      </c>
      <c r="Y3273" s="2" t="s">
        <v>7250</v>
      </c>
      <c r="Z3273" s="4">
        <v>246</v>
      </c>
      <c r="AA3273" s="4">
        <f>=ROUNDDOWN(41,0)</f>
      </c>
      <c r="AB3273" s="5">
        <v>6</v>
      </c>
      <c r="AC3273" s="2" t="s">
        <v>100</v>
      </c>
      <c r="AD3273" s="4"/>
      <c r="AE3273" s="4"/>
      <c r="AF3273" s="6">
        <v>67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/>
      <c r="AQ3273" s="8"/>
      <c r="AR3273" s="4"/>
      <c r="AS3273" s="8"/>
      <c r="AT3273" s="7"/>
      <c r="AU3273" s="7"/>
      <c r="AV3273" s="4" t="s">
        <v>100</v>
      </c>
      <c r="AW3273" s="8" t="s">
        <v>100</v>
      </c>
      <c r="AX3273" s="4" t="s">
        <v>100</v>
      </c>
      <c r="AY3273" s="8" t="s">
        <v>100</v>
      </c>
      <c r="AZ3273" s="7" t="s">
        <v>100</v>
      </c>
      <c r="BA3273" s="7" t="s">
        <v>100</v>
      </c>
      <c r="BB3273" s="7"/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/>
      <c r="BJ3273" s="4">
        <v>10</v>
      </c>
      <c r="BK3273" s="8">
        <v>358.3</v>
      </c>
      <c r="BL3273" s="2" t="s">
        <v>9266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171</v>
      </c>
      <c r="BV3273" s="2" t="s">
        <v>97</v>
      </c>
      <c r="BW3273" s="2" t="s">
        <v>100</v>
      </c>
      <c r="BX3273" s="2" t="s">
        <v>100</v>
      </c>
      <c r="BY3273" s="2" t="s">
        <v>112</v>
      </c>
      <c r="BZ3273" s="2" t="s">
        <v>100</v>
      </c>
    </row>
    <row r="3274">
      <c r="A3274" s="2" t="s">
        <v>10544</v>
      </c>
      <c r="B3274" s="2" t="s">
        <v>9043</v>
      </c>
      <c r="C3274" s="2" t="s">
        <v>4028</v>
      </c>
      <c r="D3274" s="2" t="s">
        <v>9044</v>
      </c>
      <c r="E3274" s="2" t="s">
        <v>9045</v>
      </c>
      <c r="F3274" s="2" t="s">
        <v>10532</v>
      </c>
      <c r="G3274" s="2" t="s">
        <v>10532</v>
      </c>
      <c r="H3274" s="2" t="s">
        <v>10532</v>
      </c>
      <c r="I3274" s="2" t="s">
        <v>10533</v>
      </c>
      <c r="J3274" s="2" t="s">
        <v>1443</v>
      </c>
      <c r="K3274" s="2" t="s">
        <v>223</v>
      </c>
      <c r="L3274" s="3">
        <v>21</v>
      </c>
      <c r="M3274" s="3">
        <v>22.05</v>
      </c>
      <c r="N3274" s="3">
        <v>44.99</v>
      </c>
      <c r="O3274" s="2" t="s">
        <v>97</v>
      </c>
      <c r="P3274" s="2" t="s">
        <v>98</v>
      </c>
      <c r="Q3274" s="2" t="s">
        <v>99</v>
      </c>
      <c r="R3274" s="2" t="s">
        <v>100</v>
      </c>
      <c r="S3274" s="2" t="s">
        <v>10545</v>
      </c>
      <c r="T3274" s="2" t="s">
        <v>9841</v>
      </c>
      <c r="U3274" s="2" t="s">
        <v>901</v>
      </c>
      <c r="V3274" s="2" t="s">
        <v>461</v>
      </c>
      <c r="W3274" s="2" t="s">
        <v>609</v>
      </c>
      <c r="X3274" s="2" t="s">
        <v>100</v>
      </c>
      <c r="Y3274" s="2" t="s">
        <v>7250</v>
      </c>
      <c r="Z3274" s="4">
        <v>160</v>
      </c>
      <c r="AA3274" s="4">
        <f>=ROUNDDOWN(80,0)</f>
      </c>
      <c r="AB3274" s="5">
        <v>2</v>
      </c>
      <c r="AC3274" s="2" t="s">
        <v>100</v>
      </c>
      <c r="AD3274" s="4"/>
      <c r="AE3274" s="4"/>
      <c r="AF3274" s="6">
        <v>67</v>
      </c>
      <c r="AG3274" s="6"/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/>
      <c r="AQ3274" s="8"/>
      <c r="AR3274" s="4"/>
      <c r="AS3274" s="8"/>
      <c r="AT3274" s="7"/>
      <c r="AU3274" s="7"/>
      <c r="AV3274" s="4" t="s">
        <v>100</v>
      </c>
      <c r="AW3274" s="8" t="s">
        <v>100</v>
      </c>
      <c r="AX3274" s="4" t="s">
        <v>100</v>
      </c>
      <c r="AY3274" s="8" t="s">
        <v>100</v>
      </c>
      <c r="AZ3274" s="7" t="s">
        <v>100</v>
      </c>
      <c r="BA3274" s="7" t="s">
        <v>100</v>
      </c>
      <c r="BB3274" s="7"/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/>
      <c r="BJ3274" s="4">
        <v>3</v>
      </c>
      <c r="BK3274" s="8">
        <v>70.11</v>
      </c>
      <c r="BL3274" s="2" t="s">
        <v>9659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171</v>
      </c>
      <c r="BV3274" s="2" t="s">
        <v>97</v>
      </c>
      <c r="BW3274" s="2" t="s">
        <v>100</v>
      </c>
      <c r="BX3274" s="2" t="s">
        <v>100</v>
      </c>
      <c r="BY3274" s="2" t="s">
        <v>112</v>
      </c>
      <c r="BZ3274" s="2" t="s">
        <v>100</v>
      </c>
    </row>
    <row r="3275">
      <c r="A3275" s="2" t="s">
        <v>10546</v>
      </c>
      <c r="B3275" s="2" t="s">
        <v>9043</v>
      </c>
      <c r="C3275" s="2" t="s">
        <v>4028</v>
      </c>
      <c r="D3275" s="2" t="s">
        <v>9044</v>
      </c>
      <c r="E3275" s="2" t="s">
        <v>9045</v>
      </c>
      <c r="F3275" s="2" t="s">
        <v>10532</v>
      </c>
      <c r="G3275" s="2" t="s">
        <v>10532</v>
      </c>
      <c r="H3275" s="2" t="s">
        <v>10532</v>
      </c>
      <c r="I3275" s="2" t="s">
        <v>10533</v>
      </c>
      <c r="J3275" s="2" t="s">
        <v>490</v>
      </c>
      <c r="K3275" s="2" t="s">
        <v>223</v>
      </c>
      <c r="L3275" s="3">
        <v>25.5</v>
      </c>
      <c r="M3275" s="3">
        <v>26.78</v>
      </c>
      <c r="N3275" s="3">
        <v>54.99</v>
      </c>
      <c r="O3275" s="2" t="s">
        <v>97</v>
      </c>
      <c r="P3275" s="2" t="s">
        <v>98</v>
      </c>
      <c r="Q3275" s="2" t="s">
        <v>99</v>
      </c>
      <c r="R3275" s="2" t="s">
        <v>100</v>
      </c>
      <c r="S3275" s="2" t="s">
        <v>10545</v>
      </c>
      <c r="T3275" s="2" t="s">
        <v>9841</v>
      </c>
      <c r="U3275" s="2" t="s">
        <v>1228</v>
      </c>
      <c r="V3275" s="2" t="s">
        <v>461</v>
      </c>
      <c r="W3275" s="2" t="s">
        <v>609</v>
      </c>
      <c r="X3275" s="2" t="s">
        <v>100</v>
      </c>
      <c r="Y3275" s="2" t="s">
        <v>7250</v>
      </c>
      <c r="Z3275" s="4">
        <v>173</v>
      </c>
      <c r="AA3275" s="4">
        <f>=ROUNDDOWN(43.25,0)</f>
      </c>
      <c r="AB3275" s="5">
        <v>4</v>
      </c>
      <c r="AC3275" s="2" t="s">
        <v>100</v>
      </c>
      <c r="AD3275" s="4"/>
      <c r="AE3275" s="4"/>
      <c r="AF3275" s="6">
        <v>67</v>
      </c>
      <c r="AG3275" s="6"/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/>
      <c r="AQ3275" s="8"/>
      <c r="AR3275" s="4"/>
      <c r="AS3275" s="8"/>
      <c r="AT3275" s="7"/>
      <c r="AU3275" s="7"/>
      <c r="AV3275" s="4" t="s">
        <v>100</v>
      </c>
      <c r="AW3275" s="8" t="s">
        <v>100</v>
      </c>
      <c r="AX3275" s="4" t="s">
        <v>100</v>
      </c>
      <c r="AY3275" s="8" t="s">
        <v>100</v>
      </c>
      <c r="AZ3275" s="7" t="s">
        <v>100</v>
      </c>
      <c r="BA3275" s="7" t="s">
        <v>100</v>
      </c>
      <c r="BB3275" s="7"/>
      <c r="BC3275" s="4" t="s">
        <v>100</v>
      </c>
      <c r="BD3275" s="8" t="s">
        <v>100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/>
      <c r="BJ3275" s="4">
        <v>19</v>
      </c>
      <c r="BK3275" s="8">
        <v>534.78</v>
      </c>
      <c r="BL3275" s="2" t="s">
        <v>2840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171</v>
      </c>
      <c r="BV3275" s="2" t="s">
        <v>97</v>
      </c>
      <c r="BW3275" s="2" t="s">
        <v>100</v>
      </c>
      <c r="BX3275" s="2" t="s">
        <v>100</v>
      </c>
      <c r="BY3275" s="2" t="s">
        <v>112</v>
      </c>
      <c r="BZ3275" s="2" t="s">
        <v>100</v>
      </c>
    </row>
    <row r="3276">
      <c r="A3276" s="2" t="s">
        <v>10547</v>
      </c>
      <c r="B3276" s="2" t="s">
        <v>9043</v>
      </c>
      <c r="C3276" s="2" t="s">
        <v>4028</v>
      </c>
      <c r="D3276" s="2" t="s">
        <v>9044</v>
      </c>
      <c r="E3276" s="2" t="s">
        <v>9045</v>
      </c>
      <c r="F3276" s="2" t="s">
        <v>10532</v>
      </c>
      <c r="G3276" s="2" t="s">
        <v>10532</v>
      </c>
      <c r="H3276" s="2" t="s">
        <v>10532</v>
      </c>
      <c r="I3276" s="2" t="s">
        <v>10533</v>
      </c>
      <c r="J3276" s="2" t="s">
        <v>95</v>
      </c>
      <c r="K3276" s="2" t="s">
        <v>223</v>
      </c>
      <c r="L3276" s="3">
        <v>27.85</v>
      </c>
      <c r="M3276" s="3">
        <v>29.24</v>
      </c>
      <c r="N3276" s="3">
        <v>59.99</v>
      </c>
      <c r="O3276" s="2" t="s">
        <v>97</v>
      </c>
      <c r="P3276" s="2" t="s">
        <v>98</v>
      </c>
      <c r="Q3276" s="2" t="s">
        <v>99</v>
      </c>
      <c r="R3276" s="2" t="s">
        <v>100</v>
      </c>
      <c r="S3276" s="2" t="s">
        <v>10545</v>
      </c>
      <c r="T3276" s="2" t="s">
        <v>9841</v>
      </c>
      <c r="U3276" s="2" t="s">
        <v>1228</v>
      </c>
      <c r="V3276" s="2" t="s">
        <v>461</v>
      </c>
      <c r="W3276" s="2" t="s">
        <v>609</v>
      </c>
      <c r="X3276" s="2" t="s">
        <v>100</v>
      </c>
      <c r="Y3276" s="2" t="s">
        <v>7250</v>
      </c>
      <c r="Z3276" s="4">
        <v>190</v>
      </c>
      <c r="AA3276" s="4">
        <f>=ROUNDDOWN(31.6666666666667,0)</f>
      </c>
      <c r="AB3276" s="5">
        <v>6</v>
      </c>
      <c r="AC3276" s="2" t="s">
        <v>100</v>
      </c>
      <c r="AD3276" s="4"/>
      <c r="AE3276" s="4"/>
      <c r="AF3276" s="6">
        <v>67</v>
      </c>
      <c r="AG3276" s="6"/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/>
      <c r="AQ3276" s="8"/>
      <c r="AR3276" s="4"/>
      <c r="AS3276" s="8"/>
      <c r="AT3276" s="7"/>
      <c r="AU3276" s="7"/>
      <c r="AV3276" s="4" t="s">
        <v>100</v>
      </c>
      <c r="AW3276" s="8" t="s">
        <v>100</v>
      </c>
      <c r="AX3276" s="4" t="s">
        <v>100</v>
      </c>
      <c r="AY3276" s="8" t="s">
        <v>100</v>
      </c>
      <c r="AZ3276" s="7" t="s">
        <v>100</v>
      </c>
      <c r="BA3276" s="7" t="s">
        <v>100</v>
      </c>
      <c r="BB3276" s="7"/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/>
      <c r="BJ3276" s="4">
        <v>13</v>
      </c>
      <c r="BK3276" s="8">
        <v>403.52</v>
      </c>
      <c r="BL3276" s="2" t="s">
        <v>1190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171</v>
      </c>
      <c r="BV3276" s="2" t="s">
        <v>97</v>
      </c>
      <c r="BW3276" s="2" t="s">
        <v>100</v>
      </c>
      <c r="BX3276" s="2" t="s">
        <v>100</v>
      </c>
      <c r="BY3276" s="2" t="s">
        <v>112</v>
      </c>
      <c r="BZ3276" s="2" t="s">
        <v>100</v>
      </c>
    </row>
    <row r="3277">
      <c r="A3277" s="2" t="s">
        <v>10548</v>
      </c>
      <c r="B3277" s="2" t="s">
        <v>9043</v>
      </c>
      <c r="C3277" s="2" t="s">
        <v>4028</v>
      </c>
      <c r="D3277" s="2" t="s">
        <v>9044</v>
      </c>
      <c r="E3277" s="2" t="s">
        <v>9045</v>
      </c>
      <c r="F3277" s="2" t="s">
        <v>10532</v>
      </c>
      <c r="G3277" s="2" t="s">
        <v>10532</v>
      </c>
      <c r="H3277" s="2" t="s">
        <v>10532</v>
      </c>
      <c r="I3277" s="2" t="s">
        <v>10533</v>
      </c>
      <c r="J3277" s="2" t="s">
        <v>114</v>
      </c>
      <c r="K3277" s="2" t="s">
        <v>223</v>
      </c>
      <c r="L3277" s="3">
        <v>32.5</v>
      </c>
      <c r="M3277" s="3">
        <v>34.13</v>
      </c>
      <c r="N3277" s="3">
        <v>69.99</v>
      </c>
      <c r="O3277" s="2" t="s">
        <v>97</v>
      </c>
      <c r="P3277" s="2" t="s">
        <v>98</v>
      </c>
      <c r="Q3277" s="2" t="s">
        <v>99</v>
      </c>
      <c r="R3277" s="2" t="s">
        <v>100</v>
      </c>
      <c r="S3277" s="2" t="s">
        <v>10545</v>
      </c>
      <c r="T3277" s="2" t="s">
        <v>9841</v>
      </c>
      <c r="U3277" s="2" t="s">
        <v>1228</v>
      </c>
      <c r="V3277" s="2" t="s">
        <v>461</v>
      </c>
      <c r="W3277" s="2" t="s">
        <v>609</v>
      </c>
      <c r="X3277" s="2" t="s">
        <v>100</v>
      </c>
      <c r="Y3277" s="2" t="s">
        <v>7250</v>
      </c>
      <c r="Z3277" s="4">
        <v>145</v>
      </c>
      <c r="AA3277" s="4">
        <f>=ROUNDDOWN(36.25,0)</f>
      </c>
      <c r="AB3277" s="5">
        <v>4</v>
      </c>
      <c r="AC3277" s="2" t="s">
        <v>100</v>
      </c>
      <c r="AD3277" s="4"/>
      <c r="AE3277" s="4"/>
      <c r="AF3277" s="6">
        <v>67</v>
      </c>
      <c r="AG3277" s="6"/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/>
      <c r="AQ3277" s="8"/>
      <c r="AR3277" s="4"/>
      <c r="AS3277" s="8"/>
      <c r="AT3277" s="7"/>
      <c r="AU3277" s="7"/>
      <c r="AV3277" s="4" t="s">
        <v>100</v>
      </c>
      <c r="AW3277" s="8" t="s">
        <v>100</v>
      </c>
      <c r="AX3277" s="4" t="s">
        <v>100</v>
      </c>
      <c r="AY3277" s="8" t="s">
        <v>100</v>
      </c>
      <c r="AZ3277" s="7" t="s">
        <v>100</v>
      </c>
      <c r="BA3277" s="7" t="s">
        <v>100</v>
      </c>
      <c r="BB3277" s="7"/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/>
      <c r="BJ3277" s="4">
        <v>10</v>
      </c>
      <c r="BK3277" s="8">
        <v>359.33</v>
      </c>
      <c r="BL3277" s="2" t="s">
        <v>1380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171</v>
      </c>
      <c r="BV3277" s="2" t="s">
        <v>97</v>
      </c>
      <c r="BW3277" s="2" t="s">
        <v>100</v>
      </c>
      <c r="BX3277" s="2" t="s">
        <v>100</v>
      </c>
      <c r="BY3277" s="2" t="s">
        <v>112</v>
      </c>
      <c r="BZ3277" s="2" t="s">
        <v>100</v>
      </c>
    </row>
    <row r="3278">
      <c r="A3278" s="2" t="s">
        <v>10549</v>
      </c>
      <c r="B3278" s="2" t="s">
        <v>10550</v>
      </c>
      <c r="C3278" s="2" t="s">
        <v>88</v>
      </c>
      <c r="D3278" s="2" t="s">
        <v>10551</v>
      </c>
      <c r="E3278" s="2" t="s">
        <v>4949</v>
      </c>
      <c r="F3278" s="2" t="s">
        <v>4613</v>
      </c>
      <c r="G3278" s="2" t="s">
        <v>4613</v>
      </c>
      <c r="H3278" s="2" t="s">
        <v>4613</v>
      </c>
      <c r="I3278" s="2" t="s">
        <v>10552</v>
      </c>
      <c r="J3278" s="2" t="s">
        <v>3385</v>
      </c>
      <c r="K3278" s="2" t="s">
        <v>458</v>
      </c>
      <c r="L3278" s="3">
        <v>24</v>
      </c>
      <c r="M3278" s="3">
        <v>25.2</v>
      </c>
      <c r="N3278" s="3">
        <v>49.99</v>
      </c>
      <c r="O3278" s="2" t="s">
        <v>97</v>
      </c>
      <c r="P3278" s="2" t="s">
        <v>156</v>
      </c>
      <c r="Q3278" s="2" t="s">
        <v>99</v>
      </c>
      <c r="R3278" s="2" t="s">
        <v>100</v>
      </c>
      <c r="S3278" s="2" t="s">
        <v>10553</v>
      </c>
      <c r="T3278" s="2" t="s">
        <v>100</v>
      </c>
      <c r="U3278" s="2" t="s">
        <v>355</v>
      </c>
      <c r="V3278" s="2" t="s">
        <v>461</v>
      </c>
      <c r="W3278" s="2" t="s">
        <v>493</v>
      </c>
      <c r="X3278" s="2" t="s">
        <v>100</v>
      </c>
      <c r="Y3278" s="2" t="s">
        <v>902</v>
      </c>
      <c r="Z3278" s="4">
        <v>679</v>
      </c>
      <c r="AA3278" s="4">
        <f>=ROUNDDOWN(14.7608695652174,0)</f>
      </c>
      <c r="AB3278" s="5">
        <v>46</v>
      </c>
      <c r="AC3278" s="2" t="s">
        <v>990</v>
      </c>
      <c r="AD3278" s="4">
        <v>422</v>
      </c>
      <c r="AE3278" s="4">
        <v>842</v>
      </c>
      <c r="AF3278" s="6">
        <v>69</v>
      </c>
      <c r="AG3278" s="6"/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6</v>
      </c>
      <c r="AQ3278" s="8">
        <v>149.7</v>
      </c>
      <c r="AR3278" s="4"/>
      <c r="AS3278" s="8"/>
      <c r="AT3278" s="7"/>
      <c r="AU3278" s="7"/>
      <c r="AV3278" s="4">
        <v>6</v>
      </c>
      <c r="AW3278" s="8">
        <v>149.7</v>
      </c>
      <c r="AX3278" s="4"/>
      <c r="AY3278" s="8"/>
      <c r="AZ3278" s="7"/>
      <c r="BA3278" s="7"/>
      <c r="BB3278" s="7">
        <v>1</v>
      </c>
      <c r="BC3278" s="4">
        <v>14</v>
      </c>
      <c r="BD3278" s="8">
        <v>349.55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>
        <v>0.4283</v>
      </c>
      <c r="BJ3278" s="4">
        <v>152</v>
      </c>
      <c r="BK3278" s="8">
        <v>3755.69</v>
      </c>
      <c r="BL3278" s="2" t="s">
        <v>10554</v>
      </c>
      <c r="BM3278" s="7">
        <v>0.0395</v>
      </c>
      <c r="BN3278" s="7">
        <v>0.0399</v>
      </c>
      <c r="BO3278" s="4">
        <v>6</v>
      </c>
      <c r="BP3278" s="8">
        <v>149.7</v>
      </c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9074</v>
      </c>
      <c r="BX3278" s="2" t="s">
        <v>10555</v>
      </c>
      <c r="BY3278" s="2" t="s">
        <v>112</v>
      </c>
      <c r="BZ3278" s="2" t="s">
        <v>100</v>
      </c>
    </row>
    <row r="3279">
      <c r="A3279" s="2" t="s">
        <v>10556</v>
      </c>
      <c r="B3279" s="2" t="s">
        <v>10550</v>
      </c>
      <c r="C3279" s="2" t="s">
        <v>88</v>
      </c>
      <c r="D3279" s="2" t="s">
        <v>10551</v>
      </c>
      <c r="E3279" s="2" t="s">
        <v>4949</v>
      </c>
      <c r="F3279" s="2" t="s">
        <v>4613</v>
      </c>
      <c r="G3279" s="2" t="s">
        <v>4613</v>
      </c>
      <c r="H3279" s="2" t="s">
        <v>4613</v>
      </c>
      <c r="I3279" s="2" t="s">
        <v>10552</v>
      </c>
      <c r="J3279" s="2" t="s">
        <v>3385</v>
      </c>
      <c r="K3279" s="2" t="s">
        <v>179</v>
      </c>
      <c r="L3279" s="3">
        <v>24</v>
      </c>
      <c r="M3279" s="3">
        <v>25.2</v>
      </c>
      <c r="N3279" s="3">
        <v>49.99</v>
      </c>
      <c r="O3279" s="2" t="s">
        <v>97</v>
      </c>
      <c r="P3279" s="2" t="s">
        <v>98</v>
      </c>
      <c r="Q3279" s="2" t="s">
        <v>99</v>
      </c>
      <c r="R3279" s="2" t="s">
        <v>100</v>
      </c>
      <c r="S3279" s="2" t="s">
        <v>10553</v>
      </c>
      <c r="T3279" s="2" t="s">
        <v>100</v>
      </c>
      <c r="U3279" s="2" t="s">
        <v>355</v>
      </c>
      <c r="V3279" s="2" t="s">
        <v>461</v>
      </c>
      <c r="W3279" s="2" t="s">
        <v>493</v>
      </c>
      <c r="X3279" s="2" t="s">
        <v>100</v>
      </c>
      <c r="Y3279" s="2" t="s">
        <v>902</v>
      </c>
      <c r="Z3279" s="4">
        <v>679</v>
      </c>
      <c r="AA3279" s="4">
        <f>=ROUNDDOWN(21.9032258064516,0)</f>
      </c>
      <c r="AB3279" s="5">
        <v>31</v>
      </c>
      <c r="AC3279" s="2" t="s">
        <v>990</v>
      </c>
      <c r="AD3279" s="4">
        <v>421</v>
      </c>
      <c r="AE3279" s="4">
        <v>421</v>
      </c>
      <c r="AF3279" s="6">
        <v>69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3</v>
      </c>
      <c r="AQ3279" s="8">
        <v>74.85</v>
      </c>
      <c r="AR3279" s="4"/>
      <c r="AS3279" s="8"/>
      <c r="AT3279" s="7"/>
      <c r="AU3279" s="7"/>
      <c r="AV3279" s="4">
        <v>3</v>
      </c>
      <c r="AW3279" s="8">
        <v>74.85</v>
      </c>
      <c r="AX3279" s="4"/>
      <c r="AY3279" s="8"/>
      <c r="AZ3279" s="7"/>
      <c r="BA3279" s="7"/>
      <c r="BB3279" s="7">
        <v>1</v>
      </c>
      <c r="BC3279" s="4" t="s">
        <v>100</v>
      </c>
      <c r="BD3279" s="8" t="s">
        <v>100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>
        <v>0.2141</v>
      </c>
      <c r="BJ3279" s="4">
        <v>110</v>
      </c>
      <c r="BK3279" s="8">
        <v>2737.96</v>
      </c>
      <c r="BL3279" s="2" t="s">
        <v>10557</v>
      </c>
      <c r="BM3279" s="7">
        <v>0.0273</v>
      </c>
      <c r="BN3279" s="7">
        <v>0.0273</v>
      </c>
      <c r="BO3279" s="4">
        <v>3</v>
      </c>
      <c r="BP3279" s="8">
        <v>74.85</v>
      </c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9074</v>
      </c>
      <c r="BX3279" s="2" t="s">
        <v>620</v>
      </c>
      <c r="BY3279" s="2" t="s">
        <v>112</v>
      </c>
      <c r="BZ3279" s="2" t="s">
        <v>100</v>
      </c>
    </row>
    <row r="3280">
      <c r="A3280" s="2" t="s">
        <v>10558</v>
      </c>
      <c r="B3280" s="2" t="s">
        <v>10550</v>
      </c>
      <c r="C3280" s="2" t="s">
        <v>88</v>
      </c>
      <c r="D3280" s="2" t="s">
        <v>10551</v>
      </c>
      <c r="E3280" s="2" t="s">
        <v>4949</v>
      </c>
      <c r="F3280" s="2" t="s">
        <v>4613</v>
      </c>
      <c r="G3280" s="2" t="s">
        <v>4613</v>
      </c>
      <c r="H3280" s="2" t="s">
        <v>4613</v>
      </c>
      <c r="I3280" s="2" t="s">
        <v>10552</v>
      </c>
      <c r="J3280" s="2" t="s">
        <v>3385</v>
      </c>
      <c r="K3280" s="2" t="s">
        <v>4816</v>
      </c>
      <c r="L3280" s="3">
        <v>24</v>
      </c>
      <c r="M3280" s="3">
        <v>25.2</v>
      </c>
      <c r="N3280" s="3">
        <v>49.99</v>
      </c>
      <c r="O3280" s="2" t="s">
        <v>97</v>
      </c>
      <c r="P3280" s="2" t="s">
        <v>98</v>
      </c>
      <c r="Q3280" s="2" t="s">
        <v>99</v>
      </c>
      <c r="R3280" s="2" t="s">
        <v>100</v>
      </c>
      <c r="S3280" s="2" t="s">
        <v>10553</v>
      </c>
      <c r="T3280" s="2" t="s">
        <v>190</v>
      </c>
      <c r="U3280" s="2" t="s">
        <v>355</v>
      </c>
      <c r="V3280" s="2" t="s">
        <v>461</v>
      </c>
      <c r="W3280" s="2" t="s">
        <v>493</v>
      </c>
      <c r="X3280" s="2" t="s">
        <v>609</v>
      </c>
      <c r="Y3280" s="2" t="s">
        <v>10559</v>
      </c>
      <c r="Z3280" s="4">
        <v>464</v>
      </c>
      <c r="AA3280" s="4">
        <f>=ROUNDDOWN(13.2571428571429,0)</f>
      </c>
      <c r="AB3280" s="5">
        <v>35</v>
      </c>
      <c r="AC3280" s="2" t="s">
        <v>10560</v>
      </c>
      <c r="AD3280" s="4">
        <v>420</v>
      </c>
      <c r="AE3280" s="4">
        <v>840</v>
      </c>
      <c r="AF3280" s="6">
        <v>69</v>
      </c>
      <c r="AG3280" s="6"/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2</v>
      </c>
      <c r="AQ3280" s="8">
        <v>49.9</v>
      </c>
      <c r="AR3280" s="4"/>
      <c r="AS3280" s="8"/>
      <c r="AT3280" s="7"/>
      <c r="AU3280" s="7"/>
      <c r="AV3280" s="4">
        <v>2</v>
      </c>
      <c r="AW3280" s="8">
        <v>49.9</v>
      </c>
      <c r="AX3280" s="4"/>
      <c r="AY3280" s="8"/>
      <c r="AZ3280" s="7"/>
      <c r="BA3280" s="7"/>
      <c r="BB3280" s="7">
        <v>1</v>
      </c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>
        <v>0.1428</v>
      </c>
      <c r="BJ3280" s="4">
        <v>110</v>
      </c>
      <c r="BK3280" s="8">
        <v>2639.84</v>
      </c>
      <c r="BL3280" s="2" t="s">
        <v>5608</v>
      </c>
      <c r="BM3280" s="7">
        <v>0.0182</v>
      </c>
      <c r="BN3280" s="7">
        <v>0.0189</v>
      </c>
      <c r="BO3280" s="4">
        <v>2</v>
      </c>
      <c r="BP3280" s="8">
        <v>49.9</v>
      </c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9074</v>
      </c>
      <c r="BX3280" s="2" t="s">
        <v>1558</v>
      </c>
      <c r="BY3280" s="2" t="s">
        <v>112</v>
      </c>
      <c r="BZ3280" s="2" t="s">
        <v>100</v>
      </c>
    </row>
    <row r="3281">
      <c r="A3281" s="2" t="s">
        <v>10561</v>
      </c>
      <c r="B3281" s="2" t="s">
        <v>10550</v>
      </c>
      <c r="C3281" s="2" t="s">
        <v>88</v>
      </c>
      <c r="D3281" s="2" t="s">
        <v>10551</v>
      </c>
      <c r="E3281" s="2" t="s">
        <v>4949</v>
      </c>
      <c r="F3281" s="2" t="s">
        <v>4613</v>
      </c>
      <c r="G3281" s="2" t="s">
        <v>4613</v>
      </c>
      <c r="H3281" s="2" t="s">
        <v>4613</v>
      </c>
      <c r="I3281" s="2" t="s">
        <v>10552</v>
      </c>
      <c r="J3281" s="2" t="s">
        <v>3385</v>
      </c>
      <c r="K3281" s="2" t="s">
        <v>1173</v>
      </c>
      <c r="L3281" s="3">
        <v>24</v>
      </c>
      <c r="M3281" s="3">
        <v>25.2</v>
      </c>
      <c r="N3281" s="3">
        <v>49.99</v>
      </c>
      <c r="O3281" s="2" t="s">
        <v>97</v>
      </c>
      <c r="P3281" s="2" t="s">
        <v>98</v>
      </c>
      <c r="Q3281" s="2" t="s">
        <v>99</v>
      </c>
      <c r="R3281" s="2" t="s">
        <v>100</v>
      </c>
      <c r="S3281" s="2" t="s">
        <v>10553</v>
      </c>
      <c r="T3281" s="2" t="s">
        <v>100</v>
      </c>
      <c r="U3281" s="2" t="s">
        <v>355</v>
      </c>
      <c r="V3281" s="2" t="s">
        <v>461</v>
      </c>
      <c r="W3281" s="2" t="s">
        <v>493</v>
      </c>
      <c r="X3281" s="2" t="s">
        <v>100</v>
      </c>
      <c r="Y3281" s="2" t="s">
        <v>902</v>
      </c>
      <c r="Z3281" s="4">
        <v>563</v>
      </c>
      <c r="AA3281" s="4">
        <f>=ROUNDDOWN(12.5111111111111,0)</f>
      </c>
      <c r="AB3281" s="5">
        <v>45</v>
      </c>
      <c r="AC3281" s="2" t="s">
        <v>990</v>
      </c>
      <c r="AD3281" s="4">
        <v>403</v>
      </c>
      <c r="AE3281" s="4">
        <v>1243</v>
      </c>
      <c r="AF3281" s="6">
        <v>69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>
        <v>2</v>
      </c>
      <c r="AQ3281" s="8">
        <v>49.9</v>
      </c>
      <c r="AR3281" s="4"/>
      <c r="AS3281" s="8"/>
      <c r="AT3281" s="7"/>
      <c r="AU3281" s="7"/>
      <c r="AV3281" s="4">
        <v>2</v>
      </c>
      <c r="AW3281" s="8">
        <v>49.9</v>
      </c>
      <c r="AX3281" s="4"/>
      <c r="AY3281" s="8"/>
      <c r="AZ3281" s="7"/>
      <c r="BA3281" s="7"/>
      <c r="BB3281" s="7">
        <v>1</v>
      </c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>
        <v>0.1428</v>
      </c>
      <c r="BJ3281" s="4">
        <v>135</v>
      </c>
      <c r="BK3281" s="8">
        <v>3428.66</v>
      </c>
      <c r="BL3281" s="2" t="s">
        <v>10562</v>
      </c>
      <c r="BM3281" s="7">
        <v>0.0148</v>
      </c>
      <c r="BN3281" s="7">
        <v>0.0146</v>
      </c>
      <c r="BO3281" s="4">
        <v>2</v>
      </c>
      <c r="BP3281" s="8">
        <v>49.9</v>
      </c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3547</v>
      </c>
      <c r="BX3281" s="2" t="s">
        <v>10563</v>
      </c>
      <c r="BY3281" s="2" t="s">
        <v>112</v>
      </c>
      <c r="BZ3281" s="2" t="s">
        <v>100</v>
      </c>
    </row>
    <row r="3282">
      <c r="A3282" s="2" t="s">
        <v>10564</v>
      </c>
      <c r="B3282" s="2" t="s">
        <v>10550</v>
      </c>
      <c r="C3282" s="2" t="s">
        <v>88</v>
      </c>
      <c r="D3282" s="2" t="s">
        <v>10551</v>
      </c>
      <c r="E3282" s="2" t="s">
        <v>4949</v>
      </c>
      <c r="F3282" s="2" t="s">
        <v>4613</v>
      </c>
      <c r="G3282" s="2" t="s">
        <v>4613</v>
      </c>
      <c r="H3282" s="2" t="s">
        <v>4613</v>
      </c>
      <c r="I3282" s="2" t="s">
        <v>10552</v>
      </c>
      <c r="J3282" s="2" t="s">
        <v>3385</v>
      </c>
      <c r="K3282" s="2" t="s">
        <v>4362</v>
      </c>
      <c r="L3282" s="3">
        <v>24</v>
      </c>
      <c r="M3282" s="3">
        <v>25.2</v>
      </c>
      <c r="N3282" s="3">
        <v>49.99</v>
      </c>
      <c r="O3282" s="2" t="s">
        <v>97</v>
      </c>
      <c r="P3282" s="2" t="s">
        <v>98</v>
      </c>
      <c r="Q3282" s="2" t="s">
        <v>99</v>
      </c>
      <c r="R3282" s="2" t="s">
        <v>100</v>
      </c>
      <c r="S3282" s="2" t="s">
        <v>10553</v>
      </c>
      <c r="T3282" s="2" t="s">
        <v>190</v>
      </c>
      <c r="U3282" s="2" t="s">
        <v>355</v>
      </c>
      <c r="V3282" s="2" t="s">
        <v>461</v>
      </c>
      <c r="W3282" s="2" t="s">
        <v>493</v>
      </c>
      <c r="X3282" s="2" t="s">
        <v>100</v>
      </c>
      <c r="Y3282" s="2" t="s">
        <v>4404</v>
      </c>
      <c r="Z3282" s="4">
        <v>480</v>
      </c>
      <c r="AA3282" s="4">
        <f>=ROUNDDOWN(11.1627906976744,0)</f>
      </c>
      <c r="AB3282" s="5">
        <v>43</v>
      </c>
      <c r="AC3282" s="2" t="s">
        <v>990</v>
      </c>
      <c r="AD3282" s="4">
        <v>403</v>
      </c>
      <c r="AE3282" s="4">
        <v>823</v>
      </c>
      <c r="AF3282" s="6">
        <v>69</v>
      </c>
      <c r="AG3282" s="6"/>
      <c r="AH3282" s="7">
        <v>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>
        <v>1</v>
      </c>
      <c r="AQ3282" s="8">
        <v>25.2</v>
      </c>
      <c r="AR3282" s="4"/>
      <c r="AS3282" s="8"/>
      <c r="AT3282" s="7"/>
      <c r="AU3282" s="7"/>
      <c r="AV3282" s="4">
        <v>1</v>
      </c>
      <c r="AW3282" s="8">
        <v>25.2</v>
      </c>
      <c r="AX3282" s="4"/>
      <c r="AY3282" s="8"/>
      <c r="AZ3282" s="7"/>
      <c r="BA3282" s="7"/>
      <c r="BB3282" s="7">
        <v>1</v>
      </c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>
        <v>0.0721</v>
      </c>
      <c r="BJ3282" s="4">
        <v>133</v>
      </c>
      <c r="BK3282" s="8">
        <v>3336.83</v>
      </c>
      <c r="BL3282" s="2" t="s">
        <v>10565</v>
      </c>
      <c r="BM3282" s="7">
        <v>0.0075</v>
      </c>
      <c r="BN3282" s="7">
        <v>0.0076</v>
      </c>
      <c r="BO3282" s="4">
        <v>1</v>
      </c>
      <c r="BP3282" s="8">
        <v>25.2</v>
      </c>
      <c r="BQ3282" s="4"/>
      <c r="BR3282" s="8"/>
      <c r="BS3282" s="7"/>
      <c r="BT3282" s="7"/>
      <c r="BU3282" s="2" t="s">
        <v>109</v>
      </c>
      <c r="BV3282" s="2" t="s">
        <v>97</v>
      </c>
      <c r="BW3282" s="2" t="s">
        <v>10566</v>
      </c>
      <c r="BX3282" s="2" t="s">
        <v>6192</v>
      </c>
      <c r="BY3282" s="2" t="s">
        <v>112</v>
      </c>
      <c r="BZ3282" s="2" t="s">
        <v>100</v>
      </c>
    </row>
    <row r="3283">
      <c r="A3283" s="2" t="s">
        <v>10567</v>
      </c>
      <c r="B3283" s="2" t="s">
        <v>10550</v>
      </c>
      <c r="C3283" s="2" t="s">
        <v>88</v>
      </c>
      <c r="D3283" s="2" t="s">
        <v>10551</v>
      </c>
      <c r="E3283" s="2" t="s">
        <v>4949</v>
      </c>
      <c r="F3283" s="2" t="s">
        <v>4613</v>
      </c>
      <c r="G3283" s="2" t="s">
        <v>4613</v>
      </c>
      <c r="H3283" s="2" t="s">
        <v>4613</v>
      </c>
      <c r="I3283" s="2" t="s">
        <v>10552</v>
      </c>
      <c r="J3283" s="2" t="s">
        <v>3385</v>
      </c>
      <c r="K3283" s="2" t="s">
        <v>96</v>
      </c>
      <c r="L3283" s="3">
        <v>24</v>
      </c>
      <c r="M3283" s="3">
        <v>25.2</v>
      </c>
      <c r="N3283" s="3">
        <v>49.99</v>
      </c>
      <c r="O3283" s="2" t="s">
        <v>97</v>
      </c>
      <c r="P3283" s="2" t="s">
        <v>156</v>
      </c>
      <c r="Q3283" s="2" t="s">
        <v>99</v>
      </c>
      <c r="R3283" s="2" t="s">
        <v>100</v>
      </c>
      <c r="S3283" s="2" t="s">
        <v>10553</v>
      </c>
      <c r="T3283" s="2" t="s">
        <v>100</v>
      </c>
      <c r="U3283" s="2" t="s">
        <v>355</v>
      </c>
      <c r="V3283" s="2" t="s">
        <v>461</v>
      </c>
      <c r="W3283" s="2" t="s">
        <v>493</v>
      </c>
      <c r="X3283" s="2" t="s">
        <v>100</v>
      </c>
      <c r="Y3283" s="2" t="s">
        <v>902</v>
      </c>
      <c r="Z3283" s="4">
        <v>1211</v>
      </c>
      <c r="AA3283" s="4">
        <f>=ROUNDDOWN(31.8684210526316,0)</f>
      </c>
      <c r="AB3283" s="5">
        <v>38</v>
      </c>
      <c r="AC3283" s="2" t="s">
        <v>10560</v>
      </c>
      <c r="AD3283" s="4">
        <v>420</v>
      </c>
      <c r="AE3283" s="4">
        <v>420</v>
      </c>
      <c r="AF3283" s="6">
        <v>69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/>
      <c r="AQ3283" s="8"/>
      <c r="AR3283" s="4"/>
      <c r="AS3283" s="8"/>
      <c r="AT3283" s="7"/>
      <c r="AU3283" s="7"/>
      <c r="AV3283" s="4"/>
      <c r="AW3283" s="8"/>
      <c r="AX3283" s="4"/>
      <c r="AY3283" s="8"/>
      <c r="AZ3283" s="7"/>
      <c r="BA3283" s="7"/>
      <c r="BB3283" s="7"/>
      <c r="BC3283" s="4" t="s">
        <v>100</v>
      </c>
      <c r="BD3283" s="8" t="s">
        <v>100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/>
      <c r="BJ3283" s="4">
        <v>118</v>
      </c>
      <c r="BK3283" s="8">
        <v>2906.71</v>
      </c>
      <c r="BL3283" s="2" t="s">
        <v>10568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109</v>
      </c>
      <c r="BV3283" s="2" t="s">
        <v>97</v>
      </c>
      <c r="BW3283" s="2" t="s">
        <v>9074</v>
      </c>
      <c r="BX3283" s="2" t="s">
        <v>10563</v>
      </c>
      <c r="BY3283" s="2" t="s">
        <v>112</v>
      </c>
      <c r="BZ3283" s="2" t="s">
        <v>100</v>
      </c>
    </row>
    <row r="3284">
      <c r="A3284" s="2" t="s">
        <v>10569</v>
      </c>
      <c r="B3284" s="2" t="s">
        <v>10550</v>
      </c>
      <c r="C3284" s="2" t="s">
        <v>88</v>
      </c>
      <c r="D3284" s="2" t="s">
        <v>10551</v>
      </c>
      <c r="E3284" s="2" t="s">
        <v>4949</v>
      </c>
      <c r="F3284" s="2" t="s">
        <v>4613</v>
      </c>
      <c r="G3284" s="2" t="s">
        <v>4613</v>
      </c>
      <c r="H3284" s="2" t="s">
        <v>4613</v>
      </c>
      <c r="I3284" s="2" t="s">
        <v>10552</v>
      </c>
      <c r="J3284" s="2" t="s">
        <v>3385</v>
      </c>
      <c r="K3284" s="2" t="s">
        <v>446</v>
      </c>
      <c r="L3284" s="3">
        <v>24</v>
      </c>
      <c r="M3284" s="3">
        <v>25.2</v>
      </c>
      <c r="N3284" s="3">
        <v>49.99</v>
      </c>
      <c r="O3284" s="2" t="s">
        <v>97</v>
      </c>
      <c r="P3284" s="2" t="s">
        <v>156</v>
      </c>
      <c r="Q3284" s="2" t="s">
        <v>99</v>
      </c>
      <c r="R3284" s="2" t="s">
        <v>100</v>
      </c>
      <c r="S3284" s="2" t="s">
        <v>10553</v>
      </c>
      <c r="T3284" s="2" t="s">
        <v>100</v>
      </c>
      <c r="U3284" s="2" t="s">
        <v>355</v>
      </c>
      <c r="V3284" s="2" t="s">
        <v>461</v>
      </c>
      <c r="W3284" s="2" t="s">
        <v>493</v>
      </c>
      <c r="X3284" s="2" t="s">
        <v>100</v>
      </c>
      <c r="Y3284" s="2" t="s">
        <v>902</v>
      </c>
      <c r="Z3284" s="4">
        <v>498</v>
      </c>
      <c r="AA3284" s="4">
        <f>=ROUNDDOWN(8.73684210526316,0)</f>
      </c>
      <c r="AB3284" s="5">
        <v>57</v>
      </c>
      <c r="AC3284" s="2" t="s">
        <v>990</v>
      </c>
      <c r="AD3284" s="4">
        <v>405</v>
      </c>
      <c r="AE3284" s="4">
        <v>1465</v>
      </c>
      <c r="AF3284" s="6">
        <v>69</v>
      </c>
      <c r="AG3284" s="6"/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/>
      <c r="AQ3284" s="8"/>
      <c r="AR3284" s="4"/>
      <c r="AS3284" s="8"/>
      <c r="AT3284" s="7"/>
      <c r="AU3284" s="7"/>
      <c r="AV3284" s="4"/>
      <c r="AW3284" s="8"/>
      <c r="AX3284" s="4"/>
      <c r="AY3284" s="8"/>
      <c r="AZ3284" s="7"/>
      <c r="BA3284" s="7"/>
      <c r="BB3284" s="7"/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/>
      <c r="BJ3284" s="4">
        <v>231</v>
      </c>
      <c r="BK3284" s="8">
        <v>5724.98</v>
      </c>
      <c r="BL3284" s="2" t="s">
        <v>10570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109</v>
      </c>
      <c r="BV3284" s="2" t="s">
        <v>97</v>
      </c>
      <c r="BW3284" s="2" t="s">
        <v>10571</v>
      </c>
      <c r="BX3284" s="2" t="s">
        <v>10572</v>
      </c>
      <c r="BY3284" s="2" t="s">
        <v>112</v>
      </c>
      <c r="BZ3284" s="2" t="s">
        <v>100</v>
      </c>
    </row>
    <row r="3285">
      <c r="A3285" s="2" t="s">
        <v>10573</v>
      </c>
      <c r="B3285" s="2" t="s">
        <v>10550</v>
      </c>
      <c r="C3285" s="2" t="s">
        <v>88</v>
      </c>
      <c r="D3285" s="2" t="s">
        <v>10551</v>
      </c>
      <c r="E3285" s="2" t="s">
        <v>4949</v>
      </c>
      <c r="F3285" s="2" t="s">
        <v>10574</v>
      </c>
      <c r="G3285" s="2" t="s">
        <v>10574</v>
      </c>
      <c r="H3285" s="2" t="s">
        <v>10574</v>
      </c>
      <c r="I3285" s="2" t="s">
        <v>10575</v>
      </c>
      <c r="J3285" s="2" t="s">
        <v>3385</v>
      </c>
      <c r="K3285" s="2" t="s">
        <v>1373</v>
      </c>
      <c r="L3285" s="3">
        <v>26.4</v>
      </c>
      <c r="M3285" s="3">
        <v>27.72</v>
      </c>
      <c r="N3285" s="3">
        <v>54.99</v>
      </c>
      <c r="O3285" s="2" t="s">
        <v>97</v>
      </c>
      <c r="P3285" s="2" t="s">
        <v>98</v>
      </c>
      <c r="Q3285" s="2" t="s">
        <v>99</v>
      </c>
      <c r="R3285" s="2" t="s">
        <v>100</v>
      </c>
      <c r="S3285" s="2" t="s">
        <v>100</v>
      </c>
      <c r="T3285" s="2" t="s">
        <v>100</v>
      </c>
      <c r="U3285" s="2" t="s">
        <v>100</v>
      </c>
      <c r="V3285" s="2" t="s">
        <v>461</v>
      </c>
      <c r="W3285" s="2" t="s">
        <v>493</v>
      </c>
      <c r="X3285" s="2" t="s">
        <v>100</v>
      </c>
      <c r="Y3285" s="2" t="s">
        <v>1935</v>
      </c>
      <c r="Z3285" s="4">
        <v>582</v>
      </c>
      <c r="AA3285" s="4">
        <f>=ROUNDDOWN(18.7741935483871,0)</f>
      </c>
      <c r="AB3285" s="5">
        <v>31</v>
      </c>
      <c r="AC3285" s="2" t="s">
        <v>2843</v>
      </c>
      <c r="AD3285" s="4">
        <v>350</v>
      </c>
      <c r="AE3285" s="4">
        <v>700</v>
      </c>
      <c r="AF3285" s="6">
        <v>69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>
        <v>4</v>
      </c>
      <c r="AQ3285" s="8">
        <v>115.52</v>
      </c>
      <c r="AR3285" s="4"/>
      <c r="AS3285" s="8"/>
      <c r="AT3285" s="7"/>
      <c r="AU3285" s="7"/>
      <c r="AV3285" s="4">
        <v>4</v>
      </c>
      <c r="AW3285" s="8">
        <v>115.52</v>
      </c>
      <c r="AX3285" s="4"/>
      <c r="AY3285" s="8"/>
      <c r="AZ3285" s="7"/>
      <c r="BA3285" s="7"/>
      <c r="BB3285" s="7">
        <v>1</v>
      </c>
      <c r="BC3285" s="4">
        <v>5</v>
      </c>
      <c r="BD3285" s="8">
        <v>144.4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>
        <v>0.8</v>
      </c>
      <c r="BJ3285" s="4">
        <v>106</v>
      </c>
      <c r="BK3285" s="8">
        <v>3068.13</v>
      </c>
      <c r="BL3285" s="2" t="s">
        <v>10576</v>
      </c>
      <c r="BM3285" s="7">
        <v>0.0377</v>
      </c>
      <c r="BN3285" s="7">
        <v>0.0377</v>
      </c>
      <c r="BO3285" s="4">
        <v>4</v>
      </c>
      <c r="BP3285" s="8">
        <v>115.52</v>
      </c>
      <c r="BQ3285" s="4"/>
      <c r="BR3285" s="8"/>
      <c r="BS3285" s="7"/>
      <c r="BT3285" s="7"/>
      <c r="BU3285" s="2" t="s">
        <v>109</v>
      </c>
      <c r="BV3285" s="2" t="s">
        <v>97</v>
      </c>
      <c r="BW3285" s="2" t="s">
        <v>4809</v>
      </c>
      <c r="BX3285" s="2" t="s">
        <v>2134</v>
      </c>
      <c r="BY3285" s="2" t="s">
        <v>112</v>
      </c>
      <c r="BZ3285" s="2" t="s">
        <v>100</v>
      </c>
    </row>
    <row r="3286">
      <c r="A3286" s="2" t="s">
        <v>10577</v>
      </c>
      <c r="B3286" s="2" t="s">
        <v>10550</v>
      </c>
      <c r="C3286" s="2" t="s">
        <v>88</v>
      </c>
      <c r="D3286" s="2" t="s">
        <v>10551</v>
      </c>
      <c r="E3286" s="2" t="s">
        <v>4949</v>
      </c>
      <c r="F3286" s="2" t="s">
        <v>10574</v>
      </c>
      <c r="G3286" s="2" t="s">
        <v>10574</v>
      </c>
      <c r="H3286" s="2" t="s">
        <v>10574</v>
      </c>
      <c r="I3286" s="2" t="s">
        <v>10575</v>
      </c>
      <c r="J3286" s="2" t="s">
        <v>3385</v>
      </c>
      <c r="K3286" s="2" t="s">
        <v>179</v>
      </c>
      <c r="L3286" s="3">
        <v>26.4</v>
      </c>
      <c r="M3286" s="3">
        <v>27.72</v>
      </c>
      <c r="N3286" s="3">
        <v>54.99</v>
      </c>
      <c r="O3286" s="2" t="s">
        <v>97</v>
      </c>
      <c r="P3286" s="2" t="s">
        <v>156</v>
      </c>
      <c r="Q3286" s="2" t="s">
        <v>99</v>
      </c>
      <c r="R3286" s="2" t="s">
        <v>100</v>
      </c>
      <c r="S3286" s="2" t="s">
        <v>10578</v>
      </c>
      <c r="T3286" s="2" t="s">
        <v>190</v>
      </c>
      <c r="U3286" s="2" t="s">
        <v>355</v>
      </c>
      <c r="V3286" s="2" t="s">
        <v>461</v>
      </c>
      <c r="W3286" s="2" t="s">
        <v>493</v>
      </c>
      <c r="X3286" s="2" t="s">
        <v>100</v>
      </c>
      <c r="Y3286" s="2" t="s">
        <v>10559</v>
      </c>
      <c r="Z3286" s="4">
        <v>182</v>
      </c>
      <c r="AA3286" s="4">
        <f>=ROUNDDOWN(4.91891891891892,0)</f>
      </c>
      <c r="AB3286" s="5">
        <v>37</v>
      </c>
      <c r="AC3286" s="2" t="s">
        <v>897</v>
      </c>
      <c r="AD3286" s="4">
        <v>350</v>
      </c>
      <c r="AE3286" s="4">
        <v>1400</v>
      </c>
      <c r="AF3286" s="6">
        <v>69</v>
      </c>
      <c r="AG3286" s="6"/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>
        <v>1</v>
      </c>
      <c r="AQ3286" s="8">
        <v>28.88</v>
      </c>
      <c r="AR3286" s="4"/>
      <c r="AS3286" s="8"/>
      <c r="AT3286" s="7"/>
      <c r="AU3286" s="7"/>
      <c r="AV3286" s="4">
        <v>1</v>
      </c>
      <c r="AW3286" s="8">
        <v>28.88</v>
      </c>
      <c r="AX3286" s="4"/>
      <c r="AY3286" s="8"/>
      <c r="AZ3286" s="7"/>
      <c r="BA3286" s="7"/>
      <c r="BB3286" s="7">
        <v>1</v>
      </c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>
        <v>0.2</v>
      </c>
      <c r="BJ3286" s="4">
        <v>117</v>
      </c>
      <c r="BK3286" s="8">
        <v>3364.21</v>
      </c>
      <c r="BL3286" s="2" t="s">
        <v>10579</v>
      </c>
      <c r="BM3286" s="7">
        <v>0.0085</v>
      </c>
      <c r="BN3286" s="7">
        <v>0.0086</v>
      </c>
      <c r="BO3286" s="4">
        <v>1</v>
      </c>
      <c r="BP3286" s="8">
        <v>28.88</v>
      </c>
      <c r="BQ3286" s="4"/>
      <c r="BR3286" s="8"/>
      <c r="BS3286" s="7"/>
      <c r="BT3286" s="7"/>
      <c r="BU3286" s="2" t="s">
        <v>109</v>
      </c>
      <c r="BV3286" s="2" t="s">
        <v>97</v>
      </c>
      <c r="BW3286" s="2" t="s">
        <v>10580</v>
      </c>
      <c r="BX3286" s="2" t="s">
        <v>9269</v>
      </c>
      <c r="BY3286" s="2" t="s">
        <v>112</v>
      </c>
      <c r="BZ3286" s="2" t="s">
        <v>100</v>
      </c>
    </row>
    <row r="3287">
      <c r="A3287" s="2" t="s">
        <v>10581</v>
      </c>
      <c r="B3287" s="2" t="s">
        <v>10550</v>
      </c>
      <c r="C3287" s="2" t="s">
        <v>88</v>
      </c>
      <c r="D3287" s="2" t="s">
        <v>10551</v>
      </c>
      <c r="E3287" s="2" t="s">
        <v>4949</v>
      </c>
      <c r="F3287" s="2" t="s">
        <v>10574</v>
      </c>
      <c r="G3287" s="2" t="s">
        <v>10574</v>
      </c>
      <c r="H3287" s="2" t="s">
        <v>10574</v>
      </c>
      <c r="I3287" s="2" t="s">
        <v>10575</v>
      </c>
      <c r="J3287" s="2" t="s">
        <v>3385</v>
      </c>
      <c r="K3287" s="2" t="s">
        <v>4362</v>
      </c>
      <c r="L3287" s="3">
        <v>26.4</v>
      </c>
      <c r="M3287" s="3">
        <v>27.72</v>
      </c>
      <c r="N3287" s="3">
        <v>54.99</v>
      </c>
      <c r="O3287" s="2" t="s">
        <v>97</v>
      </c>
      <c r="P3287" s="2" t="s">
        <v>98</v>
      </c>
      <c r="Q3287" s="2" t="s">
        <v>99</v>
      </c>
      <c r="R3287" s="2" t="s">
        <v>100</v>
      </c>
      <c r="S3287" s="2" t="s">
        <v>10578</v>
      </c>
      <c r="T3287" s="2" t="s">
        <v>190</v>
      </c>
      <c r="U3287" s="2" t="s">
        <v>355</v>
      </c>
      <c r="V3287" s="2" t="s">
        <v>461</v>
      </c>
      <c r="W3287" s="2" t="s">
        <v>493</v>
      </c>
      <c r="X3287" s="2" t="s">
        <v>100</v>
      </c>
      <c r="Y3287" s="2" t="s">
        <v>10582</v>
      </c>
      <c r="Z3287" s="4">
        <v>277</v>
      </c>
      <c r="AA3287" s="4">
        <f>=ROUNDDOWN(8.65625,0)</f>
      </c>
      <c r="AB3287" s="5">
        <v>32</v>
      </c>
      <c r="AC3287" s="2" t="s">
        <v>897</v>
      </c>
      <c r="AD3287" s="4">
        <v>339</v>
      </c>
      <c r="AE3287" s="4">
        <v>689</v>
      </c>
      <c r="AF3287" s="6">
        <v>69</v>
      </c>
      <c r="AG3287" s="6"/>
      <c r="AH3287" s="7">
        <v>1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/>
      <c r="AW3287" s="8"/>
      <c r="AX3287" s="4"/>
      <c r="AY3287" s="8"/>
      <c r="AZ3287" s="7"/>
      <c r="BA3287" s="7"/>
      <c r="BB3287" s="7"/>
      <c r="BC3287" s="4" t="s">
        <v>100</v>
      </c>
      <c r="BD3287" s="8" t="s">
        <v>100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/>
      <c r="BJ3287" s="4">
        <v>89</v>
      </c>
      <c r="BK3287" s="8">
        <v>2516.81</v>
      </c>
      <c r="BL3287" s="2" t="s">
        <v>1448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171</v>
      </c>
      <c r="BV3287" s="2" t="s">
        <v>97</v>
      </c>
      <c r="BW3287" s="2" t="s">
        <v>100</v>
      </c>
      <c r="BX3287" s="2" t="s">
        <v>100</v>
      </c>
      <c r="BY3287" s="2" t="s">
        <v>112</v>
      </c>
      <c r="BZ3287" s="2" t="s">
        <v>100</v>
      </c>
    </row>
    <row r="3288">
      <c r="A3288" s="2" t="s">
        <v>10583</v>
      </c>
      <c r="B3288" s="2" t="s">
        <v>10550</v>
      </c>
      <c r="C3288" s="2" t="s">
        <v>88</v>
      </c>
      <c r="D3288" s="2" t="s">
        <v>10551</v>
      </c>
      <c r="E3288" s="2" t="s">
        <v>4949</v>
      </c>
      <c r="F3288" s="2" t="s">
        <v>10574</v>
      </c>
      <c r="G3288" s="2" t="s">
        <v>10574</v>
      </c>
      <c r="H3288" s="2" t="s">
        <v>10574</v>
      </c>
      <c r="I3288" s="2" t="s">
        <v>10575</v>
      </c>
      <c r="J3288" s="2" t="s">
        <v>3385</v>
      </c>
      <c r="K3288" s="2" t="s">
        <v>96</v>
      </c>
      <c r="L3288" s="3">
        <v>26.4</v>
      </c>
      <c r="M3288" s="3">
        <v>27.72</v>
      </c>
      <c r="N3288" s="3">
        <v>54.99</v>
      </c>
      <c r="O3288" s="2" t="s">
        <v>97</v>
      </c>
      <c r="P3288" s="2" t="s">
        <v>98</v>
      </c>
      <c r="Q3288" s="2" t="s">
        <v>99</v>
      </c>
      <c r="R3288" s="2" t="s">
        <v>100</v>
      </c>
      <c r="S3288" s="2" t="s">
        <v>100</v>
      </c>
      <c r="T3288" s="2" t="s">
        <v>100</v>
      </c>
      <c r="U3288" s="2" t="s">
        <v>100</v>
      </c>
      <c r="V3288" s="2" t="s">
        <v>461</v>
      </c>
      <c r="W3288" s="2" t="s">
        <v>493</v>
      </c>
      <c r="X3288" s="2" t="s">
        <v>100</v>
      </c>
      <c r="Y3288" s="2" t="s">
        <v>1935</v>
      </c>
      <c r="Z3288" s="4">
        <v>422</v>
      </c>
      <c r="AA3288" s="4">
        <f>=ROUNDDOWN(11.1052631578947,0)</f>
      </c>
      <c r="AB3288" s="5">
        <v>38</v>
      </c>
      <c r="AC3288" s="2" t="s">
        <v>897</v>
      </c>
      <c r="AD3288" s="4">
        <v>338</v>
      </c>
      <c r="AE3288" s="4">
        <v>1218</v>
      </c>
      <c r="AF3288" s="6">
        <v>69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/>
      <c r="AQ3288" s="8"/>
      <c r="AR3288" s="4"/>
      <c r="AS3288" s="8"/>
      <c r="AT3288" s="7"/>
      <c r="AU3288" s="7"/>
      <c r="AV3288" s="4"/>
      <c r="AW3288" s="8"/>
      <c r="AX3288" s="4"/>
      <c r="AY3288" s="8"/>
      <c r="AZ3288" s="7"/>
      <c r="BA3288" s="7"/>
      <c r="BB3288" s="7"/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/>
      <c r="BJ3288" s="4">
        <v>126</v>
      </c>
      <c r="BK3288" s="8">
        <v>3612.77</v>
      </c>
      <c r="BL3288" s="2" t="s">
        <v>10584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109</v>
      </c>
      <c r="BV3288" s="2" t="s">
        <v>97</v>
      </c>
      <c r="BW3288" s="2" t="s">
        <v>4809</v>
      </c>
      <c r="BX3288" s="2" t="s">
        <v>10585</v>
      </c>
      <c r="BY3288" s="2" t="s">
        <v>112</v>
      </c>
      <c r="BZ3288" s="2" t="s">
        <v>100</v>
      </c>
    </row>
    <row r="3289">
      <c r="A3289" s="2" t="s">
        <v>10586</v>
      </c>
      <c r="B3289" s="2" t="s">
        <v>10550</v>
      </c>
      <c r="C3289" s="2" t="s">
        <v>88</v>
      </c>
      <c r="D3289" s="2" t="s">
        <v>10551</v>
      </c>
      <c r="E3289" s="2" t="s">
        <v>4949</v>
      </c>
      <c r="F3289" s="2" t="s">
        <v>10574</v>
      </c>
      <c r="G3289" s="2" t="s">
        <v>10574</v>
      </c>
      <c r="H3289" s="2" t="s">
        <v>10574</v>
      </c>
      <c r="I3289" s="2" t="s">
        <v>10575</v>
      </c>
      <c r="J3289" s="2" t="s">
        <v>3385</v>
      </c>
      <c r="K3289" s="2" t="s">
        <v>223</v>
      </c>
      <c r="L3289" s="3">
        <v>26.4</v>
      </c>
      <c r="M3289" s="3">
        <v>27.72</v>
      </c>
      <c r="N3289" s="3">
        <v>54.99</v>
      </c>
      <c r="O3289" s="2" t="s">
        <v>97</v>
      </c>
      <c r="P3289" s="2" t="s">
        <v>98</v>
      </c>
      <c r="Q3289" s="2" t="s">
        <v>99</v>
      </c>
      <c r="R3289" s="2" t="s">
        <v>100</v>
      </c>
      <c r="S3289" s="2" t="s">
        <v>10578</v>
      </c>
      <c r="T3289" s="2" t="s">
        <v>190</v>
      </c>
      <c r="U3289" s="2" t="s">
        <v>355</v>
      </c>
      <c r="V3289" s="2" t="s">
        <v>461</v>
      </c>
      <c r="W3289" s="2" t="s">
        <v>493</v>
      </c>
      <c r="X3289" s="2" t="s">
        <v>100</v>
      </c>
      <c r="Y3289" s="2" t="s">
        <v>10582</v>
      </c>
      <c r="Z3289" s="4">
        <v>459</v>
      </c>
      <c r="AA3289" s="4">
        <f>=ROUNDDOWN(27,0)</f>
      </c>
      <c r="AB3289" s="5">
        <v>17</v>
      </c>
      <c r="AC3289" s="2" t="s">
        <v>897</v>
      </c>
      <c r="AD3289" s="4">
        <v>353</v>
      </c>
      <c r="AE3289" s="4">
        <v>703</v>
      </c>
      <c r="AF3289" s="6">
        <v>69</v>
      </c>
      <c r="AG3289" s="6"/>
      <c r="AH3289" s="7">
        <v>1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/>
      <c r="AW3289" s="8"/>
      <c r="AX3289" s="4"/>
      <c r="AY3289" s="8"/>
      <c r="AZ3289" s="7"/>
      <c r="BA3289" s="7"/>
      <c r="BB3289" s="7"/>
      <c r="BC3289" s="4" t="s">
        <v>100</v>
      </c>
      <c r="BD3289" s="8" t="s">
        <v>100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/>
      <c r="BJ3289" s="4">
        <v>51</v>
      </c>
      <c r="BK3289" s="8">
        <v>1484.65</v>
      </c>
      <c r="BL3289" s="2" t="s">
        <v>2404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171</v>
      </c>
      <c r="BV3289" s="2" t="s">
        <v>97</v>
      </c>
      <c r="BW3289" s="2" t="s">
        <v>100</v>
      </c>
      <c r="BX3289" s="2" t="s">
        <v>100</v>
      </c>
      <c r="BY3289" s="2" t="s">
        <v>112</v>
      </c>
      <c r="BZ3289" s="2" t="s">
        <v>100</v>
      </c>
    </row>
    <row r="3290">
      <c r="A3290" s="2" t="s">
        <v>10587</v>
      </c>
      <c r="B3290" s="2" t="s">
        <v>10550</v>
      </c>
      <c r="C3290" s="2" t="s">
        <v>88</v>
      </c>
      <c r="D3290" s="2" t="s">
        <v>10551</v>
      </c>
      <c r="E3290" s="2" t="s">
        <v>4949</v>
      </c>
      <c r="F3290" s="2" t="s">
        <v>10574</v>
      </c>
      <c r="G3290" s="2" t="s">
        <v>10574</v>
      </c>
      <c r="H3290" s="2" t="s">
        <v>10574</v>
      </c>
      <c r="I3290" s="2" t="s">
        <v>10575</v>
      </c>
      <c r="J3290" s="2" t="s">
        <v>3385</v>
      </c>
      <c r="K3290" s="2" t="s">
        <v>523</v>
      </c>
      <c r="L3290" s="3">
        <v>26.4</v>
      </c>
      <c r="M3290" s="3">
        <v>27.72</v>
      </c>
      <c r="N3290" s="3">
        <v>54.99</v>
      </c>
      <c r="O3290" s="2" t="s">
        <v>97</v>
      </c>
      <c r="P3290" s="2" t="s">
        <v>156</v>
      </c>
      <c r="Q3290" s="2" t="s">
        <v>99</v>
      </c>
      <c r="R3290" s="2" t="s">
        <v>100</v>
      </c>
      <c r="S3290" s="2" t="s">
        <v>10578</v>
      </c>
      <c r="T3290" s="2" t="s">
        <v>190</v>
      </c>
      <c r="U3290" s="2" t="s">
        <v>355</v>
      </c>
      <c r="V3290" s="2" t="s">
        <v>461</v>
      </c>
      <c r="W3290" s="2" t="s">
        <v>493</v>
      </c>
      <c r="X3290" s="2" t="s">
        <v>609</v>
      </c>
      <c r="Y3290" s="2" t="s">
        <v>10588</v>
      </c>
      <c r="Z3290" s="4">
        <v>339</v>
      </c>
      <c r="AA3290" s="4">
        <f>=ROUNDDOWN(10.2727272727273,0)</f>
      </c>
      <c r="AB3290" s="5">
        <v>33</v>
      </c>
      <c r="AC3290" s="2" t="s">
        <v>897</v>
      </c>
      <c r="AD3290" s="4">
        <v>349</v>
      </c>
      <c r="AE3290" s="4">
        <v>1049</v>
      </c>
      <c r="AF3290" s="6">
        <v>69</v>
      </c>
      <c r="AG3290" s="6"/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/>
      <c r="AQ3290" s="8"/>
      <c r="AR3290" s="4"/>
      <c r="AS3290" s="8"/>
      <c r="AT3290" s="7"/>
      <c r="AU3290" s="7"/>
      <c r="AV3290" s="4"/>
      <c r="AW3290" s="8"/>
      <c r="AX3290" s="4"/>
      <c r="AY3290" s="8"/>
      <c r="AZ3290" s="7"/>
      <c r="BA3290" s="7"/>
      <c r="BB3290" s="7"/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/>
      <c r="BJ3290" s="4">
        <v>109</v>
      </c>
      <c r="BK3290" s="8">
        <v>3133.17</v>
      </c>
      <c r="BL3290" s="2" t="s">
        <v>10589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109</v>
      </c>
      <c r="BV3290" s="2" t="s">
        <v>97</v>
      </c>
      <c r="BW3290" s="2" t="s">
        <v>203</v>
      </c>
      <c r="BX3290" s="2" t="s">
        <v>314</v>
      </c>
      <c r="BY3290" s="2" t="s">
        <v>112</v>
      </c>
      <c r="BZ3290" s="2" t="s">
        <v>100</v>
      </c>
    </row>
    <row r="3291">
      <c r="A3291" s="2" t="s">
        <v>10590</v>
      </c>
      <c r="B3291" s="2" t="s">
        <v>10550</v>
      </c>
      <c r="C3291" s="2" t="s">
        <v>88</v>
      </c>
      <c r="D3291" s="2" t="s">
        <v>10551</v>
      </c>
      <c r="E3291" s="2" t="s">
        <v>4949</v>
      </c>
      <c r="F3291" s="2" t="s">
        <v>10574</v>
      </c>
      <c r="G3291" s="2" t="s">
        <v>10574</v>
      </c>
      <c r="H3291" s="2" t="s">
        <v>10574</v>
      </c>
      <c r="I3291" s="2" t="s">
        <v>10575</v>
      </c>
      <c r="J3291" s="2" t="s">
        <v>3385</v>
      </c>
      <c r="K3291" s="2" t="s">
        <v>458</v>
      </c>
      <c r="L3291" s="3">
        <v>26.4</v>
      </c>
      <c r="M3291" s="3">
        <v>27.72</v>
      </c>
      <c r="N3291" s="3">
        <v>54.99</v>
      </c>
      <c r="O3291" s="2" t="s">
        <v>97</v>
      </c>
      <c r="P3291" s="2" t="s">
        <v>156</v>
      </c>
      <c r="Q3291" s="2" t="s">
        <v>99</v>
      </c>
      <c r="R3291" s="2" t="s">
        <v>100</v>
      </c>
      <c r="S3291" s="2" t="s">
        <v>10578</v>
      </c>
      <c r="T3291" s="2" t="s">
        <v>190</v>
      </c>
      <c r="U3291" s="2" t="s">
        <v>355</v>
      </c>
      <c r="V3291" s="2" t="s">
        <v>461</v>
      </c>
      <c r="W3291" s="2" t="s">
        <v>493</v>
      </c>
      <c r="X3291" s="2" t="s">
        <v>100</v>
      </c>
      <c r="Y3291" s="2" t="s">
        <v>10559</v>
      </c>
      <c r="Z3291" s="4">
        <v>334</v>
      </c>
      <c r="AA3291" s="4">
        <f>=ROUNDDOWN(6.95833333333333,0)</f>
      </c>
      <c r="AB3291" s="5">
        <v>48</v>
      </c>
      <c r="AC3291" s="2" t="s">
        <v>2843</v>
      </c>
      <c r="AD3291" s="4">
        <v>350</v>
      </c>
      <c r="AE3291" s="4">
        <v>1050</v>
      </c>
      <c r="AF3291" s="6">
        <v>69</v>
      </c>
      <c r="AG3291" s="6"/>
      <c r="AH3291" s="7">
        <v>1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>
        <v>0</v>
      </c>
      <c r="AP3291" s="4"/>
      <c r="AQ3291" s="8"/>
      <c r="AR3291" s="4"/>
      <c r="AS3291" s="8"/>
      <c r="AT3291" s="7"/>
      <c r="AU3291" s="7"/>
      <c r="AV3291" s="4"/>
      <c r="AW3291" s="8"/>
      <c r="AX3291" s="4"/>
      <c r="AY3291" s="8"/>
      <c r="AZ3291" s="7"/>
      <c r="BA3291" s="7"/>
      <c r="BB3291" s="7"/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/>
      <c r="BJ3291" s="4">
        <v>240</v>
      </c>
      <c r="BK3291" s="8">
        <v>7077.18</v>
      </c>
      <c r="BL3291" s="2" t="s">
        <v>10591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109</v>
      </c>
      <c r="BV3291" s="2" t="s">
        <v>97</v>
      </c>
      <c r="BW3291" s="2" t="s">
        <v>10580</v>
      </c>
      <c r="BX3291" s="2" t="s">
        <v>5675</v>
      </c>
      <c r="BY3291" s="2" t="s">
        <v>112</v>
      </c>
      <c r="BZ3291" s="2" t="s">
        <v>100</v>
      </c>
    </row>
    <row r="3292">
      <c r="A3292" s="2" t="s">
        <v>10592</v>
      </c>
      <c r="B3292" s="2" t="s">
        <v>10550</v>
      </c>
      <c r="C3292" s="2" t="s">
        <v>3196</v>
      </c>
      <c r="D3292" s="2" t="s">
        <v>10551</v>
      </c>
      <c r="E3292" s="2" t="s">
        <v>4949</v>
      </c>
      <c r="F3292" s="2" t="s">
        <v>10593</v>
      </c>
      <c r="G3292" s="2" t="s">
        <v>10593</v>
      </c>
      <c r="H3292" s="2" t="s">
        <v>10593</v>
      </c>
      <c r="I3292" s="2" t="s">
        <v>10594</v>
      </c>
      <c r="J3292" s="2" t="s">
        <v>10595</v>
      </c>
      <c r="K3292" s="2" t="s">
        <v>471</v>
      </c>
      <c r="L3292" s="3">
        <v>32.9</v>
      </c>
      <c r="M3292" s="3">
        <v>34.55</v>
      </c>
      <c r="N3292" s="3">
        <v>69.99</v>
      </c>
      <c r="O3292" s="2" t="s">
        <v>97</v>
      </c>
      <c r="P3292" s="2" t="s">
        <v>98</v>
      </c>
      <c r="Q3292" s="2" t="s">
        <v>99</v>
      </c>
      <c r="R3292" s="2" t="s">
        <v>100</v>
      </c>
      <c r="S3292" s="2" t="s">
        <v>10596</v>
      </c>
      <c r="T3292" s="2" t="s">
        <v>190</v>
      </c>
      <c r="U3292" s="2" t="s">
        <v>894</v>
      </c>
      <c r="V3292" s="2" t="s">
        <v>461</v>
      </c>
      <c r="W3292" s="2" t="s">
        <v>142</v>
      </c>
      <c r="X3292" s="2" t="s">
        <v>100</v>
      </c>
      <c r="Y3292" s="2" t="s">
        <v>3081</v>
      </c>
      <c r="Z3292" s="4">
        <v>249</v>
      </c>
      <c r="AA3292" s="4">
        <f>=ROUNDDOWN(6.225,0)</f>
      </c>
      <c r="AB3292" s="5">
        <v>40</v>
      </c>
      <c r="AC3292" s="2" t="s">
        <v>897</v>
      </c>
      <c r="AD3292" s="4">
        <v>286</v>
      </c>
      <c r="AE3292" s="4">
        <v>1106</v>
      </c>
      <c r="AF3292" s="6">
        <v>69</v>
      </c>
      <c r="AG3292" s="6">
        <v>77</v>
      </c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>
        <v>3</v>
      </c>
      <c r="AQ3292" s="8">
        <v>103.62</v>
      </c>
      <c r="AR3292" s="4"/>
      <c r="AS3292" s="8"/>
      <c r="AT3292" s="7"/>
      <c r="AU3292" s="7"/>
      <c r="AV3292" s="4">
        <v>3</v>
      </c>
      <c r="AW3292" s="8">
        <v>103.62</v>
      </c>
      <c r="AX3292" s="4"/>
      <c r="AY3292" s="8"/>
      <c r="AZ3292" s="7"/>
      <c r="BA3292" s="7"/>
      <c r="BB3292" s="7">
        <v>1</v>
      </c>
      <c r="BC3292" s="4">
        <v>4</v>
      </c>
      <c r="BD3292" s="8">
        <v>138.27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>
        <v>0.7494</v>
      </c>
      <c r="BJ3292" s="4">
        <v>151</v>
      </c>
      <c r="BK3292" s="8">
        <v>5168.9</v>
      </c>
      <c r="BL3292" s="2" t="s">
        <v>10597</v>
      </c>
      <c r="BM3292" s="7">
        <v>0.0199</v>
      </c>
      <c r="BN3292" s="7">
        <v>0.02</v>
      </c>
      <c r="BO3292" s="4">
        <v>3</v>
      </c>
      <c r="BP3292" s="8">
        <v>103.62</v>
      </c>
      <c r="BQ3292" s="4"/>
      <c r="BR3292" s="8"/>
      <c r="BS3292" s="7"/>
      <c r="BT3292" s="7"/>
      <c r="BU3292" s="2" t="s">
        <v>109</v>
      </c>
      <c r="BV3292" s="2" t="s">
        <v>97</v>
      </c>
      <c r="BW3292" s="2" t="s">
        <v>4607</v>
      </c>
      <c r="BX3292" s="2" t="s">
        <v>10598</v>
      </c>
      <c r="BY3292" s="2" t="s">
        <v>112</v>
      </c>
      <c r="BZ3292" s="2" t="s">
        <v>100</v>
      </c>
    </row>
    <row r="3293">
      <c r="A3293" s="2" t="s">
        <v>10599</v>
      </c>
      <c r="B3293" s="2" t="s">
        <v>10550</v>
      </c>
      <c r="C3293" s="2" t="s">
        <v>3196</v>
      </c>
      <c r="D3293" s="2" t="s">
        <v>10551</v>
      </c>
      <c r="E3293" s="2" t="s">
        <v>4949</v>
      </c>
      <c r="F3293" s="2" t="s">
        <v>10593</v>
      </c>
      <c r="G3293" s="2" t="s">
        <v>10593</v>
      </c>
      <c r="H3293" s="2" t="s">
        <v>10593</v>
      </c>
      <c r="I3293" s="2" t="s">
        <v>10594</v>
      </c>
      <c r="J3293" s="2" t="s">
        <v>10595</v>
      </c>
      <c r="K3293" s="2" t="s">
        <v>4391</v>
      </c>
      <c r="L3293" s="3">
        <v>32.9</v>
      </c>
      <c r="M3293" s="3">
        <v>34.55</v>
      </c>
      <c r="N3293" s="3">
        <v>69.99</v>
      </c>
      <c r="O3293" s="2" t="s">
        <v>97</v>
      </c>
      <c r="P3293" s="2" t="s">
        <v>156</v>
      </c>
      <c r="Q3293" s="2" t="s">
        <v>99</v>
      </c>
      <c r="R3293" s="2" t="s">
        <v>100</v>
      </c>
      <c r="S3293" s="2" t="s">
        <v>10600</v>
      </c>
      <c r="T3293" s="2" t="s">
        <v>190</v>
      </c>
      <c r="U3293" s="2" t="s">
        <v>894</v>
      </c>
      <c r="V3293" s="2" t="s">
        <v>461</v>
      </c>
      <c r="W3293" s="2" t="s">
        <v>142</v>
      </c>
      <c r="X3293" s="2" t="s">
        <v>100</v>
      </c>
      <c r="Y3293" s="2" t="s">
        <v>3081</v>
      </c>
      <c r="Z3293" s="4">
        <v>246</v>
      </c>
      <c r="AA3293" s="4">
        <f>=ROUNDDOWN(5.72093023255814,0)</f>
      </c>
      <c r="AB3293" s="5">
        <v>43</v>
      </c>
      <c r="AC3293" s="2" t="s">
        <v>897</v>
      </c>
      <c r="AD3293" s="4">
        <v>128</v>
      </c>
      <c r="AE3293" s="4">
        <v>1768</v>
      </c>
      <c r="AF3293" s="6">
        <v>69</v>
      </c>
      <c r="AG3293" s="6">
        <v>77</v>
      </c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/>
      <c r="AQ3293" s="8"/>
      <c r="AR3293" s="4"/>
      <c r="AS3293" s="8"/>
      <c r="AT3293" s="7"/>
      <c r="AU3293" s="7"/>
      <c r="AV3293" s="4">
        <v>1</v>
      </c>
      <c r="AW3293" s="8">
        <v>34.65</v>
      </c>
      <c r="AX3293" s="4" t="s">
        <v>100</v>
      </c>
      <c r="AY3293" s="8" t="s">
        <v>100</v>
      </c>
      <c r="AZ3293" s="7" t="s">
        <v>100</v>
      </c>
      <c r="BA3293" s="7" t="s">
        <v>100</v>
      </c>
      <c r="BB3293" s="7"/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>
        <v>0.2506</v>
      </c>
      <c r="BJ3293" s="4">
        <v>160</v>
      </c>
      <c r="BK3293" s="8">
        <v>5467.85</v>
      </c>
      <c r="BL3293" s="2" t="s">
        <v>10601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109</v>
      </c>
      <c r="BV3293" s="2" t="s">
        <v>97</v>
      </c>
      <c r="BW3293" s="2" t="s">
        <v>4607</v>
      </c>
      <c r="BX3293" s="2" t="s">
        <v>10426</v>
      </c>
      <c r="BY3293" s="2" t="s">
        <v>112</v>
      </c>
      <c r="BZ3293" s="2" t="s">
        <v>100</v>
      </c>
    </row>
    <row r="3294">
      <c r="A3294" s="2" t="s">
        <v>10602</v>
      </c>
      <c r="B3294" s="2" t="s">
        <v>10550</v>
      </c>
      <c r="C3294" s="2" t="s">
        <v>3196</v>
      </c>
      <c r="D3294" s="2" t="s">
        <v>10551</v>
      </c>
      <c r="E3294" s="2" t="s">
        <v>4949</v>
      </c>
      <c r="F3294" s="2" t="s">
        <v>10603</v>
      </c>
      <c r="G3294" s="2" t="s">
        <v>10603</v>
      </c>
      <c r="H3294" s="2" t="s">
        <v>10603</v>
      </c>
      <c r="I3294" s="2" t="s">
        <v>10604</v>
      </c>
      <c r="J3294" s="2" t="s">
        <v>3385</v>
      </c>
      <c r="K3294" s="2" t="s">
        <v>4391</v>
      </c>
      <c r="L3294" s="3">
        <v>32.9</v>
      </c>
      <c r="M3294" s="3">
        <v>34.55</v>
      </c>
      <c r="N3294" s="3">
        <v>69.99</v>
      </c>
      <c r="O3294" s="2" t="s">
        <v>97</v>
      </c>
      <c r="P3294" s="2" t="s">
        <v>139</v>
      </c>
      <c r="Q3294" s="2" t="s">
        <v>99</v>
      </c>
      <c r="R3294" s="2" t="s">
        <v>100</v>
      </c>
      <c r="S3294" s="2" t="s">
        <v>10600</v>
      </c>
      <c r="T3294" s="2" t="s">
        <v>100</v>
      </c>
      <c r="U3294" s="2" t="s">
        <v>100</v>
      </c>
      <c r="V3294" s="2" t="s">
        <v>461</v>
      </c>
      <c r="W3294" s="2" t="s">
        <v>4989</v>
      </c>
      <c r="X3294" s="2" t="s">
        <v>100</v>
      </c>
      <c r="Y3294" s="2" t="s">
        <v>144</v>
      </c>
      <c r="Z3294" s="4">
        <v>873</v>
      </c>
      <c r="AA3294" s="4">
        <f>=ROUNDDOWN(18.5744680851064,0)</f>
      </c>
      <c r="AB3294" s="5">
        <v>47</v>
      </c>
      <c r="AC3294" s="2" t="s">
        <v>897</v>
      </c>
      <c r="AD3294" s="4">
        <v>681</v>
      </c>
      <c r="AE3294" s="4">
        <v>1361</v>
      </c>
      <c r="AF3294" s="6">
        <v>69</v>
      </c>
      <c r="AG3294" s="6">
        <v>77</v>
      </c>
      <c r="AH3294" s="7">
        <v>1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>
        <v>1</v>
      </c>
      <c r="AQ3294" s="8">
        <v>34.65</v>
      </c>
      <c r="AR3294" s="4"/>
      <c r="AS3294" s="8"/>
      <c r="AT3294" s="7"/>
      <c r="AU3294" s="7"/>
      <c r="AV3294" s="4" t="s">
        <v>100</v>
      </c>
      <c r="AW3294" s="8" t="s">
        <v>100</v>
      </c>
      <c r="AX3294" s="4" t="s">
        <v>100</v>
      </c>
      <c r="AY3294" s="8" t="s">
        <v>100</v>
      </c>
      <c r="AZ3294" s="7" t="s">
        <v>100</v>
      </c>
      <c r="BA3294" s="7" t="s">
        <v>100</v>
      </c>
      <c r="BB3294" s="7">
        <v>1</v>
      </c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 t="s">
        <v>100</v>
      </c>
      <c r="BJ3294" s="4">
        <v>153</v>
      </c>
      <c r="BK3294" s="8">
        <v>5349.69</v>
      </c>
      <c r="BL3294" s="2" t="s">
        <v>10605</v>
      </c>
      <c r="BM3294" s="7">
        <v>0.0065</v>
      </c>
      <c r="BN3294" s="7">
        <v>0.0065</v>
      </c>
      <c r="BO3294" s="4">
        <v>1</v>
      </c>
      <c r="BP3294" s="8">
        <v>34.65</v>
      </c>
      <c r="BQ3294" s="4"/>
      <c r="BR3294" s="8"/>
      <c r="BS3294" s="7"/>
      <c r="BT3294" s="7"/>
      <c r="BU3294" s="2" t="s">
        <v>109</v>
      </c>
      <c r="BV3294" s="2" t="s">
        <v>97</v>
      </c>
      <c r="BW3294" s="2" t="s">
        <v>4568</v>
      </c>
      <c r="BX3294" s="2" t="s">
        <v>1484</v>
      </c>
      <c r="BY3294" s="2" t="s">
        <v>112</v>
      </c>
      <c r="BZ3294" s="2" t="s">
        <v>100</v>
      </c>
    </row>
    <row r="3295">
      <c r="A3295" s="2" t="s">
        <v>10606</v>
      </c>
      <c r="B3295" s="2" t="s">
        <v>10550</v>
      </c>
      <c r="C3295" s="2" t="s">
        <v>3196</v>
      </c>
      <c r="D3295" s="2" t="s">
        <v>10551</v>
      </c>
      <c r="E3295" s="2" t="s">
        <v>4949</v>
      </c>
      <c r="F3295" s="2" t="s">
        <v>10603</v>
      </c>
      <c r="G3295" s="2" t="s">
        <v>10603</v>
      </c>
      <c r="H3295" s="2" t="s">
        <v>10603</v>
      </c>
      <c r="I3295" s="2" t="s">
        <v>10604</v>
      </c>
      <c r="J3295" s="2" t="s">
        <v>3385</v>
      </c>
      <c r="K3295" s="2" t="s">
        <v>165</v>
      </c>
      <c r="L3295" s="3">
        <v>32.9</v>
      </c>
      <c r="M3295" s="3">
        <v>34.55</v>
      </c>
      <c r="N3295" s="3">
        <v>69.99</v>
      </c>
      <c r="O3295" s="2" t="s">
        <v>97</v>
      </c>
      <c r="P3295" s="2" t="s">
        <v>123</v>
      </c>
      <c r="Q3295" s="2" t="s">
        <v>99</v>
      </c>
      <c r="R3295" s="2" t="s">
        <v>100</v>
      </c>
      <c r="S3295" s="2" t="s">
        <v>10607</v>
      </c>
      <c r="T3295" s="2" t="s">
        <v>100</v>
      </c>
      <c r="U3295" s="2" t="s">
        <v>100</v>
      </c>
      <c r="V3295" s="2" t="s">
        <v>461</v>
      </c>
      <c r="W3295" s="2" t="s">
        <v>4989</v>
      </c>
      <c r="X3295" s="2" t="s">
        <v>100</v>
      </c>
      <c r="Y3295" s="2" t="s">
        <v>1935</v>
      </c>
      <c r="Z3295" s="4">
        <v>831</v>
      </c>
      <c r="AA3295" s="4">
        <f>=ROUNDDOWN(28.6551724137931,0)</f>
      </c>
      <c r="AB3295" s="5">
        <v>29</v>
      </c>
      <c r="AC3295" s="2" t="s">
        <v>3277</v>
      </c>
      <c r="AD3295" s="4">
        <v>99</v>
      </c>
      <c r="AE3295" s="4">
        <v>538</v>
      </c>
      <c r="AF3295" s="6">
        <v>69</v>
      </c>
      <c r="AG3295" s="6">
        <v>77</v>
      </c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/>
      <c r="BJ3295" s="4">
        <v>97</v>
      </c>
      <c r="BK3295" s="8">
        <v>3430.84</v>
      </c>
      <c r="BL3295" s="2" t="s">
        <v>10608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109</v>
      </c>
      <c r="BV3295" s="2" t="s">
        <v>97</v>
      </c>
      <c r="BW3295" s="2" t="s">
        <v>4809</v>
      </c>
      <c r="BX3295" s="2" t="s">
        <v>10609</v>
      </c>
      <c r="BY3295" s="2" t="s">
        <v>112</v>
      </c>
      <c r="BZ3295" s="2" t="s">
        <v>100</v>
      </c>
    </row>
    <row r="3296">
      <c r="A3296" s="2" t="s">
        <v>10610</v>
      </c>
      <c r="B3296" s="2" t="s">
        <v>10550</v>
      </c>
      <c r="C3296" s="2" t="s">
        <v>3196</v>
      </c>
      <c r="D3296" s="2" t="s">
        <v>10551</v>
      </c>
      <c r="E3296" s="2" t="s">
        <v>4949</v>
      </c>
      <c r="F3296" s="2" t="s">
        <v>10603</v>
      </c>
      <c r="G3296" s="2" t="s">
        <v>10603</v>
      </c>
      <c r="H3296" s="2" t="s">
        <v>10603</v>
      </c>
      <c r="I3296" s="2" t="s">
        <v>10604</v>
      </c>
      <c r="J3296" s="2" t="s">
        <v>3385</v>
      </c>
      <c r="K3296" s="2" t="s">
        <v>1460</v>
      </c>
      <c r="L3296" s="3">
        <v>32.9</v>
      </c>
      <c r="M3296" s="3">
        <v>34.55</v>
      </c>
      <c r="N3296" s="3">
        <v>69.99</v>
      </c>
      <c r="O3296" s="2" t="s">
        <v>97</v>
      </c>
      <c r="P3296" s="2" t="s">
        <v>98</v>
      </c>
      <c r="Q3296" s="2" t="s">
        <v>99</v>
      </c>
      <c r="R3296" s="2" t="s">
        <v>100</v>
      </c>
      <c r="S3296" s="2" t="s">
        <v>10611</v>
      </c>
      <c r="T3296" s="2" t="s">
        <v>190</v>
      </c>
      <c r="U3296" s="2" t="s">
        <v>191</v>
      </c>
      <c r="V3296" s="2" t="s">
        <v>461</v>
      </c>
      <c r="W3296" s="2" t="s">
        <v>142</v>
      </c>
      <c r="X3296" s="2" t="s">
        <v>100</v>
      </c>
      <c r="Y3296" s="2" t="s">
        <v>10612</v>
      </c>
      <c r="Z3296" s="4">
        <v>773</v>
      </c>
      <c r="AA3296" s="4">
        <f>=ROUNDDOWN(40.6842105263158,0)</f>
      </c>
      <c r="AB3296" s="5">
        <v>19</v>
      </c>
      <c r="AC3296" s="2" t="s">
        <v>646</v>
      </c>
      <c r="AD3296" s="4">
        <v>130</v>
      </c>
      <c r="AE3296" s="4">
        <v>130</v>
      </c>
      <c r="AF3296" s="6">
        <v>69</v>
      </c>
      <c r="AG3296" s="6">
        <v>77</v>
      </c>
      <c r="AH3296" s="7">
        <v>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/>
      <c r="AQ3296" s="8"/>
      <c r="AR3296" s="4"/>
      <c r="AS3296" s="8"/>
      <c r="AT3296" s="7"/>
      <c r="AU3296" s="7"/>
      <c r="AV3296" s="4"/>
      <c r="AW3296" s="8"/>
      <c r="AX3296" s="4"/>
      <c r="AY3296" s="8"/>
      <c r="AZ3296" s="7"/>
      <c r="BA3296" s="7"/>
      <c r="BB3296" s="7"/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/>
      <c r="BJ3296" s="4">
        <v>53</v>
      </c>
      <c r="BK3296" s="8">
        <v>1861.05</v>
      </c>
      <c r="BL3296" s="2" t="s">
        <v>9861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109</v>
      </c>
      <c r="BV3296" s="2" t="s">
        <v>97</v>
      </c>
      <c r="BW3296" s="2" t="s">
        <v>4607</v>
      </c>
      <c r="BX3296" s="2" t="s">
        <v>10613</v>
      </c>
      <c r="BY3296" s="2" t="s">
        <v>112</v>
      </c>
      <c r="BZ3296" s="2" t="s">
        <v>100</v>
      </c>
    </row>
    <row r="3297">
      <c r="A3297" s="2" t="s">
        <v>10614</v>
      </c>
      <c r="B3297" s="2" t="s">
        <v>10550</v>
      </c>
      <c r="C3297" s="2" t="s">
        <v>3196</v>
      </c>
      <c r="D3297" s="2" t="s">
        <v>10551</v>
      </c>
      <c r="E3297" s="2" t="s">
        <v>4949</v>
      </c>
      <c r="F3297" s="2" t="s">
        <v>10603</v>
      </c>
      <c r="G3297" s="2" t="s">
        <v>10603</v>
      </c>
      <c r="H3297" s="2" t="s">
        <v>10603</v>
      </c>
      <c r="I3297" s="2" t="s">
        <v>10604</v>
      </c>
      <c r="J3297" s="2" t="s">
        <v>3385</v>
      </c>
      <c r="K3297" s="2" t="s">
        <v>155</v>
      </c>
      <c r="L3297" s="3">
        <v>32.9</v>
      </c>
      <c r="M3297" s="3">
        <v>34.55</v>
      </c>
      <c r="N3297" s="3">
        <v>69.99</v>
      </c>
      <c r="O3297" s="2" t="s">
        <v>97</v>
      </c>
      <c r="P3297" s="2" t="s">
        <v>156</v>
      </c>
      <c r="Q3297" s="2" t="s">
        <v>99</v>
      </c>
      <c r="R3297" s="2" t="s">
        <v>100</v>
      </c>
      <c r="S3297" s="2" t="s">
        <v>10615</v>
      </c>
      <c r="T3297" s="2" t="s">
        <v>100</v>
      </c>
      <c r="U3297" s="2" t="s">
        <v>100</v>
      </c>
      <c r="V3297" s="2" t="s">
        <v>461</v>
      </c>
      <c r="W3297" s="2" t="s">
        <v>4989</v>
      </c>
      <c r="X3297" s="2" t="s">
        <v>100</v>
      </c>
      <c r="Y3297" s="2" t="s">
        <v>144</v>
      </c>
      <c r="Z3297" s="4">
        <v>882</v>
      </c>
      <c r="AA3297" s="4">
        <f>=ROUNDDOWN(28.4516129032258,0)</f>
      </c>
      <c r="AB3297" s="5">
        <v>31</v>
      </c>
      <c r="AC3297" s="2" t="s">
        <v>897</v>
      </c>
      <c r="AD3297" s="4">
        <v>210</v>
      </c>
      <c r="AE3297" s="4">
        <v>480</v>
      </c>
      <c r="AF3297" s="6">
        <v>69</v>
      </c>
      <c r="AG3297" s="6">
        <v>77</v>
      </c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>
        <v>0</v>
      </c>
      <c r="AP3297" s="4"/>
      <c r="AQ3297" s="8"/>
      <c r="AR3297" s="4"/>
      <c r="AS3297" s="8"/>
      <c r="AT3297" s="7"/>
      <c r="AU3297" s="7"/>
      <c r="AV3297" s="4"/>
      <c r="AW3297" s="8"/>
      <c r="AX3297" s="4"/>
      <c r="AY3297" s="8"/>
      <c r="AZ3297" s="7"/>
      <c r="BA3297" s="7"/>
      <c r="BB3297" s="7"/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/>
      <c r="BJ3297" s="4">
        <v>108</v>
      </c>
      <c r="BK3297" s="8">
        <v>3783.53</v>
      </c>
      <c r="BL3297" s="2" t="s">
        <v>10616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109</v>
      </c>
      <c r="BV3297" s="2" t="s">
        <v>97</v>
      </c>
      <c r="BW3297" s="2" t="s">
        <v>4568</v>
      </c>
      <c r="BX3297" s="2" t="s">
        <v>234</v>
      </c>
      <c r="BY3297" s="2" t="s">
        <v>112</v>
      </c>
      <c r="BZ3297" s="2" t="s">
        <v>100</v>
      </c>
    </row>
    <row r="3298">
      <c r="A3298" s="2" t="s">
        <v>10617</v>
      </c>
      <c r="B3298" s="2" t="s">
        <v>10550</v>
      </c>
      <c r="C3298" s="2" t="s">
        <v>3196</v>
      </c>
      <c r="D3298" s="2" t="s">
        <v>10551</v>
      </c>
      <c r="E3298" s="2" t="s">
        <v>4949</v>
      </c>
      <c r="F3298" s="2" t="s">
        <v>10593</v>
      </c>
      <c r="G3298" s="2" t="s">
        <v>10593</v>
      </c>
      <c r="H3298" s="2" t="s">
        <v>10593</v>
      </c>
      <c r="I3298" s="2" t="s">
        <v>10594</v>
      </c>
      <c r="J3298" s="2" t="s">
        <v>10595</v>
      </c>
      <c r="K3298" s="2" t="s">
        <v>96</v>
      </c>
      <c r="L3298" s="3">
        <v>32.9</v>
      </c>
      <c r="M3298" s="3">
        <v>34.55</v>
      </c>
      <c r="N3298" s="3">
        <v>69.99</v>
      </c>
      <c r="O3298" s="2" t="s">
        <v>97</v>
      </c>
      <c r="P3298" s="2" t="s">
        <v>123</v>
      </c>
      <c r="Q3298" s="2" t="s">
        <v>99</v>
      </c>
      <c r="R3298" s="2" t="s">
        <v>100</v>
      </c>
      <c r="S3298" s="2" t="s">
        <v>10618</v>
      </c>
      <c r="T3298" s="2" t="s">
        <v>190</v>
      </c>
      <c r="U3298" s="2" t="s">
        <v>894</v>
      </c>
      <c r="V3298" s="2" t="s">
        <v>461</v>
      </c>
      <c r="W3298" s="2" t="s">
        <v>142</v>
      </c>
      <c r="X3298" s="2" t="s">
        <v>100</v>
      </c>
      <c r="Y3298" s="2" t="s">
        <v>10559</v>
      </c>
      <c r="Z3298" s="4">
        <v>739</v>
      </c>
      <c r="AA3298" s="4">
        <f>=ROUNDDOWN(13.6851851851852,0)</f>
      </c>
      <c r="AB3298" s="5">
        <v>54</v>
      </c>
      <c r="AC3298" s="2" t="s">
        <v>897</v>
      </c>
      <c r="AD3298" s="4">
        <v>281</v>
      </c>
      <c r="AE3298" s="4">
        <v>1651</v>
      </c>
      <c r="AF3298" s="6">
        <v>69</v>
      </c>
      <c r="AG3298" s="6">
        <v>77</v>
      </c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/>
      <c r="AQ3298" s="8"/>
      <c r="AR3298" s="4"/>
      <c r="AS3298" s="8"/>
      <c r="AT3298" s="7"/>
      <c r="AU3298" s="7"/>
      <c r="AV3298" s="4"/>
      <c r="AW3298" s="8"/>
      <c r="AX3298" s="4"/>
      <c r="AY3298" s="8"/>
      <c r="AZ3298" s="7"/>
      <c r="BA3298" s="7"/>
      <c r="BB3298" s="7"/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/>
      <c r="BJ3298" s="4">
        <v>189</v>
      </c>
      <c r="BK3298" s="8">
        <v>6288.63</v>
      </c>
      <c r="BL3298" s="2" t="s">
        <v>10619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109</v>
      </c>
      <c r="BV3298" s="2" t="s">
        <v>97</v>
      </c>
      <c r="BW3298" s="2" t="s">
        <v>9074</v>
      </c>
      <c r="BX3298" s="2" t="s">
        <v>10620</v>
      </c>
      <c r="BY3298" s="2" t="s">
        <v>112</v>
      </c>
      <c r="BZ3298" s="2" t="s">
        <v>100</v>
      </c>
    </row>
    <row r="3299">
      <c r="A3299" s="2" t="s">
        <v>10621</v>
      </c>
      <c r="B3299" s="2" t="s">
        <v>10550</v>
      </c>
      <c r="C3299" s="2" t="s">
        <v>3196</v>
      </c>
      <c r="D3299" s="2" t="s">
        <v>10551</v>
      </c>
      <c r="E3299" s="2" t="s">
        <v>4949</v>
      </c>
      <c r="F3299" s="2" t="s">
        <v>10603</v>
      </c>
      <c r="G3299" s="2" t="s">
        <v>10603</v>
      </c>
      <c r="H3299" s="2" t="s">
        <v>10603</v>
      </c>
      <c r="I3299" s="2" t="s">
        <v>10604</v>
      </c>
      <c r="J3299" s="2" t="s">
        <v>3385</v>
      </c>
      <c r="K3299" s="2" t="s">
        <v>446</v>
      </c>
      <c r="L3299" s="3">
        <v>32.9</v>
      </c>
      <c r="M3299" s="3">
        <v>34.55</v>
      </c>
      <c r="N3299" s="3">
        <v>69.99</v>
      </c>
      <c r="O3299" s="2" t="s">
        <v>97</v>
      </c>
      <c r="P3299" s="2" t="s">
        <v>123</v>
      </c>
      <c r="Q3299" s="2" t="s">
        <v>99</v>
      </c>
      <c r="R3299" s="2" t="s">
        <v>100</v>
      </c>
      <c r="S3299" s="2" t="s">
        <v>10622</v>
      </c>
      <c r="T3299" s="2" t="s">
        <v>100</v>
      </c>
      <c r="U3299" s="2" t="s">
        <v>100</v>
      </c>
      <c r="V3299" s="2" t="s">
        <v>461</v>
      </c>
      <c r="W3299" s="2" t="s">
        <v>4989</v>
      </c>
      <c r="X3299" s="2" t="s">
        <v>100</v>
      </c>
      <c r="Y3299" s="2" t="s">
        <v>144</v>
      </c>
      <c r="Z3299" s="4">
        <v>997</v>
      </c>
      <c r="AA3299" s="4">
        <f>=ROUNDDOWN(15.8253968253968,0)</f>
      </c>
      <c r="AB3299" s="5">
        <v>63</v>
      </c>
      <c r="AC3299" s="2" t="s">
        <v>897</v>
      </c>
      <c r="AD3299" s="4">
        <v>736</v>
      </c>
      <c r="AE3299" s="4">
        <v>1686</v>
      </c>
      <c r="AF3299" s="6">
        <v>69</v>
      </c>
      <c r="AG3299" s="6">
        <v>77</v>
      </c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/>
      <c r="AQ3299" s="8"/>
      <c r="AR3299" s="4"/>
      <c r="AS3299" s="8"/>
      <c r="AT3299" s="7"/>
      <c r="AU3299" s="7"/>
      <c r="AV3299" s="4"/>
      <c r="AW3299" s="8"/>
      <c r="AX3299" s="4"/>
      <c r="AY3299" s="8"/>
      <c r="AZ3299" s="7"/>
      <c r="BA3299" s="7"/>
      <c r="BB3299" s="7"/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/>
      <c r="BJ3299" s="4">
        <v>203</v>
      </c>
      <c r="BK3299" s="8">
        <v>7116.81</v>
      </c>
      <c r="BL3299" s="2" t="s">
        <v>10623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109</v>
      </c>
      <c r="BV3299" s="2" t="s">
        <v>97</v>
      </c>
      <c r="BW3299" s="2" t="s">
        <v>4568</v>
      </c>
      <c r="BX3299" s="2" t="s">
        <v>902</v>
      </c>
      <c r="BY3299" s="2" t="s">
        <v>112</v>
      </c>
      <c r="BZ3299" s="2" t="s">
        <v>100</v>
      </c>
    </row>
    <row r="3300">
      <c r="A3300" s="2" t="s">
        <v>10624</v>
      </c>
      <c r="B3300" s="2" t="s">
        <v>10550</v>
      </c>
      <c r="C3300" s="2" t="s">
        <v>3196</v>
      </c>
      <c r="D3300" s="2" t="s">
        <v>10551</v>
      </c>
      <c r="E3300" s="2" t="s">
        <v>4949</v>
      </c>
      <c r="F3300" s="2" t="s">
        <v>10603</v>
      </c>
      <c r="G3300" s="2" t="s">
        <v>10603</v>
      </c>
      <c r="H3300" s="2" t="s">
        <v>10603</v>
      </c>
      <c r="I3300" s="2" t="s">
        <v>10604</v>
      </c>
      <c r="J3300" s="2" t="s">
        <v>3385</v>
      </c>
      <c r="K3300" s="2" t="s">
        <v>386</v>
      </c>
      <c r="L3300" s="3">
        <v>32.9</v>
      </c>
      <c r="M3300" s="3">
        <v>34.55</v>
      </c>
      <c r="N3300" s="3">
        <v>69.99</v>
      </c>
      <c r="O3300" s="2" t="s">
        <v>97</v>
      </c>
      <c r="P3300" s="2" t="s">
        <v>123</v>
      </c>
      <c r="Q3300" s="2" t="s">
        <v>99</v>
      </c>
      <c r="R3300" s="2" t="s">
        <v>100</v>
      </c>
      <c r="S3300" s="2" t="s">
        <v>10625</v>
      </c>
      <c r="T3300" s="2" t="s">
        <v>100</v>
      </c>
      <c r="U3300" s="2" t="s">
        <v>100</v>
      </c>
      <c r="V3300" s="2" t="s">
        <v>461</v>
      </c>
      <c r="W3300" s="2" t="s">
        <v>4989</v>
      </c>
      <c r="X3300" s="2" t="s">
        <v>100</v>
      </c>
      <c r="Y3300" s="2" t="s">
        <v>144</v>
      </c>
      <c r="Z3300" s="4">
        <v>857</v>
      </c>
      <c r="AA3300" s="4">
        <f>=ROUNDDOWN(26.78125,0)</f>
      </c>
      <c r="AB3300" s="5">
        <v>32</v>
      </c>
      <c r="AC3300" s="2" t="s">
        <v>2779</v>
      </c>
      <c r="AD3300" s="4">
        <v>270</v>
      </c>
      <c r="AE3300" s="4">
        <v>540</v>
      </c>
      <c r="AF3300" s="6">
        <v>69</v>
      </c>
      <c r="AG3300" s="6">
        <v>77</v>
      </c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/>
      <c r="AQ3300" s="8"/>
      <c r="AR3300" s="4"/>
      <c r="AS3300" s="8"/>
      <c r="AT3300" s="7"/>
      <c r="AU3300" s="7"/>
      <c r="AV3300" s="4"/>
      <c r="AW3300" s="8"/>
      <c r="AX3300" s="4"/>
      <c r="AY3300" s="8"/>
      <c r="AZ3300" s="7"/>
      <c r="BA3300" s="7"/>
      <c r="BB3300" s="7"/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/>
      <c r="BJ3300" s="4">
        <v>141</v>
      </c>
      <c r="BK3300" s="8">
        <v>4886.42</v>
      </c>
      <c r="BL3300" s="2" t="s">
        <v>10626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109</v>
      </c>
      <c r="BV3300" s="2" t="s">
        <v>97</v>
      </c>
      <c r="BW3300" s="2" t="s">
        <v>4568</v>
      </c>
      <c r="BX3300" s="2" t="s">
        <v>10627</v>
      </c>
      <c r="BY3300" s="2" t="s">
        <v>112</v>
      </c>
      <c r="BZ3300" s="2" t="s">
        <v>100</v>
      </c>
    </row>
    <row r="3301">
      <c r="A3301" s="2" t="s">
        <v>10628</v>
      </c>
      <c r="B3301" s="2" t="s">
        <v>10550</v>
      </c>
      <c r="C3301" s="2" t="s">
        <v>3196</v>
      </c>
      <c r="D3301" s="2" t="s">
        <v>10551</v>
      </c>
      <c r="E3301" s="2" t="s">
        <v>4949</v>
      </c>
      <c r="F3301" s="2" t="s">
        <v>10603</v>
      </c>
      <c r="G3301" s="2" t="s">
        <v>10603</v>
      </c>
      <c r="H3301" s="2" t="s">
        <v>10603</v>
      </c>
      <c r="I3301" s="2" t="s">
        <v>10604</v>
      </c>
      <c r="J3301" s="2" t="s">
        <v>3385</v>
      </c>
      <c r="K3301" s="2" t="s">
        <v>236</v>
      </c>
      <c r="L3301" s="3">
        <v>32.9</v>
      </c>
      <c r="M3301" s="3">
        <v>34.55</v>
      </c>
      <c r="N3301" s="3">
        <v>69.99</v>
      </c>
      <c r="O3301" s="2" t="s">
        <v>97</v>
      </c>
      <c r="P3301" s="2" t="s">
        <v>98</v>
      </c>
      <c r="Q3301" s="2" t="s">
        <v>99</v>
      </c>
      <c r="R3301" s="2" t="s">
        <v>100</v>
      </c>
      <c r="S3301" s="2" t="s">
        <v>10629</v>
      </c>
      <c r="T3301" s="2" t="s">
        <v>100</v>
      </c>
      <c r="U3301" s="2" t="s">
        <v>191</v>
      </c>
      <c r="V3301" s="2" t="s">
        <v>461</v>
      </c>
      <c r="W3301" s="2" t="s">
        <v>1136</v>
      </c>
      <c r="X3301" s="2" t="s">
        <v>493</v>
      </c>
      <c r="Y3301" s="2" t="s">
        <v>1440</v>
      </c>
      <c r="Z3301" s="4">
        <v>326</v>
      </c>
      <c r="AA3301" s="4">
        <f>=ROUNDDOWN(27.1666666666667,0)</f>
      </c>
      <c r="AB3301" s="5">
        <v>12</v>
      </c>
      <c r="AC3301" s="2" t="s">
        <v>3277</v>
      </c>
      <c r="AD3301" s="4">
        <v>100</v>
      </c>
      <c r="AE3301" s="4">
        <v>260</v>
      </c>
      <c r="AF3301" s="6">
        <v>69</v>
      </c>
      <c r="AG3301" s="6">
        <v>77</v>
      </c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/>
      <c r="AQ3301" s="8"/>
      <c r="AR3301" s="4"/>
      <c r="AS3301" s="8"/>
      <c r="AT3301" s="7"/>
      <c r="AU3301" s="7"/>
      <c r="AV3301" s="4"/>
      <c r="AW3301" s="8"/>
      <c r="AX3301" s="4"/>
      <c r="AY3301" s="8"/>
      <c r="AZ3301" s="7"/>
      <c r="BA3301" s="7"/>
      <c r="BB3301" s="7"/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/>
      <c r="BJ3301" s="4">
        <v>39</v>
      </c>
      <c r="BK3301" s="8">
        <v>1334.29</v>
      </c>
      <c r="BL3301" s="2" t="s">
        <v>553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109</v>
      </c>
      <c r="BV3301" s="2" t="s">
        <v>97</v>
      </c>
      <c r="BW3301" s="2" t="s">
        <v>9074</v>
      </c>
      <c r="BX3301" s="2" t="s">
        <v>2161</v>
      </c>
      <c r="BY3301" s="2" t="s">
        <v>112</v>
      </c>
      <c r="BZ3301" s="2" t="s">
        <v>100</v>
      </c>
    </row>
    <row r="3302">
      <c r="A3302" s="2" t="s">
        <v>10630</v>
      </c>
      <c r="B3302" s="2" t="s">
        <v>10550</v>
      </c>
      <c r="C3302" s="2" t="s">
        <v>3196</v>
      </c>
      <c r="D3302" s="2" t="s">
        <v>10551</v>
      </c>
      <c r="E3302" s="2" t="s">
        <v>4949</v>
      </c>
      <c r="F3302" s="2" t="s">
        <v>10603</v>
      </c>
      <c r="G3302" s="2" t="s">
        <v>10603</v>
      </c>
      <c r="H3302" s="2" t="s">
        <v>10603</v>
      </c>
      <c r="I3302" s="2" t="s">
        <v>10604</v>
      </c>
      <c r="J3302" s="2" t="s">
        <v>3385</v>
      </c>
      <c r="K3302" s="2" t="s">
        <v>5929</v>
      </c>
      <c r="L3302" s="3">
        <v>32.9</v>
      </c>
      <c r="M3302" s="3">
        <v>34.55</v>
      </c>
      <c r="N3302" s="3">
        <v>69.99</v>
      </c>
      <c r="O3302" s="2" t="s">
        <v>97</v>
      </c>
      <c r="P3302" s="2" t="s">
        <v>156</v>
      </c>
      <c r="Q3302" s="2" t="s">
        <v>99</v>
      </c>
      <c r="R3302" s="2" t="s">
        <v>100</v>
      </c>
      <c r="S3302" s="2" t="s">
        <v>10631</v>
      </c>
      <c r="T3302" s="2" t="s">
        <v>190</v>
      </c>
      <c r="U3302" s="2" t="s">
        <v>191</v>
      </c>
      <c r="V3302" s="2" t="s">
        <v>461</v>
      </c>
      <c r="W3302" s="2" t="s">
        <v>1136</v>
      </c>
      <c r="X3302" s="2" t="s">
        <v>100</v>
      </c>
      <c r="Y3302" s="2" t="s">
        <v>10632</v>
      </c>
      <c r="Z3302" s="4">
        <v>198</v>
      </c>
      <c r="AA3302" s="4">
        <f>=ROUNDDOWN(5.5,0)</f>
      </c>
      <c r="AB3302" s="5">
        <v>36</v>
      </c>
      <c r="AC3302" s="2" t="s">
        <v>897</v>
      </c>
      <c r="AD3302" s="4">
        <v>244</v>
      </c>
      <c r="AE3302" s="4">
        <v>1324</v>
      </c>
      <c r="AF3302" s="6">
        <v>69</v>
      </c>
      <c r="AG3302" s="6"/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/>
      <c r="BJ3302" s="4">
        <v>125</v>
      </c>
      <c r="BK3302" s="8">
        <v>4437.05</v>
      </c>
      <c r="BL3302" s="2" t="s">
        <v>10633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171</v>
      </c>
      <c r="BV3302" s="2" t="s">
        <v>97</v>
      </c>
      <c r="BW3302" s="2" t="s">
        <v>100</v>
      </c>
      <c r="BX3302" s="2" t="s">
        <v>100</v>
      </c>
      <c r="BY3302" s="2" t="s">
        <v>112</v>
      </c>
      <c r="BZ3302" s="2" t="s">
        <v>149</v>
      </c>
    </row>
    <row r="3303">
      <c r="A3303" s="2" t="s">
        <v>10634</v>
      </c>
      <c r="B3303" s="2" t="s">
        <v>10550</v>
      </c>
      <c r="C3303" s="2" t="s">
        <v>3196</v>
      </c>
      <c r="D3303" s="2" t="s">
        <v>10551</v>
      </c>
      <c r="E3303" s="2" t="s">
        <v>4949</v>
      </c>
      <c r="F3303" s="2" t="s">
        <v>10593</v>
      </c>
      <c r="G3303" s="2" t="s">
        <v>10593</v>
      </c>
      <c r="H3303" s="2" t="s">
        <v>10593</v>
      </c>
      <c r="I3303" s="2" t="s">
        <v>10594</v>
      </c>
      <c r="J3303" s="2" t="s">
        <v>10595</v>
      </c>
      <c r="K3303" s="2" t="s">
        <v>878</v>
      </c>
      <c r="L3303" s="3">
        <v>32.9</v>
      </c>
      <c r="M3303" s="3">
        <v>34.55</v>
      </c>
      <c r="N3303" s="3">
        <v>69.99</v>
      </c>
      <c r="O3303" s="2" t="s">
        <v>97</v>
      </c>
      <c r="P3303" s="2" t="s">
        <v>156</v>
      </c>
      <c r="Q3303" s="2" t="s">
        <v>99</v>
      </c>
      <c r="R3303" s="2" t="s">
        <v>100</v>
      </c>
      <c r="S3303" s="2" t="s">
        <v>10635</v>
      </c>
      <c r="T3303" s="2" t="s">
        <v>190</v>
      </c>
      <c r="U3303" s="2" t="s">
        <v>894</v>
      </c>
      <c r="V3303" s="2" t="s">
        <v>461</v>
      </c>
      <c r="W3303" s="2" t="s">
        <v>142</v>
      </c>
      <c r="X3303" s="2" t="s">
        <v>100</v>
      </c>
      <c r="Y3303" s="2" t="s">
        <v>10559</v>
      </c>
      <c r="Z3303" s="4">
        <v>245</v>
      </c>
      <c r="AA3303" s="4">
        <f>=ROUNDDOWN(5.10416666666667,0)</f>
      </c>
      <c r="AB3303" s="5">
        <v>48</v>
      </c>
      <c r="AC3303" s="2" t="s">
        <v>897</v>
      </c>
      <c r="AD3303" s="4">
        <v>278</v>
      </c>
      <c r="AE3303" s="4">
        <v>1918</v>
      </c>
      <c r="AF3303" s="6">
        <v>69</v>
      </c>
      <c r="AG3303" s="6">
        <v>77</v>
      </c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>
        <v>0</v>
      </c>
      <c r="AP3303" s="4"/>
      <c r="AQ3303" s="8"/>
      <c r="AR3303" s="4"/>
      <c r="AS3303" s="8"/>
      <c r="AT3303" s="7"/>
      <c r="AU3303" s="7"/>
      <c r="AV3303" s="4" t="s">
        <v>100</v>
      </c>
      <c r="AW3303" s="8" t="s">
        <v>100</v>
      </c>
      <c r="AX3303" s="4" t="s">
        <v>100</v>
      </c>
      <c r="AY3303" s="8" t="s">
        <v>100</v>
      </c>
      <c r="AZ3303" s="7" t="s">
        <v>100</v>
      </c>
      <c r="BA3303" s="7" t="s">
        <v>100</v>
      </c>
      <c r="BB3303" s="7"/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 t="s">
        <v>100</v>
      </c>
      <c r="BJ3303" s="4">
        <v>175</v>
      </c>
      <c r="BK3303" s="8">
        <v>5946.38</v>
      </c>
      <c r="BL3303" s="2" t="s">
        <v>10636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109</v>
      </c>
      <c r="BV3303" s="2" t="s">
        <v>97</v>
      </c>
      <c r="BW3303" s="2" t="s">
        <v>9074</v>
      </c>
      <c r="BX3303" s="2" t="s">
        <v>7594</v>
      </c>
      <c r="BY3303" s="2" t="s">
        <v>112</v>
      </c>
      <c r="BZ3303" s="2" t="s">
        <v>100</v>
      </c>
    </row>
    <row r="3304">
      <c r="A3304" s="2" t="s">
        <v>10637</v>
      </c>
      <c r="B3304" s="2" t="s">
        <v>10550</v>
      </c>
      <c r="C3304" s="2" t="s">
        <v>3196</v>
      </c>
      <c r="D3304" s="2" t="s">
        <v>10551</v>
      </c>
      <c r="E3304" s="2" t="s">
        <v>4949</v>
      </c>
      <c r="F3304" s="2" t="s">
        <v>10603</v>
      </c>
      <c r="G3304" s="2" t="s">
        <v>10603</v>
      </c>
      <c r="H3304" s="2" t="s">
        <v>10603</v>
      </c>
      <c r="I3304" s="2" t="s">
        <v>10604</v>
      </c>
      <c r="J3304" s="2" t="s">
        <v>3385</v>
      </c>
      <c r="K3304" s="2" t="s">
        <v>878</v>
      </c>
      <c r="L3304" s="3">
        <v>32.9</v>
      </c>
      <c r="M3304" s="3">
        <v>34.55</v>
      </c>
      <c r="N3304" s="3">
        <v>69.99</v>
      </c>
      <c r="O3304" s="2" t="s">
        <v>97</v>
      </c>
      <c r="P3304" s="2" t="s">
        <v>139</v>
      </c>
      <c r="Q3304" s="2" t="s">
        <v>99</v>
      </c>
      <c r="R3304" s="2" t="s">
        <v>100</v>
      </c>
      <c r="S3304" s="2" t="s">
        <v>10635</v>
      </c>
      <c r="T3304" s="2" t="s">
        <v>100</v>
      </c>
      <c r="U3304" s="2" t="s">
        <v>100</v>
      </c>
      <c r="V3304" s="2" t="s">
        <v>461</v>
      </c>
      <c r="W3304" s="2" t="s">
        <v>4989</v>
      </c>
      <c r="X3304" s="2" t="s">
        <v>100</v>
      </c>
      <c r="Y3304" s="2" t="s">
        <v>144</v>
      </c>
      <c r="Z3304" s="4">
        <v>1119</v>
      </c>
      <c r="AA3304" s="4">
        <f>=ROUNDDOWN(23.3125,0)</f>
      </c>
      <c r="AB3304" s="5">
        <v>48</v>
      </c>
      <c r="AC3304" s="2" t="s">
        <v>3277</v>
      </c>
      <c r="AD3304" s="4">
        <v>548</v>
      </c>
      <c r="AE3304" s="4">
        <v>1218</v>
      </c>
      <c r="AF3304" s="6">
        <v>69</v>
      </c>
      <c r="AG3304" s="6">
        <v>77</v>
      </c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/>
      <c r="AQ3304" s="8"/>
      <c r="AR3304" s="4"/>
      <c r="AS3304" s="8"/>
      <c r="AT3304" s="7"/>
      <c r="AU3304" s="7"/>
      <c r="AV3304" s="4" t="s">
        <v>100</v>
      </c>
      <c r="AW3304" s="8" t="s">
        <v>100</v>
      </c>
      <c r="AX3304" s="4" t="s">
        <v>100</v>
      </c>
      <c r="AY3304" s="8" t="s">
        <v>100</v>
      </c>
      <c r="AZ3304" s="7" t="s">
        <v>100</v>
      </c>
      <c r="BA3304" s="7" t="s">
        <v>100</v>
      </c>
      <c r="BB3304" s="7"/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 t="s">
        <v>100</v>
      </c>
      <c r="BJ3304" s="4">
        <v>159</v>
      </c>
      <c r="BK3304" s="8">
        <v>5555.3</v>
      </c>
      <c r="BL3304" s="2" t="s">
        <v>10638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109</v>
      </c>
      <c r="BV3304" s="2" t="s">
        <v>97</v>
      </c>
      <c r="BW3304" s="2" t="s">
        <v>4568</v>
      </c>
      <c r="BX3304" s="2" t="s">
        <v>10639</v>
      </c>
      <c r="BY3304" s="2" t="s">
        <v>112</v>
      </c>
      <c r="BZ3304" s="2" t="s">
        <v>100</v>
      </c>
    </row>
    <row r="3305">
      <c r="A3305" s="2" t="s">
        <v>10640</v>
      </c>
      <c r="B3305" s="2" t="s">
        <v>10550</v>
      </c>
      <c r="C3305" s="2" t="s">
        <v>3196</v>
      </c>
      <c r="D3305" s="2" t="s">
        <v>10551</v>
      </c>
      <c r="E3305" s="2" t="s">
        <v>4949</v>
      </c>
      <c r="F3305" s="2" t="s">
        <v>10593</v>
      </c>
      <c r="G3305" s="2" t="s">
        <v>10593</v>
      </c>
      <c r="H3305" s="2" t="s">
        <v>10593</v>
      </c>
      <c r="I3305" s="2" t="s">
        <v>10594</v>
      </c>
      <c r="J3305" s="2" t="s">
        <v>10595</v>
      </c>
      <c r="K3305" s="2" t="s">
        <v>458</v>
      </c>
      <c r="L3305" s="3">
        <v>32.9</v>
      </c>
      <c r="M3305" s="3">
        <v>34.55</v>
      </c>
      <c r="N3305" s="3">
        <v>69.99</v>
      </c>
      <c r="O3305" s="2" t="s">
        <v>97</v>
      </c>
      <c r="P3305" s="2" t="s">
        <v>123</v>
      </c>
      <c r="Q3305" s="2" t="s">
        <v>99</v>
      </c>
      <c r="R3305" s="2" t="s">
        <v>100</v>
      </c>
      <c r="S3305" s="2" t="s">
        <v>10641</v>
      </c>
      <c r="T3305" s="2" t="s">
        <v>190</v>
      </c>
      <c r="U3305" s="2" t="s">
        <v>894</v>
      </c>
      <c r="V3305" s="2" t="s">
        <v>461</v>
      </c>
      <c r="W3305" s="2" t="s">
        <v>142</v>
      </c>
      <c r="X3305" s="2" t="s">
        <v>100</v>
      </c>
      <c r="Y3305" s="2" t="s">
        <v>10559</v>
      </c>
      <c r="Z3305" s="4">
        <v>243</v>
      </c>
      <c r="AA3305" s="4">
        <f>=ROUNDDOWN(3.28378378378378,0)</f>
      </c>
      <c r="AB3305" s="5">
        <v>74</v>
      </c>
      <c r="AC3305" s="2" t="s">
        <v>897</v>
      </c>
      <c r="AD3305" s="4">
        <v>717</v>
      </c>
      <c r="AE3305" s="4">
        <v>2497</v>
      </c>
      <c r="AF3305" s="6">
        <v>69</v>
      </c>
      <c r="AG3305" s="6">
        <v>77</v>
      </c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/>
      <c r="AQ3305" s="8"/>
      <c r="AR3305" s="4"/>
      <c r="AS3305" s="8"/>
      <c r="AT3305" s="7"/>
      <c r="AU3305" s="7"/>
      <c r="AV3305" s="4" t="s">
        <v>100</v>
      </c>
      <c r="AW3305" s="8" t="s">
        <v>100</v>
      </c>
      <c r="AX3305" s="4" t="s">
        <v>100</v>
      </c>
      <c r="AY3305" s="8" t="s">
        <v>100</v>
      </c>
      <c r="AZ3305" s="7" t="s">
        <v>100</v>
      </c>
      <c r="BA3305" s="7" t="s">
        <v>100</v>
      </c>
      <c r="BB3305" s="7"/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 t="s">
        <v>100</v>
      </c>
      <c r="BJ3305" s="4">
        <v>223</v>
      </c>
      <c r="BK3305" s="8">
        <v>7486.52</v>
      </c>
      <c r="BL3305" s="2" t="s">
        <v>10642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109</v>
      </c>
      <c r="BV3305" s="2" t="s">
        <v>97</v>
      </c>
      <c r="BW3305" s="2" t="s">
        <v>9074</v>
      </c>
      <c r="BX3305" s="2" t="s">
        <v>7594</v>
      </c>
      <c r="BY3305" s="2" t="s">
        <v>112</v>
      </c>
      <c r="BZ3305" s="2" t="s">
        <v>100</v>
      </c>
    </row>
    <row r="3306">
      <c r="A3306" s="2" t="s">
        <v>10643</v>
      </c>
      <c r="B3306" s="2" t="s">
        <v>10550</v>
      </c>
      <c r="C3306" s="2" t="s">
        <v>3196</v>
      </c>
      <c r="D3306" s="2" t="s">
        <v>10551</v>
      </c>
      <c r="E3306" s="2" t="s">
        <v>4949</v>
      </c>
      <c r="F3306" s="2" t="s">
        <v>10603</v>
      </c>
      <c r="G3306" s="2" t="s">
        <v>10603</v>
      </c>
      <c r="H3306" s="2" t="s">
        <v>10603</v>
      </c>
      <c r="I3306" s="2" t="s">
        <v>10604</v>
      </c>
      <c r="J3306" s="2" t="s">
        <v>3385</v>
      </c>
      <c r="K3306" s="2" t="s">
        <v>458</v>
      </c>
      <c r="L3306" s="3">
        <v>32.9</v>
      </c>
      <c r="M3306" s="3">
        <v>34.55</v>
      </c>
      <c r="N3306" s="3">
        <v>69.99</v>
      </c>
      <c r="O3306" s="2" t="s">
        <v>97</v>
      </c>
      <c r="P3306" s="2" t="s">
        <v>317</v>
      </c>
      <c r="Q3306" s="2" t="s">
        <v>99</v>
      </c>
      <c r="R3306" s="2" t="s">
        <v>100</v>
      </c>
      <c r="S3306" s="2" t="s">
        <v>10641</v>
      </c>
      <c r="T3306" s="2" t="s">
        <v>100</v>
      </c>
      <c r="U3306" s="2" t="s">
        <v>100</v>
      </c>
      <c r="V3306" s="2" t="s">
        <v>461</v>
      </c>
      <c r="W3306" s="2" t="s">
        <v>4989</v>
      </c>
      <c r="X3306" s="2" t="s">
        <v>100</v>
      </c>
      <c r="Y3306" s="2" t="s">
        <v>144</v>
      </c>
      <c r="Z3306" s="4">
        <v>2037</v>
      </c>
      <c r="AA3306" s="4">
        <f>=ROUNDDOWN(24.8414634146341,0)</f>
      </c>
      <c r="AB3306" s="5">
        <v>82</v>
      </c>
      <c r="AC3306" s="2" t="s">
        <v>3277</v>
      </c>
      <c r="AD3306" s="4">
        <v>371</v>
      </c>
      <c r="AE3306" s="4">
        <v>1764</v>
      </c>
      <c r="AF3306" s="6">
        <v>69</v>
      </c>
      <c r="AG3306" s="6">
        <v>77</v>
      </c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/>
      <c r="AQ3306" s="8"/>
      <c r="AR3306" s="4"/>
      <c r="AS3306" s="8"/>
      <c r="AT3306" s="7"/>
      <c r="AU3306" s="7"/>
      <c r="AV3306" s="4" t="s">
        <v>100</v>
      </c>
      <c r="AW3306" s="8" t="s">
        <v>100</v>
      </c>
      <c r="AX3306" s="4" t="s">
        <v>100</v>
      </c>
      <c r="AY3306" s="8" t="s">
        <v>100</v>
      </c>
      <c r="AZ3306" s="7" t="s">
        <v>100</v>
      </c>
      <c r="BA3306" s="7" t="s">
        <v>100</v>
      </c>
      <c r="BB3306" s="7"/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 t="s">
        <v>100</v>
      </c>
      <c r="BJ3306" s="4">
        <v>249</v>
      </c>
      <c r="BK3306" s="8">
        <v>8796.34</v>
      </c>
      <c r="BL3306" s="2" t="s">
        <v>10623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109</v>
      </c>
      <c r="BV3306" s="2" t="s">
        <v>97</v>
      </c>
      <c r="BW3306" s="2" t="s">
        <v>4568</v>
      </c>
      <c r="BX3306" s="2" t="s">
        <v>10644</v>
      </c>
      <c r="BY3306" s="2" t="s">
        <v>112</v>
      </c>
      <c r="BZ3306" s="2" t="s">
        <v>100</v>
      </c>
    </row>
    <row r="3307">
      <c r="A3307" s="2" t="s">
        <v>10645</v>
      </c>
      <c r="B3307" s="2" t="s">
        <v>10550</v>
      </c>
      <c r="C3307" s="2" t="s">
        <v>3196</v>
      </c>
      <c r="D3307" s="2" t="s">
        <v>10551</v>
      </c>
      <c r="E3307" s="2" t="s">
        <v>4949</v>
      </c>
      <c r="F3307" s="2" t="s">
        <v>10646</v>
      </c>
      <c r="G3307" s="2" t="s">
        <v>10646</v>
      </c>
      <c r="H3307" s="2" t="s">
        <v>10646</v>
      </c>
      <c r="I3307" s="2" t="s">
        <v>10647</v>
      </c>
      <c r="J3307" s="2" t="s">
        <v>4951</v>
      </c>
      <c r="K3307" s="2" t="s">
        <v>4362</v>
      </c>
      <c r="L3307" s="3">
        <v>33.6</v>
      </c>
      <c r="M3307" s="3">
        <v>35.28</v>
      </c>
      <c r="N3307" s="3">
        <v>69.99</v>
      </c>
      <c r="O3307" s="2" t="s">
        <v>97</v>
      </c>
      <c r="P3307" s="2" t="s">
        <v>317</v>
      </c>
      <c r="Q3307" s="2" t="s">
        <v>99</v>
      </c>
      <c r="R3307" s="2" t="s">
        <v>100</v>
      </c>
      <c r="S3307" s="2" t="s">
        <v>10648</v>
      </c>
      <c r="T3307" s="2" t="s">
        <v>190</v>
      </c>
      <c r="U3307" s="2" t="s">
        <v>355</v>
      </c>
      <c r="V3307" s="2" t="s">
        <v>461</v>
      </c>
      <c r="W3307" s="2" t="s">
        <v>142</v>
      </c>
      <c r="X3307" s="2" t="s">
        <v>100</v>
      </c>
      <c r="Y3307" s="2" t="s">
        <v>199</v>
      </c>
      <c r="Z3307" s="4">
        <v>953</v>
      </c>
      <c r="AA3307" s="4">
        <f>=ROUNDDOWN(10.0315789473684,0)</f>
      </c>
      <c r="AB3307" s="5">
        <v>95</v>
      </c>
      <c r="AC3307" s="2" t="s">
        <v>3271</v>
      </c>
      <c r="AD3307" s="4">
        <v>304</v>
      </c>
      <c r="AE3307" s="4">
        <v>3464</v>
      </c>
      <c r="AF3307" s="6">
        <v>67</v>
      </c>
      <c r="AG3307" s="6"/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>
        <v>1</v>
      </c>
      <c r="AQ3307" s="8">
        <v>36.96</v>
      </c>
      <c r="AR3307" s="4"/>
      <c r="AS3307" s="8"/>
      <c r="AT3307" s="7"/>
      <c r="AU3307" s="7"/>
      <c r="AV3307" s="4">
        <v>1</v>
      </c>
      <c r="AW3307" s="8">
        <v>36.96</v>
      </c>
      <c r="AX3307" s="4"/>
      <c r="AY3307" s="8"/>
      <c r="AZ3307" s="7"/>
      <c r="BA3307" s="7"/>
      <c r="BB3307" s="7">
        <v>1</v>
      </c>
      <c r="BC3307" s="4">
        <v>1</v>
      </c>
      <c r="BD3307" s="8">
        <v>36.96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>
        <v>1</v>
      </c>
      <c r="BJ3307" s="4">
        <v>416</v>
      </c>
      <c r="BK3307" s="8">
        <v>15540.31</v>
      </c>
      <c r="BL3307" s="2" t="s">
        <v>10649</v>
      </c>
      <c r="BM3307" s="7">
        <v>0.0024</v>
      </c>
      <c r="BN3307" s="7">
        <v>0.0024</v>
      </c>
      <c r="BO3307" s="4">
        <v>1</v>
      </c>
      <c r="BP3307" s="8">
        <v>36.96</v>
      </c>
      <c r="BQ3307" s="4"/>
      <c r="BR3307" s="8"/>
      <c r="BS3307" s="7"/>
      <c r="BT3307" s="7"/>
      <c r="BU3307" s="2" t="s">
        <v>109</v>
      </c>
      <c r="BV3307" s="2" t="s">
        <v>97</v>
      </c>
      <c r="BW3307" s="2" t="s">
        <v>3805</v>
      </c>
      <c r="BX3307" s="2" t="s">
        <v>306</v>
      </c>
      <c r="BY3307" s="2" t="s">
        <v>112</v>
      </c>
      <c r="BZ3307" s="2" t="s">
        <v>100</v>
      </c>
    </row>
    <row r="3308">
      <c r="A3308" s="2" t="s">
        <v>10650</v>
      </c>
      <c r="B3308" s="2" t="s">
        <v>10550</v>
      </c>
      <c r="C3308" s="2" t="s">
        <v>3196</v>
      </c>
      <c r="D3308" s="2" t="s">
        <v>10551</v>
      </c>
      <c r="E3308" s="2" t="s">
        <v>4949</v>
      </c>
      <c r="F3308" s="2" t="s">
        <v>10646</v>
      </c>
      <c r="G3308" s="2" t="s">
        <v>10646</v>
      </c>
      <c r="H3308" s="2" t="s">
        <v>10646</v>
      </c>
      <c r="I3308" s="2" t="s">
        <v>10647</v>
      </c>
      <c r="J3308" s="2" t="s">
        <v>4951</v>
      </c>
      <c r="K3308" s="2" t="s">
        <v>179</v>
      </c>
      <c r="L3308" s="3">
        <v>33.6</v>
      </c>
      <c r="M3308" s="3">
        <v>35.28</v>
      </c>
      <c r="N3308" s="3">
        <v>69.99</v>
      </c>
      <c r="O3308" s="2" t="s">
        <v>97</v>
      </c>
      <c r="P3308" s="2" t="s">
        <v>139</v>
      </c>
      <c r="Q3308" s="2" t="s">
        <v>99</v>
      </c>
      <c r="R3308" s="2" t="s">
        <v>100</v>
      </c>
      <c r="S3308" s="2" t="s">
        <v>10648</v>
      </c>
      <c r="T3308" s="2" t="s">
        <v>190</v>
      </c>
      <c r="U3308" s="2" t="s">
        <v>355</v>
      </c>
      <c r="V3308" s="2" t="s">
        <v>461</v>
      </c>
      <c r="W3308" s="2" t="s">
        <v>142</v>
      </c>
      <c r="X3308" s="2" t="s">
        <v>100</v>
      </c>
      <c r="Y3308" s="2" t="s">
        <v>5938</v>
      </c>
      <c r="Z3308" s="4">
        <v>873</v>
      </c>
      <c r="AA3308" s="4">
        <f>=ROUNDDOWN(12.4714285714286,0)</f>
      </c>
      <c r="AB3308" s="5">
        <v>70</v>
      </c>
      <c r="AC3308" s="2" t="s">
        <v>3271</v>
      </c>
      <c r="AD3308" s="4">
        <v>294</v>
      </c>
      <c r="AE3308" s="4">
        <v>2259</v>
      </c>
      <c r="AF3308" s="6">
        <v>67</v>
      </c>
      <c r="AG3308" s="6"/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/>
      <c r="AQ3308" s="8"/>
      <c r="AR3308" s="4"/>
      <c r="AS3308" s="8"/>
      <c r="AT3308" s="7"/>
      <c r="AU3308" s="7"/>
      <c r="AV3308" s="4"/>
      <c r="AW3308" s="8"/>
      <c r="AX3308" s="4"/>
      <c r="AY3308" s="8"/>
      <c r="AZ3308" s="7"/>
      <c r="BA3308" s="7"/>
      <c r="BB3308" s="7"/>
      <c r="BC3308" s="4" t="s">
        <v>100</v>
      </c>
      <c r="BD3308" s="8" t="s">
        <v>100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/>
      <c r="BJ3308" s="4">
        <v>293</v>
      </c>
      <c r="BK3308" s="8">
        <v>10833.49</v>
      </c>
      <c r="BL3308" s="2" t="s">
        <v>10651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109</v>
      </c>
      <c r="BV3308" s="2" t="s">
        <v>97</v>
      </c>
      <c r="BW3308" s="2" t="s">
        <v>9074</v>
      </c>
      <c r="BX3308" s="2" t="s">
        <v>6510</v>
      </c>
      <c r="BY3308" s="2" t="s">
        <v>112</v>
      </c>
      <c r="BZ3308" s="2" t="s">
        <v>100</v>
      </c>
    </row>
    <row r="3309">
      <c r="A3309" s="2" t="s">
        <v>10652</v>
      </c>
      <c r="B3309" s="2" t="s">
        <v>10550</v>
      </c>
      <c r="C3309" s="2" t="s">
        <v>3196</v>
      </c>
      <c r="D3309" s="2" t="s">
        <v>10551</v>
      </c>
      <c r="E3309" s="2" t="s">
        <v>4949</v>
      </c>
      <c r="F3309" s="2" t="s">
        <v>10646</v>
      </c>
      <c r="G3309" s="2" t="s">
        <v>10646</v>
      </c>
      <c r="H3309" s="2" t="s">
        <v>10646</v>
      </c>
      <c r="I3309" s="2" t="s">
        <v>10647</v>
      </c>
      <c r="J3309" s="2" t="s">
        <v>4951</v>
      </c>
      <c r="K3309" s="2" t="s">
        <v>188</v>
      </c>
      <c r="L3309" s="3">
        <v>33.6</v>
      </c>
      <c r="M3309" s="3">
        <v>35.28</v>
      </c>
      <c r="N3309" s="3">
        <v>69.99</v>
      </c>
      <c r="O3309" s="2" t="s">
        <v>97</v>
      </c>
      <c r="P3309" s="2" t="s">
        <v>156</v>
      </c>
      <c r="Q3309" s="2" t="s">
        <v>99</v>
      </c>
      <c r="R3309" s="2" t="s">
        <v>100</v>
      </c>
      <c r="S3309" s="2" t="s">
        <v>10648</v>
      </c>
      <c r="T3309" s="2" t="s">
        <v>190</v>
      </c>
      <c r="U3309" s="2" t="s">
        <v>355</v>
      </c>
      <c r="V3309" s="2" t="s">
        <v>461</v>
      </c>
      <c r="W3309" s="2" t="s">
        <v>142</v>
      </c>
      <c r="X3309" s="2" t="s">
        <v>100</v>
      </c>
      <c r="Y3309" s="2" t="s">
        <v>494</v>
      </c>
      <c r="Z3309" s="4">
        <v>285</v>
      </c>
      <c r="AA3309" s="4">
        <f>=ROUNDDOWN(7.5,0)</f>
      </c>
      <c r="AB3309" s="5">
        <v>38</v>
      </c>
      <c r="AC3309" s="2" t="s">
        <v>7789</v>
      </c>
      <c r="AD3309" s="4">
        <v>288</v>
      </c>
      <c r="AE3309" s="4">
        <v>1808</v>
      </c>
      <c r="AF3309" s="6">
        <v>67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/>
      <c r="AQ3309" s="8"/>
      <c r="AR3309" s="4"/>
      <c r="AS3309" s="8"/>
      <c r="AT3309" s="7"/>
      <c r="AU3309" s="7"/>
      <c r="AV3309" s="4"/>
      <c r="AW3309" s="8"/>
      <c r="AX3309" s="4"/>
      <c r="AY3309" s="8"/>
      <c r="AZ3309" s="7"/>
      <c r="BA3309" s="7"/>
      <c r="BB3309" s="7"/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/>
      <c r="BJ3309" s="4">
        <v>115</v>
      </c>
      <c r="BK3309" s="8">
        <v>4284.85</v>
      </c>
      <c r="BL3309" s="2" t="s">
        <v>10653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109</v>
      </c>
      <c r="BV3309" s="2" t="s">
        <v>97</v>
      </c>
      <c r="BW3309" s="2" t="s">
        <v>3805</v>
      </c>
      <c r="BX3309" s="2" t="s">
        <v>3929</v>
      </c>
      <c r="BY3309" s="2" t="s">
        <v>112</v>
      </c>
      <c r="BZ3309" s="2" t="s">
        <v>100</v>
      </c>
    </row>
    <row r="3310">
      <c r="A3310" s="2" t="s">
        <v>10654</v>
      </c>
      <c r="B3310" s="2" t="s">
        <v>10550</v>
      </c>
      <c r="C3310" s="2" t="s">
        <v>3196</v>
      </c>
      <c r="D3310" s="2" t="s">
        <v>10551</v>
      </c>
      <c r="E3310" s="2" t="s">
        <v>4949</v>
      </c>
      <c r="F3310" s="2" t="s">
        <v>10646</v>
      </c>
      <c r="G3310" s="2" t="s">
        <v>10646</v>
      </c>
      <c r="H3310" s="2" t="s">
        <v>10646</v>
      </c>
      <c r="I3310" s="2" t="s">
        <v>10647</v>
      </c>
      <c r="J3310" s="2" t="s">
        <v>4951</v>
      </c>
      <c r="K3310" s="2" t="s">
        <v>96</v>
      </c>
      <c r="L3310" s="3">
        <v>33.6</v>
      </c>
      <c r="M3310" s="3">
        <v>35.28</v>
      </c>
      <c r="N3310" s="3">
        <v>69.99</v>
      </c>
      <c r="O3310" s="2" t="s">
        <v>97</v>
      </c>
      <c r="P3310" s="2" t="s">
        <v>139</v>
      </c>
      <c r="Q3310" s="2" t="s">
        <v>99</v>
      </c>
      <c r="R3310" s="2" t="s">
        <v>100</v>
      </c>
      <c r="S3310" s="2" t="s">
        <v>10648</v>
      </c>
      <c r="T3310" s="2" t="s">
        <v>190</v>
      </c>
      <c r="U3310" s="2" t="s">
        <v>355</v>
      </c>
      <c r="V3310" s="2" t="s">
        <v>461</v>
      </c>
      <c r="W3310" s="2" t="s">
        <v>142</v>
      </c>
      <c r="X3310" s="2" t="s">
        <v>100</v>
      </c>
      <c r="Y3310" s="2" t="s">
        <v>1935</v>
      </c>
      <c r="Z3310" s="4">
        <v>1030</v>
      </c>
      <c r="AA3310" s="4">
        <f>=ROUNDDOWN(11.8390804597701,0)</f>
      </c>
      <c r="AB3310" s="5">
        <v>87</v>
      </c>
      <c r="AC3310" s="2" t="s">
        <v>3271</v>
      </c>
      <c r="AD3310" s="4">
        <v>290</v>
      </c>
      <c r="AE3310" s="4">
        <v>2552</v>
      </c>
      <c r="AF3310" s="6">
        <v>67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/>
      <c r="AQ3310" s="8"/>
      <c r="AR3310" s="4"/>
      <c r="AS3310" s="8"/>
      <c r="AT3310" s="7"/>
      <c r="AU3310" s="7"/>
      <c r="AV3310" s="4"/>
      <c r="AW3310" s="8"/>
      <c r="AX3310" s="4"/>
      <c r="AY3310" s="8"/>
      <c r="AZ3310" s="7"/>
      <c r="BA3310" s="7"/>
      <c r="BB3310" s="7"/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/>
      <c r="BJ3310" s="4">
        <v>351</v>
      </c>
      <c r="BK3310" s="8">
        <v>12965.56</v>
      </c>
      <c r="BL3310" s="2" t="s">
        <v>10655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109</v>
      </c>
      <c r="BV3310" s="2" t="s">
        <v>97</v>
      </c>
      <c r="BW3310" s="2" t="s">
        <v>4809</v>
      </c>
      <c r="BX3310" s="2" t="s">
        <v>132</v>
      </c>
      <c r="BY3310" s="2" t="s">
        <v>112</v>
      </c>
      <c r="BZ3310" s="2" t="s">
        <v>100</v>
      </c>
    </row>
    <row r="3311">
      <c r="A3311" s="2" t="s">
        <v>10656</v>
      </c>
      <c r="B3311" s="2" t="s">
        <v>10550</v>
      </c>
      <c r="C3311" s="2" t="s">
        <v>3196</v>
      </c>
      <c r="D3311" s="2" t="s">
        <v>10551</v>
      </c>
      <c r="E3311" s="2" t="s">
        <v>4949</v>
      </c>
      <c r="F3311" s="2" t="s">
        <v>10646</v>
      </c>
      <c r="G3311" s="2" t="s">
        <v>10646</v>
      </c>
      <c r="H3311" s="2" t="s">
        <v>10646</v>
      </c>
      <c r="I3311" s="2" t="s">
        <v>10647</v>
      </c>
      <c r="J3311" s="2" t="s">
        <v>4951</v>
      </c>
      <c r="K3311" s="2" t="s">
        <v>5281</v>
      </c>
      <c r="L3311" s="3">
        <v>33.6</v>
      </c>
      <c r="M3311" s="3">
        <v>35.28</v>
      </c>
      <c r="N3311" s="3">
        <v>69.99</v>
      </c>
      <c r="O3311" s="2" t="s">
        <v>97</v>
      </c>
      <c r="P3311" s="2" t="s">
        <v>98</v>
      </c>
      <c r="Q3311" s="2" t="s">
        <v>99</v>
      </c>
      <c r="R3311" s="2" t="s">
        <v>100</v>
      </c>
      <c r="S3311" s="2" t="s">
        <v>10648</v>
      </c>
      <c r="T3311" s="2" t="s">
        <v>190</v>
      </c>
      <c r="U3311" s="2" t="s">
        <v>355</v>
      </c>
      <c r="V3311" s="2" t="s">
        <v>461</v>
      </c>
      <c r="W3311" s="2" t="s">
        <v>142</v>
      </c>
      <c r="X3311" s="2" t="s">
        <v>100</v>
      </c>
      <c r="Y3311" s="2" t="s">
        <v>10657</v>
      </c>
      <c r="Z3311" s="4">
        <v>510</v>
      </c>
      <c r="AA3311" s="4">
        <f>=ROUNDDOWN(17.5862068965517,0)</f>
      </c>
      <c r="AB3311" s="5">
        <v>29</v>
      </c>
      <c r="AC3311" s="2" t="s">
        <v>1398</v>
      </c>
      <c r="AD3311" s="4">
        <v>332</v>
      </c>
      <c r="AE3311" s="4">
        <v>932</v>
      </c>
      <c r="AF3311" s="6">
        <v>67</v>
      </c>
      <c r="AG3311" s="6"/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/>
      <c r="AQ3311" s="8"/>
      <c r="AR3311" s="4"/>
      <c r="AS3311" s="8"/>
      <c r="AT3311" s="7"/>
      <c r="AU3311" s="7"/>
      <c r="AV3311" s="4"/>
      <c r="AW3311" s="8"/>
      <c r="AX3311" s="4"/>
      <c r="AY3311" s="8"/>
      <c r="AZ3311" s="7"/>
      <c r="BA3311" s="7"/>
      <c r="BB3311" s="7"/>
      <c r="BC3311" s="4" t="s">
        <v>100</v>
      </c>
      <c r="BD3311" s="8" t="s">
        <v>100</v>
      </c>
      <c r="BE3311" s="4" t="s">
        <v>100</v>
      </c>
      <c r="BF3311" s="8" t="s">
        <v>100</v>
      </c>
      <c r="BG3311" s="7" t="s">
        <v>100</v>
      </c>
      <c r="BH3311" s="7" t="s">
        <v>100</v>
      </c>
      <c r="BI3311" s="7"/>
      <c r="BJ3311" s="4">
        <v>92</v>
      </c>
      <c r="BK3311" s="8">
        <v>3467.77</v>
      </c>
      <c r="BL3311" s="2" t="s">
        <v>328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109</v>
      </c>
      <c r="BV3311" s="2" t="s">
        <v>97</v>
      </c>
      <c r="BW3311" s="2" t="s">
        <v>4607</v>
      </c>
      <c r="BX3311" s="2" t="s">
        <v>100</v>
      </c>
      <c r="BY3311" s="2" t="s">
        <v>112</v>
      </c>
      <c r="BZ3311" s="2" t="s">
        <v>100</v>
      </c>
    </row>
    <row r="3312">
      <c r="A3312" s="2" t="s">
        <v>10658</v>
      </c>
      <c r="B3312" s="2" t="s">
        <v>10550</v>
      </c>
      <c r="C3312" s="2" t="s">
        <v>3196</v>
      </c>
      <c r="D3312" s="2" t="s">
        <v>10551</v>
      </c>
      <c r="E3312" s="2" t="s">
        <v>4949</v>
      </c>
      <c r="F3312" s="2" t="s">
        <v>10646</v>
      </c>
      <c r="G3312" s="2" t="s">
        <v>10646</v>
      </c>
      <c r="H3312" s="2" t="s">
        <v>10646</v>
      </c>
      <c r="I3312" s="2" t="s">
        <v>10647</v>
      </c>
      <c r="J3312" s="2" t="s">
        <v>4951</v>
      </c>
      <c r="K3312" s="2" t="s">
        <v>5681</v>
      </c>
      <c r="L3312" s="3">
        <v>33.6</v>
      </c>
      <c r="M3312" s="3">
        <v>35.28</v>
      </c>
      <c r="N3312" s="3">
        <v>69.99</v>
      </c>
      <c r="O3312" s="2" t="s">
        <v>97</v>
      </c>
      <c r="P3312" s="2" t="s">
        <v>156</v>
      </c>
      <c r="Q3312" s="2" t="s">
        <v>99</v>
      </c>
      <c r="R3312" s="2" t="s">
        <v>100</v>
      </c>
      <c r="S3312" s="2" t="s">
        <v>10648</v>
      </c>
      <c r="T3312" s="2" t="s">
        <v>190</v>
      </c>
      <c r="U3312" s="2" t="s">
        <v>355</v>
      </c>
      <c r="V3312" s="2" t="s">
        <v>461</v>
      </c>
      <c r="W3312" s="2" t="s">
        <v>142</v>
      </c>
      <c r="X3312" s="2" t="s">
        <v>100</v>
      </c>
      <c r="Y3312" s="2" t="s">
        <v>199</v>
      </c>
      <c r="Z3312" s="4">
        <v>132</v>
      </c>
      <c r="AA3312" s="4">
        <f>=ROUNDDOWN(2.80851063829787,0)</f>
      </c>
      <c r="AB3312" s="5">
        <v>47</v>
      </c>
      <c r="AC3312" s="2" t="s">
        <v>3271</v>
      </c>
      <c r="AD3312" s="4">
        <v>129</v>
      </c>
      <c r="AE3312" s="4">
        <v>1854</v>
      </c>
      <c r="AF3312" s="6">
        <v>67</v>
      </c>
      <c r="AG3312" s="6"/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/>
      <c r="AQ3312" s="8"/>
      <c r="AR3312" s="4"/>
      <c r="AS3312" s="8"/>
      <c r="AT3312" s="7"/>
      <c r="AU3312" s="7"/>
      <c r="AV3312" s="4"/>
      <c r="AW3312" s="8"/>
      <c r="AX3312" s="4"/>
      <c r="AY3312" s="8"/>
      <c r="AZ3312" s="7"/>
      <c r="BA3312" s="7"/>
      <c r="BB3312" s="7"/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/>
      <c r="BJ3312" s="4">
        <v>203</v>
      </c>
      <c r="BK3312" s="8">
        <v>7520.52</v>
      </c>
      <c r="BL3312" s="2" t="s">
        <v>10570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109</v>
      </c>
      <c r="BV3312" s="2" t="s">
        <v>97</v>
      </c>
      <c r="BW3312" s="2" t="s">
        <v>3805</v>
      </c>
      <c r="BX3312" s="2" t="s">
        <v>208</v>
      </c>
      <c r="BY3312" s="2" t="s">
        <v>112</v>
      </c>
      <c r="BZ3312" s="2" t="s">
        <v>100</v>
      </c>
    </row>
    <row r="3313">
      <c r="A3313" s="2" t="s">
        <v>10659</v>
      </c>
      <c r="B3313" s="2" t="s">
        <v>10550</v>
      </c>
      <c r="C3313" s="2" t="s">
        <v>3196</v>
      </c>
      <c r="D3313" s="2" t="s">
        <v>10551</v>
      </c>
      <c r="E3313" s="2" t="s">
        <v>4949</v>
      </c>
      <c r="F3313" s="2" t="s">
        <v>10646</v>
      </c>
      <c r="G3313" s="2" t="s">
        <v>10646</v>
      </c>
      <c r="H3313" s="2" t="s">
        <v>10646</v>
      </c>
      <c r="I3313" s="2" t="s">
        <v>10647</v>
      </c>
      <c r="J3313" s="2" t="s">
        <v>4951</v>
      </c>
      <c r="K3313" s="2" t="s">
        <v>223</v>
      </c>
      <c r="L3313" s="3">
        <v>33.6</v>
      </c>
      <c r="M3313" s="3">
        <v>35.28</v>
      </c>
      <c r="N3313" s="3">
        <v>69.99</v>
      </c>
      <c r="O3313" s="2" t="s">
        <v>97</v>
      </c>
      <c r="P3313" s="2" t="s">
        <v>123</v>
      </c>
      <c r="Q3313" s="2" t="s">
        <v>99</v>
      </c>
      <c r="R3313" s="2" t="s">
        <v>100</v>
      </c>
      <c r="S3313" s="2" t="s">
        <v>10648</v>
      </c>
      <c r="T3313" s="2" t="s">
        <v>190</v>
      </c>
      <c r="U3313" s="2" t="s">
        <v>355</v>
      </c>
      <c r="V3313" s="2" t="s">
        <v>461</v>
      </c>
      <c r="W3313" s="2" t="s">
        <v>104</v>
      </c>
      <c r="X3313" s="2" t="s">
        <v>100</v>
      </c>
      <c r="Y3313" s="2" t="s">
        <v>4921</v>
      </c>
      <c r="Z3313" s="4">
        <v>773</v>
      </c>
      <c r="AA3313" s="4">
        <f>=ROUNDDOWN(12.078125,0)</f>
      </c>
      <c r="AB3313" s="5">
        <v>64</v>
      </c>
      <c r="AC3313" s="2" t="s">
        <v>3271</v>
      </c>
      <c r="AD3313" s="4">
        <v>304</v>
      </c>
      <c r="AE3313" s="4">
        <v>2337</v>
      </c>
      <c r="AF3313" s="6">
        <v>67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/>
      <c r="AQ3313" s="8"/>
      <c r="AR3313" s="4"/>
      <c r="AS3313" s="8"/>
      <c r="AT3313" s="7"/>
      <c r="AU3313" s="7"/>
      <c r="AV3313" s="4"/>
      <c r="AW3313" s="8"/>
      <c r="AX3313" s="4"/>
      <c r="AY3313" s="8"/>
      <c r="AZ3313" s="7"/>
      <c r="BA3313" s="7"/>
      <c r="BB3313" s="7"/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/>
      <c r="BJ3313" s="4">
        <v>263</v>
      </c>
      <c r="BK3313" s="8">
        <v>9983.43</v>
      </c>
      <c r="BL3313" s="2" t="s">
        <v>10660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109</v>
      </c>
      <c r="BV3313" s="2" t="s">
        <v>97</v>
      </c>
      <c r="BW3313" s="2" t="s">
        <v>4607</v>
      </c>
      <c r="BX3313" s="2" t="s">
        <v>9122</v>
      </c>
      <c r="BY3313" s="2" t="s">
        <v>112</v>
      </c>
      <c r="BZ3313" s="2" t="s">
        <v>100</v>
      </c>
    </row>
    <row r="3314">
      <c r="A3314" s="2" t="s">
        <v>10661</v>
      </c>
      <c r="B3314" s="2" t="s">
        <v>10550</v>
      </c>
      <c r="C3314" s="2" t="s">
        <v>3196</v>
      </c>
      <c r="D3314" s="2" t="s">
        <v>10551</v>
      </c>
      <c r="E3314" s="2" t="s">
        <v>4949</v>
      </c>
      <c r="F3314" s="2" t="s">
        <v>10646</v>
      </c>
      <c r="G3314" s="2" t="s">
        <v>10646</v>
      </c>
      <c r="H3314" s="2" t="s">
        <v>10646</v>
      </c>
      <c r="I3314" s="2" t="s">
        <v>10647</v>
      </c>
      <c r="J3314" s="2" t="s">
        <v>4951</v>
      </c>
      <c r="K3314" s="2" t="s">
        <v>386</v>
      </c>
      <c r="L3314" s="3">
        <v>33.6</v>
      </c>
      <c r="M3314" s="3">
        <v>35.28</v>
      </c>
      <c r="N3314" s="3">
        <v>69.99</v>
      </c>
      <c r="O3314" s="2" t="s">
        <v>97</v>
      </c>
      <c r="P3314" s="2" t="s">
        <v>156</v>
      </c>
      <c r="Q3314" s="2" t="s">
        <v>99</v>
      </c>
      <c r="R3314" s="2" t="s">
        <v>100</v>
      </c>
      <c r="S3314" s="2" t="s">
        <v>10648</v>
      </c>
      <c r="T3314" s="2" t="s">
        <v>190</v>
      </c>
      <c r="U3314" s="2" t="s">
        <v>355</v>
      </c>
      <c r="V3314" s="2" t="s">
        <v>461</v>
      </c>
      <c r="W3314" s="2" t="s">
        <v>104</v>
      </c>
      <c r="X3314" s="2" t="s">
        <v>100</v>
      </c>
      <c r="Y3314" s="2" t="s">
        <v>10662</v>
      </c>
      <c r="Z3314" s="4">
        <v>665</v>
      </c>
      <c r="AA3314" s="4">
        <f>=ROUNDDOWN(17.0512820512821,0)</f>
      </c>
      <c r="AB3314" s="5">
        <v>39</v>
      </c>
      <c r="AC3314" s="2" t="s">
        <v>7789</v>
      </c>
      <c r="AD3314" s="4">
        <v>268</v>
      </c>
      <c r="AE3314" s="4">
        <v>1328</v>
      </c>
      <c r="AF3314" s="6">
        <v>67</v>
      </c>
      <c r="AG3314" s="6"/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/>
      <c r="AQ3314" s="8"/>
      <c r="AR3314" s="4"/>
      <c r="AS3314" s="8"/>
      <c r="AT3314" s="7"/>
      <c r="AU3314" s="7"/>
      <c r="AV3314" s="4"/>
      <c r="AW3314" s="8"/>
      <c r="AX3314" s="4"/>
      <c r="AY3314" s="8"/>
      <c r="AZ3314" s="7"/>
      <c r="BA3314" s="7"/>
      <c r="BB3314" s="7"/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/>
      <c r="BJ3314" s="4">
        <v>113</v>
      </c>
      <c r="BK3314" s="8">
        <v>4155.83</v>
      </c>
      <c r="BL3314" s="2" t="s">
        <v>10663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4607</v>
      </c>
      <c r="BX3314" s="2" t="s">
        <v>9602</v>
      </c>
      <c r="BY3314" s="2" t="s">
        <v>112</v>
      </c>
      <c r="BZ3314" s="2" t="s">
        <v>100</v>
      </c>
    </row>
    <row r="3315">
      <c r="A3315" s="2" t="s">
        <v>10664</v>
      </c>
      <c r="B3315" s="2" t="s">
        <v>10550</v>
      </c>
      <c r="C3315" s="2" t="s">
        <v>3196</v>
      </c>
      <c r="D3315" s="2" t="s">
        <v>10551</v>
      </c>
      <c r="E3315" s="2" t="s">
        <v>4949</v>
      </c>
      <c r="F3315" s="2" t="s">
        <v>10646</v>
      </c>
      <c r="G3315" s="2" t="s">
        <v>10646</v>
      </c>
      <c r="H3315" s="2" t="s">
        <v>10646</v>
      </c>
      <c r="I3315" s="2" t="s">
        <v>10647</v>
      </c>
      <c r="J3315" s="2" t="s">
        <v>4951</v>
      </c>
      <c r="K3315" s="2" t="s">
        <v>1173</v>
      </c>
      <c r="L3315" s="3">
        <v>33.6</v>
      </c>
      <c r="M3315" s="3">
        <v>35.28</v>
      </c>
      <c r="N3315" s="3">
        <v>69.99</v>
      </c>
      <c r="O3315" s="2" t="s">
        <v>97</v>
      </c>
      <c r="P3315" s="2" t="s">
        <v>139</v>
      </c>
      <c r="Q3315" s="2" t="s">
        <v>99</v>
      </c>
      <c r="R3315" s="2" t="s">
        <v>100</v>
      </c>
      <c r="S3315" s="2" t="s">
        <v>10648</v>
      </c>
      <c r="T3315" s="2" t="s">
        <v>190</v>
      </c>
      <c r="U3315" s="2" t="s">
        <v>355</v>
      </c>
      <c r="V3315" s="2" t="s">
        <v>461</v>
      </c>
      <c r="W3315" s="2" t="s">
        <v>142</v>
      </c>
      <c r="X3315" s="2" t="s">
        <v>100</v>
      </c>
      <c r="Y3315" s="2" t="s">
        <v>1935</v>
      </c>
      <c r="Z3315" s="4">
        <v>950</v>
      </c>
      <c r="AA3315" s="4">
        <f>=ROUNDDOWN(10.9195402298851,0)</f>
      </c>
      <c r="AB3315" s="5">
        <v>87</v>
      </c>
      <c r="AC3315" s="2" t="s">
        <v>3271</v>
      </c>
      <c r="AD3315" s="4">
        <v>299</v>
      </c>
      <c r="AE3315" s="4">
        <v>2719</v>
      </c>
      <c r="AF3315" s="6">
        <v>67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>
        <v>0</v>
      </c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/>
      <c r="BJ3315" s="4">
        <v>382</v>
      </c>
      <c r="BK3315" s="8">
        <v>13982.63</v>
      </c>
      <c r="BL3315" s="2" t="s">
        <v>10665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4809</v>
      </c>
      <c r="BX3315" s="2" t="s">
        <v>10666</v>
      </c>
      <c r="BY3315" s="2" t="s">
        <v>112</v>
      </c>
      <c r="BZ3315" s="2" t="s">
        <v>100</v>
      </c>
    </row>
    <row r="3316">
      <c r="A3316" s="2" t="s">
        <v>10667</v>
      </c>
      <c r="B3316" s="2" t="s">
        <v>10550</v>
      </c>
      <c r="C3316" s="2" t="s">
        <v>3196</v>
      </c>
      <c r="D3316" s="2" t="s">
        <v>10551</v>
      </c>
      <c r="E3316" s="2" t="s">
        <v>4949</v>
      </c>
      <c r="F3316" s="2" t="s">
        <v>10646</v>
      </c>
      <c r="G3316" s="2" t="s">
        <v>10646</v>
      </c>
      <c r="H3316" s="2" t="s">
        <v>10646</v>
      </c>
      <c r="I3316" s="2" t="s">
        <v>10647</v>
      </c>
      <c r="J3316" s="2" t="s">
        <v>4951</v>
      </c>
      <c r="K3316" s="2" t="s">
        <v>458</v>
      </c>
      <c r="L3316" s="3">
        <v>33.6</v>
      </c>
      <c r="M3316" s="3">
        <v>35.28</v>
      </c>
      <c r="N3316" s="3">
        <v>69.99</v>
      </c>
      <c r="O3316" s="2" t="s">
        <v>97</v>
      </c>
      <c r="P3316" s="2" t="s">
        <v>317</v>
      </c>
      <c r="Q3316" s="2" t="s">
        <v>99</v>
      </c>
      <c r="R3316" s="2" t="s">
        <v>100</v>
      </c>
      <c r="S3316" s="2" t="s">
        <v>10648</v>
      </c>
      <c r="T3316" s="2" t="s">
        <v>190</v>
      </c>
      <c r="U3316" s="2" t="s">
        <v>355</v>
      </c>
      <c r="V3316" s="2" t="s">
        <v>461</v>
      </c>
      <c r="W3316" s="2" t="s">
        <v>142</v>
      </c>
      <c r="X3316" s="2" t="s">
        <v>100</v>
      </c>
      <c r="Y3316" s="2" t="s">
        <v>1230</v>
      </c>
      <c r="Z3316" s="4">
        <v>1739</v>
      </c>
      <c r="AA3316" s="4">
        <f>=ROUNDDOWN(13.6929133858268,0)</f>
      </c>
      <c r="AB3316" s="5">
        <v>127</v>
      </c>
      <c r="AC3316" s="2" t="s">
        <v>3271</v>
      </c>
      <c r="AD3316" s="4">
        <v>591</v>
      </c>
      <c r="AE3316" s="4">
        <v>3491</v>
      </c>
      <c r="AF3316" s="6">
        <v>67</v>
      </c>
      <c r="AG3316" s="6"/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/>
      <c r="BJ3316" s="4">
        <v>453</v>
      </c>
      <c r="BK3316" s="8">
        <v>16931.38</v>
      </c>
      <c r="BL3316" s="2" t="s">
        <v>10668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109</v>
      </c>
      <c r="BV3316" s="2" t="s">
        <v>97</v>
      </c>
      <c r="BW3316" s="2" t="s">
        <v>4630</v>
      </c>
      <c r="BX3316" s="2" t="s">
        <v>10669</v>
      </c>
      <c r="BY3316" s="2" t="s">
        <v>112</v>
      </c>
      <c r="BZ3316" s="2" t="s">
        <v>100</v>
      </c>
    </row>
    <row r="3317">
      <c r="A3317" s="2" t="s">
        <v>10670</v>
      </c>
      <c r="B3317" s="2" t="s">
        <v>10550</v>
      </c>
      <c r="C3317" s="2" t="s">
        <v>3196</v>
      </c>
      <c r="D3317" s="2" t="s">
        <v>10551</v>
      </c>
      <c r="E3317" s="2" t="s">
        <v>4949</v>
      </c>
      <c r="F3317" s="2" t="s">
        <v>10671</v>
      </c>
      <c r="G3317" s="2" t="s">
        <v>10671</v>
      </c>
      <c r="H3317" s="2" t="s">
        <v>10671</v>
      </c>
      <c r="I3317" s="2" t="s">
        <v>10672</v>
      </c>
      <c r="J3317" s="2" t="s">
        <v>3385</v>
      </c>
      <c r="K3317" s="2" t="s">
        <v>4362</v>
      </c>
      <c r="L3317" s="3">
        <v>42.75</v>
      </c>
      <c r="M3317" s="3">
        <v>44.89</v>
      </c>
      <c r="N3317" s="3">
        <v>94.99</v>
      </c>
      <c r="O3317" s="2" t="s">
        <v>97</v>
      </c>
      <c r="P3317" s="2" t="s">
        <v>98</v>
      </c>
      <c r="Q3317" s="2" t="s">
        <v>99</v>
      </c>
      <c r="R3317" s="2" t="s">
        <v>100</v>
      </c>
      <c r="S3317" s="2" t="s">
        <v>10673</v>
      </c>
      <c r="T3317" s="2" t="s">
        <v>190</v>
      </c>
      <c r="U3317" s="2" t="s">
        <v>355</v>
      </c>
      <c r="V3317" s="2" t="s">
        <v>461</v>
      </c>
      <c r="W3317" s="2" t="s">
        <v>1136</v>
      </c>
      <c r="X3317" s="2" t="s">
        <v>142</v>
      </c>
      <c r="Y3317" s="2" t="s">
        <v>6026</v>
      </c>
      <c r="Z3317" s="4">
        <v>402</v>
      </c>
      <c r="AA3317" s="4">
        <f>=ROUNDDOWN(57.4285714285714,0)</f>
      </c>
      <c r="AB3317" s="5">
        <v>7</v>
      </c>
      <c r="AC3317" s="2" t="s">
        <v>10674</v>
      </c>
      <c r="AD3317" s="4">
        <v>490</v>
      </c>
      <c r="AE3317" s="4">
        <v>490</v>
      </c>
      <c r="AF3317" s="6">
        <v>73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/>
      <c r="BJ3317" s="4">
        <v>19</v>
      </c>
      <c r="BK3317" s="8">
        <v>869</v>
      </c>
      <c r="BL3317" s="2" t="s">
        <v>10675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171</v>
      </c>
      <c r="BV3317" s="2" t="s">
        <v>97</v>
      </c>
      <c r="BW3317" s="2" t="s">
        <v>100</v>
      </c>
      <c r="BX3317" s="2" t="s">
        <v>100</v>
      </c>
      <c r="BY3317" s="2" t="s">
        <v>112</v>
      </c>
      <c r="BZ3317" s="2" t="s">
        <v>100</v>
      </c>
    </row>
    <row r="3318">
      <c r="A3318" s="2" t="s">
        <v>10676</v>
      </c>
      <c r="B3318" s="2" t="s">
        <v>10550</v>
      </c>
      <c r="C3318" s="2" t="s">
        <v>3196</v>
      </c>
      <c r="D3318" s="2" t="s">
        <v>10551</v>
      </c>
      <c r="E3318" s="2" t="s">
        <v>4949</v>
      </c>
      <c r="F3318" s="2" t="s">
        <v>10671</v>
      </c>
      <c r="G3318" s="2" t="s">
        <v>10671</v>
      </c>
      <c r="H3318" s="2" t="s">
        <v>10671</v>
      </c>
      <c r="I3318" s="2" t="s">
        <v>10672</v>
      </c>
      <c r="J3318" s="2" t="s">
        <v>3385</v>
      </c>
      <c r="K3318" s="2" t="s">
        <v>10677</v>
      </c>
      <c r="L3318" s="3">
        <v>42.75</v>
      </c>
      <c r="M3318" s="3">
        <v>44.89</v>
      </c>
      <c r="N3318" s="3">
        <v>94.99</v>
      </c>
      <c r="O3318" s="2" t="s">
        <v>97</v>
      </c>
      <c r="P3318" s="2" t="s">
        <v>156</v>
      </c>
      <c r="Q3318" s="2" t="s">
        <v>99</v>
      </c>
      <c r="R3318" s="2" t="s">
        <v>100</v>
      </c>
      <c r="S3318" s="2" t="s">
        <v>10673</v>
      </c>
      <c r="T3318" s="2" t="s">
        <v>190</v>
      </c>
      <c r="U3318" s="2" t="s">
        <v>355</v>
      </c>
      <c r="V3318" s="2" t="s">
        <v>461</v>
      </c>
      <c r="W3318" s="2" t="s">
        <v>1136</v>
      </c>
      <c r="X3318" s="2" t="s">
        <v>142</v>
      </c>
      <c r="Y3318" s="2" t="s">
        <v>10678</v>
      </c>
      <c r="Z3318" s="4">
        <v>317</v>
      </c>
      <c r="AA3318" s="4">
        <f>=ROUNDDOWN(21.1333333333333,0)</f>
      </c>
      <c r="AB3318" s="5">
        <v>15</v>
      </c>
      <c r="AC3318" s="2" t="s">
        <v>10674</v>
      </c>
      <c r="AD3318" s="4">
        <v>490</v>
      </c>
      <c r="AE3318" s="4">
        <v>490</v>
      </c>
      <c r="AF3318" s="6">
        <v>73</v>
      </c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/>
      <c r="AQ3318" s="8"/>
      <c r="AR3318" s="4"/>
      <c r="AS3318" s="8"/>
      <c r="AT3318" s="7"/>
      <c r="AU3318" s="7"/>
      <c r="AV3318" s="4"/>
      <c r="AW3318" s="8"/>
      <c r="AX3318" s="4"/>
      <c r="AY3318" s="8"/>
      <c r="AZ3318" s="7"/>
      <c r="BA3318" s="7"/>
      <c r="BB3318" s="7"/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/>
      <c r="BJ3318" s="4">
        <v>43</v>
      </c>
      <c r="BK3318" s="8">
        <v>1987.44</v>
      </c>
      <c r="BL3318" s="2" t="s">
        <v>1332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10679</v>
      </c>
      <c r="BX3318" s="2" t="s">
        <v>6198</v>
      </c>
      <c r="BY3318" s="2" t="s">
        <v>112</v>
      </c>
      <c r="BZ3318" s="2" t="s">
        <v>100</v>
      </c>
    </row>
    <row r="3319">
      <c r="A3319" s="2" t="s">
        <v>10680</v>
      </c>
      <c r="B3319" s="2" t="s">
        <v>10550</v>
      </c>
      <c r="C3319" s="2" t="s">
        <v>3196</v>
      </c>
      <c r="D3319" s="2" t="s">
        <v>10551</v>
      </c>
      <c r="E3319" s="2" t="s">
        <v>4949</v>
      </c>
      <c r="F3319" s="2" t="s">
        <v>10671</v>
      </c>
      <c r="G3319" s="2" t="s">
        <v>10671</v>
      </c>
      <c r="H3319" s="2" t="s">
        <v>10671</v>
      </c>
      <c r="I3319" s="2" t="s">
        <v>10672</v>
      </c>
      <c r="J3319" s="2" t="s">
        <v>3385</v>
      </c>
      <c r="K3319" s="2" t="s">
        <v>96</v>
      </c>
      <c r="L3319" s="3">
        <v>42.75</v>
      </c>
      <c r="M3319" s="3">
        <v>44.89</v>
      </c>
      <c r="N3319" s="3">
        <v>94.99</v>
      </c>
      <c r="O3319" s="2" t="s">
        <v>97</v>
      </c>
      <c r="P3319" s="2" t="s">
        <v>98</v>
      </c>
      <c r="Q3319" s="2" t="s">
        <v>99</v>
      </c>
      <c r="R3319" s="2" t="s">
        <v>100</v>
      </c>
      <c r="S3319" s="2" t="s">
        <v>10673</v>
      </c>
      <c r="T3319" s="2" t="s">
        <v>190</v>
      </c>
      <c r="U3319" s="2" t="s">
        <v>355</v>
      </c>
      <c r="V3319" s="2" t="s">
        <v>461</v>
      </c>
      <c r="W3319" s="2" t="s">
        <v>1136</v>
      </c>
      <c r="X3319" s="2" t="s">
        <v>142</v>
      </c>
      <c r="Y3319" s="2" t="s">
        <v>6026</v>
      </c>
      <c r="Z3319" s="4">
        <v>365</v>
      </c>
      <c r="AA3319" s="4">
        <f>=ROUNDDOWN(45.625,0)</f>
      </c>
      <c r="AB3319" s="5">
        <v>8</v>
      </c>
      <c r="AC3319" s="2" t="s">
        <v>10674</v>
      </c>
      <c r="AD3319" s="4">
        <v>490</v>
      </c>
      <c r="AE3319" s="4">
        <v>490</v>
      </c>
      <c r="AF3319" s="6">
        <v>73</v>
      </c>
      <c r="AG3319" s="6"/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/>
      <c r="AQ3319" s="8"/>
      <c r="AR3319" s="4"/>
      <c r="AS3319" s="8"/>
      <c r="AT3319" s="7"/>
      <c r="AU3319" s="7"/>
      <c r="AV3319" s="4"/>
      <c r="AW3319" s="8"/>
      <c r="AX3319" s="4"/>
      <c r="AY3319" s="8"/>
      <c r="AZ3319" s="7"/>
      <c r="BA3319" s="7"/>
      <c r="BB3319" s="7"/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/>
      <c r="BJ3319" s="4">
        <v>32</v>
      </c>
      <c r="BK3319" s="8">
        <v>1489.27</v>
      </c>
      <c r="BL3319" s="2" t="s">
        <v>4624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171</v>
      </c>
      <c r="BV3319" s="2" t="s">
        <v>97</v>
      </c>
      <c r="BW3319" s="2" t="s">
        <v>100</v>
      </c>
      <c r="BX3319" s="2" t="s">
        <v>100</v>
      </c>
      <c r="BY3319" s="2" t="s">
        <v>112</v>
      </c>
      <c r="BZ3319" s="2" t="s">
        <v>100</v>
      </c>
    </row>
    <row r="3320">
      <c r="A3320" s="2" t="s">
        <v>10681</v>
      </c>
      <c r="B3320" s="2" t="s">
        <v>10550</v>
      </c>
      <c r="C3320" s="2" t="s">
        <v>3196</v>
      </c>
      <c r="D3320" s="2" t="s">
        <v>10551</v>
      </c>
      <c r="E3320" s="2" t="s">
        <v>4949</v>
      </c>
      <c r="F3320" s="2" t="s">
        <v>10671</v>
      </c>
      <c r="G3320" s="2" t="s">
        <v>10671</v>
      </c>
      <c r="H3320" s="2" t="s">
        <v>10671</v>
      </c>
      <c r="I3320" s="2" t="s">
        <v>10672</v>
      </c>
      <c r="J3320" s="2" t="s">
        <v>3385</v>
      </c>
      <c r="K3320" s="2" t="s">
        <v>386</v>
      </c>
      <c r="L3320" s="3">
        <v>42.75</v>
      </c>
      <c r="M3320" s="3">
        <v>44.89</v>
      </c>
      <c r="N3320" s="3">
        <v>94.99</v>
      </c>
      <c r="O3320" s="2" t="s">
        <v>97</v>
      </c>
      <c r="P3320" s="2" t="s">
        <v>156</v>
      </c>
      <c r="Q3320" s="2" t="s">
        <v>99</v>
      </c>
      <c r="R3320" s="2" t="s">
        <v>100</v>
      </c>
      <c r="S3320" s="2" t="s">
        <v>10673</v>
      </c>
      <c r="T3320" s="2" t="s">
        <v>190</v>
      </c>
      <c r="U3320" s="2" t="s">
        <v>355</v>
      </c>
      <c r="V3320" s="2" t="s">
        <v>461</v>
      </c>
      <c r="W3320" s="2" t="s">
        <v>1136</v>
      </c>
      <c r="X3320" s="2" t="s">
        <v>142</v>
      </c>
      <c r="Y3320" s="2" t="s">
        <v>7353</v>
      </c>
      <c r="Z3320" s="4">
        <v>436</v>
      </c>
      <c r="AA3320" s="4">
        <f>=ROUNDDOWN(39.6363636363636,0)</f>
      </c>
      <c r="AB3320" s="5">
        <v>11</v>
      </c>
      <c r="AC3320" s="2" t="s">
        <v>10674</v>
      </c>
      <c r="AD3320" s="4">
        <v>490</v>
      </c>
      <c r="AE3320" s="4">
        <v>490</v>
      </c>
      <c r="AF3320" s="6">
        <v>73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>
        <v>0</v>
      </c>
      <c r="AP3320" s="4"/>
      <c r="AQ3320" s="8"/>
      <c r="AR3320" s="4"/>
      <c r="AS3320" s="8"/>
      <c r="AT3320" s="7"/>
      <c r="AU3320" s="7"/>
      <c r="AV3320" s="4"/>
      <c r="AW3320" s="8"/>
      <c r="AX3320" s="4"/>
      <c r="AY3320" s="8"/>
      <c r="AZ3320" s="7"/>
      <c r="BA3320" s="7"/>
      <c r="BB3320" s="7"/>
      <c r="BC3320" s="4" t="s">
        <v>100</v>
      </c>
      <c r="BD3320" s="8" t="s">
        <v>100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/>
      <c r="BJ3320" s="4">
        <v>42</v>
      </c>
      <c r="BK3320" s="8">
        <v>1997.13</v>
      </c>
      <c r="BL3320" s="2" t="s">
        <v>10682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203</v>
      </c>
      <c r="BX3320" s="2" t="s">
        <v>6198</v>
      </c>
      <c r="BY3320" s="2" t="s">
        <v>112</v>
      </c>
      <c r="BZ3320" s="2" t="s">
        <v>100</v>
      </c>
    </row>
    <row r="3321">
      <c r="A3321" s="2" t="s">
        <v>10683</v>
      </c>
      <c r="B3321" s="2" t="s">
        <v>10550</v>
      </c>
      <c r="C3321" s="2" t="s">
        <v>3196</v>
      </c>
      <c r="D3321" s="2" t="s">
        <v>10551</v>
      </c>
      <c r="E3321" s="2" t="s">
        <v>4949</v>
      </c>
      <c r="F3321" s="2" t="s">
        <v>10671</v>
      </c>
      <c r="G3321" s="2" t="s">
        <v>10671</v>
      </c>
      <c r="H3321" s="2" t="s">
        <v>10671</v>
      </c>
      <c r="I3321" s="2" t="s">
        <v>10672</v>
      </c>
      <c r="J3321" s="2" t="s">
        <v>3385</v>
      </c>
      <c r="K3321" s="2" t="s">
        <v>4743</v>
      </c>
      <c r="L3321" s="3">
        <v>42.75</v>
      </c>
      <c r="M3321" s="3">
        <v>44.89</v>
      </c>
      <c r="N3321" s="3">
        <v>94.99</v>
      </c>
      <c r="O3321" s="2" t="s">
        <v>97</v>
      </c>
      <c r="P3321" s="2" t="s">
        <v>139</v>
      </c>
      <c r="Q3321" s="2" t="s">
        <v>99</v>
      </c>
      <c r="R3321" s="2" t="s">
        <v>100</v>
      </c>
      <c r="S3321" s="2" t="s">
        <v>10673</v>
      </c>
      <c r="T3321" s="2" t="s">
        <v>190</v>
      </c>
      <c r="U3321" s="2" t="s">
        <v>355</v>
      </c>
      <c r="V3321" s="2" t="s">
        <v>461</v>
      </c>
      <c r="W3321" s="2" t="s">
        <v>1136</v>
      </c>
      <c r="X3321" s="2" t="s">
        <v>142</v>
      </c>
      <c r="Y3321" s="2" t="s">
        <v>10678</v>
      </c>
      <c r="Z3321" s="4">
        <v>305</v>
      </c>
      <c r="AA3321" s="4">
        <f>=ROUNDDOWN(20.3333333333333,0)</f>
      </c>
      <c r="AB3321" s="5">
        <v>15</v>
      </c>
      <c r="AC3321" s="2" t="s">
        <v>10674</v>
      </c>
      <c r="AD3321" s="4">
        <v>490</v>
      </c>
      <c r="AE3321" s="4">
        <v>490</v>
      </c>
      <c r="AF3321" s="6">
        <v>73</v>
      </c>
      <c r="AG3321" s="6"/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>
        <v>0</v>
      </c>
      <c r="AP3321" s="4"/>
      <c r="AQ3321" s="8"/>
      <c r="AR3321" s="4"/>
      <c r="AS3321" s="8"/>
      <c r="AT3321" s="7"/>
      <c r="AU3321" s="7"/>
      <c r="AV3321" s="4"/>
      <c r="AW3321" s="8"/>
      <c r="AX3321" s="4"/>
      <c r="AY3321" s="8"/>
      <c r="AZ3321" s="7"/>
      <c r="BA3321" s="7"/>
      <c r="BB3321" s="7"/>
      <c r="BC3321" s="4" t="s">
        <v>100</v>
      </c>
      <c r="BD3321" s="8" t="s">
        <v>100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/>
      <c r="BJ3321" s="4">
        <v>59</v>
      </c>
      <c r="BK3321" s="8">
        <v>2804.2</v>
      </c>
      <c r="BL3321" s="2" t="s">
        <v>10684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10679</v>
      </c>
      <c r="BX3321" s="2" t="s">
        <v>7061</v>
      </c>
      <c r="BY3321" s="2" t="s">
        <v>112</v>
      </c>
      <c r="BZ3321" s="2" t="s">
        <v>100</v>
      </c>
    </row>
    <row r="3322">
      <c r="A3322" s="2" t="s">
        <v>10685</v>
      </c>
      <c r="B3322" s="2" t="s">
        <v>10550</v>
      </c>
      <c r="C3322" s="2" t="s">
        <v>3196</v>
      </c>
      <c r="D3322" s="2" t="s">
        <v>10551</v>
      </c>
      <c r="E3322" s="2" t="s">
        <v>4949</v>
      </c>
      <c r="F3322" s="2" t="s">
        <v>10671</v>
      </c>
      <c r="G3322" s="2" t="s">
        <v>10671</v>
      </c>
      <c r="H3322" s="2" t="s">
        <v>10671</v>
      </c>
      <c r="I3322" s="2" t="s">
        <v>10672</v>
      </c>
      <c r="J3322" s="2" t="s">
        <v>3385</v>
      </c>
      <c r="K3322" s="2" t="s">
        <v>458</v>
      </c>
      <c r="L3322" s="3">
        <v>42.75</v>
      </c>
      <c r="M3322" s="3">
        <v>44.89</v>
      </c>
      <c r="N3322" s="3">
        <v>94.99</v>
      </c>
      <c r="O3322" s="2" t="s">
        <v>97</v>
      </c>
      <c r="P3322" s="2" t="s">
        <v>139</v>
      </c>
      <c r="Q3322" s="2" t="s">
        <v>99</v>
      </c>
      <c r="R3322" s="2" t="s">
        <v>100</v>
      </c>
      <c r="S3322" s="2" t="s">
        <v>10673</v>
      </c>
      <c r="T3322" s="2" t="s">
        <v>190</v>
      </c>
      <c r="U3322" s="2" t="s">
        <v>355</v>
      </c>
      <c r="V3322" s="2" t="s">
        <v>461</v>
      </c>
      <c r="W3322" s="2" t="s">
        <v>1136</v>
      </c>
      <c r="X3322" s="2" t="s">
        <v>142</v>
      </c>
      <c r="Y3322" s="2" t="s">
        <v>10678</v>
      </c>
      <c r="Z3322" s="4">
        <v>285</v>
      </c>
      <c r="AA3322" s="4">
        <f>=ROUNDDOWN(19,0)</f>
      </c>
      <c r="AB3322" s="5">
        <v>15</v>
      </c>
      <c r="AC3322" s="2" t="s">
        <v>10674</v>
      </c>
      <c r="AD3322" s="4">
        <v>700</v>
      </c>
      <c r="AE3322" s="4">
        <v>700</v>
      </c>
      <c r="AF3322" s="6">
        <v>73</v>
      </c>
      <c r="AG3322" s="6"/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/>
      <c r="BJ3322" s="4">
        <v>35</v>
      </c>
      <c r="BK3322" s="8">
        <v>1655.77</v>
      </c>
      <c r="BL3322" s="2" t="s">
        <v>10686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199</v>
      </c>
      <c r="BX3322" s="2" t="s">
        <v>9903</v>
      </c>
      <c r="BY3322" s="2" t="s">
        <v>112</v>
      </c>
      <c r="BZ3322" s="2" t="s">
        <v>100</v>
      </c>
    </row>
    <row r="3323">
      <c r="A3323" s="2" t="s">
        <v>10687</v>
      </c>
      <c r="B3323" s="2" t="s">
        <v>10550</v>
      </c>
      <c r="C3323" s="2" t="s">
        <v>3196</v>
      </c>
      <c r="D3323" s="2" t="s">
        <v>10551</v>
      </c>
      <c r="E3323" s="2" t="s">
        <v>4949</v>
      </c>
      <c r="F3323" s="2" t="s">
        <v>5017</v>
      </c>
      <c r="G3323" s="2" t="s">
        <v>5017</v>
      </c>
      <c r="H3323" s="2" t="s">
        <v>5017</v>
      </c>
      <c r="I3323" s="2" t="s">
        <v>10688</v>
      </c>
      <c r="J3323" s="2" t="s">
        <v>3385</v>
      </c>
      <c r="K3323" s="2" t="s">
        <v>179</v>
      </c>
      <c r="L3323" s="3">
        <v>50.4</v>
      </c>
      <c r="M3323" s="3">
        <v>52.92</v>
      </c>
      <c r="N3323" s="3">
        <v>104.99</v>
      </c>
      <c r="O3323" s="2" t="s">
        <v>97</v>
      </c>
      <c r="P3323" s="2" t="s">
        <v>123</v>
      </c>
      <c r="Q3323" s="2" t="s">
        <v>99</v>
      </c>
      <c r="R3323" s="2" t="s">
        <v>100</v>
      </c>
      <c r="S3323" s="2" t="s">
        <v>10689</v>
      </c>
      <c r="T3323" s="2" t="s">
        <v>190</v>
      </c>
      <c r="U3323" s="2" t="s">
        <v>355</v>
      </c>
      <c r="V3323" s="2" t="s">
        <v>461</v>
      </c>
      <c r="W3323" s="2" t="s">
        <v>1136</v>
      </c>
      <c r="X3323" s="2" t="s">
        <v>493</v>
      </c>
      <c r="Y3323" s="2" t="s">
        <v>10690</v>
      </c>
      <c r="Z3323" s="4">
        <v>267</v>
      </c>
      <c r="AA3323" s="4">
        <f>=ROUNDDOWN(12.1363636363636,0)</f>
      </c>
      <c r="AB3323" s="5">
        <v>22</v>
      </c>
      <c r="AC3323" s="2" t="s">
        <v>676</v>
      </c>
      <c r="AD3323" s="4">
        <v>300</v>
      </c>
      <c r="AE3323" s="4">
        <v>600</v>
      </c>
      <c r="AF3323" s="6">
        <v>67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/>
      <c r="AQ3323" s="8"/>
      <c r="AR3323" s="4"/>
      <c r="AS3323" s="8"/>
      <c r="AT3323" s="7"/>
      <c r="AU3323" s="7"/>
      <c r="AV3323" s="4"/>
      <c r="AW3323" s="8"/>
      <c r="AX3323" s="4"/>
      <c r="AY3323" s="8"/>
      <c r="AZ3323" s="7"/>
      <c r="BA3323" s="7"/>
      <c r="BB3323" s="7"/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/>
      <c r="BJ3323" s="4">
        <v>51</v>
      </c>
      <c r="BK3323" s="8">
        <v>2841.17</v>
      </c>
      <c r="BL3323" s="2" t="s">
        <v>10691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9074</v>
      </c>
      <c r="BX3323" s="2" t="s">
        <v>10692</v>
      </c>
      <c r="BY3323" s="2" t="s">
        <v>112</v>
      </c>
      <c r="BZ3323" s="2" t="s">
        <v>100</v>
      </c>
    </row>
    <row r="3324">
      <c r="A3324" s="2" t="s">
        <v>10693</v>
      </c>
      <c r="B3324" s="2" t="s">
        <v>10550</v>
      </c>
      <c r="C3324" s="2" t="s">
        <v>3196</v>
      </c>
      <c r="D3324" s="2" t="s">
        <v>10551</v>
      </c>
      <c r="E3324" s="2" t="s">
        <v>4949</v>
      </c>
      <c r="F3324" s="2" t="s">
        <v>5017</v>
      </c>
      <c r="G3324" s="2" t="s">
        <v>5017</v>
      </c>
      <c r="H3324" s="2" t="s">
        <v>5017</v>
      </c>
      <c r="I3324" s="2" t="s">
        <v>10688</v>
      </c>
      <c r="J3324" s="2" t="s">
        <v>3385</v>
      </c>
      <c r="K3324" s="2" t="s">
        <v>4362</v>
      </c>
      <c r="L3324" s="3">
        <v>50.4</v>
      </c>
      <c r="M3324" s="3">
        <v>52.92</v>
      </c>
      <c r="N3324" s="3">
        <v>104.99</v>
      </c>
      <c r="O3324" s="2" t="s">
        <v>97</v>
      </c>
      <c r="P3324" s="2" t="s">
        <v>139</v>
      </c>
      <c r="Q3324" s="2" t="s">
        <v>99</v>
      </c>
      <c r="R3324" s="2" t="s">
        <v>100</v>
      </c>
      <c r="S3324" s="2" t="s">
        <v>10689</v>
      </c>
      <c r="T3324" s="2" t="s">
        <v>190</v>
      </c>
      <c r="U3324" s="2" t="s">
        <v>355</v>
      </c>
      <c r="V3324" s="2" t="s">
        <v>461</v>
      </c>
      <c r="W3324" s="2" t="s">
        <v>1136</v>
      </c>
      <c r="X3324" s="2" t="s">
        <v>493</v>
      </c>
      <c r="Y3324" s="2" t="s">
        <v>2992</v>
      </c>
      <c r="Z3324" s="4">
        <v>162</v>
      </c>
      <c r="AA3324" s="4">
        <f>=ROUNDDOWN(10.125,0)</f>
      </c>
      <c r="AB3324" s="5">
        <v>16</v>
      </c>
      <c r="AC3324" s="2" t="s">
        <v>676</v>
      </c>
      <c r="AD3324" s="4">
        <v>600</v>
      </c>
      <c r="AE3324" s="4">
        <v>900</v>
      </c>
      <c r="AF3324" s="6">
        <v>67</v>
      </c>
      <c r="AG3324" s="6"/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/>
      <c r="AQ3324" s="8"/>
      <c r="AR3324" s="4"/>
      <c r="AS3324" s="8"/>
      <c r="AT3324" s="7"/>
      <c r="AU3324" s="7"/>
      <c r="AV3324" s="4"/>
      <c r="AW3324" s="8"/>
      <c r="AX3324" s="4"/>
      <c r="AY3324" s="8"/>
      <c r="AZ3324" s="7"/>
      <c r="BA3324" s="7"/>
      <c r="BB3324" s="7"/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/>
      <c r="BJ3324" s="4">
        <v>50</v>
      </c>
      <c r="BK3324" s="8">
        <v>2870.37</v>
      </c>
      <c r="BL3324" s="2" t="s">
        <v>10694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171</v>
      </c>
      <c r="BV3324" s="2" t="s">
        <v>97</v>
      </c>
      <c r="BW3324" s="2" t="s">
        <v>100</v>
      </c>
      <c r="BX3324" s="2" t="s">
        <v>100</v>
      </c>
      <c r="BY3324" s="2" t="s">
        <v>112</v>
      </c>
      <c r="BZ3324" s="2" t="s">
        <v>100</v>
      </c>
    </row>
    <row r="3325">
      <c r="A3325" s="2" t="s">
        <v>10695</v>
      </c>
      <c r="B3325" s="2" t="s">
        <v>10550</v>
      </c>
      <c r="C3325" s="2" t="s">
        <v>3196</v>
      </c>
      <c r="D3325" s="2" t="s">
        <v>10551</v>
      </c>
      <c r="E3325" s="2" t="s">
        <v>4949</v>
      </c>
      <c r="F3325" s="2" t="s">
        <v>5017</v>
      </c>
      <c r="G3325" s="2" t="s">
        <v>5017</v>
      </c>
      <c r="H3325" s="2" t="s">
        <v>5017</v>
      </c>
      <c r="I3325" s="2" t="s">
        <v>10688</v>
      </c>
      <c r="J3325" s="2" t="s">
        <v>3385</v>
      </c>
      <c r="K3325" s="2" t="s">
        <v>96</v>
      </c>
      <c r="L3325" s="3">
        <v>50.4</v>
      </c>
      <c r="M3325" s="3">
        <v>52.92</v>
      </c>
      <c r="N3325" s="3">
        <v>104.99</v>
      </c>
      <c r="O3325" s="2" t="s">
        <v>97</v>
      </c>
      <c r="P3325" s="2" t="s">
        <v>156</v>
      </c>
      <c r="Q3325" s="2" t="s">
        <v>99</v>
      </c>
      <c r="R3325" s="2" t="s">
        <v>100</v>
      </c>
      <c r="S3325" s="2" t="s">
        <v>10689</v>
      </c>
      <c r="T3325" s="2" t="s">
        <v>190</v>
      </c>
      <c r="U3325" s="2" t="s">
        <v>355</v>
      </c>
      <c r="V3325" s="2" t="s">
        <v>461</v>
      </c>
      <c r="W3325" s="2" t="s">
        <v>1136</v>
      </c>
      <c r="X3325" s="2" t="s">
        <v>493</v>
      </c>
      <c r="Y3325" s="2" t="s">
        <v>10690</v>
      </c>
      <c r="Z3325" s="4">
        <v>233</v>
      </c>
      <c r="AA3325" s="4">
        <f>=ROUNDDOWN(13.7058823529412,0)</f>
      </c>
      <c r="AB3325" s="5">
        <v>17</v>
      </c>
      <c r="AC3325" s="2" t="s">
        <v>676</v>
      </c>
      <c r="AD3325" s="4">
        <v>300</v>
      </c>
      <c r="AE3325" s="4">
        <v>600</v>
      </c>
      <c r="AF3325" s="6">
        <v>67</v>
      </c>
      <c r="AG3325" s="6"/>
      <c r="AH3325" s="7">
        <v>0.4194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>
        <v>0</v>
      </c>
      <c r="AP3325" s="4"/>
      <c r="AQ3325" s="8"/>
      <c r="AR3325" s="4"/>
      <c r="AS3325" s="8"/>
      <c r="AT3325" s="7"/>
      <c r="AU3325" s="7"/>
      <c r="AV3325" s="4"/>
      <c r="AW3325" s="8"/>
      <c r="AX3325" s="4"/>
      <c r="AY3325" s="8"/>
      <c r="AZ3325" s="7"/>
      <c r="BA3325" s="7"/>
      <c r="BB3325" s="7"/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/>
      <c r="BJ3325" s="4">
        <v>9</v>
      </c>
      <c r="BK3325" s="8">
        <v>511.15</v>
      </c>
      <c r="BL3325" s="2" t="s">
        <v>10696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109</v>
      </c>
      <c r="BV3325" s="2" t="s">
        <v>97</v>
      </c>
      <c r="BW3325" s="2" t="s">
        <v>9074</v>
      </c>
      <c r="BX3325" s="2" t="s">
        <v>10697</v>
      </c>
      <c r="BY3325" s="2" t="s">
        <v>112</v>
      </c>
      <c r="BZ3325" s="2" t="s">
        <v>100</v>
      </c>
    </row>
    <row r="3326">
      <c r="A3326" s="2" t="s">
        <v>10698</v>
      </c>
      <c r="B3326" s="2" t="s">
        <v>10550</v>
      </c>
      <c r="C3326" s="2" t="s">
        <v>3196</v>
      </c>
      <c r="D3326" s="2" t="s">
        <v>10551</v>
      </c>
      <c r="E3326" s="2" t="s">
        <v>4949</v>
      </c>
      <c r="F3326" s="2" t="s">
        <v>5017</v>
      </c>
      <c r="G3326" s="2" t="s">
        <v>5017</v>
      </c>
      <c r="H3326" s="2" t="s">
        <v>5017</v>
      </c>
      <c r="I3326" s="2" t="s">
        <v>10688</v>
      </c>
      <c r="J3326" s="2" t="s">
        <v>3385</v>
      </c>
      <c r="K3326" s="2" t="s">
        <v>446</v>
      </c>
      <c r="L3326" s="3">
        <v>50.4</v>
      </c>
      <c r="M3326" s="3">
        <v>52.92</v>
      </c>
      <c r="N3326" s="3">
        <v>104.99</v>
      </c>
      <c r="O3326" s="2" t="s">
        <v>97</v>
      </c>
      <c r="P3326" s="2" t="s">
        <v>156</v>
      </c>
      <c r="Q3326" s="2" t="s">
        <v>99</v>
      </c>
      <c r="R3326" s="2" t="s">
        <v>100</v>
      </c>
      <c r="S3326" s="2" t="s">
        <v>10689</v>
      </c>
      <c r="T3326" s="2" t="s">
        <v>190</v>
      </c>
      <c r="U3326" s="2" t="s">
        <v>355</v>
      </c>
      <c r="V3326" s="2" t="s">
        <v>461</v>
      </c>
      <c r="W3326" s="2" t="s">
        <v>1136</v>
      </c>
      <c r="X3326" s="2" t="s">
        <v>493</v>
      </c>
      <c r="Y3326" s="2" t="s">
        <v>10690</v>
      </c>
      <c r="Z3326" s="4">
        <v>282</v>
      </c>
      <c r="AA3326" s="4">
        <f>=ROUNDDOWN(20.1428571428571,0)</f>
      </c>
      <c r="AB3326" s="5">
        <v>14</v>
      </c>
      <c r="AC3326" s="2" t="s">
        <v>676</v>
      </c>
      <c r="AD3326" s="4">
        <v>300</v>
      </c>
      <c r="AE3326" s="4">
        <v>600</v>
      </c>
      <c r="AF3326" s="6">
        <v>67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/>
      <c r="AQ3326" s="8"/>
      <c r="AR3326" s="4"/>
      <c r="AS3326" s="8"/>
      <c r="AT3326" s="7"/>
      <c r="AU3326" s="7"/>
      <c r="AV3326" s="4"/>
      <c r="AW3326" s="8"/>
      <c r="AX3326" s="4"/>
      <c r="AY3326" s="8"/>
      <c r="AZ3326" s="7"/>
      <c r="BA3326" s="7"/>
      <c r="BB3326" s="7"/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/>
      <c r="BJ3326" s="4">
        <v>45</v>
      </c>
      <c r="BK3326" s="8">
        <v>2590.41</v>
      </c>
      <c r="BL3326" s="2" t="s">
        <v>10699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109</v>
      </c>
      <c r="BV3326" s="2" t="s">
        <v>97</v>
      </c>
      <c r="BW3326" s="2" t="s">
        <v>9074</v>
      </c>
      <c r="BX3326" s="2" t="s">
        <v>10700</v>
      </c>
      <c r="BY3326" s="2" t="s">
        <v>112</v>
      </c>
      <c r="BZ3326" s="2" t="s">
        <v>100</v>
      </c>
    </row>
    <row r="3327">
      <c r="A3327" s="2" t="s">
        <v>10701</v>
      </c>
      <c r="B3327" s="2" t="s">
        <v>10550</v>
      </c>
      <c r="C3327" s="2" t="s">
        <v>3196</v>
      </c>
      <c r="D3327" s="2" t="s">
        <v>10551</v>
      </c>
      <c r="E3327" s="2" t="s">
        <v>4949</v>
      </c>
      <c r="F3327" s="2" t="s">
        <v>5017</v>
      </c>
      <c r="G3327" s="2" t="s">
        <v>5017</v>
      </c>
      <c r="H3327" s="2" t="s">
        <v>5017</v>
      </c>
      <c r="I3327" s="2" t="s">
        <v>10688</v>
      </c>
      <c r="J3327" s="2" t="s">
        <v>3385</v>
      </c>
      <c r="K3327" s="2" t="s">
        <v>458</v>
      </c>
      <c r="L3327" s="3">
        <v>50.4</v>
      </c>
      <c r="M3327" s="3">
        <v>52.92</v>
      </c>
      <c r="N3327" s="3">
        <v>104.99</v>
      </c>
      <c r="O3327" s="2" t="s">
        <v>97</v>
      </c>
      <c r="P3327" s="2" t="s">
        <v>139</v>
      </c>
      <c r="Q3327" s="2" t="s">
        <v>99</v>
      </c>
      <c r="R3327" s="2" t="s">
        <v>100</v>
      </c>
      <c r="S3327" s="2" t="s">
        <v>10689</v>
      </c>
      <c r="T3327" s="2" t="s">
        <v>190</v>
      </c>
      <c r="U3327" s="2" t="s">
        <v>355</v>
      </c>
      <c r="V3327" s="2" t="s">
        <v>461</v>
      </c>
      <c r="W3327" s="2" t="s">
        <v>1136</v>
      </c>
      <c r="X3327" s="2" t="s">
        <v>493</v>
      </c>
      <c r="Y3327" s="2" t="s">
        <v>10690</v>
      </c>
      <c r="Z3327" s="4">
        <v>556</v>
      </c>
      <c r="AA3327" s="4">
        <f>=ROUNDDOWN(25.2727272727273,0)</f>
      </c>
      <c r="AB3327" s="5">
        <v>22</v>
      </c>
      <c r="AC3327" s="2" t="s">
        <v>9139</v>
      </c>
      <c r="AD3327" s="4">
        <v>300</v>
      </c>
      <c r="AE3327" s="4">
        <v>300</v>
      </c>
      <c r="AF3327" s="6">
        <v>67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/>
      <c r="AQ3327" s="8"/>
      <c r="AR3327" s="4"/>
      <c r="AS3327" s="8"/>
      <c r="AT3327" s="7"/>
      <c r="AU3327" s="7"/>
      <c r="AV3327" s="4"/>
      <c r="AW3327" s="8"/>
      <c r="AX3327" s="4"/>
      <c r="AY3327" s="8"/>
      <c r="AZ3327" s="7"/>
      <c r="BA3327" s="7"/>
      <c r="BB3327" s="7"/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/>
      <c r="BJ3327" s="4">
        <v>60</v>
      </c>
      <c r="BK3327" s="8">
        <v>3378.76</v>
      </c>
      <c r="BL3327" s="2" t="s">
        <v>10702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109</v>
      </c>
      <c r="BV3327" s="2" t="s">
        <v>97</v>
      </c>
      <c r="BW3327" s="2" t="s">
        <v>9074</v>
      </c>
      <c r="BX3327" s="2" t="s">
        <v>5464</v>
      </c>
      <c r="BY3327" s="2" t="s">
        <v>112</v>
      </c>
      <c r="BZ3327" s="2" t="s">
        <v>100</v>
      </c>
    </row>
    <row r="3328">
      <c r="A3328" s="2" t="s">
        <v>10703</v>
      </c>
      <c r="B3328" s="2" t="s">
        <v>10550</v>
      </c>
      <c r="C3328" s="2" t="s">
        <v>1797</v>
      </c>
      <c r="D3328" s="2" t="s">
        <v>10551</v>
      </c>
      <c r="E3328" s="2" t="s">
        <v>4949</v>
      </c>
      <c r="F3328" s="2" t="s">
        <v>10704</v>
      </c>
      <c r="G3328" s="2" t="s">
        <v>7575</v>
      </c>
      <c r="H3328" s="2" t="s">
        <v>10705</v>
      </c>
      <c r="I3328" s="2" t="s">
        <v>10706</v>
      </c>
      <c r="J3328" s="2" t="s">
        <v>4951</v>
      </c>
      <c r="K3328" s="2" t="s">
        <v>1173</v>
      </c>
      <c r="L3328" s="3">
        <v>18.4</v>
      </c>
      <c r="M3328" s="3">
        <v>19.32</v>
      </c>
      <c r="N3328" s="3">
        <v>39.99</v>
      </c>
      <c r="O3328" s="2" t="s">
        <v>97</v>
      </c>
      <c r="P3328" s="2" t="s">
        <v>98</v>
      </c>
      <c r="Q3328" s="2" t="s">
        <v>99</v>
      </c>
      <c r="R3328" s="2" t="s">
        <v>100</v>
      </c>
      <c r="S3328" s="2" t="s">
        <v>100</v>
      </c>
      <c r="T3328" s="2" t="s">
        <v>100</v>
      </c>
      <c r="U3328" s="2" t="s">
        <v>100</v>
      </c>
      <c r="V3328" s="2" t="s">
        <v>461</v>
      </c>
      <c r="W3328" s="2" t="s">
        <v>609</v>
      </c>
      <c r="X3328" s="2" t="s">
        <v>100</v>
      </c>
      <c r="Y3328" s="2" t="s">
        <v>1935</v>
      </c>
      <c r="Z3328" s="4">
        <v>996</v>
      </c>
      <c r="AA3328" s="4">
        <f>=ROUNDDOWN(31.125,0)</f>
      </c>
      <c r="AB3328" s="5">
        <v>32</v>
      </c>
      <c r="AC3328" s="2" t="s">
        <v>10560</v>
      </c>
      <c r="AD3328" s="4">
        <v>620</v>
      </c>
      <c r="AE3328" s="4">
        <v>620</v>
      </c>
      <c r="AF3328" s="6">
        <v>69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2</v>
      </c>
      <c r="AQ3328" s="8">
        <v>38.1</v>
      </c>
      <c r="AR3328" s="4"/>
      <c r="AS3328" s="8"/>
      <c r="AT3328" s="7"/>
      <c r="AU3328" s="7"/>
      <c r="AV3328" s="4">
        <v>2</v>
      </c>
      <c r="AW3328" s="8">
        <v>38.1</v>
      </c>
      <c r="AX3328" s="4"/>
      <c r="AY3328" s="8"/>
      <c r="AZ3328" s="7"/>
      <c r="BA3328" s="7"/>
      <c r="BB3328" s="7">
        <v>1</v>
      </c>
      <c r="BC3328" s="4">
        <v>3</v>
      </c>
      <c r="BD3328" s="8">
        <v>57.15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>
        <v>0.6667</v>
      </c>
      <c r="BJ3328" s="4">
        <v>107</v>
      </c>
      <c r="BK3328" s="8">
        <v>2082.42</v>
      </c>
      <c r="BL3328" s="2" t="s">
        <v>10707</v>
      </c>
      <c r="BM3328" s="7">
        <v>0.0187</v>
      </c>
      <c r="BN3328" s="7">
        <v>0.0183</v>
      </c>
      <c r="BO3328" s="4">
        <v>2</v>
      </c>
      <c r="BP3328" s="8">
        <v>38.1</v>
      </c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4809</v>
      </c>
      <c r="BX3328" s="2" t="s">
        <v>3342</v>
      </c>
      <c r="BY3328" s="2" t="s">
        <v>112</v>
      </c>
      <c r="BZ3328" s="2" t="s">
        <v>100</v>
      </c>
    </row>
    <row r="3329">
      <c r="A3329" s="2" t="s">
        <v>10708</v>
      </c>
      <c r="B3329" s="2" t="s">
        <v>10550</v>
      </c>
      <c r="C3329" s="2" t="s">
        <v>1797</v>
      </c>
      <c r="D3329" s="2" t="s">
        <v>10551</v>
      </c>
      <c r="E3329" s="2" t="s">
        <v>4949</v>
      </c>
      <c r="F3329" s="2" t="s">
        <v>10704</v>
      </c>
      <c r="G3329" s="2" t="s">
        <v>7575</v>
      </c>
      <c r="H3329" s="2" t="s">
        <v>10705</v>
      </c>
      <c r="I3329" s="2" t="s">
        <v>10706</v>
      </c>
      <c r="J3329" s="2" t="s">
        <v>4951</v>
      </c>
      <c r="K3329" s="2" t="s">
        <v>842</v>
      </c>
      <c r="L3329" s="3">
        <v>18.4</v>
      </c>
      <c r="M3329" s="3">
        <v>19.32</v>
      </c>
      <c r="N3329" s="3">
        <v>39.99</v>
      </c>
      <c r="O3329" s="2" t="s">
        <v>97</v>
      </c>
      <c r="P3329" s="2" t="s">
        <v>98</v>
      </c>
      <c r="Q3329" s="2" t="s">
        <v>99</v>
      </c>
      <c r="R3329" s="2" t="s">
        <v>100</v>
      </c>
      <c r="S3329" s="2" t="s">
        <v>10709</v>
      </c>
      <c r="T3329" s="2" t="s">
        <v>190</v>
      </c>
      <c r="U3329" s="2" t="s">
        <v>355</v>
      </c>
      <c r="V3329" s="2" t="s">
        <v>461</v>
      </c>
      <c r="W3329" s="2" t="s">
        <v>609</v>
      </c>
      <c r="X3329" s="2" t="s">
        <v>100</v>
      </c>
      <c r="Y3329" s="2" t="s">
        <v>10710</v>
      </c>
      <c r="Z3329" s="4">
        <v>849</v>
      </c>
      <c r="AA3329" s="4">
        <f>=ROUNDDOWN(30.3214285714286,0)</f>
      </c>
      <c r="AB3329" s="5">
        <v>28</v>
      </c>
      <c r="AC3329" s="2" t="s">
        <v>10560</v>
      </c>
      <c r="AD3329" s="4">
        <v>620</v>
      </c>
      <c r="AE3329" s="4">
        <v>620</v>
      </c>
      <c r="AF3329" s="6">
        <v>69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1</v>
      </c>
      <c r="AQ3329" s="8">
        <v>19.05</v>
      </c>
      <c r="AR3329" s="4"/>
      <c r="AS3329" s="8"/>
      <c r="AT3329" s="7"/>
      <c r="AU3329" s="7"/>
      <c r="AV3329" s="4">
        <v>1</v>
      </c>
      <c r="AW3329" s="8">
        <v>19.05</v>
      </c>
      <c r="AX3329" s="4"/>
      <c r="AY3329" s="8"/>
      <c r="AZ3329" s="7"/>
      <c r="BA3329" s="7"/>
      <c r="BB3329" s="7">
        <v>1</v>
      </c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>
        <v>0.3333</v>
      </c>
      <c r="BJ3329" s="4">
        <v>87</v>
      </c>
      <c r="BK3329" s="8">
        <v>1709.88</v>
      </c>
      <c r="BL3329" s="2" t="s">
        <v>10597</v>
      </c>
      <c r="BM3329" s="7">
        <v>0.0115</v>
      </c>
      <c r="BN3329" s="7">
        <v>0.0111</v>
      </c>
      <c r="BO3329" s="4">
        <v>1</v>
      </c>
      <c r="BP3329" s="8">
        <v>19.05</v>
      </c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9074</v>
      </c>
      <c r="BX3329" s="2" t="s">
        <v>9060</v>
      </c>
      <c r="BY3329" s="2" t="s">
        <v>112</v>
      </c>
      <c r="BZ3329" s="2" t="s">
        <v>100</v>
      </c>
    </row>
    <row r="3330">
      <c r="A3330" s="2" t="s">
        <v>10711</v>
      </c>
      <c r="B3330" s="2" t="s">
        <v>10550</v>
      </c>
      <c r="C3330" s="2" t="s">
        <v>1797</v>
      </c>
      <c r="D3330" s="2" t="s">
        <v>10551</v>
      </c>
      <c r="E3330" s="2" t="s">
        <v>4949</v>
      </c>
      <c r="F3330" s="2" t="s">
        <v>10704</v>
      </c>
      <c r="G3330" s="2" t="s">
        <v>7575</v>
      </c>
      <c r="H3330" s="2" t="s">
        <v>10705</v>
      </c>
      <c r="I3330" s="2" t="s">
        <v>10706</v>
      </c>
      <c r="J3330" s="2" t="s">
        <v>4951</v>
      </c>
      <c r="K3330" s="2" t="s">
        <v>165</v>
      </c>
      <c r="L3330" s="3">
        <v>18.4</v>
      </c>
      <c r="M3330" s="3">
        <v>19.32</v>
      </c>
      <c r="N3330" s="3">
        <v>39.99</v>
      </c>
      <c r="O3330" s="2" t="s">
        <v>97</v>
      </c>
      <c r="P3330" s="2" t="s">
        <v>98</v>
      </c>
      <c r="Q3330" s="2" t="s">
        <v>99</v>
      </c>
      <c r="R3330" s="2" t="s">
        <v>100</v>
      </c>
      <c r="S3330" s="2" t="s">
        <v>10712</v>
      </c>
      <c r="T3330" s="2" t="s">
        <v>190</v>
      </c>
      <c r="U3330" s="2" t="s">
        <v>355</v>
      </c>
      <c r="V3330" s="2" t="s">
        <v>461</v>
      </c>
      <c r="W3330" s="2" t="s">
        <v>609</v>
      </c>
      <c r="X3330" s="2" t="s">
        <v>100</v>
      </c>
      <c r="Y3330" s="2" t="s">
        <v>1200</v>
      </c>
      <c r="Z3330" s="4">
        <v>675</v>
      </c>
      <c r="AA3330" s="4">
        <f>=ROUNDDOWN(35.5263157894737,0)</f>
      </c>
      <c r="AB3330" s="5">
        <v>19</v>
      </c>
      <c r="AC3330" s="2" t="s">
        <v>100</v>
      </c>
      <c r="AD3330" s="4"/>
      <c r="AE3330" s="4"/>
      <c r="AF3330" s="6">
        <v>69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/>
      <c r="AW3330" s="8"/>
      <c r="AX3330" s="4"/>
      <c r="AY3330" s="8"/>
      <c r="AZ3330" s="7"/>
      <c r="BA3330" s="7"/>
      <c r="BB3330" s="7"/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/>
      <c r="BJ3330" s="4">
        <v>60</v>
      </c>
      <c r="BK3330" s="8">
        <v>1181.7</v>
      </c>
      <c r="BL3330" s="2" t="s">
        <v>10713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171</v>
      </c>
      <c r="BV3330" s="2" t="s">
        <v>97</v>
      </c>
      <c r="BW3330" s="2" t="s">
        <v>100</v>
      </c>
      <c r="BX3330" s="2" t="s">
        <v>100</v>
      </c>
      <c r="BY3330" s="2" t="s">
        <v>112</v>
      </c>
      <c r="BZ3330" s="2" t="s">
        <v>149</v>
      </c>
    </row>
    <row r="3331">
      <c r="A3331" s="2" t="s">
        <v>10714</v>
      </c>
      <c r="B3331" s="2" t="s">
        <v>10550</v>
      </c>
      <c r="C3331" s="2" t="s">
        <v>1797</v>
      </c>
      <c r="D3331" s="2" t="s">
        <v>10551</v>
      </c>
      <c r="E3331" s="2" t="s">
        <v>4949</v>
      </c>
      <c r="F3331" s="2" t="s">
        <v>10704</v>
      </c>
      <c r="G3331" s="2" t="s">
        <v>7575</v>
      </c>
      <c r="H3331" s="2" t="s">
        <v>10705</v>
      </c>
      <c r="I3331" s="2" t="s">
        <v>10706</v>
      </c>
      <c r="J3331" s="2" t="s">
        <v>4951</v>
      </c>
      <c r="K3331" s="2" t="s">
        <v>179</v>
      </c>
      <c r="L3331" s="3">
        <v>18.4</v>
      </c>
      <c r="M3331" s="3">
        <v>19.32</v>
      </c>
      <c r="N3331" s="3">
        <v>39.99</v>
      </c>
      <c r="O3331" s="2" t="s">
        <v>97</v>
      </c>
      <c r="P3331" s="2" t="s">
        <v>98</v>
      </c>
      <c r="Q3331" s="2" t="s">
        <v>99</v>
      </c>
      <c r="R3331" s="2" t="s">
        <v>100</v>
      </c>
      <c r="S3331" s="2" t="s">
        <v>100</v>
      </c>
      <c r="T3331" s="2" t="s">
        <v>100</v>
      </c>
      <c r="U3331" s="2" t="s">
        <v>100</v>
      </c>
      <c r="V3331" s="2" t="s">
        <v>461</v>
      </c>
      <c r="W3331" s="2" t="s">
        <v>609</v>
      </c>
      <c r="X3331" s="2" t="s">
        <v>100</v>
      </c>
      <c r="Y3331" s="2" t="s">
        <v>1935</v>
      </c>
      <c r="Z3331" s="4">
        <v>1194</v>
      </c>
      <c r="AA3331" s="4">
        <f>=ROUNDDOWN(33.1666666666667,0)</f>
      </c>
      <c r="AB3331" s="5">
        <v>36</v>
      </c>
      <c r="AC3331" s="2" t="s">
        <v>10715</v>
      </c>
      <c r="AD3331" s="4">
        <v>620</v>
      </c>
      <c r="AE3331" s="4">
        <v>620</v>
      </c>
      <c r="AF3331" s="6">
        <v>69</v>
      </c>
      <c r="AG3331" s="6"/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/>
      <c r="AQ3331" s="8"/>
      <c r="AR3331" s="4"/>
      <c r="AS3331" s="8"/>
      <c r="AT3331" s="7"/>
      <c r="AU3331" s="7"/>
      <c r="AV3331" s="4"/>
      <c r="AW3331" s="8"/>
      <c r="AX3331" s="4"/>
      <c r="AY3331" s="8"/>
      <c r="AZ3331" s="7"/>
      <c r="BA3331" s="7"/>
      <c r="BB3331" s="7"/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/>
      <c r="BJ3331" s="4">
        <v>128</v>
      </c>
      <c r="BK3331" s="8">
        <v>2506.06</v>
      </c>
      <c r="BL3331" s="2" t="s">
        <v>10716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4809</v>
      </c>
      <c r="BX3331" s="2" t="s">
        <v>902</v>
      </c>
      <c r="BY3331" s="2" t="s">
        <v>112</v>
      </c>
      <c r="BZ3331" s="2" t="s">
        <v>100</v>
      </c>
    </row>
    <row r="3332">
      <c r="A3332" s="2" t="s">
        <v>10717</v>
      </c>
      <c r="B3332" s="2" t="s">
        <v>10550</v>
      </c>
      <c r="C3332" s="2" t="s">
        <v>1797</v>
      </c>
      <c r="D3332" s="2" t="s">
        <v>10551</v>
      </c>
      <c r="E3332" s="2" t="s">
        <v>4949</v>
      </c>
      <c r="F3332" s="2" t="s">
        <v>10704</v>
      </c>
      <c r="G3332" s="2" t="s">
        <v>7575</v>
      </c>
      <c r="H3332" s="2" t="s">
        <v>10705</v>
      </c>
      <c r="I3332" s="2" t="s">
        <v>10706</v>
      </c>
      <c r="J3332" s="2" t="s">
        <v>4951</v>
      </c>
      <c r="K3332" s="2" t="s">
        <v>155</v>
      </c>
      <c r="L3332" s="3">
        <v>18.4</v>
      </c>
      <c r="M3332" s="3">
        <v>19.32</v>
      </c>
      <c r="N3332" s="3">
        <v>39.99</v>
      </c>
      <c r="O3332" s="2" t="s">
        <v>97</v>
      </c>
      <c r="P3332" s="2" t="s">
        <v>123</v>
      </c>
      <c r="Q3332" s="2" t="s">
        <v>99</v>
      </c>
      <c r="R3332" s="2" t="s">
        <v>100</v>
      </c>
      <c r="S3332" s="2" t="s">
        <v>100</v>
      </c>
      <c r="T3332" s="2" t="s">
        <v>100</v>
      </c>
      <c r="U3332" s="2" t="s">
        <v>100</v>
      </c>
      <c r="V3332" s="2" t="s">
        <v>461</v>
      </c>
      <c r="W3332" s="2" t="s">
        <v>609</v>
      </c>
      <c r="X3332" s="2" t="s">
        <v>100</v>
      </c>
      <c r="Y3332" s="2" t="s">
        <v>1935</v>
      </c>
      <c r="Z3332" s="4">
        <v>1041</v>
      </c>
      <c r="AA3332" s="4">
        <f>=ROUNDDOWN(23.1333333333333,0)</f>
      </c>
      <c r="AB3332" s="5">
        <v>45</v>
      </c>
      <c r="AC3332" s="2" t="s">
        <v>10560</v>
      </c>
      <c r="AD3332" s="4">
        <v>620</v>
      </c>
      <c r="AE3332" s="4">
        <v>1240</v>
      </c>
      <c r="AF3332" s="6">
        <v>69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/>
      <c r="AQ3332" s="8"/>
      <c r="AR3332" s="4"/>
      <c r="AS3332" s="8"/>
      <c r="AT3332" s="7"/>
      <c r="AU3332" s="7"/>
      <c r="AV3332" s="4"/>
      <c r="AW3332" s="8"/>
      <c r="AX3332" s="4"/>
      <c r="AY3332" s="8"/>
      <c r="AZ3332" s="7"/>
      <c r="BA3332" s="7"/>
      <c r="BB3332" s="7"/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/>
      <c r="BJ3332" s="4">
        <v>156</v>
      </c>
      <c r="BK3332" s="8">
        <v>3032.49</v>
      </c>
      <c r="BL3332" s="2" t="s">
        <v>10718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4809</v>
      </c>
      <c r="BX3332" s="2" t="s">
        <v>275</v>
      </c>
      <c r="BY3332" s="2" t="s">
        <v>112</v>
      </c>
      <c r="BZ3332" s="2" t="s">
        <v>100</v>
      </c>
    </row>
    <row r="3333">
      <c r="A3333" s="2" t="s">
        <v>10719</v>
      </c>
      <c r="B3333" s="2" t="s">
        <v>10550</v>
      </c>
      <c r="C3333" s="2" t="s">
        <v>1797</v>
      </c>
      <c r="D3333" s="2" t="s">
        <v>10551</v>
      </c>
      <c r="E3333" s="2" t="s">
        <v>4949</v>
      </c>
      <c r="F3333" s="2" t="s">
        <v>10704</v>
      </c>
      <c r="G3333" s="2" t="s">
        <v>7575</v>
      </c>
      <c r="H3333" s="2" t="s">
        <v>10705</v>
      </c>
      <c r="I3333" s="2" t="s">
        <v>10706</v>
      </c>
      <c r="J3333" s="2" t="s">
        <v>4951</v>
      </c>
      <c r="K3333" s="2" t="s">
        <v>987</v>
      </c>
      <c r="L3333" s="3">
        <v>18.4</v>
      </c>
      <c r="M3333" s="3">
        <v>19.32</v>
      </c>
      <c r="N3333" s="3">
        <v>39.99</v>
      </c>
      <c r="O3333" s="2" t="s">
        <v>97</v>
      </c>
      <c r="P3333" s="2" t="s">
        <v>98</v>
      </c>
      <c r="Q3333" s="2" t="s">
        <v>99</v>
      </c>
      <c r="R3333" s="2" t="s">
        <v>100</v>
      </c>
      <c r="S3333" s="2" t="s">
        <v>100</v>
      </c>
      <c r="T3333" s="2" t="s">
        <v>100</v>
      </c>
      <c r="U3333" s="2" t="s">
        <v>100</v>
      </c>
      <c r="V3333" s="2" t="s">
        <v>461</v>
      </c>
      <c r="W3333" s="2" t="s">
        <v>609</v>
      </c>
      <c r="X3333" s="2" t="s">
        <v>100</v>
      </c>
      <c r="Y3333" s="2" t="s">
        <v>1935</v>
      </c>
      <c r="Z3333" s="4">
        <v>696</v>
      </c>
      <c r="AA3333" s="4">
        <f>=ROUNDDOWN(24.8571428571429,0)</f>
      </c>
      <c r="AB3333" s="5">
        <v>28</v>
      </c>
      <c r="AC3333" s="2" t="s">
        <v>10560</v>
      </c>
      <c r="AD3333" s="4">
        <v>620</v>
      </c>
      <c r="AE3333" s="4">
        <v>620</v>
      </c>
      <c r="AF3333" s="6">
        <v>69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/>
      <c r="AW3333" s="8"/>
      <c r="AX3333" s="4"/>
      <c r="AY3333" s="8"/>
      <c r="AZ3333" s="7"/>
      <c r="BA3333" s="7"/>
      <c r="BB3333" s="7"/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/>
      <c r="BJ3333" s="4">
        <v>110</v>
      </c>
      <c r="BK3333" s="8">
        <v>2134.01</v>
      </c>
      <c r="BL3333" s="2" t="s">
        <v>1494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4809</v>
      </c>
      <c r="BX3333" s="2" t="s">
        <v>3342</v>
      </c>
      <c r="BY3333" s="2" t="s">
        <v>112</v>
      </c>
      <c r="BZ3333" s="2" t="s">
        <v>100</v>
      </c>
    </row>
    <row r="3334">
      <c r="A3334" s="2" t="s">
        <v>10720</v>
      </c>
      <c r="B3334" s="2" t="s">
        <v>10550</v>
      </c>
      <c r="C3334" s="2" t="s">
        <v>1797</v>
      </c>
      <c r="D3334" s="2" t="s">
        <v>10551</v>
      </c>
      <c r="E3334" s="2" t="s">
        <v>4949</v>
      </c>
      <c r="F3334" s="2" t="s">
        <v>10704</v>
      </c>
      <c r="G3334" s="2" t="s">
        <v>7575</v>
      </c>
      <c r="H3334" s="2" t="s">
        <v>10705</v>
      </c>
      <c r="I3334" s="2" t="s">
        <v>10706</v>
      </c>
      <c r="J3334" s="2" t="s">
        <v>4951</v>
      </c>
      <c r="K3334" s="2" t="s">
        <v>878</v>
      </c>
      <c r="L3334" s="3">
        <v>18.4</v>
      </c>
      <c r="M3334" s="3">
        <v>19.32</v>
      </c>
      <c r="N3334" s="3">
        <v>39.99</v>
      </c>
      <c r="O3334" s="2" t="s">
        <v>97</v>
      </c>
      <c r="P3334" s="2" t="s">
        <v>98</v>
      </c>
      <c r="Q3334" s="2" t="s">
        <v>99</v>
      </c>
      <c r="R3334" s="2" t="s">
        <v>100</v>
      </c>
      <c r="S3334" s="2" t="s">
        <v>100</v>
      </c>
      <c r="T3334" s="2" t="s">
        <v>100</v>
      </c>
      <c r="U3334" s="2" t="s">
        <v>100</v>
      </c>
      <c r="V3334" s="2" t="s">
        <v>461</v>
      </c>
      <c r="W3334" s="2" t="s">
        <v>609</v>
      </c>
      <c r="X3334" s="2" t="s">
        <v>100</v>
      </c>
      <c r="Y3334" s="2" t="s">
        <v>1935</v>
      </c>
      <c r="Z3334" s="4">
        <v>1674</v>
      </c>
      <c r="AA3334" s="4">
        <f>=ROUNDDOWN(50.7272727272727,0)</f>
      </c>
      <c r="AB3334" s="5">
        <v>33</v>
      </c>
      <c r="AC3334" s="2" t="s">
        <v>100</v>
      </c>
      <c r="AD3334" s="4"/>
      <c r="AE3334" s="4"/>
      <c r="AF3334" s="6">
        <v>69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/>
      <c r="AQ3334" s="8"/>
      <c r="AR3334" s="4"/>
      <c r="AS3334" s="8"/>
      <c r="AT3334" s="7"/>
      <c r="AU3334" s="7"/>
      <c r="AV3334" s="4"/>
      <c r="AW3334" s="8"/>
      <c r="AX3334" s="4"/>
      <c r="AY3334" s="8"/>
      <c r="AZ3334" s="7"/>
      <c r="BA3334" s="7"/>
      <c r="BB3334" s="7"/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/>
      <c r="BJ3334" s="4">
        <v>122</v>
      </c>
      <c r="BK3334" s="8">
        <v>2360.18</v>
      </c>
      <c r="BL3334" s="2" t="s">
        <v>859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4809</v>
      </c>
      <c r="BX3334" s="2" t="s">
        <v>6863</v>
      </c>
      <c r="BY3334" s="2" t="s">
        <v>112</v>
      </c>
      <c r="BZ3334" s="2" t="s">
        <v>100</v>
      </c>
    </row>
    <row r="3335">
      <c r="A3335" s="2" t="s">
        <v>10721</v>
      </c>
      <c r="B3335" s="2" t="s">
        <v>10550</v>
      </c>
      <c r="C3335" s="2" t="s">
        <v>2238</v>
      </c>
      <c r="D3335" s="2" t="s">
        <v>10551</v>
      </c>
      <c r="E3335" s="2" t="s">
        <v>4949</v>
      </c>
      <c r="F3335" s="2" t="s">
        <v>10722</v>
      </c>
      <c r="G3335" s="2" t="s">
        <v>10722</v>
      </c>
      <c r="H3335" s="2" t="s">
        <v>10722</v>
      </c>
      <c r="I3335" s="2" t="s">
        <v>10723</v>
      </c>
      <c r="J3335" s="2" t="s">
        <v>3385</v>
      </c>
      <c r="K3335" s="2" t="s">
        <v>96</v>
      </c>
      <c r="L3335" s="3">
        <v>22</v>
      </c>
      <c r="M3335" s="3">
        <v>23.1</v>
      </c>
      <c r="N3335" s="3">
        <v>49.99</v>
      </c>
      <c r="O3335" s="2" t="s">
        <v>97</v>
      </c>
      <c r="P3335" s="2" t="s">
        <v>98</v>
      </c>
      <c r="Q3335" s="2" t="s">
        <v>99</v>
      </c>
      <c r="R3335" s="2" t="s">
        <v>100</v>
      </c>
      <c r="S3335" s="2" t="s">
        <v>10724</v>
      </c>
      <c r="T3335" s="2" t="s">
        <v>190</v>
      </c>
      <c r="U3335" s="2" t="s">
        <v>355</v>
      </c>
      <c r="V3335" s="2" t="s">
        <v>461</v>
      </c>
      <c r="W3335" s="2" t="s">
        <v>609</v>
      </c>
      <c r="X3335" s="2" t="s">
        <v>100</v>
      </c>
      <c r="Y3335" s="2" t="s">
        <v>3607</v>
      </c>
      <c r="Z3335" s="4">
        <v>319</v>
      </c>
      <c r="AA3335" s="4">
        <f>=ROUNDDOWN(39.875,0)</f>
      </c>
      <c r="AB3335" s="5">
        <v>8</v>
      </c>
      <c r="AC3335" s="2" t="s">
        <v>7789</v>
      </c>
      <c r="AD3335" s="4">
        <v>60</v>
      </c>
      <c r="AE3335" s="4">
        <v>240</v>
      </c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1</v>
      </c>
      <c r="AQ3335" s="8">
        <v>23.1</v>
      </c>
      <c r="AR3335" s="4"/>
      <c r="AS3335" s="8"/>
      <c r="AT3335" s="7"/>
      <c r="AU3335" s="7"/>
      <c r="AV3335" s="4">
        <v>1</v>
      </c>
      <c r="AW3335" s="8">
        <v>23.1</v>
      </c>
      <c r="AX3335" s="4"/>
      <c r="AY3335" s="8"/>
      <c r="AZ3335" s="7"/>
      <c r="BA3335" s="7"/>
      <c r="BB3335" s="7">
        <v>1</v>
      </c>
      <c r="BC3335" s="4">
        <v>2</v>
      </c>
      <c r="BD3335" s="8">
        <v>46.2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>
        <v>0.5</v>
      </c>
      <c r="BJ3335" s="4">
        <v>31</v>
      </c>
      <c r="BK3335" s="8">
        <v>734.68</v>
      </c>
      <c r="BL3335" s="2" t="s">
        <v>10725</v>
      </c>
      <c r="BM3335" s="7">
        <v>0.0323</v>
      </c>
      <c r="BN3335" s="7">
        <v>0.0314</v>
      </c>
      <c r="BO3335" s="4">
        <v>1</v>
      </c>
      <c r="BP3335" s="8">
        <v>23.1</v>
      </c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4607</v>
      </c>
      <c r="BX3335" s="2" t="s">
        <v>10726</v>
      </c>
      <c r="BY3335" s="2" t="s">
        <v>112</v>
      </c>
      <c r="BZ3335" s="2" t="s">
        <v>100</v>
      </c>
    </row>
    <row r="3336">
      <c r="A3336" s="2" t="s">
        <v>10727</v>
      </c>
      <c r="B3336" s="2" t="s">
        <v>10550</v>
      </c>
      <c r="C3336" s="2" t="s">
        <v>2238</v>
      </c>
      <c r="D3336" s="2" t="s">
        <v>10551</v>
      </c>
      <c r="E3336" s="2" t="s">
        <v>4949</v>
      </c>
      <c r="F3336" s="2" t="s">
        <v>10722</v>
      </c>
      <c r="G3336" s="2" t="s">
        <v>10722</v>
      </c>
      <c r="H3336" s="2" t="s">
        <v>10722</v>
      </c>
      <c r="I3336" s="2" t="s">
        <v>10723</v>
      </c>
      <c r="J3336" s="2" t="s">
        <v>3385</v>
      </c>
      <c r="K3336" s="2" t="s">
        <v>458</v>
      </c>
      <c r="L3336" s="3">
        <v>22</v>
      </c>
      <c r="M3336" s="3">
        <v>23.1</v>
      </c>
      <c r="N3336" s="3">
        <v>49.99</v>
      </c>
      <c r="O3336" s="2" t="s">
        <v>97</v>
      </c>
      <c r="P3336" s="2" t="s">
        <v>98</v>
      </c>
      <c r="Q3336" s="2" t="s">
        <v>99</v>
      </c>
      <c r="R3336" s="2" t="s">
        <v>100</v>
      </c>
      <c r="S3336" s="2" t="s">
        <v>10728</v>
      </c>
      <c r="T3336" s="2" t="s">
        <v>190</v>
      </c>
      <c r="U3336" s="2" t="s">
        <v>355</v>
      </c>
      <c r="V3336" s="2" t="s">
        <v>461</v>
      </c>
      <c r="W3336" s="2" t="s">
        <v>609</v>
      </c>
      <c r="X3336" s="2" t="s">
        <v>100</v>
      </c>
      <c r="Y3336" s="2" t="s">
        <v>3607</v>
      </c>
      <c r="Z3336" s="4">
        <v>215</v>
      </c>
      <c r="AA3336" s="4">
        <f>=ROUNDDOWN(21.5,0)</f>
      </c>
      <c r="AB3336" s="5">
        <v>10</v>
      </c>
      <c r="AC3336" s="2" t="s">
        <v>7789</v>
      </c>
      <c r="AD3336" s="4">
        <v>100</v>
      </c>
      <c r="AE3336" s="4">
        <v>260</v>
      </c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1</v>
      </c>
      <c r="AQ3336" s="8">
        <v>23.1</v>
      </c>
      <c r="AR3336" s="4"/>
      <c r="AS3336" s="8"/>
      <c r="AT3336" s="7"/>
      <c r="AU3336" s="7"/>
      <c r="AV3336" s="4">
        <v>1</v>
      </c>
      <c r="AW3336" s="8">
        <v>23.1</v>
      </c>
      <c r="AX3336" s="4"/>
      <c r="AY3336" s="8"/>
      <c r="AZ3336" s="7"/>
      <c r="BA3336" s="7"/>
      <c r="BB3336" s="7">
        <v>1</v>
      </c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>
        <v>0.5</v>
      </c>
      <c r="BJ3336" s="4">
        <v>34</v>
      </c>
      <c r="BK3336" s="8">
        <v>809.48</v>
      </c>
      <c r="BL3336" s="2" t="s">
        <v>10729</v>
      </c>
      <c r="BM3336" s="7">
        <v>0.0294</v>
      </c>
      <c r="BN3336" s="7">
        <v>0.0285</v>
      </c>
      <c r="BO3336" s="4">
        <v>1</v>
      </c>
      <c r="BP3336" s="8">
        <v>23.1</v>
      </c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4607</v>
      </c>
      <c r="BX3336" s="2" t="s">
        <v>4702</v>
      </c>
      <c r="BY3336" s="2" t="s">
        <v>112</v>
      </c>
      <c r="BZ3336" s="2" t="s">
        <v>100</v>
      </c>
    </row>
    <row r="3337">
      <c r="A3337" s="2" t="s">
        <v>10730</v>
      </c>
      <c r="B3337" s="2" t="s">
        <v>10550</v>
      </c>
      <c r="C3337" s="2" t="s">
        <v>2238</v>
      </c>
      <c r="D3337" s="2" t="s">
        <v>10551</v>
      </c>
      <c r="E3337" s="2" t="s">
        <v>4949</v>
      </c>
      <c r="F3337" s="2" t="s">
        <v>10722</v>
      </c>
      <c r="G3337" s="2" t="s">
        <v>10722</v>
      </c>
      <c r="H3337" s="2" t="s">
        <v>10722</v>
      </c>
      <c r="I3337" s="2" t="s">
        <v>10723</v>
      </c>
      <c r="J3337" s="2" t="s">
        <v>3385</v>
      </c>
      <c r="K3337" s="2" t="s">
        <v>471</v>
      </c>
      <c r="L3337" s="3">
        <v>22</v>
      </c>
      <c r="M3337" s="3">
        <v>23.1</v>
      </c>
      <c r="N3337" s="3">
        <v>49.99</v>
      </c>
      <c r="O3337" s="2" t="s">
        <v>97</v>
      </c>
      <c r="P3337" s="2" t="s">
        <v>98</v>
      </c>
      <c r="Q3337" s="2" t="s">
        <v>99</v>
      </c>
      <c r="R3337" s="2" t="s">
        <v>100</v>
      </c>
      <c r="S3337" s="2" t="s">
        <v>10731</v>
      </c>
      <c r="T3337" s="2" t="s">
        <v>190</v>
      </c>
      <c r="U3337" s="2" t="s">
        <v>355</v>
      </c>
      <c r="V3337" s="2" t="s">
        <v>461</v>
      </c>
      <c r="W3337" s="2" t="s">
        <v>609</v>
      </c>
      <c r="X3337" s="2" t="s">
        <v>100</v>
      </c>
      <c r="Y3337" s="2" t="s">
        <v>3607</v>
      </c>
      <c r="Z3337" s="4">
        <v>268</v>
      </c>
      <c r="AA3337" s="4">
        <f>=ROUNDDOWN(17.8666666666667,0)</f>
      </c>
      <c r="AB3337" s="5">
        <v>15</v>
      </c>
      <c r="AC3337" s="2" t="s">
        <v>7789</v>
      </c>
      <c r="AD3337" s="4">
        <v>210</v>
      </c>
      <c r="AE3337" s="4">
        <v>440</v>
      </c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 t="s">
        <v>100</v>
      </c>
      <c r="BD3337" s="8" t="s">
        <v>100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/>
      <c r="BJ3337" s="4">
        <v>61</v>
      </c>
      <c r="BK3337" s="8">
        <v>1438.12</v>
      </c>
      <c r="BL3337" s="2" t="s">
        <v>10732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109</v>
      </c>
      <c r="BV3337" s="2" t="s">
        <v>97</v>
      </c>
      <c r="BW3337" s="2" t="s">
        <v>4607</v>
      </c>
      <c r="BX3337" s="2" t="s">
        <v>479</v>
      </c>
      <c r="BY3337" s="2" t="s">
        <v>112</v>
      </c>
      <c r="BZ3337" s="2" t="s">
        <v>100</v>
      </c>
    </row>
    <row r="3338">
      <c r="A3338" s="2" t="s">
        <v>10733</v>
      </c>
      <c r="B3338" s="2" t="s">
        <v>10550</v>
      </c>
      <c r="C3338" s="2" t="s">
        <v>2238</v>
      </c>
      <c r="D3338" s="2" t="s">
        <v>10551</v>
      </c>
      <c r="E3338" s="2" t="s">
        <v>4949</v>
      </c>
      <c r="F3338" s="2" t="s">
        <v>10722</v>
      </c>
      <c r="G3338" s="2" t="s">
        <v>10722</v>
      </c>
      <c r="H3338" s="2" t="s">
        <v>10722</v>
      </c>
      <c r="I3338" s="2" t="s">
        <v>10723</v>
      </c>
      <c r="J3338" s="2" t="s">
        <v>3385</v>
      </c>
      <c r="K3338" s="2" t="s">
        <v>4362</v>
      </c>
      <c r="L3338" s="3">
        <v>22</v>
      </c>
      <c r="M3338" s="3">
        <v>23.1</v>
      </c>
      <c r="N3338" s="3">
        <v>49.99</v>
      </c>
      <c r="O3338" s="2" t="s">
        <v>97</v>
      </c>
      <c r="P3338" s="2" t="s">
        <v>98</v>
      </c>
      <c r="Q3338" s="2" t="s">
        <v>99</v>
      </c>
      <c r="R3338" s="2" t="s">
        <v>100</v>
      </c>
      <c r="S3338" s="2" t="s">
        <v>10734</v>
      </c>
      <c r="T3338" s="2" t="s">
        <v>190</v>
      </c>
      <c r="U3338" s="2" t="s">
        <v>355</v>
      </c>
      <c r="V3338" s="2" t="s">
        <v>461</v>
      </c>
      <c r="W3338" s="2" t="s">
        <v>609</v>
      </c>
      <c r="X3338" s="2" t="s">
        <v>100</v>
      </c>
      <c r="Y3338" s="2" t="s">
        <v>3607</v>
      </c>
      <c r="Z3338" s="4">
        <v>163</v>
      </c>
      <c r="AA3338" s="4">
        <f>=ROUNDDOWN(18.1111111111111,0)</f>
      </c>
      <c r="AB3338" s="5">
        <v>9</v>
      </c>
      <c r="AC3338" s="2" t="s">
        <v>7789</v>
      </c>
      <c r="AD3338" s="4">
        <v>220</v>
      </c>
      <c r="AE3338" s="4">
        <v>380</v>
      </c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 t="s">
        <v>100</v>
      </c>
      <c r="BD3338" s="8" t="s">
        <v>100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/>
      <c r="BJ3338" s="4">
        <v>31</v>
      </c>
      <c r="BK3338" s="8">
        <v>729.44</v>
      </c>
      <c r="BL3338" s="2" t="s">
        <v>10735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4607</v>
      </c>
      <c r="BX3338" s="2" t="s">
        <v>100</v>
      </c>
      <c r="BY3338" s="2" t="s">
        <v>112</v>
      </c>
      <c r="BZ3338" s="2" t="s">
        <v>100</v>
      </c>
    </row>
    <row r="3339">
      <c r="A3339" s="2" t="s">
        <v>10736</v>
      </c>
      <c r="B3339" s="2" t="s">
        <v>10550</v>
      </c>
      <c r="C3339" s="2" t="s">
        <v>2238</v>
      </c>
      <c r="D3339" s="2" t="s">
        <v>10551</v>
      </c>
      <c r="E3339" s="2" t="s">
        <v>4949</v>
      </c>
      <c r="F3339" s="2" t="s">
        <v>10722</v>
      </c>
      <c r="G3339" s="2" t="s">
        <v>10722</v>
      </c>
      <c r="H3339" s="2" t="s">
        <v>10722</v>
      </c>
      <c r="I3339" s="2" t="s">
        <v>10723</v>
      </c>
      <c r="J3339" s="2" t="s">
        <v>3385</v>
      </c>
      <c r="K3339" s="2" t="s">
        <v>626</v>
      </c>
      <c r="L3339" s="3">
        <v>22</v>
      </c>
      <c r="M3339" s="3">
        <v>23.1</v>
      </c>
      <c r="N3339" s="3">
        <v>49.99</v>
      </c>
      <c r="O3339" s="2" t="s">
        <v>97</v>
      </c>
      <c r="P3339" s="2" t="s">
        <v>98</v>
      </c>
      <c r="Q3339" s="2" t="s">
        <v>99</v>
      </c>
      <c r="R3339" s="2" t="s">
        <v>100</v>
      </c>
      <c r="S3339" s="2" t="s">
        <v>10737</v>
      </c>
      <c r="T3339" s="2" t="s">
        <v>190</v>
      </c>
      <c r="U3339" s="2" t="s">
        <v>355</v>
      </c>
      <c r="V3339" s="2" t="s">
        <v>461</v>
      </c>
      <c r="W3339" s="2" t="s">
        <v>609</v>
      </c>
      <c r="X3339" s="2" t="s">
        <v>100</v>
      </c>
      <c r="Y3339" s="2" t="s">
        <v>3607</v>
      </c>
      <c r="Z3339" s="4">
        <v>341</v>
      </c>
      <c r="AA3339" s="4">
        <f>=ROUNDDOWN(28.4166666666667,0)</f>
      </c>
      <c r="AB3339" s="5">
        <v>12</v>
      </c>
      <c r="AC3339" s="2" t="s">
        <v>7789</v>
      </c>
      <c r="AD3339" s="4">
        <v>70</v>
      </c>
      <c r="AE3339" s="4">
        <v>280</v>
      </c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/>
      <c r="BJ3339" s="4">
        <v>45</v>
      </c>
      <c r="BK3339" s="8">
        <v>1079.59</v>
      </c>
      <c r="BL3339" s="2" t="s">
        <v>10738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4607</v>
      </c>
      <c r="BX3339" s="2" t="s">
        <v>10739</v>
      </c>
      <c r="BY3339" s="2" t="s">
        <v>112</v>
      </c>
      <c r="BZ3339" s="2" t="s">
        <v>100</v>
      </c>
    </row>
    <row r="3340">
      <c r="A3340" s="2" t="s">
        <v>10740</v>
      </c>
      <c r="B3340" s="2" t="s">
        <v>10550</v>
      </c>
      <c r="C3340" s="2" t="s">
        <v>2238</v>
      </c>
      <c r="D3340" s="2" t="s">
        <v>10551</v>
      </c>
      <c r="E3340" s="2" t="s">
        <v>4949</v>
      </c>
      <c r="F3340" s="2" t="s">
        <v>10741</v>
      </c>
      <c r="G3340" s="2" t="s">
        <v>10741</v>
      </c>
      <c r="H3340" s="2" t="s">
        <v>10741</v>
      </c>
      <c r="I3340" s="2" t="s">
        <v>10742</v>
      </c>
      <c r="J3340" s="2" t="s">
        <v>3385</v>
      </c>
      <c r="K3340" s="2" t="s">
        <v>3876</v>
      </c>
      <c r="L3340" s="3">
        <v>26.4</v>
      </c>
      <c r="M3340" s="3">
        <v>27.72</v>
      </c>
      <c r="N3340" s="3">
        <v>54.99</v>
      </c>
      <c r="O3340" s="2" t="s">
        <v>97</v>
      </c>
      <c r="P3340" s="2" t="s">
        <v>156</v>
      </c>
      <c r="Q3340" s="2" t="s">
        <v>99</v>
      </c>
      <c r="R3340" s="2" t="s">
        <v>100</v>
      </c>
      <c r="S3340" s="2" t="s">
        <v>10743</v>
      </c>
      <c r="T3340" s="2" t="s">
        <v>190</v>
      </c>
      <c r="U3340" s="2" t="s">
        <v>817</v>
      </c>
      <c r="V3340" s="2" t="s">
        <v>461</v>
      </c>
      <c r="W3340" s="2" t="s">
        <v>609</v>
      </c>
      <c r="X3340" s="2" t="s">
        <v>100</v>
      </c>
      <c r="Y3340" s="2" t="s">
        <v>5476</v>
      </c>
      <c r="Z3340" s="4">
        <v>387</v>
      </c>
      <c r="AA3340" s="4">
        <f>=ROUNDDOWN(16.125,0)</f>
      </c>
      <c r="AB3340" s="5">
        <v>24</v>
      </c>
      <c r="AC3340" s="2" t="s">
        <v>3343</v>
      </c>
      <c r="AD3340" s="4">
        <v>400</v>
      </c>
      <c r="AE3340" s="4">
        <v>1300</v>
      </c>
      <c r="AF3340" s="6">
        <v>69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>
        <v>0</v>
      </c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/>
      <c r="BJ3340" s="4">
        <v>81</v>
      </c>
      <c r="BK3340" s="8">
        <v>2317.98</v>
      </c>
      <c r="BL3340" s="2" t="s">
        <v>10744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8561</v>
      </c>
      <c r="BX3340" s="2" t="s">
        <v>3081</v>
      </c>
      <c r="BY3340" s="2" t="s">
        <v>112</v>
      </c>
      <c r="BZ3340" s="2" t="s">
        <v>100</v>
      </c>
    </row>
    <row r="3341">
      <c r="A3341" s="2" t="s">
        <v>10745</v>
      </c>
      <c r="B3341" s="2" t="s">
        <v>10550</v>
      </c>
      <c r="C3341" s="2" t="s">
        <v>2238</v>
      </c>
      <c r="D3341" s="2" t="s">
        <v>10551</v>
      </c>
      <c r="E3341" s="2" t="s">
        <v>4949</v>
      </c>
      <c r="F3341" s="2" t="s">
        <v>10741</v>
      </c>
      <c r="G3341" s="2" t="s">
        <v>10741</v>
      </c>
      <c r="H3341" s="2" t="s">
        <v>10741</v>
      </c>
      <c r="I3341" s="2" t="s">
        <v>10742</v>
      </c>
      <c r="J3341" s="2" t="s">
        <v>3385</v>
      </c>
      <c r="K3341" s="2" t="s">
        <v>96</v>
      </c>
      <c r="L3341" s="3">
        <v>26.4</v>
      </c>
      <c r="M3341" s="3">
        <v>27.72</v>
      </c>
      <c r="N3341" s="3">
        <v>54.99</v>
      </c>
      <c r="O3341" s="2" t="s">
        <v>97</v>
      </c>
      <c r="P3341" s="2" t="s">
        <v>123</v>
      </c>
      <c r="Q3341" s="2" t="s">
        <v>99</v>
      </c>
      <c r="R3341" s="2" t="s">
        <v>100</v>
      </c>
      <c r="S3341" s="2" t="s">
        <v>10746</v>
      </c>
      <c r="T3341" s="2" t="s">
        <v>190</v>
      </c>
      <c r="U3341" s="2" t="s">
        <v>817</v>
      </c>
      <c r="V3341" s="2" t="s">
        <v>461</v>
      </c>
      <c r="W3341" s="2" t="s">
        <v>609</v>
      </c>
      <c r="X3341" s="2" t="s">
        <v>100</v>
      </c>
      <c r="Y3341" s="2" t="s">
        <v>10678</v>
      </c>
      <c r="Z3341" s="4">
        <v>1023</v>
      </c>
      <c r="AA3341" s="4">
        <f>=ROUNDDOWN(22.2391304347826,0)</f>
      </c>
      <c r="AB3341" s="5">
        <v>46</v>
      </c>
      <c r="AC3341" s="2" t="s">
        <v>3343</v>
      </c>
      <c r="AD3341" s="4">
        <v>650</v>
      </c>
      <c r="AE3341" s="4">
        <v>1450</v>
      </c>
      <c r="AF3341" s="6">
        <v>69</v>
      </c>
      <c r="AG3341" s="6"/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/>
      <c r="BJ3341" s="4">
        <v>194</v>
      </c>
      <c r="BK3341" s="8">
        <v>5478.02</v>
      </c>
      <c r="BL3341" s="2" t="s">
        <v>10747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9074</v>
      </c>
      <c r="BX3341" s="2" t="s">
        <v>10156</v>
      </c>
      <c r="BY3341" s="2" t="s">
        <v>112</v>
      </c>
      <c r="BZ3341" s="2" t="s">
        <v>100</v>
      </c>
    </row>
    <row r="3342">
      <c r="A3342" s="2" t="s">
        <v>10748</v>
      </c>
      <c r="B3342" s="2" t="s">
        <v>10550</v>
      </c>
      <c r="C3342" s="2" t="s">
        <v>2238</v>
      </c>
      <c r="D3342" s="2" t="s">
        <v>10551</v>
      </c>
      <c r="E3342" s="2" t="s">
        <v>4949</v>
      </c>
      <c r="F3342" s="2" t="s">
        <v>10741</v>
      </c>
      <c r="G3342" s="2" t="s">
        <v>10741</v>
      </c>
      <c r="H3342" s="2" t="s">
        <v>10741</v>
      </c>
      <c r="I3342" s="2" t="s">
        <v>10742</v>
      </c>
      <c r="J3342" s="2" t="s">
        <v>3385</v>
      </c>
      <c r="K3342" s="2" t="s">
        <v>1384</v>
      </c>
      <c r="L3342" s="3">
        <v>26.4</v>
      </c>
      <c r="M3342" s="3">
        <v>27.72</v>
      </c>
      <c r="N3342" s="3">
        <v>54.99</v>
      </c>
      <c r="O3342" s="2" t="s">
        <v>97</v>
      </c>
      <c r="P3342" s="2" t="s">
        <v>123</v>
      </c>
      <c r="Q3342" s="2" t="s">
        <v>99</v>
      </c>
      <c r="R3342" s="2" t="s">
        <v>100</v>
      </c>
      <c r="S3342" s="2" t="s">
        <v>10749</v>
      </c>
      <c r="T3342" s="2" t="s">
        <v>190</v>
      </c>
      <c r="U3342" s="2" t="s">
        <v>817</v>
      </c>
      <c r="V3342" s="2" t="s">
        <v>461</v>
      </c>
      <c r="W3342" s="2" t="s">
        <v>609</v>
      </c>
      <c r="X3342" s="2" t="s">
        <v>100</v>
      </c>
      <c r="Y3342" s="2" t="s">
        <v>10678</v>
      </c>
      <c r="Z3342" s="4">
        <v>248</v>
      </c>
      <c r="AA3342" s="4">
        <f>=ROUNDDOWN(4.76923076923077,0)</f>
      </c>
      <c r="AB3342" s="5">
        <v>52</v>
      </c>
      <c r="AC3342" s="2" t="s">
        <v>3343</v>
      </c>
      <c r="AD3342" s="4">
        <v>650</v>
      </c>
      <c r="AE3342" s="4">
        <v>2350</v>
      </c>
      <c r="AF3342" s="6">
        <v>69</v>
      </c>
      <c r="AG3342" s="6"/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/>
      <c r="BJ3342" s="4">
        <v>206</v>
      </c>
      <c r="BK3342" s="8">
        <v>5762.18</v>
      </c>
      <c r="BL3342" s="2" t="s">
        <v>10750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9074</v>
      </c>
      <c r="BX3342" s="2" t="s">
        <v>10751</v>
      </c>
      <c r="BY3342" s="2" t="s">
        <v>112</v>
      </c>
      <c r="BZ3342" s="2" t="s">
        <v>100</v>
      </c>
    </row>
    <row r="3343">
      <c r="A3343" s="2" t="s">
        <v>10752</v>
      </c>
      <c r="B3343" s="2" t="s">
        <v>10550</v>
      </c>
      <c r="C3343" s="2" t="s">
        <v>2238</v>
      </c>
      <c r="D3343" s="2" t="s">
        <v>10551</v>
      </c>
      <c r="E3343" s="2" t="s">
        <v>4949</v>
      </c>
      <c r="F3343" s="2" t="s">
        <v>10741</v>
      </c>
      <c r="G3343" s="2" t="s">
        <v>10741</v>
      </c>
      <c r="H3343" s="2" t="s">
        <v>10741</v>
      </c>
      <c r="I3343" s="2" t="s">
        <v>10742</v>
      </c>
      <c r="J3343" s="2" t="s">
        <v>3385</v>
      </c>
      <c r="K3343" s="2" t="s">
        <v>878</v>
      </c>
      <c r="L3343" s="3">
        <v>26.4</v>
      </c>
      <c r="M3343" s="3">
        <v>27.72</v>
      </c>
      <c r="N3343" s="3">
        <v>54.99</v>
      </c>
      <c r="O3343" s="2" t="s">
        <v>97</v>
      </c>
      <c r="P3343" s="2" t="s">
        <v>98</v>
      </c>
      <c r="Q3343" s="2" t="s">
        <v>99</v>
      </c>
      <c r="R3343" s="2" t="s">
        <v>100</v>
      </c>
      <c r="S3343" s="2" t="s">
        <v>10753</v>
      </c>
      <c r="T3343" s="2" t="s">
        <v>190</v>
      </c>
      <c r="U3343" s="2" t="s">
        <v>817</v>
      </c>
      <c r="V3343" s="2" t="s">
        <v>461</v>
      </c>
      <c r="W3343" s="2" t="s">
        <v>609</v>
      </c>
      <c r="X3343" s="2" t="s">
        <v>100</v>
      </c>
      <c r="Y3343" s="2" t="s">
        <v>7116</v>
      </c>
      <c r="Z3343" s="4">
        <v>555</v>
      </c>
      <c r="AA3343" s="4">
        <f>=ROUNDDOWN(29.2105263157895,0)</f>
      </c>
      <c r="AB3343" s="5">
        <v>19</v>
      </c>
      <c r="AC3343" s="2" t="s">
        <v>3343</v>
      </c>
      <c r="AD3343" s="4">
        <v>400</v>
      </c>
      <c r="AE3343" s="4">
        <v>1300</v>
      </c>
      <c r="AF3343" s="6">
        <v>69</v>
      </c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/>
      <c r="AQ3343" s="8"/>
      <c r="AR3343" s="4"/>
      <c r="AS3343" s="8"/>
      <c r="AT3343" s="7"/>
      <c r="AU3343" s="7"/>
      <c r="AV3343" s="4"/>
      <c r="AW3343" s="8"/>
      <c r="AX3343" s="4"/>
      <c r="AY3343" s="8"/>
      <c r="AZ3343" s="7"/>
      <c r="BA3343" s="7"/>
      <c r="BB3343" s="7"/>
      <c r="BC3343" s="4" t="s">
        <v>100</v>
      </c>
      <c r="BD3343" s="8" t="s">
        <v>100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/>
      <c r="BJ3343" s="4">
        <v>48</v>
      </c>
      <c r="BK3343" s="8">
        <v>1367.82</v>
      </c>
      <c r="BL3343" s="2" t="s">
        <v>10754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171</v>
      </c>
      <c r="BV3343" s="2" t="s">
        <v>97</v>
      </c>
      <c r="BW3343" s="2" t="s">
        <v>100</v>
      </c>
      <c r="BX3343" s="2" t="s">
        <v>100</v>
      </c>
      <c r="BY3343" s="2" t="s">
        <v>112</v>
      </c>
      <c r="BZ3343" s="2" t="s">
        <v>100</v>
      </c>
    </row>
    <row r="3344">
      <c r="A3344" s="2" t="s">
        <v>10755</v>
      </c>
      <c r="B3344" s="2" t="s">
        <v>10550</v>
      </c>
      <c r="C3344" s="2" t="s">
        <v>2238</v>
      </c>
      <c r="D3344" s="2" t="s">
        <v>10551</v>
      </c>
      <c r="E3344" s="2" t="s">
        <v>4949</v>
      </c>
      <c r="F3344" s="2" t="s">
        <v>10741</v>
      </c>
      <c r="G3344" s="2" t="s">
        <v>10741</v>
      </c>
      <c r="H3344" s="2" t="s">
        <v>10741</v>
      </c>
      <c r="I3344" s="2" t="s">
        <v>10742</v>
      </c>
      <c r="J3344" s="2" t="s">
        <v>3385</v>
      </c>
      <c r="K3344" s="2" t="s">
        <v>458</v>
      </c>
      <c r="L3344" s="3">
        <v>26.4</v>
      </c>
      <c r="M3344" s="3">
        <v>27.72</v>
      </c>
      <c r="N3344" s="3">
        <v>54.99</v>
      </c>
      <c r="O3344" s="2" t="s">
        <v>97</v>
      </c>
      <c r="P3344" s="2" t="s">
        <v>123</v>
      </c>
      <c r="Q3344" s="2" t="s">
        <v>99</v>
      </c>
      <c r="R3344" s="2" t="s">
        <v>100</v>
      </c>
      <c r="S3344" s="2" t="s">
        <v>10756</v>
      </c>
      <c r="T3344" s="2" t="s">
        <v>190</v>
      </c>
      <c r="U3344" s="2" t="s">
        <v>817</v>
      </c>
      <c r="V3344" s="2" t="s">
        <v>461</v>
      </c>
      <c r="W3344" s="2" t="s">
        <v>609</v>
      </c>
      <c r="X3344" s="2" t="s">
        <v>100</v>
      </c>
      <c r="Y3344" s="2" t="s">
        <v>10678</v>
      </c>
      <c r="Z3344" s="4">
        <v>1883</v>
      </c>
      <c r="AA3344" s="4">
        <f>=ROUNDDOWN(42.7954545454545,0)</f>
      </c>
      <c r="AB3344" s="5">
        <v>44</v>
      </c>
      <c r="AC3344" s="2" t="s">
        <v>10757</v>
      </c>
      <c r="AD3344" s="4">
        <v>500</v>
      </c>
      <c r="AE3344" s="4">
        <v>500</v>
      </c>
      <c r="AF3344" s="6">
        <v>69</v>
      </c>
      <c r="AG3344" s="6"/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/>
      <c r="AW3344" s="8"/>
      <c r="AX3344" s="4"/>
      <c r="AY3344" s="8"/>
      <c r="AZ3344" s="7"/>
      <c r="BA3344" s="7"/>
      <c r="BB3344" s="7"/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/>
      <c r="BJ3344" s="4">
        <v>130</v>
      </c>
      <c r="BK3344" s="8">
        <v>3758.63</v>
      </c>
      <c r="BL3344" s="2" t="s">
        <v>10758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9074</v>
      </c>
      <c r="BX3344" s="2" t="s">
        <v>10073</v>
      </c>
      <c r="BY3344" s="2" t="s">
        <v>112</v>
      </c>
      <c r="BZ3344" s="2" t="s">
        <v>100</v>
      </c>
    </row>
    <row r="3345">
      <c r="A3345" s="2" t="s">
        <v>10759</v>
      </c>
      <c r="B3345" s="2" t="s">
        <v>10550</v>
      </c>
      <c r="C3345" s="2" t="s">
        <v>5095</v>
      </c>
      <c r="D3345" s="2" t="s">
        <v>10551</v>
      </c>
      <c r="E3345" s="2" t="s">
        <v>4949</v>
      </c>
      <c r="F3345" s="2" t="s">
        <v>10760</v>
      </c>
      <c r="G3345" s="2" t="s">
        <v>10760</v>
      </c>
      <c r="H3345" s="2" t="s">
        <v>10760</v>
      </c>
      <c r="I3345" s="2" t="s">
        <v>10761</v>
      </c>
      <c r="J3345" s="2" t="s">
        <v>3385</v>
      </c>
      <c r="K3345" s="2" t="s">
        <v>179</v>
      </c>
      <c r="L3345" s="3">
        <v>36.5</v>
      </c>
      <c r="M3345" s="3">
        <v>38.33</v>
      </c>
      <c r="N3345" s="3">
        <v>79.99</v>
      </c>
      <c r="O3345" s="2" t="s">
        <v>97</v>
      </c>
      <c r="P3345" s="2" t="s">
        <v>707</v>
      </c>
      <c r="Q3345" s="2" t="s">
        <v>99</v>
      </c>
      <c r="R3345" s="2" t="s">
        <v>100</v>
      </c>
      <c r="S3345" s="2" t="s">
        <v>10762</v>
      </c>
      <c r="T3345" s="2" t="s">
        <v>190</v>
      </c>
      <c r="U3345" s="2" t="s">
        <v>355</v>
      </c>
      <c r="V3345" s="2" t="s">
        <v>461</v>
      </c>
      <c r="W3345" s="2" t="s">
        <v>1136</v>
      </c>
      <c r="X3345" s="2" t="s">
        <v>100</v>
      </c>
      <c r="Y3345" s="2" t="s">
        <v>6381</v>
      </c>
      <c r="Z3345" s="4">
        <v>297</v>
      </c>
      <c r="AA3345" s="4">
        <f>=ROUNDDOWN(29.7,0)</f>
      </c>
      <c r="AB3345" s="5">
        <v>10</v>
      </c>
      <c r="AC3345" s="2" t="s">
        <v>2121</v>
      </c>
      <c r="AD3345" s="4">
        <v>230</v>
      </c>
      <c r="AE3345" s="4">
        <v>230</v>
      </c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/>
      <c r="BJ3345" s="4">
        <v>28</v>
      </c>
      <c r="BK3345" s="8">
        <v>1150.81</v>
      </c>
      <c r="BL3345" s="2" t="s">
        <v>10763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171</v>
      </c>
      <c r="BV3345" s="2" t="s">
        <v>97</v>
      </c>
      <c r="BW3345" s="2" t="s">
        <v>100</v>
      </c>
      <c r="BX3345" s="2" t="s">
        <v>100</v>
      </c>
      <c r="BY3345" s="2" t="s">
        <v>112</v>
      </c>
      <c r="BZ3345" s="2" t="s">
        <v>100</v>
      </c>
    </row>
    <row r="3346">
      <c r="A3346" s="2" t="s">
        <v>10764</v>
      </c>
      <c r="B3346" s="2" t="s">
        <v>10550</v>
      </c>
      <c r="C3346" s="2" t="s">
        <v>5095</v>
      </c>
      <c r="D3346" s="2" t="s">
        <v>10551</v>
      </c>
      <c r="E3346" s="2" t="s">
        <v>4949</v>
      </c>
      <c r="F3346" s="2" t="s">
        <v>10760</v>
      </c>
      <c r="G3346" s="2" t="s">
        <v>10760</v>
      </c>
      <c r="H3346" s="2" t="s">
        <v>10760</v>
      </c>
      <c r="I3346" s="2" t="s">
        <v>10761</v>
      </c>
      <c r="J3346" s="2" t="s">
        <v>3385</v>
      </c>
      <c r="K3346" s="2" t="s">
        <v>4362</v>
      </c>
      <c r="L3346" s="3">
        <v>36.5</v>
      </c>
      <c r="M3346" s="3">
        <v>38.33</v>
      </c>
      <c r="N3346" s="3">
        <v>79.99</v>
      </c>
      <c r="O3346" s="2" t="s">
        <v>97</v>
      </c>
      <c r="P3346" s="2" t="s">
        <v>707</v>
      </c>
      <c r="Q3346" s="2" t="s">
        <v>99</v>
      </c>
      <c r="R3346" s="2" t="s">
        <v>100</v>
      </c>
      <c r="S3346" s="2" t="s">
        <v>10765</v>
      </c>
      <c r="T3346" s="2" t="s">
        <v>190</v>
      </c>
      <c r="U3346" s="2" t="s">
        <v>355</v>
      </c>
      <c r="V3346" s="2" t="s">
        <v>461</v>
      </c>
      <c r="W3346" s="2" t="s">
        <v>1136</v>
      </c>
      <c r="X3346" s="2" t="s">
        <v>100</v>
      </c>
      <c r="Y3346" s="2" t="s">
        <v>6381</v>
      </c>
      <c r="Z3346" s="4">
        <v>78</v>
      </c>
      <c r="AA3346" s="4">
        <f>=ROUNDDOWN(8.66666666666667,0)</f>
      </c>
      <c r="AB3346" s="5">
        <v>9</v>
      </c>
      <c r="AC3346" s="2" t="s">
        <v>2121</v>
      </c>
      <c r="AD3346" s="4">
        <v>380</v>
      </c>
      <c r="AE3346" s="4">
        <v>380</v>
      </c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/>
      <c r="BJ3346" s="4">
        <v>29</v>
      </c>
      <c r="BK3346" s="8">
        <v>1171.89</v>
      </c>
      <c r="BL3346" s="2" t="s">
        <v>5100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171</v>
      </c>
      <c r="BV3346" s="2" t="s">
        <v>97</v>
      </c>
      <c r="BW3346" s="2" t="s">
        <v>100</v>
      </c>
      <c r="BX3346" s="2" t="s">
        <v>100</v>
      </c>
      <c r="BY3346" s="2" t="s">
        <v>112</v>
      </c>
      <c r="BZ3346" s="2" t="s">
        <v>100</v>
      </c>
    </row>
    <row r="3347">
      <c r="A3347" s="2" t="s">
        <v>10766</v>
      </c>
      <c r="B3347" s="2" t="s">
        <v>10550</v>
      </c>
      <c r="C3347" s="2" t="s">
        <v>5095</v>
      </c>
      <c r="D3347" s="2" t="s">
        <v>10551</v>
      </c>
      <c r="E3347" s="2" t="s">
        <v>4949</v>
      </c>
      <c r="F3347" s="2" t="s">
        <v>10760</v>
      </c>
      <c r="G3347" s="2" t="s">
        <v>10760</v>
      </c>
      <c r="H3347" s="2" t="s">
        <v>10760</v>
      </c>
      <c r="I3347" s="2" t="s">
        <v>10761</v>
      </c>
      <c r="J3347" s="2" t="s">
        <v>3385</v>
      </c>
      <c r="K3347" s="2" t="s">
        <v>96</v>
      </c>
      <c r="L3347" s="3">
        <v>36.5</v>
      </c>
      <c r="M3347" s="3">
        <v>38.33</v>
      </c>
      <c r="N3347" s="3">
        <v>79.99</v>
      </c>
      <c r="O3347" s="2" t="s">
        <v>97</v>
      </c>
      <c r="P3347" s="2" t="s">
        <v>707</v>
      </c>
      <c r="Q3347" s="2" t="s">
        <v>99</v>
      </c>
      <c r="R3347" s="2" t="s">
        <v>100</v>
      </c>
      <c r="S3347" s="2" t="s">
        <v>10767</v>
      </c>
      <c r="T3347" s="2" t="s">
        <v>190</v>
      </c>
      <c r="U3347" s="2" t="s">
        <v>355</v>
      </c>
      <c r="V3347" s="2" t="s">
        <v>461</v>
      </c>
      <c r="W3347" s="2" t="s">
        <v>1136</v>
      </c>
      <c r="X3347" s="2" t="s">
        <v>100</v>
      </c>
      <c r="Y3347" s="2" t="s">
        <v>6381</v>
      </c>
      <c r="Z3347" s="4">
        <v>186</v>
      </c>
      <c r="AA3347" s="4">
        <f>=ROUNDDOWN(20.6666666666667,0)</f>
      </c>
      <c r="AB3347" s="5">
        <v>9</v>
      </c>
      <c r="AC3347" s="2" t="s">
        <v>2121</v>
      </c>
      <c r="AD3347" s="4">
        <v>420</v>
      </c>
      <c r="AE3347" s="4">
        <v>420</v>
      </c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/>
      <c r="BJ3347" s="4">
        <v>27</v>
      </c>
      <c r="BK3347" s="8">
        <v>1102.1</v>
      </c>
      <c r="BL3347" s="2" t="s">
        <v>10768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171</v>
      </c>
      <c r="BV3347" s="2" t="s">
        <v>97</v>
      </c>
      <c r="BW3347" s="2" t="s">
        <v>100</v>
      </c>
      <c r="BX3347" s="2" t="s">
        <v>100</v>
      </c>
      <c r="BY3347" s="2" t="s">
        <v>112</v>
      </c>
      <c r="BZ3347" s="2" t="s">
        <v>100</v>
      </c>
    </row>
    <row r="3348">
      <c r="A3348" s="2" t="s">
        <v>10769</v>
      </c>
      <c r="B3348" s="2" t="s">
        <v>10550</v>
      </c>
      <c r="C3348" s="2" t="s">
        <v>5095</v>
      </c>
      <c r="D3348" s="2" t="s">
        <v>10551</v>
      </c>
      <c r="E3348" s="2" t="s">
        <v>4949</v>
      </c>
      <c r="F3348" s="2" t="s">
        <v>10760</v>
      </c>
      <c r="G3348" s="2" t="s">
        <v>10760</v>
      </c>
      <c r="H3348" s="2" t="s">
        <v>10760</v>
      </c>
      <c r="I3348" s="2" t="s">
        <v>10761</v>
      </c>
      <c r="J3348" s="2" t="s">
        <v>3385</v>
      </c>
      <c r="K3348" s="2" t="s">
        <v>1373</v>
      </c>
      <c r="L3348" s="3">
        <v>36.5</v>
      </c>
      <c r="M3348" s="3">
        <v>38.33</v>
      </c>
      <c r="N3348" s="3">
        <v>79.99</v>
      </c>
      <c r="O3348" s="2" t="s">
        <v>97</v>
      </c>
      <c r="P3348" s="2" t="s">
        <v>707</v>
      </c>
      <c r="Q3348" s="2" t="s">
        <v>99</v>
      </c>
      <c r="R3348" s="2" t="s">
        <v>100</v>
      </c>
      <c r="S3348" s="2" t="s">
        <v>10770</v>
      </c>
      <c r="T3348" s="2" t="s">
        <v>190</v>
      </c>
      <c r="U3348" s="2" t="s">
        <v>355</v>
      </c>
      <c r="V3348" s="2" t="s">
        <v>461</v>
      </c>
      <c r="W3348" s="2" t="s">
        <v>1136</v>
      </c>
      <c r="X3348" s="2" t="s">
        <v>100</v>
      </c>
      <c r="Y3348" s="2" t="s">
        <v>6381</v>
      </c>
      <c r="Z3348" s="4">
        <v>241</v>
      </c>
      <c r="AA3348" s="4">
        <f>=ROUNDDOWN(24.1,0)</f>
      </c>
      <c r="AB3348" s="5">
        <v>10</v>
      </c>
      <c r="AC3348" s="2" t="s">
        <v>2121</v>
      </c>
      <c r="AD3348" s="4">
        <v>350</v>
      </c>
      <c r="AE3348" s="4">
        <v>350</v>
      </c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 t="s">
        <v>100</v>
      </c>
      <c r="BD3348" s="8" t="s">
        <v>100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/>
      <c r="BJ3348" s="4">
        <v>35</v>
      </c>
      <c r="BK3348" s="8">
        <v>1430.7</v>
      </c>
      <c r="BL3348" s="2" t="s">
        <v>10771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171</v>
      </c>
      <c r="BV3348" s="2" t="s">
        <v>97</v>
      </c>
      <c r="BW3348" s="2" t="s">
        <v>100</v>
      </c>
      <c r="BX3348" s="2" t="s">
        <v>100</v>
      </c>
      <c r="BY3348" s="2" t="s">
        <v>112</v>
      </c>
      <c r="BZ3348" s="2" t="s">
        <v>100</v>
      </c>
    </row>
    <row r="3349">
      <c r="A3349" s="2" t="s">
        <v>10772</v>
      </c>
      <c r="B3349" s="2" t="s">
        <v>10550</v>
      </c>
      <c r="C3349" s="2" t="s">
        <v>5095</v>
      </c>
      <c r="D3349" s="2" t="s">
        <v>10551</v>
      </c>
      <c r="E3349" s="2" t="s">
        <v>4949</v>
      </c>
      <c r="F3349" s="2" t="s">
        <v>10760</v>
      </c>
      <c r="G3349" s="2" t="s">
        <v>10760</v>
      </c>
      <c r="H3349" s="2" t="s">
        <v>10760</v>
      </c>
      <c r="I3349" s="2" t="s">
        <v>10761</v>
      </c>
      <c r="J3349" s="2" t="s">
        <v>3385</v>
      </c>
      <c r="K3349" s="2" t="s">
        <v>1173</v>
      </c>
      <c r="L3349" s="3">
        <v>36.5</v>
      </c>
      <c r="M3349" s="3">
        <v>38.33</v>
      </c>
      <c r="N3349" s="3">
        <v>79.99</v>
      </c>
      <c r="O3349" s="2" t="s">
        <v>97</v>
      </c>
      <c r="P3349" s="2" t="s">
        <v>707</v>
      </c>
      <c r="Q3349" s="2" t="s">
        <v>99</v>
      </c>
      <c r="R3349" s="2" t="s">
        <v>100</v>
      </c>
      <c r="S3349" s="2" t="s">
        <v>10773</v>
      </c>
      <c r="T3349" s="2" t="s">
        <v>190</v>
      </c>
      <c r="U3349" s="2" t="s">
        <v>355</v>
      </c>
      <c r="V3349" s="2" t="s">
        <v>461</v>
      </c>
      <c r="W3349" s="2" t="s">
        <v>1136</v>
      </c>
      <c r="X3349" s="2" t="s">
        <v>100</v>
      </c>
      <c r="Y3349" s="2" t="s">
        <v>6381</v>
      </c>
      <c r="Z3349" s="4">
        <v>282</v>
      </c>
      <c r="AA3349" s="4">
        <f>=ROUNDDOWN(31.3333333333333,0)</f>
      </c>
      <c r="AB3349" s="5">
        <v>9</v>
      </c>
      <c r="AC3349" s="2" t="s">
        <v>2121</v>
      </c>
      <c r="AD3349" s="4">
        <v>260</v>
      </c>
      <c r="AE3349" s="4">
        <v>260</v>
      </c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>
        <v>0</v>
      </c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/>
      <c r="BJ3349" s="4">
        <v>10</v>
      </c>
      <c r="BK3349" s="8">
        <v>406.23</v>
      </c>
      <c r="BL3349" s="2" t="s">
        <v>10774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171</v>
      </c>
      <c r="BV3349" s="2" t="s">
        <v>97</v>
      </c>
      <c r="BW3349" s="2" t="s">
        <v>100</v>
      </c>
      <c r="BX3349" s="2" t="s">
        <v>100</v>
      </c>
      <c r="BY3349" s="2" t="s">
        <v>112</v>
      </c>
      <c r="BZ3349" s="2" t="s">
        <v>100</v>
      </c>
    </row>
    <row r="3350">
      <c r="A3350" s="2" t="s">
        <v>10775</v>
      </c>
      <c r="B3350" s="2" t="s">
        <v>10550</v>
      </c>
      <c r="C3350" s="2" t="s">
        <v>5095</v>
      </c>
      <c r="D3350" s="2" t="s">
        <v>10551</v>
      </c>
      <c r="E3350" s="2" t="s">
        <v>4949</v>
      </c>
      <c r="F3350" s="2" t="s">
        <v>10760</v>
      </c>
      <c r="G3350" s="2" t="s">
        <v>10760</v>
      </c>
      <c r="H3350" s="2" t="s">
        <v>10760</v>
      </c>
      <c r="I3350" s="2" t="s">
        <v>10761</v>
      </c>
      <c r="J3350" s="2" t="s">
        <v>3385</v>
      </c>
      <c r="K3350" s="2" t="s">
        <v>458</v>
      </c>
      <c r="L3350" s="3">
        <v>36.5</v>
      </c>
      <c r="M3350" s="3">
        <v>38.33</v>
      </c>
      <c r="N3350" s="3">
        <v>79.99</v>
      </c>
      <c r="O3350" s="2" t="s">
        <v>97</v>
      </c>
      <c r="P3350" s="2" t="s">
        <v>707</v>
      </c>
      <c r="Q3350" s="2" t="s">
        <v>99</v>
      </c>
      <c r="R3350" s="2" t="s">
        <v>100</v>
      </c>
      <c r="S3350" s="2" t="s">
        <v>10776</v>
      </c>
      <c r="T3350" s="2" t="s">
        <v>190</v>
      </c>
      <c r="U3350" s="2" t="s">
        <v>355</v>
      </c>
      <c r="V3350" s="2" t="s">
        <v>461</v>
      </c>
      <c r="W3350" s="2" t="s">
        <v>1136</v>
      </c>
      <c r="X3350" s="2" t="s">
        <v>100</v>
      </c>
      <c r="Y3350" s="2" t="s">
        <v>6381</v>
      </c>
      <c r="Z3350" s="4">
        <v>310</v>
      </c>
      <c r="AA3350" s="4">
        <f>=ROUNDDOWN(38.75,0)</f>
      </c>
      <c r="AB3350" s="5">
        <v>8</v>
      </c>
      <c r="AC3350" s="2" t="s">
        <v>2121</v>
      </c>
      <c r="AD3350" s="4">
        <v>220</v>
      </c>
      <c r="AE3350" s="4">
        <v>220</v>
      </c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/>
      <c r="BJ3350" s="4">
        <v>20</v>
      </c>
      <c r="BK3350" s="8">
        <v>815.15</v>
      </c>
      <c r="BL3350" s="2" t="s">
        <v>10777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171</v>
      </c>
      <c r="BV3350" s="2" t="s">
        <v>97</v>
      </c>
      <c r="BW3350" s="2" t="s">
        <v>100</v>
      </c>
      <c r="BX3350" s="2" t="s">
        <v>100</v>
      </c>
      <c r="BY3350" s="2" t="s">
        <v>112</v>
      </c>
      <c r="BZ3350" s="2" t="s">
        <v>100</v>
      </c>
    </row>
    <row r="3351">
      <c r="A3351" s="2" t="s">
        <v>10778</v>
      </c>
      <c r="B3351" s="2" t="s">
        <v>10550</v>
      </c>
      <c r="C3351" s="2" t="s">
        <v>5095</v>
      </c>
      <c r="D3351" s="2" t="s">
        <v>10551</v>
      </c>
      <c r="E3351" s="2" t="s">
        <v>4949</v>
      </c>
      <c r="F3351" s="2" t="s">
        <v>5096</v>
      </c>
      <c r="G3351" s="2" t="s">
        <v>5096</v>
      </c>
      <c r="H3351" s="2" t="s">
        <v>5096</v>
      </c>
      <c r="I3351" s="2" t="s">
        <v>10779</v>
      </c>
      <c r="J3351" s="2" t="s">
        <v>3385</v>
      </c>
      <c r="K3351" s="2" t="s">
        <v>179</v>
      </c>
      <c r="L3351" s="3">
        <v>38</v>
      </c>
      <c r="M3351" s="3">
        <v>39.9</v>
      </c>
      <c r="N3351" s="3">
        <v>79.99</v>
      </c>
      <c r="O3351" s="2" t="s">
        <v>97</v>
      </c>
      <c r="P3351" s="2" t="s">
        <v>123</v>
      </c>
      <c r="Q3351" s="2" t="s">
        <v>99</v>
      </c>
      <c r="R3351" s="2" t="s">
        <v>100</v>
      </c>
      <c r="S3351" s="2" t="s">
        <v>10780</v>
      </c>
      <c r="T3351" s="2" t="s">
        <v>190</v>
      </c>
      <c r="U3351" s="2" t="s">
        <v>355</v>
      </c>
      <c r="V3351" s="2" t="s">
        <v>461</v>
      </c>
      <c r="W3351" s="2" t="s">
        <v>142</v>
      </c>
      <c r="X3351" s="2" t="s">
        <v>100</v>
      </c>
      <c r="Y3351" s="2" t="s">
        <v>4994</v>
      </c>
      <c r="Z3351" s="4">
        <v>305</v>
      </c>
      <c r="AA3351" s="4">
        <f>=ROUNDDOWN(13.8636363636364,0)</f>
      </c>
      <c r="AB3351" s="5">
        <v>22</v>
      </c>
      <c r="AC3351" s="2" t="s">
        <v>676</v>
      </c>
      <c r="AD3351" s="4">
        <v>808</v>
      </c>
      <c r="AE3351" s="4">
        <v>808</v>
      </c>
      <c r="AF3351" s="6">
        <v>67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/>
      <c r="BJ3351" s="4">
        <v>63</v>
      </c>
      <c r="BK3351" s="8">
        <v>2653.48</v>
      </c>
      <c r="BL3351" s="2" t="s">
        <v>10781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171</v>
      </c>
      <c r="BV3351" s="2" t="s">
        <v>97</v>
      </c>
      <c r="BW3351" s="2" t="s">
        <v>100</v>
      </c>
      <c r="BX3351" s="2" t="s">
        <v>100</v>
      </c>
      <c r="BY3351" s="2" t="s">
        <v>112</v>
      </c>
      <c r="BZ3351" s="2" t="s">
        <v>100</v>
      </c>
    </row>
    <row r="3352">
      <c r="A3352" s="2" t="s">
        <v>10782</v>
      </c>
      <c r="B3352" s="2" t="s">
        <v>10550</v>
      </c>
      <c r="C3352" s="2" t="s">
        <v>5095</v>
      </c>
      <c r="D3352" s="2" t="s">
        <v>10551</v>
      </c>
      <c r="E3352" s="2" t="s">
        <v>4949</v>
      </c>
      <c r="F3352" s="2" t="s">
        <v>5096</v>
      </c>
      <c r="G3352" s="2" t="s">
        <v>5096</v>
      </c>
      <c r="H3352" s="2" t="s">
        <v>5096</v>
      </c>
      <c r="I3352" s="2" t="s">
        <v>10779</v>
      </c>
      <c r="J3352" s="2" t="s">
        <v>3385</v>
      </c>
      <c r="K3352" s="2" t="s">
        <v>4362</v>
      </c>
      <c r="L3352" s="3">
        <v>38</v>
      </c>
      <c r="M3352" s="3">
        <v>39.9</v>
      </c>
      <c r="N3352" s="3">
        <v>79.99</v>
      </c>
      <c r="O3352" s="2" t="s">
        <v>97</v>
      </c>
      <c r="P3352" s="2" t="s">
        <v>156</v>
      </c>
      <c r="Q3352" s="2" t="s">
        <v>99</v>
      </c>
      <c r="R3352" s="2" t="s">
        <v>100</v>
      </c>
      <c r="S3352" s="2" t="s">
        <v>10783</v>
      </c>
      <c r="T3352" s="2" t="s">
        <v>190</v>
      </c>
      <c r="U3352" s="2" t="s">
        <v>355</v>
      </c>
      <c r="V3352" s="2" t="s">
        <v>461</v>
      </c>
      <c r="W3352" s="2" t="s">
        <v>142</v>
      </c>
      <c r="X3352" s="2" t="s">
        <v>100</v>
      </c>
      <c r="Y3352" s="2" t="s">
        <v>4994</v>
      </c>
      <c r="Z3352" s="4">
        <v>500</v>
      </c>
      <c r="AA3352" s="4">
        <f>=ROUNDDOWN(38.4615384615385,0)</f>
      </c>
      <c r="AB3352" s="5">
        <v>13</v>
      </c>
      <c r="AC3352" s="2" t="s">
        <v>100</v>
      </c>
      <c r="AD3352" s="4"/>
      <c r="AE3352" s="4"/>
      <c r="AF3352" s="6">
        <v>67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/>
      <c r="BJ3352" s="4">
        <v>36</v>
      </c>
      <c r="BK3352" s="8">
        <v>1514.12</v>
      </c>
      <c r="BL3352" s="2" t="s">
        <v>9385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171</v>
      </c>
      <c r="BV3352" s="2" t="s">
        <v>97</v>
      </c>
      <c r="BW3352" s="2" t="s">
        <v>100</v>
      </c>
      <c r="BX3352" s="2" t="s">
        <v>100</v>
      </c>
      <c r="BY3352" s="2" t="s">
        <v>112</v>
      </c>
      <c r="BZ3352" s="2" t="s">
        <v>100</v>
      </c>
    </row>
    <row r="3353">
      <c r="A3353" s="2" t="s">
        <v>10784</v>
      </c>
      <c r="B3353" s="2" t="s">
        <v>10550</v>
      </c>
      <c r="C3353" s="2" t="s">
        <v>5095</v>
      </c>
      <c r="D3353" s="2" t="s">
        <v>10551</v>
      </c>
      <c r="E3353" s="2" t="s">
        <v>4949</v>
      </c>
      <c r="F3353" s="2" t="s">
        <v>5096</v>
      </c>
      <c r="G3353" s="2" t="s">
        <v>5096</v>
      </c>
      <c r="H3353" s="2" t="s">
        <v>5096</v>
      </c>
      <c r="I3353" s="2" t="s">
        <v>10779</v>
      </c>
      <c r="J3353" s="2" t="s">
        <v>3385</v>
      </c>
      <c r="K3353" s="2" t="s">
        <v>96</v>
      </c>
      <c r="L3353" s="3">
        <v>38</v>
      </c>
      <c r="M3353" s="3">
        <v>39.9</v>
      </c>
      <c r="N3353" s="3">
        <v>79.99</v>
      </c>
      <c r="O3353" s="2" t="s">
        <v>97</v>
      </c>
      <c r="P3353" s="2" t="s">
        <v>156</v>
      </c>
      <c r="Q3353" s="2" t="s">
        <v>99</v>
      </c>
      <c r="R3353" s="2" t="s">
        <v>100</v>
      </c>
      <c r="S3353" s="2" t="s">
        <v>5098</v>
      </c>
      <c r="T3353" s="2" t="s">
        <v>190</v>
      </c>
      <c r="U3353" s="2" t="s">
        <v>355</v>
      </c>
      <c r="V3353" s="2" t="s">
        <v>461</v>
      </c>
      <c r="W3353" s="2" t="s">
        <v>142</v>
      </c>
      <c r="X3353" s="2" t="s">
        <v>100</v>
      </c>
      <c r="Y3353" s="2" t="s">
        <v>4994</v>
      </c>
      <c r="Z3353" s="4">
        <v>659</v>
      </c>
      <c r="AA3353" s="4">
        <f>=ROUNDDOWN(47.0714285714286,0)</f>
      </c>
      <c r="AB3353" s="5">
        <v>14</v>
      </c>
      <c r="AC3353" s="2" t="s">
        <v>100</v>
      </c>
      <c r="AD3353" s="4"/>
      <c r="AE3353" s="4"/>
      <c r="AF3353" s="6">
        <v>67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/>
      <c r="BJ3353" s="4">
        <v>51</v>
      </c>
      <c r="BK3353" s="8">
        <v>2076.21</v>
      </c>
      <c r="BL3353" s="2" t="s">
        <v>10785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171</v>
      </c>
      <c r="BV3353" s="2" t="s">
        <v>97</v>
      </c>
      <c r="BW3353" s="2" t="s">
        <v>100</v>
      </c>
      <c r="BX3353" s="2" t="s">
        <v>100</v>
      </c>
      <c r="BY3353" s="2" t="s">
        <v>112</v>
      </c>
      <c r="BZ3353" s="2" t="s">
        <v>100</v>
      </c>
    </row>
    <row r="3354">
      <c r="A3354" s="2" t="s">
        <v>10786</v>
      </c>
      <c r="B3354" s="2" t="s">
        <v>10550</v>
      </c>
      <c r="C3354" s="2" t="s">
        <v>5095</v>
      </c>
      <c r="D3354" s="2" t="s">
        <v>10551</v>
      </c>
      <c r="E3354" s="2" t="s">
        <v>4949</v>
      </c>
      <c r="F3354" s="2" t="s">
        <v>5096</v>
      </c>
      <c r="G3354" s="2" t="s">
        <v>5096</v>
      </c>
      <c r="H3354" s="2" t="s">
        <v>5096</v>
      </c>
      <c r="I3354" s="2" t="s">
        <v>10779</v>
      </c>
      <c r="J3354" s="2" t="s">
        <v>3385</v>
      </c>
      <c r="K3354" s="2" t="s">
        <v>1373</v>
      </c>
      <c r="L3354" s="3">
        <v>38</v>
      </c>
      <c r="M3354" s="3">
        <v>39.9</v>
      </c>
      <c r="N3354" s="3">
        <v>79.99</v>
      </c>
      <c r="O3354" s="2" t="s">
        <v>97</v>
      </c>
      <c r="P3354" s="2" t="s">
        <v>156</v>
      </c>
      <c r="Q3354" s="2" t="s">
        <v>99</v>
      </c>
      <c r="R3354" s="2" t="s">
        <v>100</v>
      </c>
      <c r="S3354" s="2" t="s">
        <v>5105</v>
      </c>
      <c r="T3354" s="2" t="s">
        <v>190</v>
      </c>
      <c r="U3354" s="2" t="s">
        <v>355</v>
      </c>
      <c r="V3354" s="2" t="s">
        <v>461</v>
      </c>
      <c r="W3354" s="2" t="s">
        <v>142</v>
      </c>
      <c r="X3354" s="2" t="s">
        <v>100</v>
      </c>
      <c r="Y3354" s="2" t="s">
        <v>4994</v>
      </c>
      <c r="Z3354" s="4">
        <v>391</v>
      </c>
      <c r="AA3354" s="4">
        <f>=ROUNDDOWN(39.1,0)</f>
      </c>
      <c r="AB3354" s="5">
        <v>10</v>
      </c>
      <c r="AC3354" s="2" t="s">
        <v>676</v>
      </c>
      <c r="AD3354" s="4">
        <v>467</v>
      </c>
      <c r="AE3354" s="4">
        <v>467</v>
      </c>
      <c r="AF3354" s="6">
        <v>67</v>
      </c>
      <c r="AG3354" s="6"/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/>
      <c r="BJ3354" s="4">
        <v>28</v>
      </c>
      <c r="BK3354" s="8">
        <v>1186.35</v>
      </c>
      <c r="BL3354" s="2" t="s">
        <v>10787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171</v>
      </c>
      <c r="BV3354" s="2" t="s">
        <v>97</v>
      </c>
      <c r="BW3354" s="2" t="s">
        <v>100</v>
      </c>
      <c r="BX3354" s="2" t="s">
        <v>100</v>
      </c>
      <c r="BY3354" s="2" t="s">
        <v>112</v>
      </c>
      <c r="BZ3354" s="2" t="s">
        <v>100</v>
      </c>
    </row>
    <row r="3355">
      <c r="A3355" s="2" t="s">
        <v>10788</v>
      </c>
      <c r="B3355" s="2" t="s">
        <v>10550</v>
      </c>
      <c r="C3355" s="2" t="s">
        <v>5095</v>
      </c>
      <c r="D3355" s="2" t="s">
        <v>10551</v>
      </c>
      <c r="E3355" s="2" t="s">
        <v>4949</v>
      </c>
      <c r="F3355" s="2" t="s">
        <v>5096</v>
      </c>
      <c r="G3355" s="2" t="s">
        <v>5096</v>
      </c>
      <c r="H3355" s="2" t="s">
        <v>5096</v>
      </c>
      <c r="I3355" s="2" t="s">
        <v>10779</v>
      </c>
      <c r="J3355" s="2" t="s">
        <v>3385</v>
      </c>
      <c r="K3355" s="2" t="s">
        <v>223</v>
      </c>
      <c r="L3355" s="3">
        <v>38</v>
      </c>
      <c r="M3355" s="3">
        <v>39.9</v>
      </c>
      <c r="N3355" s="3">
        <v>79.99</v>
      </c>
      <c r="O3355" s="2" t="s">
        <v>97</v>
      </c>
      <c r="P3355" s="2" t="s">
        <v>98</v>
      </c>
      <c r="Q3355" s="2" t="s">
        <v>99</v>
      </c>
      <c r="R3355" s="2" t="s">
        <v>100</v>
      </c>
      <c r="S3355" s="2" t="s">
        <v>10789</v>
      </c>
      <c r="T3355" s="2" t="s">
        <v>190</v>
      </c>
      <c r="U3355" s="2" t="s">
        <v>355</v>
      </c>
      <c r="V3355" s="2" t="s">
        <v>461</v>
      </c>
      <c r="W3355" s="2" t="s">
        <v>142</v>
      </c>
      <c r="X3355" s="2" t="s">
        <v>100</v>
      </c>
      <c r="Y3355" s="2" t="s">
        <v>6146</v>
      </c>
      <c r="Z3355" s="4">
        <v>621</v>
      </c>
      <c r="AA3355" s="4">
        <f>=ROUNDDOWN(56.4545454545455,0)</f>
      </c>
      <c r="AB3355" s="5">
        <v>11</v>
      </c>
      <c r="AC3355" s="2" t="s">
        <v>100</v>
      </c>
      <c r="AD3355" s="4"/>
      <c r="AE3355" s="4"/>
      <c r="AF3355" s="6">
        <v>67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/>
      <c r="BJ3355" s="4">
        <v>34</v>
      </c>
      <c r="BK3355" s="8">
        <v>1357.21</v>
      </c>
      <c r="BL3355" s="2" t="s">
        <v>10790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171</v>
      </c>
      <c r="BV3355" s="2" t="s">
        <v>97</v>
      </c>
      <c r="BW3355" s="2" t="s">
        <v>100</v>
      </c>
      <c r="BX3355" s="2" t="s">
        <v>100</v>
      </c>
      <c r="BY3355" s="2" t="s">
        <v>112</v>
      </c>
      <c r="BZ3355" s="2" t="s">
        <v>100</v>
      </c>
    </row>
    <row r="3356">
      <c r="A3356" s="2" t="s">
        <v>10791</v>
      </c>
      <c r="B3356" s="2" t="s">
        <v>10550</v>
      </c>
      <c r="C3356" s="2" t="s">
        <v>5095</v>
      </c>
      <c r="D3356" s="2" t="s">
        <v>10551</v>
      </c>
      <c r="E3356" s="2" t="s">
        <v>4949</v>
      </c>
      <c r="F3356" s="2" t="s">
        <v>5096</v>
      </c>
      <c r="G3356" s="2" t="s">
        <v>5096</v>
      </c>
      <c r="H3356" s="2" t="s">
        <v>5096</v>
      </c>
      <c r="I3356" s="2" t="s">
        <v>10779</v>
      </c>
      <c r="J3356" s="2" t="s">
        <v>3385</v>
      </c>
      <c r="K3356" s="2" t="s">
        <v>1173</v>
      </c>
      <c r="L3356" s="3">
        <v>38</v>
      </c>
      <c r="M3356" s="3">
        <v>39.9</v>
      </c>
      <c r="N3356" s="3">
        <v>79.99</v>
      </c>
      <c r="O3356" s="2" t="s">
        <v>97</v>
      </c>
      <c r="P3356" s="2" t="s">
        <v>156</v>
      </c>
      <c r="Q3356" s="2" t="s">
        <v>99</v>
      </c>
      <c r="R3356" s="2" t="s">
        <v>100</v>
      </c>
      <c r="S3356" s="2" t="s">
        <v>10792</v>
      </c>
      <c r="T3356" s="2" t="s">
        <v>190</v>
      </c>
      <c r="U3356" s="2" t="s">
        <v>355</v>
      </c>
      <c r="V3356" s="2" t="s">
        <v>461</v>
      </c>
      <c r="W3356" s="2" t="s">
        <v>142</v>
      </c>
      <c r="X3356" s="2" t="s">
        <v>100</v>
      </c>
      <c r="Y3356" s="2" t="s">
        <v>4994</v>
      </c>
      <c r="Z3356" s="4">
        <v>237</v>
      </c>
      <c r="AA3356" s="4">
        <f>=ROUNDDOWN(16.9285714285714,0)</f>
      </c>
      <c r="AB3356" s="5">
        <v>14</v>
      </c>
      <c r="AC3356" s="2" t="s">
        <v>676</v>
      </c>
      <c r="AD3356" s="4">
        <v>674</v>
      </c>
      <c r="AE3356" s="4">
        <v>674</v>
      </c>
      <c r="AF3356" s="6">
        <v>67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/>
      <c r="BJ3356" s="4">
        <v>46</v>
      </c>
      <c r="BK3356" s="8">
        <v>1940.58</v>
      </c>
      <c r="BL3356" s="2" t="s">
        <v>10793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171</v>
      </c>
      <c r="BV3356" s="2" t="s">
        <v>97</v>
      </c>
      <c r="BW3356" s="2" t="s">
        <v>100</v>
      </c>
      <c r="BX3356" s="2" t="s">
        <v>100</v>
      </c>
      <c r="BY3356" s="2" t="s">
        <v>112</v>
      </c>
      <c r="BZ3356" s="2" t="s">
        <v>100</v>
      </c>
    </row>
    <row r="3357">
      <c r="A3357" s="2" t="s">
        <v>10794</v>
      </c>
      <c r="B3357" s="2" t="s">
        <v>10550</v>
      </c>
      <c r="C3357" s="2" t="s">
        <v>5095</v>
      </c>
      <c r="D3357" s="2" t="s">
        <v>10551</v>
      </c>
      <c r="E3357" s="2" t="s">
        <v>4949</v>
      </c>
      <c r="F3357" s="2" t="s">
        <v>5096</v>
      </c>
      <c r="G3357" s="2" t="s">
        <v>5096</v>
      </c>
      <c r="H3357" s="2" t="s">
        <v>5096</v>
      </c>
      <c r="I3357" s="2" t="s">
        <v>10779</v>
      </c>
      <c r="J3357" s="2" t="s">
        <v>3385</v>
      </c>
      <c r="K3357" s="2" t="s">
        <v>458</v>
      </c>
      <c r="L3357" s="3">
        <v>38</v>
      </c>
      <c r="M3357" s="3">
        <v>39.9</v>
      </c>
      <c r="N3357" s="3">
        <v>79.99</v>
      </c>
      <c r="O3357" s="2" t="s">
        <v>97</v>
      </c>
      <c r="P3357" s="2" t="s">
        <v>156</v>
      </c>
      <c r="Q3357" s="2" t="s">
        <v>99</v>
      </c>
      <c r="R3357" s="2" t="s">
        <v>100</v>
      </c>
      <c r="S3357" s="2" t="s">
        <v>5111</v>
      </c>
      <c r="T3357" s="2" t="s">
        <v>190</v>
      </c>
      <c r="U3357" s="2" t="s">
        <v>355</v>
      </c>
      <c r="V3357" s="2" t="s">
        <v>461</v>
      </c>
      <c r="W3357" s="2" t="s">
        <v>142</v>
      </c>
      <c r="X3357" s="2" t="s">
        <v>100</v>
      </c>
      <c r="Y3357" s="2" t="s">
        <v>4994</v>
      </c>
      <c r="Z3357" s="4">
        <v>602</v>
      </c>
      <c r="AA3357" s="4">
        <f>=ROUNDDOWN(60.2,0)</f>
      </c>
      <c r="AB3357" s="5">
        <v>10</v>
      </c>
      <c r="AC3357" s="2" t="s">
        <v>100</v>
      </c>
      <c r="AD3357" s="4"/>
      <c r="AE3357" s="4"/>
      <c r="AF3357" s="6">
        <v>67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>
        <v>0</v>
      </c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/>
      <c r="BJ3357" s="4">
        <v>28</v>
      </c>
      <c r="BK3357" s="8">
        <v>1100.53</v>
      </c>
      <c r="BL3357" s="2" t="s">
        <v>5927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171</v>
      </c>
      <c r="BV3357" s="2" t="s">
        <v>97</v>
      </c>
      <c r="BW3357" s="2" t="s">
        <v>100</v>
      </c>
      <c r="BX3357" s="2" t="s">
        <v>100</v>
      </c>
      <c r="BY3357" s="2" t="s">
        <v>112</v>
      </c>
      <c r="BZ3357" s="2" t="s">
        <v>100</v>
      </c>
    </row>
    <row r="3358">
      <c r="A3358" s="2" t="s">
        <v>10795</v>
      </c>
      <c r="B3358" s="2" t="s">
        <v>10550</v>
      </c>
      <c r="C3358" s="2" t="s">
        <v>2517</v>
      </c>
      <c r="D3358" s="2" t="s">
        <v>10551</v>
      </c>
      <c r="E3358" s="2" t="s">
        <v>4949</v>
      </c>
      <c r="F3358" s="2" t="s">
        <v>10796</v>
      </c>
      <c r="G3358" s="2" t="s">
        <v>10796</v>
      </c>
      <c r="H3358" s="2" t="s">
        <v>10796</v>
      </c>
      <c r="I3358" s="2" t="s">
        <v>10797</v>
      </c>
      <c r="J3358" s="2" t="s">
        <v>3385</v>
      </c>
      <c r="K3358" s="2" t="s">
        <v>256</v>
      </c>
      <c r="L3358" s="3">
        <v>23.09</v>
      </c>
      <c r="M3358" s="3">
        <v>24.24</v>
      </c>
      <c r="N3358" s="3">
        <v>54.99</v>
      </c>
      <c r="O3358" s="2" t="s">
        <v>97</v>
      </c>
      <c r="P3358" s="2" t="s">
        <v>98</v>
      </c>
      <c r="Q3358" s="2" t="s">
        <v>99</v>
      </c>
      <c r="R3358" s="2" t="s">
        <v>100</v>
      </c>
      <c r="S3358" s="2" t="s">
        <v>10798</v>
      </c>
      <c r="T3358" s="2" t="s">
        <v>190</v>
      </c>
      <c r="U3358" s="2" t="s">
        <v>355</v>
      </c>
      <c r="V3358" s="2" t="s">
        <v>461</v>
      </c>
      <c r="W3358" s="2" t="s">
        <v>609</v>
      </c>
      <c r="X3358" s="2" t="s">
        <v>493</v>
      </c>
      <c r="Y3358" s="2" t="s">
        <v>7902</v>
      </c>
      <c r="Z3358" s="4">
        <v>697</v>
      </c>
      <c r="AA3358" s="4">
        <f>=ROUNDDOWN(31.6818181818182,0)</f>
      </c>
      <c r="AB3358" s="5">
        <v>22</v>
      </c>
      <c r="AC3358" s="2" t="s">
        <v>10560</v>
      </c>
      <c r="AD3358" s="4">
        <v>570</v>
      </c>
      <c r="AE3358" s="4">
        <v>570</v>
      </c>
      <c r="AF3358" s="6">
        <v>67</v>
      </c>
      <c r="AG3358" s="6"/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/>
      <c r="BJ3358" s="4">
        <v>94</v>
      </c>
      <c r="BK3358" s="8">
        <v>2432.78</v>
      </c>
      <c r="BL3358" s="2" t="s">
        <v>10509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2526</v>
      </c>
      <c r="BV3358" s="2" t="s">
        <v>97</v>
      </c>
      <c r="BW3358" s="2" t="s">
        <v>100</v>
      </c>
      <c r="BX3358" s="2" t="s">
        <v>100</v>
      </c>
      <c r="BY3358" s="2" t="s">
        <v>112</v>
      </c>
      <c r="BZ3358" s="2" t="s">
        <v>100</v>
      </c>
    </row>
    <row r="3359">
      <c r="A3359" s="2" t="s">
        <v>10799</v>
      </c>
      <c r="B3359" s="2" t="s">
        <v>10550</v>
      </c>
      <c r="C3359" s="2" t="s">
        <v>2517</v>
      </c>
      <c r="D3359" s="2" t="s">
        <v>10551</v>
      </c>
      <c r="E3359" s="2" t="s">
        <v>4949</v>
      </c>
      <c r="F3359" s="2" t="s">
        <v>10796</v>
      </c>
      <c r="G3359" s="2" t="s">
        <v>10796</v>
      </c>
      <c r="H3359" s="2" t="s">
        <v>10796</v>
      </c>
      <c r="I3359" s="2" t="s">
        <v>10797</v>
      </c>
      <c r="J3359" s="2" t="s">
        <v>3385</v>
      </c>
      <c r="K3359" s="2" t="s">
        <v>96</v>
      </c>
      <c r="L3359" s="3">
        <v>23.09</v>
      </c>
      <c r="M3359" s="3">
        <v>24.24</v>
      </c>
      <c r="N3359" s="3">
        <v>54.99</v>
      </c>
      <c r="O3359" s="2" t="s">
        <v>97</v>
      </c>
      <c r="P3359" s="2" t="s">
        <v>98</v>
      </c>
      <c r="Q3359" s="2" t="s">
        <v>99</v>
      </c>
      <c r="R3359" s="2" t="s">
        <v>100</v>
      </c>
      <c r="S3359" s="2" t="s">
        <v>10800</v>
      </c>
      <c r="T3359" s="2" t="s">
        <v>190</v>
      </c>
      <c r="U3359" s="2" t="s">
        <v>355</v>
      </c>
      <c r="V3359" s="2" t="s">
        <v>461</v>
      </c>
      <c r="W3359" s="2" t="s">
        <v>609</v>
      </c>
      <c r="X3359" s="2" t="s">
        <v>493</v>
      </c>
      <c r="Y3359" s="2" t="s">
        <v>7902</v>
      </c>
      <c r="Z3359" s="4">
        <v>357</v>
      </c>
      <c r="AA3359" s="4">
        <f>=ROUNDDOWN(22.3125,0)</f>
      </c>
      <c r="AB3359" s="5">
        <v>16</v>
      </c>
      <c r="AC3359" s="2" t="s">
        <v>897</v>
      </c>
      <c r="AD3359" s="4">
        <v>376</v>
      </c>
      <c r="AE3359" s="4">
        <v>376</v>
      </c>
      <c r="AF3359" s="6">
        <v>67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/>
      <c r="BJ3359" s="4">
        <v>47</v>
      </c>
      <c r="BK3359" s="8">
        <v>1217.32</v>
      </c>
      <c r="BL3359" s="2" t="s">
        <v>10509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2526</v>
      </c>
      <c r="BV3359" s="2" t="s">
        <v>97</v>
      </c>
      <c r="BW3359" s="2" t="s">
        <v>100</v>
      </c>
      <c r="BX3359" s="2" t="s">
        <v>100</v>
      </c>
      <c r="BY3359" s="2" t="s">
        <v>112</v>
      </c>
      <c r="BZ3359" s="2" t="s">
        <v>100</v>
      </c>
    </row>
    <row r="3360">
      <c r="A3360" s="2" t="s">
        <v>10801</v>
      </c>
      <c r="B3360" s="2" t="s">
        <v>10550</v>
      </c>
      <c r="C3360" s="2" t="s">
        <v>2517</v>
      </c>
      <c r="D3360" s="2" t="s">
        <v>10551</v>
      </c>
      <c r="E3360" s="2" t="s">
        <v>4949</v>
      </c>
      <c r="F3360" s="2" t="s">
        <v>10796</v>
      </c>
      <c r="G3360" s="2" t="s">
        <v>10796</v>
      </c>
      <c r="H3360" s="2" t="s">
        <v>10796</v>
      </c>
      <c r="I3360" s="2" t="s">
        <v>10797</v>
      </c>
      <c r="J3360" s="2" t="s">
        <v>3385</v>
      </c>
      <c r="K3360" s="2" t="s">
        <v>446</v>
      </c>
      <c r="L3360" s="3">
        <v>23.09</v>
      </c>
      <c r="M3360" s="3">
        <v>24.24</v>
      </c>
      <c r="N3360" s="3">
        <v>54.99</v>
      </c>
      <c r="O3360" s="2" t="s">
        <v>97</v>
      </c>
      <c r="P3360" s="2" t="s">
        <v>98</v>
      </c>
      <c r="Q3360" s="2" t="s">
        <v>99</v>
      </c>
      <c r="R3360" s="2" t="s">
        <v>100</v>
      </c>
      <c r="S3360" s="2" t="s">
        <v>10802</v>
      </c>
      <c r="T3360" s="2" t="s">
        <v>190</v>
      </c>
      <c r="U3360" s="2" t="s">
        <v>355</v>
      </c>
      <c r="V3360" s="2" t="s">
        <v>461</v>
      </c>
      <c r="W3360" s="2" t="s">
        <v>609</v>
      </c>
      <c r="X3360" s="2" t="s">
        <v>493</v>
      </c>
      <c r="Y3360" s="2" t="s">
        <v>7902</v>
      </c>
      <c r="Z3360" s="4">
        <v>310</v>
      </c>
      <c r="AA3360" s="4">
        <f>=ROUNDDOWN(23.8461538461538,0)</f>
      </c>
      <c r="AB3360" s="5">
        <v>13</v>
      </c>
      <c r="AC3360" s="2" t="s">
        <v>10560</v>
      </c>
      <c r="AD3360" s="4">
        <v>570</v>
      </c>
      <c r="AE3360" s="4">
        <v>570</v>
      </c>
      <c r="AF3360" s="6">
        <v>67</v>
      </c>
      <c r="AG3360" s="6"/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/>
      <c r="BJ3360" s="4">
        <v>38</v>
      </c>
      <c r="BK3360" s="8">
        <v>976.06</v>
      </c>
      <c r="BL3360" s="2" t="s">
        <v>10509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2526</v>
      </c>
      <c r="BV3360" s="2" t="s">
        <v>97</v>
      </c>
      <c r="BW3360" s="2" t="s">
        <v>100</v>
      </c>
      <c r="BX3360" s="2" t="s">
        <v>100</v>
      </c>
      <c r="BY3360" s="2" t="s">
        <v>112</v>
      </c>
      <c r="BZ3360" s="2" t="s">
        <v>100</v>
      </c>
    </row>
    <row r="3361">
      <c r="A3361" s="2" t="s">
        <v>10803</v>
      </c>
      <c r="B3361" s="2" t="s">
        <v>10550</v>
      </c>
      <c r="C3361" s="2" t="s">
        <v>2517</v>
      </c>
      <c r="D3361" s="2" t="s">
        <v>10551</v>
      </c>
      <c r="E3361" s="2" t="s">
        <v>4949</v>
      </c>
      <c r="F3361" s="2" t="s">
        <v>10796</v>
      </c>
      <c r="G3361" s="2" t="s">
        <v>10796</v>
      </c>
      <c r="H3361" s="2" t="s">
        <v>10796</v>
      </c>
      <c r="I3361" s="2" t="s">
        <v>10797</v>
      </c>
      <c r="J3361" s="2" t="s">
        <v>3385</v>
      </c>
      <c r="K3361" s="2" t="s">
        <v>458</v>
      </c>
      <c r="L3361" s="3">
        <v>23.09</v>
      </c>
      <c r="M3361" s="3">
        <v>24.24</v>
      </c>
      <c r="N3361" s="3">
        <v>54.99</v>
      </c>
      <c r="O3361" s="2" t="s">
        <v>97</v>
      </c>
      <c r="P3361" s="2" t="s">
        <v>98</v>
      </c>
      <c r="Q3361" s="2" t="s">
        <v>99</v>
      </c>
      <c r="R3361" s="2" t="s">
        <v>100</v>
      </c>
      <c r="S3361" s="2" t="s">
        <v>10804</v>
      </c>
      <c r="T3361" s="2" t="s">
        <v>190</v>
      </c>
      <c r="U3361" s="2" t="s">
        <v>355</v>
      </c>
      <c r="V3361" s="2" t="s">
        <v>461</v>
      </c>
      <c r="W3361" s="2" t="s">
        <v>609</v>
      </c>
      <c r="X3361" s="2" t="s">
        <v>493</v>
      </c>
      <c r="Y3361" s="2" t="s">
        <v>7902</v>
      </c>
      <c r="Z3361" s="4">
        <v>264</v>
      </c>
      <c r="AA3361" s="4">
        <f>=ROUNDDOWN(24,0)</f>
      </c>
      <c r="AB3361" s="5">
        <v>11</v>
      </c>
      <c r="AC3361" s="2" t="s">
        <v>10560</v>
      </c>
      <c r="AD3361" s="4">
        <v>380</v>
      </c>
      <c r="AE3361" s="4">
        <v>380</v>
      </c>
      <c r="AF3361" s="6">
        <v>67</v>
      </c>
      <c r="AG3361" s="6"/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/>
      <c r="BJ3361" s="4">
        <v>35</v>
      </c>
      <c r="BK3361" s="8">
        <v>896.84</v>
      </c>
      <c r="BL3361" s="2" t="s">
        <v>10805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2526</v>
      </c>
      <c r="BV3361" s="2" t="s">
        <v>97</v>
      </c>
      <c r="BW3361" s="2" t="s">
        <v>100</v>
      </c>
      <c r="BX3361" s="2" t="s">
        <v>100</v>
      </c>
      <c r="BY3361" s="2" t="s">
        <v>112</v>
      </c>
      <c r="BZ3361" s="2" t="s">
        <v>100</v>
      </c>
    </row>
    <row r="3362">
      <c r="A3362" s="2" t="s">
        <v>10806</v>
      </c>
      <c r="B3362" s="2" t="s">
        <v>10807</v>
      </c>
      <c r="C3362" s="2" t="s">
        <v>88</v>
      </c>
      <c r="D3362" s="2" t="s">
        <v>2572</v>
      </c>
      <c r="E3362" s="2" t="s">
        <v>2573</v>
      </c>
      <c r="F3362" s="2" t="s">
        <v>10808</v>
      </c>
      <c r="G3362" s="2" t="s">
        <v>10809</v>
      </c>
      <c r="H3362" s="2" t="s">
        <v>7364</v>
      </c>
      <c r="I3362" s="2" t="s">
        <v>10810</v>
      </c>
      <c r="J3362" s="2" t="s">
        <v>10811</v>
      </c>
      <c r="K3362" s="2" t="s">
        <v>446</v>
      </c>
      <c r="L3362" s="3">
        <v>18.24</v>
      </c>
      <c r="M3362" s="3">
        <v>19.15</v>
      </c>
      <c r="N3362" s="3">
        <v>37.99</v>
      </c>
      <c r="O3362" s="2" t="s">
        <v>97</v>
      </c>
      <c r="P3362" s="2" t="s">
        <v>98</v>
      </c>
      <c r="Q3362" s="2" t="s">
        <v>99</v>
      </c>
      <c r="R3362" s="2" t="s">
        <v>100</v>
      </c>
      <c r="S3362" s="2" t="s">
        <v>10812</v>
      </c>
      <c r="T3362" s="2" t="s">
        <v>100</v>
      </c>
      <c r="U3362" s="2" t="s">
        <v>1776</v>
      </c>
      <c r="V3362" s="2" t="s">
        <v>269</v>
      </c>
      <c r="W3362" s="2" t="s">
        <v>609</v>
      </c>
      <c r="X3362" s="2" t="s">
        <v>10813</v>
      </c>
      <c r="Y3362" s="2" t="s">
        <v>906</v>
      </c>
      <c r="Z3362" s="4">
        <v>780</v>
      </c>
      <c r="AA3362" s="4">
        <f>=ROUNDDOWN(26,0)</f>
      </c>
      <c r="AB3362" s="5">
        <v>30</v>
      </c>
      <c r="AC3362" s="2" t="s">
        <v>4620</v>
      </c>
      <c r="AD3362" s="4">
        <v>100</v>
      </c>
      <c r="AE3362" s="4">
        <v>492</v>
      </c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1</v>
      </c>
      <c r="AQ3362" s="8">
        <v>17.64</v>
      </c>
      <c r="AR3362" s="4"/>
      <c r="AS3362" s="8"/>
      <c r="AT3362" s="7"/>
      <c r="AU3362" s="7"/>
      <c r="AV3362" s="4">
        <v>13</v>
      </c>
      <c r="AW3362" s="8">
        <v>249.48</v>
      </c>
      <c r="AX3362" s="4" t="s">
        <v>100</v>
      </c>
      <c r="AY3362" s="8" t="s">
        <v>100</v>
      </c>
      <c r="AZ3362" s="7" t="s">
        <v>100</v>
      </c>
      <c r="BA3362" s="7" t="s">
        <v>100</v>
      </c>
      <c r="BB3362" s="7">
        <v>0.0707</v>
      </c>
      <c r="BC3362" s="4">
        <v>25</v>
      </c>
      <c r="BD3362" s="8">
        <v>478.9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>
        <v>0.5209</v>
      </c>
      <c r="BJ3362" s="4">
        <v>67</v>
      </c>
      <c r="BK3362" s="8">
        <v>1214.58</v>
      </c>
      <c r="BL3362" s="2" t="s">
        <v>10814</v>
      </c>
      <c r="BM3362" s="7">
        <v>0.0149</v>
      </c>
      <c r="BN3362" s="7">
        <v>0.0145</v>
      </c>
      <c r="BO3362" s="4">
        <v>1</v>
      </c>
      <c r="BP3362" s="8">
        <v>17.64</v>
      </c>
      <c r="BQ3362" s="4"/>
      <c r="BR3362" s="8"/>
      <c r="BS3362" s="7"/>
      <c r="BT3362" s="7"/>
      <c r="BU3362" s="2" t="s">
        <v>109</v>
      </c>
      <c r="BV3362" s="2" t="s">
        <v>97</v>
      </c>
      <c r="BW3362" s="2" t="s">
        <v>2216</v>
      </c>
      <c r="BX3362" s="2" t="s">
        <v>10815</v>
      </c>
      <c r="BY3362" s="2" t="s">
        <v>112</v>
      </c>
      <c r="BZ3362" s="2" t="s">
        <v>149</v>
      </c>
    </row>
    <row r="3363">
      <c r="A3363" s="2" t="s">
        <v>10816</v>
      </c>
      <c r="B3363" s="2" t="s">
        <v>10807</v>
      </c>
      <c r="C3363" s="2" t="s">
        <v>88</v>
      </c>
      <c r="D3363" s="2" t="s">
        <v>2572</v>
      </c>
      <c r="E3363" s="2" t="s">
        <v>2573</v>
      </c>
      <c r="F3363" s="2" t="s">
        <v>10808</v>
      </c>
      <c r="G3363" s="2" t="s">
        <v>10809</v>
      </c>
      <c r="H3363" s="2" t="s">
        <v>7364</v>
      </c>
      <c r="I3363" s="2" t="s">
        <v>10817</v>
      </c>
      <c r="J3363" s="2" t="s">
        <v>10818</v>
      </c>
      <c r="K3363" s="2" t="s">
        <v>446</v>
      </c>
      <c r="L3363" s="3">
        <v>20.21</v>
      </c>
      <c r="M3363" s="3">
        <v>21.22</v>
      </c>
      <c r="N3363" s="3">
        <v>42.99</v>
      </c>
      <c r="O3363" s="2" t="s">
        <v>97</v>
      </c>
      <c r="P3363" s="2" t="s">
        <v>139</v>
      </c>
      <c r="Q3363" s="2" t="s">
        <v>99</v>
      </c>
      <c r="R3363" s="2" t="s">
        <v>100</v>
      </c>
      <c r="S3363" s="2" t="s">
        <v>10812</v>
      </c>
      <c r="T3363" s="2" t="s">
        <v>100</v>
      </c>
      <c r="U3363" s="2" t="s">
        <v>1776</v>
      </c>
      <c r="V3363" s="2" t="s">
        <v>269</v>
      </c>
      <c r="W3363" s="2" t="s">
        <v>609</v>
      </c>
      <c r="X3363" s="2" t="s">
        <v>10813</v>
      </c>
      <c r="Y3363" s="2" t="s">
        <v>906</v>
      </c>
      <c r="Z3363" s="4">
        <v>3467</v>
      </c>
      <c r="AA3363" s="4">
        <f>=ROUNDDOWN(16.9950980392157,0)</f>
      </c>
      <c r="AB3363" s="5">
        <v>204</v>
      </c>
      <c r="AC3363" s="2" t="s">
        <v>4620</v>
      </c>
      <c r="AD3363" s="4">
        <v>1000</v>
      </c>
      <c r="AE3363" s="4">
        <v>2796</v>
      </c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>
        <v>12</v>
      </c>
      <c r="AQ3363" s="8">
        <v>231.84</v>
      </c>
      <c r="AR3363" s="4"/>
      <c r="AS3363" s="8"/>
      <c r="AT3363" s="7"/>
      <c r="AU3363" s="7"/>
      <c r="AV3363" s="4" t="s">
        <v>100</v>
      </c>
      <c r="AW3363" s="8" t="s">
        <v>100</v>
      </c>
      <c r="AX3363" s="4" t="s">
        <v>100</v>
      </c>
      <c r="AY3363" s="8" t="s">
        <v>100</v>
      </c>
      <c r="AZ3363" s="7" t="s">
        <v>100</v>
      </c>
      <c r="BA3363" s="7" t="s">
        <v>100</v>
      </c>
      <c r="BB3363" s="7">
        <v>0.9293</v>
      </c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 t="s">
        <v>100</v>
      </c>
      <c r="BJ3363" s="4">
        <v>781</v>
      </c>
      <c r="BK3363" s="8">
        <v>15814.37</v>
      </c>
      <c r="BL3363" s="2" t="s">
        <v>10819</v>
      </c>
      <c r="BM3363" s="7">
        <v>0.0154</v>
      </c>
      <c r="BN3363" s="7">
        <v>0.0147</v>
      </c>
      <c r="BO3363" s="4">
        <v>12</v>
      </c>
      <c r="BP3363" s="8">
        <v>231.84</v>
      </c>
      <c r="BQ3363" s="4"/>
      <c r="BR3363" s="8"/>
      <c r="BS3363" s="7"/>
      <c r="BT3363" s="7"/>
      <c r="BU3363" s="2" t="s">
        <v>109</v>
      </c>
      <c r="BV3363" s="2" t="s">
        <v>97</v>
      </c>
      <c r="BW3363" s="2" t="s">
        <v>2216</v>
      </c>
      <c r="BX3363" s="2" t="s">
        <v>7347</v>
      </c>
      <c r="BY3363" s="2" t="s">
        <v>112</v>
      </c>
      <c r="BZ3363" s="2" t="s">
        <v>149</v>
      </c>
    </row>
    <row r="3364">
      <c r="A3364" s="2" t="s">
        <v>10820</v>
      </c>
      <c r="B3364" s="2" t="s">
        <v>10807</v>
      </c>
      <c r="C3364" s="2" t="s">
        <v>88</v>
      </c>
      <c r="D3364" s="2" t="s">
        <v>2572</v>
      </c>
      <c r="E3364" s="2" t="s">
        <v>2573</v>
      </c>
      <c r="F3364" s="2" t="s">
        <v>10808</v>
      </c>
      <c r="G3364" s="2" t="s">
        <v>10809</v>
      </c>
      <c r="H3364" s="2" t="s">
        <v>7364</v>
      </c>
      <c r="I3364" s="2" t="s">
        <v>10817</v>
      </c>
      <c r="J3364" s="2" t="s">
        <v>10811</v>
      </c>
      <c r="K3364" s="2" t="s">
        <v>138</v>
      </c>
      <c r="L3364" s="3">
        <v>17.48</v>
      </c>
      <c r="M3364" s="3">
        <v>18.35</v>
      </c>
      <c r="N3364" s="3">
        <v>37.99</v>
      </c>
      <c r="O3364" s="2" t="s">
        <v>97</v>
      </c>
      <c r="P3364" s="2" t="s">
        <v>123</v>
      </c>
      <c r="Q3364" s="2" t="s">
        <v>99</v>
      </c>
      <c r="R3364" s="2" t="s">
        <v>100</v>
      </c>
      <c r="S3364" s="2" t="s">
        <v>10821</v>
      </c>
      <c r="T3364" s="2" t="s">
        <v>100</v>
      </c>
      <c r="U3364" s="2" t="s">
        <v>1776</v>
      </c>
      <c r="V3364" s="2" t="s">
        <v>269</v>
      </c>
      <c r="W3364" s="2" t="s">
        <v>609</v>
      </c>
      <c r="X3364" s="2" t="s">
        <v>10813</v>
      </c>
      <c r="Y3364" s="2" t="s">
        <v>906</v>
      </c>
      <c r="Z3364" s="4">
        <v>1428</v>
      </c>
      <c r="AA3364" s="4">
        <f>=ROUNDDOWN(12.5263157894737,0)</f>
      </c>
      <c r="AB3364" s="5">
        <v>114</v>
      </c>
      <c r="AC3364" s="2" t="s">
        <v>4620</v>
      </c>
      <c r="AD3364" s="4">
        <v>400</v>
      </c>
      <c r="AE3364" s="4">
        <v>3384</v>
      </c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>
        <v>1</v>
      </c>
      <c r="AQ3364" s="8">
        <v>16.9</v>
      </c>
      <c r="AR3364" s="4"/>
      <c r="AS3364" s="8"/>
      <c r="AT3364" s="7"/>
      <c r="AU3364" s="7"/>
      <c r="AV3364" s="4">
        <v>12</v>
      </c>
      <c r="AW3364" s="8">
        <v>229.42</v>
      </c>
      <c r="AX3364" s="4" t="s">
        <v>100</v>
      </c>
      <c r="AY3364" s="8" t="s">
        <v>100</v>
      </c>
      <c r="AZ3364" s="7" t="s">
        <v>100</v>
      </c>
      <c r="BA3364" s="7" t="s">
        <v>100</v>
      </c>
      <c r="BB3364" s="7">
        <v>0.0737</v>
      </c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>
        <v>0.4791</v>
      </c>
      <c r="BJ3364" s="4">
        <v>642</v>
      </c>
      <c r="BK3364" s="8">
        <v>11761.28</v>
      </c>
      <c r="BL3364" s="2" t="s">
        <v>10822</v>
      </c>
      <c r="BM3364" s="7">
        <v>0.0016</v>
      </c>
      <c r="BN3364" s="7">
        <v>0.0014</v>
      </c>
      <c r="BO3364" s="4">
        <v>1</v>
      </c>
      <c r="BP3364" s="8">
        <v>16.9</v>
      </c>
      <c r="BQ3364" s="4"/>
      <c r="BR3364" s="8"/>
      <c r="BS3364" s="7"/>
      <c r="BT3364" s="7"/>
      <c r="BU3364" s="2" t="s">
        <v>109</v>
      </c>
      <c r="BV3364" s="2" t="s">
        <v>97</v>
      </c>
      <c r="BW3364" s="2" t="s">
        <v>2216</v>
      </c>
      <c r="BX3364" s="2" t="s">
        <v>10823</v>
      </c>
      <c r="BY3364" s="2" t="s">
        <v>112</v>
      </c>
      <c r="BZ3364" s="2" t="s">
        <v>149</v>
      </c>
    </row>
    <row r="3365">
      <c r="A3365" s="2" t="s">
        <v>10824</v>
      </c>
      <c r="B3365" s="2" t="s">
        <v>10807</v>
      </c>
      <c r="C3365" s="2" t="s">
        <v>88</v>
      </c>
      <c r="D3365" s="2" t="s">
        <v>2572</v>
      </c>
      <c r="E3365" s="2" t="s">
        <v>2573</v>
      </c>
      <c r="F3365" s="2" t="s">
        <v>10808</v>
      </c>
      <c r="G3365" s="2" t="s">
        <v>10809</v>
      </c>
      <c r="H3365" s="2" t="s">
        <v>7364</v>
      </c>
      <c r="I3365" s="2" t="s">
        <v>10810</v>
      </c>
      <c r="J3365" s="2" t="s">
        <v>10811</v>
      </c>
      <c r="K3365" s="2" t="s">
        <v>138</v>
      </c>
      <c r="L3365" s="3">
        <v>18.24</v>
      </c>
      <c r="M3365" s="3">
        <v>19.15</v>
      </c>
      <c r="N3365" s="3">
        <v>37.99</v>
      </c>
      <c r="O3365" s="2" t="s">
        <v>97</v>
      </c>
      <c r="P3365" s="2" t="s">
        <v>123</v>
      </c>
      <c r="Q3365" s="2" t="s">
        <v>99</v>
      </c>
      <c r="R3365" s="2" t="s">
        <v>100</v>
      </c>
      <c r="S3365" s="2" t="s">
        <v>10821</v>
      </c>
      <c r="T3365" s="2" t="s">
        <v>100</v>
      </c>
      <c r="U3365" s="2" t="s">
        <v>1776</v>
      </c>
      <c r="V3365" s="2" t="s">
        <v>269</v>
      </c>
      <c r="W3365" s="2" t="s">
        <v>609</v>
      </c>
      <c r="X3365" s="2" t="s">
        <v>10813</v>
      </c>
      <c r="Y3365" s="2" t="s">
        <v>906</v>
      </c>
      <c r="Z3365" s="4">
        <v>297</v>
      </c>
      <c r="AA3365" s="4">
        <f>=ROUNDDOWN(17.5739644970414,0)</f>
      </c>
      <c r="AB3365" s="5">
        <v>16.9</v>
      </c>
      <c r="AC3365" s="2" t="s">
        <v>4620</v>
      </c>
      <c r="AD3365" s="4">
        <v>260</v>
      </c>
      <c r="AE3365" s="4">
        <v>340</v>
      </c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/>
      <c r="AQ3365" s="8"/>
      <c r="AR3365" s="4"/>
      <c r="AS3365" s="8"/>
      <c r="AT3365" s="7"/>
      <c r="AU3365" s="7"/>
      <c r="AV3365" s="4" t="s">
        <v>100</v>
      </c>
      <c r="AW3365" s="8" t="s">
        <v>100</v>
      </c>
      <c r="AX3365" s="4" t="s">
        <v>100</v>
      </c>
      <c r="AY3365" s="8" t="s">
        <v>100</v>
      </c>
      <c r="AZ3365" s="7" t="s">
        <v>100</v>
      </c>
      <c r="BA3365" s="7" t="s">
        <v>100</v>
      </c>
      <c r="BB3365" s="7" t="s">
        <v>100</v>
      </c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 t="s">
        <v>100</v>
      </c>
      <c r="BJ3365" s="4">
        <v>49</v>
      </c>
      <c r="BK3365" s="8">
        <v>897.54</v>
      </c>
      <c r="BL3365" s="2" t="s">
        <v>10825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109</v>
      </c>
      <c r="BV3365" s="2" t="s">
        <v>97</v>
      </c>
      <c r="BW3365" s="2" t="s">
        <v>2216</v>
      </c>
      <c r="BX3365" s="2" t="s">
        <v>10815</v>
      </c>
      <c r="BY3365" s="2" t="s">
        <v>112</v>
      </c>
      <c r="BZ3365" s="2" t="s">
        <v>149</v>
      </c>
    </row>
    <row r="3366">
      <c r="A3366" s="2" t="s">
        <v>10826</v>
      </c>
      <c r="B3366" s="2" t="s">
        <v>10807</v>
      </c>
      <c r="C3366" s="2" t="s">
        <v>88</v>
      </c>
      <c r="D3366" s="2" t="s">
        <v>2572</v>
      </c>
      <c r="E3366" s="2" t="s">
        <v>2573</v>
      </c>
      <c r="F3366" s="2" t="s">
        <v>10808</v>
      </c>
      <c r="G3366" s="2" t="s">
        <v>10809</v>
      </c>
      <c r="H3366" s="2" t="s">
        <v>7364</v>
      </c>
      <c r="I3366" s="2" t="s">
        <v>10817</v>
      </c>
      <c r="J3366" s="2" t="s">
        <v>10818</v>
      </c>
      <c r="K3366" s="2" t="s">
        <v>138</v>
      </c>
      <c r="L3366" s="3">
        <v>20.21</v>
      </c>
      <c r="M3366" s="3">
        <v>21.22</v>
      </c>
      <c r="N3366" s="3">
        <v>42.99</v>
      </c>
      <c r="O3366" s="2" t="s">
        <v>97</v>
      </c>
      <c r="P3366" s="2" t="s">
        <v>139</v>
      </c>
      <c r="Q3366" s="2" t="s">
        <v>99</v>
      </c>
      <c r="R3366" s="2" t="s">
        <v>100</v>
      </c>
      <c r="S3366" s="2" t="s">
        <v>10821</v>
      </c>
      <c r="T3366" s="2" t="s">
        <v>100</v>
      </c>
      <c r="U3366" s="2" t="s">
        <v>1776</v>
      </c>
      <c r="V3366" s="2" t="s">
        <v>269</v>
      </c>
      <c r="W3366" s="2" t="s">
        <v>609</v>
      </c>
      <c r="X3366" s="2" t="s">
        <v>10813</v>
      </c>
      <c r="Y3366" s="2" t="s">
        <v>906</v>
      </c>
      <c r="Z3366" s="4">
        <v>686</v>
      </c>
      <c r="AA3366" s="4">
        <f>=ROUNDDOWN(5.57723577235772,0)</f>
      </c>
      <c r="AB3366" s="5">
        <v>123</v>
      </c>
      <c r="AC3366" s="2" t="s">
        <v>4620</v>
      </c>
      <c r="AD3366" s="4">
        <v>1968</v>
      </c>
      <c r="AE3366" s="4">
        <v>3992</v>
      </c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11</v>
      </c>
      <c r="AQ3366" s="8">
        <v>212.52</v>
      </c>
      <c r="AR3366" s="4"/>
      <c r="AS3366" s="8"/>
      <c r="AT3366" s="7"/>
      <c r="AU3366" s="7"/>
      <c r="AV3366" s="4" t="s">
        <v>100</v>
      </c>
      <c r="AW3366" s="8" t="s">
        <v>100</v>
      </c>
      <c r="AX3366" s="4" t="s">
        <v>100</v>
      </c>
      <c r="AY3366" s="8" t="s">
        <v>100</v>
      </c>
      <c r="AZ3366" s="7" t="s">
        <v>100</v>
      </c>
      <c r="BA3366" s="7" t="s">
        <v>100</v>
      </c>
      <c r="BB3366" s="7">
        <v>0.9263</v>
      </c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 t="s">
        <v>100</v>
      </c>
      <c r="BJ3366" s="4">
        <v>491</v>
      </c>
      <c r="BK3366" s="8">
        <v>10359.95</v>
      </c>
      <c r="BL3366" s="2" t="s">
        <v>10827</v>
      </c>
      <c r="BM3366" s="7">
        <v>0.0224</v>
      </c>
      <c r="BN3366" s="7">
        <v>0.0205</v>
      </c>
      <c r="BO3366" s="4">
        <v>11</v>
      </c>
      <c r="BP3366" s="8">
        <v>212.52</v>
      </c>
      <c r="BQ3366" s="4"/>
      <c r="BR3366" s="8"/>
      <c r="BS3366" s="7"/>
      <c r="BT3366" s="7"/>
      <c r="BU3366" s="2" t="s">
        <v>109</v>
      </c>
      <c r="BV3366" s="2" t="s">
        <v>97</v>
      </c>
      <c r="BW3366" s="2" t="s">
        <v>2216</v>
      </c>
      <c r="BX3366" s="2" t="s">
        <v>2961</v>
      </c>
      <c r="BY3366" s="2" t="s">
        <v>112</v>
      </c>
      <c r="BZ3366" s="2" t="s">
        <v>149</v>
      </c>
    </row>
    <row r="3367">
      <c r="A3367" s="2" t="s">
        <v>10828</v>
      </c>
      <c r="B3367" s="2" t="s">
        <v>10807</v>
      </c>
      <c r="C3367" s="2" t="s">
        <v>88</v>
      </c>
      <c r="D3367" s="2" t="s">
        <v>2572</v>
      </c>
      <c r="E3367" s="2" t="s">
        <v>2573</v>
      </c>
      <c r="F3367" s="2" t="s">
        <v>10808</v>
      </c>
      <c r="G3367" s="2" t="s">
        <v>10809</v>
      </c>
      <c r="H3367" s="2" t="s">
        <v>7364</v>
      </c>
      <c r="I3367" s="2" t="s">
        <v>10810</v>
      </c>
      <c r="J3367" s="2" t="s">
        <v>10811</v>
      </c>
      <c r="K3367" s="2" t="s">
        <v>256</v>
      </c>
      <c r="L3367" s="3">
        <v>18.24</v>
      </c>
      <c r="M3367" s="3">
        <v>19.15</v>
      </c>
      <c r="N3367" s="3">
        <v>37.99</v>
      </c>
      <c r="O3367" s="2" t="s">
        <v>97</v>
      </c>
      <c r="P3367" s="2" t="s">
        <v>98</v>
      </c>
      <c r="Q3367" s="2" t="s">
        <v>99</v>
      </c>
      <c r="R3367" s="2" t="s">
        <v>100</v>
      </c>
      <c r="S3367" s="2" t="s">
        <v>10829</v>
      </c>
      <c r="T3367" s="2" t="s">
        <v>100</v>
      </c>
      <c r="U3367" s="2" t="s">
        <v>1776</v>
      </c>
      <c r="V3367" s="2" t="s">
        <v>269</v>
      </c>
      <c r="W3367" s="2" t="s">
        <v>10830</v>
      </c>
      <c r="X3367" s="2" t="s">
        <v>10813</v>
      </c>
      <c r="Y3367" s="2" t="s">
        <v>6677</v>
      </c>
      <c r="Z3367" s="4">
        <v>268</v>
      </c>
      <c r="AA3367" s="4">
        <f>=ROUNDDOWN(15.7647058823529,0)</f>
      </c>
      <c r="AB3367" s="5">
        <v>17</v>
      </c>
      <c r="AC3367" s="2" t="s">
        <v>2709</v>
      </c>
      <c r="AD3367" s="4">
        <v>84</v>
      </c>
      <c r="AE3367" s="4">
        <v>284</v>
      </c>
      <c r="AF3367" s="6">
        <v>65</v>
      </c>
      <c r="AG3367" s="6"/>
      <c r="AH3367" s="7">
        <v>0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/>
      <c r="AQ3367" s="8"/>
      <c r="AR3367" s="4"/>
      <c r="AS3367" s="8"/>
      <c r="AT3367" s="7"/>
      <c r="AU3367" s="7"/>
      <c r="AV3367" s="4" t="s">
        <v>100</v>
      </c>
      <c r="AW3367" s="8" t="s">
        <v>100</v>
      </c>
      <c r="AX3367" s="4" t="s">
        <v>100</v>
      </c>
      <c r="AY3367" s="8" t="s">
        <v>100</v>
      </c>
      <c r="AZ3367" s="7" t="s">
        <v>100</v>
      </c>
      <c r="BA3367" s="7" t="s">
        <v>100</v>
      </c>
      <c r="BB3367" s="7" t="s">
        <v>100</v>
      </c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 t="s">
        <v>100</v>
      </c>
      <c r="BJ3367" s="4"/>
      <c r="BK3367" s="8"/>
      <c r="BL3367" s="2" t="s">
        <v>100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171</v>
      </c>
      <c r="BV3367" s="2" t="s">
        <v>97</v>
      </c>
      <c r="BW3367" s="2" t="s">
        <v>100</v>
      </c>
      <c r="BX3367" s="2" t="s">
        <v>100</v>
      </c>
      <c r="BY3367" s="2" t="s">
        <v>112</v>
      </c>
      <c r="BZ3367" s="2" t="s">
        <v>149</v>
      </c>
    </row>
    <row r="3368">
      <c r="A3368" s="2" t="s">
        <v>10831</v>
      </c>
      <c r="B3368" s="2" t="s">
        <v>10807</v>
      </c>
      <c r="C3368" s="2" t="s">
        <v>88</v>
      </c>
      <c r="D3368" s="2" t="s">
        <v>2572</v>
      </c>
      <c r="E3368" s="2" t="s">
        <v>2573</v>
      </c>
      <c r="F3368" s="2" t="s">
        <v>10808</v>
      </c>
      <c r="G3368" s="2" t="s">
        <v>10809</v>
      </c>
      <c r="H3368" s="2" t="s">
        <v>7364</v>
      </c>
      <c r="I3368" s="2" t="s">
        <v>10817</v>
      </c>
      <c r="J3368" s="2" t="s">
        <v>10811</v>
      </c>
      <c r="K3368" s="2" t="s">
        <v>256</v>
      </c>
      <c r="L3368" s="3">
        <v>17.48</v>
      </c>
      <c r="M3368" s="3">
        <v>18.35</v>
      </c>
      <c r="N3368" s="3">
        <v>37.99</v>
      </c>
      <c r="O3368" s="2" t="s">
        <v>97</v>
      </c>
      <c r="P3368" s="2" t="s">
        <v>98</v>
      </c>
      <c r="Q3368" s="2" t="s">
        <v>99</v>
      </c>
      <c r="R3368" s="2" t="s">
        <v>100</v>
      </c>
      <c r="S3368" s="2" t="s">
        <v>10829</v>
      </c>
      <c r="T3368" s="2" t="s">
        <v>100</v>
      </c>
      <c r="U3368" s="2" t="s">
        <v>1776</v>
      </c>
      <c r="V3368" s="2" t="s">
        <v>269</v>
      </c>
      <c r="W3368" s="2" t="s">
        <v>10830</v>
      </c>
      <c r="X3368" s="2" t="s">
        <v>10813</v>
      </c>
      <c r="Y3368" s="2" t="s">
        <v>10832</v>
      </c>
      <c r="Z3368" s="4">
        <v>1150</v>
      </c>
      <c r="AA3368" s="4">
        <f>=ROUNDDOWN(22.1153846153846,0)</f>
      </c>
      <c r="AB3368" s="5">
        <v>52</v>
      </c>
      <c r="AC3368" s="2" t="s">
        <v>2709</v>
      </c>
      <c r="AD3368" s="4">
        <v>488</v>
      </c>
      <c r="AE3368" s="4">
        <v>1208</v>
      </c>
      <c r="AF3368" s="6">
        <v>65</v>
      </c>
      <c r="AG3368" s="6"/>
      <c r="AH3368" s="7">
        <v>0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/>
      <c r="AQ3368" s="8"/>
      <c r="AR3368" s="4"/>
      <c r="AS3368" s="8"/>
      <c r="AT3368" s="7"/>
      <c r="AU3368" s="7"/>
      <c r="AV3368" s="4" t="s">
        <v>100</v>
      </c>
      <c r="AW3368" s="8" t="s">
        <v>100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 t="s">
        <v>100</v>
      </c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 t="s">
        <v>100</v>
      </c>
      <c r="BJ3368" s="4"/>
      <c r="BK3368" s="8"/>
      <c r="BL3368" s="2" t="s">
        <v>100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171</v>
      </c>
      <c r="BV3368" s="2" t="s">
        <v>97</v>
      </c>
      <c r="BW3368" s="2" t="s">
        <v>100</v>
      </c>
      <c r="BX3368" s="2" t="s">
        <v>100</v>
      </c>
      <c r="BY3368" s="2" t="s">
        <v>112</v>
      </c>
      <c r="BZ3368" s="2" t="s">
        <v>149</v>
      </c>
    </row>
    <row r="3369">
      <c r="A3369" s="2" t="s">
        <v>10833</v>
      </c>
      <c r="B3369" s="2" t="s">
        <v>10807</v>
      </c>
      <c r="C3369" s="2" t="s">
        <v>88</v>
      </c>
      <c r="D3369" s="2" t="s">
        <v>2572</v>
      </c>
      <c r="E3369" s="2" t="s">
        <v>2573</v>
      </c>
      <c r="F3369" s="2" t="s">
        <v>10808</v>
      </c>
      <c r="G3369" s="2" t="s">
        <v>10809</v>
      </c>
      <c r="H3369" s="2" t="s">
        <v>7364</v>
      </c>
      <c r="I3369" s="2" t="s">
        <v>10817</v>
      </c>
      <c r="J3369" s="2" t="s">
        <v>10818</v>
      </c>
      <c r="K3369" s="2" t="s">
        <v>256</v>
      </c>
      <c r="L3369" s="3">
        <v>20.21</v>
      </c>
      <c r="M3369" s="3">
        <v>21.22</v>
      </c>
      <c r="N3369" s="3">
        <v>42.99</v>
      </c>
      <c r="O3369" s="2" t="s">
        <v>97</v>
      </c>
      <c r="P3369" s="2" t="s">
        <v>98</v>
      </c>
      <c r="Q3369" s="2" t="s">
        <v>99</v>
      </c>
      <c r="R3369" s="2" t="s">
        <v>100</v>
      </c>
      <c r="S3369" s="2" t="s">
        <v>10829</v>
      </c>
      <c r="T3369" s="2" t="s">
        <v>100</v>
      </c>
      <c r="U3369" s="2" t="s">
        <v>1776</v>
      </c>
      <c r="V3369" s="2" t="s">
        <v>269</v>
      </c>
      <c r="W3369" s="2" t="s">
        <v>10830</v>
      </c>
      <c r="X3369" s="2" t="s">
        <v>10813</v>
      </c>
      <c r="Y3369" s="2" t="s">
        <v>10832</v>
      </c>
      <c r="Z3369" s="4">
        <v>688</v>
      </c>
      <c r="AA3369" s="4">
        <f>=ROUNDDOWN(27.52,0)</f>
      </c>
      <c r="AB3369" s="5">
        <v>25</v>
      </c>
      <c r="AC3369" s="2" t="s">
        <v>2709</v>
      </c>
      <c r="AD3369" s="4">
        <v>476</v>
      </c>
      <c r="AE3369" s="4">
        <v>476</v>
      </c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/>
      <c r="AQ3369" s="8"/>
      <c r="AR3369" s="4"/>
      <c r="AS3369" s="8"/>
      <c r="AT3369" s="7"/>
      <c r="AU3369" s="7"/>
      <c r="AV3369" s="4" t="s">
        <v>100</v>
      </c>
      <c r="AW3369" s="8" t="s">
        <v>100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/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 t="s">
        <v>100</v>
      </c>
      <c r="BJ3369" s="4">
        <v>93</v>
      </c>
      <c r="BK3369" s="8">
        <v>2087.54</v>
      </c>
      <c r="BL3369" s="2" t="s">
        <v>10834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171</v>
      </c>
      <c r="BV3369" s="2" t="s">
        <v>97</v>
      </c>
      <c r="BW3369" s="2" t="s">
        <v>100</v>
      </c>
      <c r="BX3369" s="2" t="s">
        <v>100</v>
      </c>
      <c r="BY3369" s="2" t="s">
        <v>112</v>
      </c>
      <c r="BZ3369" s="2" t="s">
        <v>149</v>
      </c>
    </row>
    <row r="3370">
      <c r="A3370" s="2" t="s">
        <v>10835</v>
      </c>
      <c r="B3370" s="2" t="s">
        <v>10807</v>
      </c>
      <c r="C3370" s="2" t="s">
        <v>88</v>
      </c>
      <c r="D3370" s="2" t="s">
        <v>2572</v>
      </c>
      <c r="E3370" s="2" t="s">
        <v>2573</v>
      </c>
      <c r="F3370" s="2" t="s">
        <v>10808</v>
      </c>
      <c r="G3370" s="2" t="s">
        <v>10809</v>
      </c>
      <c r="H3370" s="2" t="s">
        <v>7364</v>
      </c>
      <c r="I3370" s="2" t="s">
        <v>10810</v>
      </c>
      <c r="J3370" s="2" t="s">
        <v>10811</v>
      </c>
      <c r="K3370" s="2" t="s">
        <v>96</v>
      </c>
      <c r="L3370" s="3">
        <v>18.24</v>
      </c>
      <c r="M3370" s="3">
        <v>19.15</v>
      </c>
      <c r="N3370" s="3">
        <v>37.99</v>
      </c>
      <c r="O3370" s="2" t="s">
        <v>97</v>
      </c>
      <c r="P3370" s="2" t="s">
        <v>98</v>
      </c>
      <c r="Q3370" s="2" t="s">
        <v>99</v>
      </c>
      <c r="R3370" s="2" t="s">
        <v>100</v>
      </c>
      <c r="S3370" s="2" t="s">
        <v>10836</v>
      </c>
      <c r="T3370" s="2" t="s">
        <v>100</v>
      </c>
      <c r="U3370" s="2" t="s">
        <v>1776</v>
      </c>
      <c r="V3370" s="2" t="s">
        <v>269</v>
      </c>
      <c r="W3370" s="2" t="s">
        <v>10830</v>
      </c>
      <c r="X3370" s="2" t="s">
        <v>10813</v>
      </c>
      <c r="Y3370" s="2" t="s">
        <v>6677</v>
      </c>
      <c r="Z3370" s="4">
        <v>235</v>
      </c>
      <c r="AA3370" s="4">
        <f>=ROUNDDOWN(47,0)</f>
      </c>
      <c r="AB3370" s="5">
        <v>5</v>
      </c>
      <c r="AC3370" s="2" t="s">
        <v>100</v>
      </c>
      <c r="AD3370" s="4"/>
      <c r="AE3370" s="4"/>
      <c r="AF3370" s="6">
        <v>65</v>
      </c>
      <c r="AG3370" s="6"/>
      <c r="AH3370" s="7">
        <v>1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>
        <v>0</v>
      </c>
      <c r="AP3370" s="4"/>
      <c r="AQ3370" s="8"/>
      <c r="AR3370" s="4"/>
      <c r="AS3370" s="8"/>
      <c r="AT3370" s="7"/>
      <c r="AU3370" s="7"/>
      <c r="AV3370" s="4" t="s">
        <v>100</v>
      </c>
      <c r="AW3370" s="8" t="s">
        <v>100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 t="s">
        <v>100</v>
      </c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 t="s">
        <v>100</v>
      </c>
      <c r="BJ3370" s="4">
        <v>6</v>
      </c>
      <c r="BK3370" s="8">
        <v>120.66</v>
      </c>
      <c r="BL3370" s="2" t="s">
        <v>5394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171</v>
      </c>
      <c r="BV3370" s="2" t="s">
        <v>97</v>
      </c>
      <c r="BW3370" s="2" t="s">
        <v>100</v>
      </c>
      <c r="BX3370" s="2" t="s">
        <v>100</v>
      </c>
      <c r="BY3370" s="2" t="s">
        <v>112</v>
      </c>
      <c r="BZ3370" s="2" t="s">
        <v>149</v>
      </c>
    </row>
    <row r="3371">
      <c r="A3371" s="2" t="s">
        <v>10837</v>
      </c>
      <c r="B3371" s="2" t="s">
        <v>10807</v>
      </c>
      <c r="C3371" s="2" t="s">
        <v>88</v>
      </c>
      <c r="D3371" s="2" t="s">
        <v>2572</v>
      </c>
      <c r="E3371" s="2" t="s">
        <v>2573</v>
      </c>
      <c r="F3371" s="2" t="s">
        <v>10808</v>
      </c>
      <c r="G3371" s="2" t="s">
        <v>10809</v>
      </c>
      <c r="H3371" s="2" t="s">
        <v>7364</v>
      </c>
      <c r="I3371" s="2" t="s">
        <v>10817</v>
      </c>
      <c r="J3371" s="2" t="s">
        <v>10811</v>
      </c>
      <c r="K3371" s="2" t="s">
        <v>96</v>
      </c>
      <c r="L3371" s="3">
        <v>17.48</v>
      </c>
      <c r="M3371" s="3">
        <v>18.35</v>
      </c>
      <c r="N3371" s="3">
        <v>37.99</v>
      </c>
      <c r="O3371" s="2" t="s">
        <v>97</v>
      </c>
      <c r="P3371" s="2" t="s">
        <v>98</v>
      </c>
      <c r="Q3371" s="2" t="s">
        <v>99</v>
      </c>
      <c r="R3371" s="2" t="s">
        <v>100</v>
      </c>
      <c r="S3371" s="2" t="s">
        <v>10836</v>
      </c>
      <c r="T3371" s="2" t="s">
        <v>100</v>
      </c>
      <c r="U3371" s="2" t="s">
        <v>1776</v>
      </c>
      <c r="V3371" s="2" t="s">
        <v>269</v>
      </c>
      <c r="W3371" s="2" t="s">
        <v>10830</v>
      </c>
      <c r="X3371" s="2" t="s">
        <v>10813</v>
      </c>
      <c r="Y3371" s="2" t="s">
        <v>10832</v>
      </c>
      <c r="Z3371" s="4">
        <v>1245</v>
      </c>
      <c r="AA3371" s="4">
        <f>=ROUNDDOWN(113.181818181818,0)</f>
      </c>
      <c r="AB3371" s="5">
        <v>11</v>
      </c>
      <c r="AC3371" s="2" t="s">
        <v>100</v>
      </c>
      <c r="AD3371" s="4"/>
      <c r="AE3371" s="4"/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/>
      <c r="AQ3371" s="8"/>
      <c r="AR3371" s="4"/>
      <c r="AS3371" s="8"/>
      <c r="AT3371" s="7"/>
      <c r="AU3371" s="7"/>
      <c r="AV3371" s="4" t="s">
        <v>100</v>
      </c>
      <c r="AW3371" s="8" t="s">
        <v>100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 t="s">
        <v>100</v>
      </c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 t="s">
        <v>100</v>
      </c>
      <c r="BJ3371" s="4">
        <v>28</v>
      </c>
      <c r="BK3371" s="8">
        <v>496.26</v>
      </c>
      <c r="BL3371" s="2" t="s">
        <v>2763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171</v>
      </c>
      <c r="BV3371" s="2" t="s">
        <v>97</v>
      </c>
      <c r="BW3371" s="2" t="s">
        <v>100</v>
      </c>
      <c r="BX3371" s="2" t="s">
        <v>100</v>
      </c>
      <c r="BY3371" s="2" t="s">
        <v>112</v>
      </c>
      <c r="BZ3371" s="2" t="s">
        <v>149</v>
      </c>
    </row>
    <row r="3372">
      <c r="A3372" s="2" t="s">
        <v>10838</v>
      </c>
      <c r="B3372" s="2" t="s">
        <v>10807</v>
      </c>
      <c r="C3372" s="2" t="s">
        <v>88</v>
      </c>
      <c r="D3372" s="2" t="s">
        <v>2572</v>
      </c>
      <c r="E3372" s="2" t="s">
        <v>2573</v>
      </c>
      <c r="F3372" s="2" t="s">
        <v>10808</v>
      </c>
      <c r="G3372" s="2" t="s">
        <v>10809</v>
      </c>
      <c r="H3372" s="2" t="s">
        <v>7364</v>
      </c>
      <c r="I3372" s="2" t="s">
        <v>10817</v>
      </c>
      <c r="J3372" s="2" t="s">
        <v>10818</v>
      </c>
      <c r="K3372" s="2" t="s">
        <v>96</v>
      </c>
      <c r="L3372" s="3">
        <v>20.21</v>
      </c>
      <c r="M3372" s="3">
        <v>21.22</v>
      </c>
      <c r="N3372" s="3">
        <v>42.99</v>
      </c>
      <c r="O3372" s="2" t="s">
        <v>97</v>
      </c>
      <c r="P3372" s="2" t="s">
        <v>98</v>
      </c>
      <c r="Q3372" s="2" t="s">
        <v>99</v>
      </c>
      <c r="R3372" s="2" t="s">
        <v>100</v>
      </c>
      <c r="S3372" s="2" t="s">
        <v>10836</v>
      </c>
      <c r="T3372" s="2" t="s">
        <v>100</v>
      </c>
      <c r="U3372" s="2" t="s">
        <v>1776</v>
      </c>
      <c r="V3372" s="2" t="s">
        <v>269</v>
      </c>
      <c r="W3372" s="2" t="s">
        <v>10830</v>
      </c>
      <c r="X3372" s="2" t="s">
        <v>10813</v>
      </c>
      <c r="Y3372" s="2" t="s">
        <v>10832</v>
      </c>
      <c r="Z3372" s="4">
        <v>1150</v>
      </c>
      <c r="AA3372" s="4">
        <f>=ROUNDDOWN(230,0)</f>
      </c>
      <c r="AB3372" s="5">
        <v>5</v>
      </c>
      <c r="AC3372" s="2" t="s">
        <v>100</v>
      </c>
      <c r="AD3372" s="4"/>
      <c r="AE3372" s="4"/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/>
      <c r="AQ3372" s="8"/>
      <c r="AR3372" s="4"/>
      <c r="AS3372" s="8"/>
      <c r="AT3372" s="7"/>
      <c r="AU3372" s="7"/>
      <c r="AV3372" s="4" t="s">
        <v>100</v>
      </c>
      <c r="AW3372" s="8" t="s">
        <v>100</v>
      </c>
      <c r="AX3372" s="4" t="s">
        <v>100</v>
      </c>
      <c r="AY3372" s="8" t="s">
        <v>100</v>
      </c>
      <c r="AZ3372" s="7" t="s">
        <v>100</v>
      </c>
      <c r="BA3372" s="7" t="s">
        <v>100</v>
      </c>
      <c r="BB3372" s="7"/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 t="s">
        <v>100</v>
      </c>
      <c r="BJ3372" s="4">
        <v>9</v>
      </c>
      <c r="BK3372" s="8">
        <v>235.36</v>
      </c>
      <c r="BL3372" s="2" t="s">
        <v>10839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171</v>
      </c>
      <c r="BV3372" s="2" t="s">
        <v>97</v>
      </c>
      <c r="BW3372" s="2" t="s">
        <v>100</v>
      </c>
      <c r="BX3372" s="2" t="s">
        <v>100</v>
      </c>
      <c r="BY3372" s="2" t="s">
        <v>112</v>
      </c>
      <c r="BZ3372" s="2" t="s">
        <v>149</v>
      </c>
    </row>
    <row r="3373">
      <c r="A3373" s="2" t="s">
        <v>10840</v>
      </c>
      <c r="B3373" s="2" t="s">
        <v>10807</v>
      </c>
      <c r="C3373" s="2" t="s">
        <v>88</v>
      </c>
      <c r="D3373" s="2" t="s">
        <v>2572</v>
      </c>
      <c r="E3373" s="2" t="s">
        <v>2573</v>
      </c>
      <c r="F3373" s="2" t="s">
        <v>852</v>
      </c>
      <c r="G3373" s="2" t="s">
        <v>977</v>
      </c>
      <c r="H3373" s="2" t="s">
        <v>10841</v>
      </c>
      <c r="I3373" s="2" t="s">
        <v>10842</v>
      </c>
      <c r="J3373" s="2" t="s">
        <v>10843</v>
      </c>
      <c r="K3373" s="2" t="s">
        <v>458</v>
      </c>
      <c r="L3373" s="3">
        <v>18.4</v>
      </c>
      <c r="M3373" s="3">
        <v>19.32</v>
      </c>
      <c r="N3373" s="3">
        <v>39.99</v>
      </c>
      <c r="O3373" s="2" t="s">
        <v>97</v>
      </c>
      <c r="P3373" s="2" t="s">
        <v>156</v>
      </c>
      <c r="Q3373" s="2" t="s">
        <v>99</v>
      </c>
      <c r="R3373" s="2" t="s">
        <v>100</v>
      </c>
      <c r="S3373" s="2" t="s">
        <v>10844</v>
      </c>
      <c r="T3373" s="2" t="s">
        <v>100</v>
      </c>
      <c r="U3373" s="2" t="s">
        <v>1776</v>
      </c>
      <c r="V3373" s="2" t="s">
        <v>461</v>
      </c>
      <c r="W3373" s="2" t="s">
        <v>142</v>
      </c>
      <c r="X3373" s="2" t="s">
        <v>10845</v>
      </c>
      <c r="Y3373" s="2" t="s">
        <v>1120</v>
      </c>
      <c r="Z3373" s="4">
        <v>572</v>
      </c>
      <c r="AA3373" s="4">
        <f>=ROUNDDOWN(28.6,0)</f>
      </c>
      <c r="AB3373" s="5">
        <v>20</v>
      </c>
      <c r="AC3373" s="2" t="s">
        <v>107</v>
      </c>
      <c r="AD3373" s="4">
        <v>152</v>
      </c>
      <c r="AE3373" s="4">
        <v>304</v>
      </c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/>
      <c r="AQ3373" s="8"/>
      <c r="AR3373" s="4"/>
      <c r="AS3373" s="8"/>
      <c r="AT3373" s="7"/>
      <c r="AU3373" s="7"/>
      <c r="AV3373" s="4">
        <v>5</v>
      </c>
      <c r="AW3373" s="8">
        <v>97.1</v>
      </c>
      <c r="AX3373" s="4" t="s">
        <v>100</v>
      </c>
      <c r="AY3373" s="8" t="s">
        <v>100</v>
      </c>
      <c r="AZ3373" s="7" t="s">
        <v>100</v>
      </c>
      <c r="BA3373" s="7" t="s">
        <v>100</v>
      </c>
      <c r="BB3373" s="7"/>
      <c r="BC3373" s="4">
        <v>5</v>
      </c>
      <c r="BD3373" s="8">
        <v>97.1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>
        <v>1</v>
      </c>
      <c r="BJ3373" s="4">
        <v>69</v>
      </c>
      <c r="BK3373" s="8">
        <v>1390.01</v>
      </c>
      <c r="BL3373" s="2" t="s">
        <v>10846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109</v>
      </c>
      <c r="BV3373" s="2" t="s">
        <v>97</v>
      </c>
      <c r="BW3373" s="2" t="s">
        <v>5476</v>
      </c>
      <c r="BX3373" s="2" t="s">
        <v>1072</v>
      </c>
      <c r="BY3373" s="2" t="s">
        <v>112</v>
      </c>
      <c r="BZ3373" s="2" t="s">
        <v>149</v>
      </c>
    </row>
    <row r="3374">
      <c r="A3374" s="2" t="s">
        <v>10847</v>
      </c>
      <c r="B3374" s="2" t="s">
        <v>10807</v>
      </c>
      <c r="C3374" s="2" t="s">
        <v>88</v>
      </c>
      <c r="D3374" s="2" t="s">
        <v>2572</v>
      </c>
      <c r="E3374" s="2" t="s">
        <v>2573</v>
      </c>
      <c r="F3374" s="2" t="s">
        <v>852</v>
      </c>
      <c r="G3374" s="2" t="s">
        <v>977</v>
      </c>
      <c r="H3374" s="2" t="s">
        <v>10841</v>
      </c>
      <c r="I3374" s="2" t="s">
        <v>10842</v>
      </c>
      <c r="J3374" s="2" t="s">
        <v>10848</v>
      </c>
      <c r="K3374" s="2" t="s">
        <v>458</v>
      </c>
      <c r="L3374" s="3">
        <v>20.25</v>
      </c>
      <c r="M3374" s="3">
        <v>21.26</v>
      </c>
      <c r="N3374" s="3">
        <v>44.99</v>
      </c>
      <c r="O3374" s="2" t="s">
        <v>97</v>
      </c>
      <c r="P3374" s="2" t="s">
        <v>156</v>
      </c>
      <c r="Q3374" s="2" t="s">
        <v>99</v>
      </c>
      <c r="R3374" s="2" t="s">
        <v>100</v>
      </c>
      <c r="S3374" s="2" t="s">
        <v>10844</v>
      </c>
      <c r="T3374" s="2" t="s">
        <v>100</v>
      </c>
      <c r="U3374" s="2" t="s">
        <v>1776</v>
      </c>
      <c r="V3374" s="2" t="s">
        <v>461</v>
      </c>
      <c r="W3374" s="2" t="s">
        <v>142</v>
      </c>
      <c r="X3374" s="2" t="s">
        <v>10845</v>
      </c>
      <c r="Y3374" s="2" t="s">
        <v>1120</v>
      </c>
      <c r="Z3374" s="4">
        <v>222</v>
      </c>
      <c r="AA3374" s="4">
        <f>=ROUNDDOWN(13.4545454545455,0)</f>
      </c>
      <c r="AB3374" s="5">
        <v>16.5</v>
      </c>
      <c r="AC3374" s="2" t="s">
        <v>725</v>
      </c>
      <c r="AD3374" s="4">
        <v>52</v>
      </c>
      <c r="AE3374" s="4">
        <v>316</v>
      </c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5</v>
      </c>
      <c r="AQ3374" s="8">
        <v>97.1</v>
      </c>
      <c r="AR3374" s="4"/>
      <c r="AS3374" s="8"/>
      <c r="AT3374" s="7"/>
      <c r="AU3374" s="7"/>
      <c r="AV3374" s="4" t="s">
        <v>100</v>
      </c>
      <c r="AW3374" s="8" t="s">
        <v>100</v>
      </c>
      <c r="AX3374" s="4" t="s">
        <v>100</v>
      </c>
      <c r="AY3374" s="8" t="s">
        <v>100</v>
      </c>
      <c r="AZ3374" s="7" t="s">
        <v>100</v>
      </c>
      <c r="BA3374" s="7" t="s">
        <v>100</v>
      </c>
      <c r="BB3374" s="7">
        <v>1</v>
      </c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 t="s">
        <v>100</v>
      </c>
      <c r="BJ3374" s="4">
        <v>64</v>
      </c>
      <c r="BK3374" s="8">
        <v>1435.71</v>
      </c>
      <c r="BL3374" s="2" t="s">
        <v>10849</v>
      </c>
      <c r="BM3374" s="7">
        <v>0.0781</v>
      </c>
      <c r="BN3374" s="7">
        <v>0.0676</v>
      </c>
      <c r="BO3374" s="4">
        <v>5</v>
      </c>
      <c r="BP3374" s="8">
        <v>97.1</v>
      </c>
      <c r="BQ3374" s="4"/>
      <c r="BR3374" s="8"/>
      <c r="BS3374" s="7"/>
      <c r="BT3374" s="7"/>
      <c r="BU3374" s="2" t="s">
        <v>109</v>
      </c>
      <c r="BV3374" s="2" t="s">
        <v>97</v>
      </c>
      <c r="BW3374" s="2" t="s">
        <v>5476</v>
      </c>
      <c r="BX3374" s="2" t="s">
        <v>10850</v>
      </c>
      <c r="BY3374" s="2" t="s">
        <v>112</v>
      </c>
      <c r="BZ3374" s="2" t="s">
        <v>149</v>
      </c>
    </row>
    <row r="3375">
      <c r="A3375" s="2" t="s">
        <v>10851</v>
      </c>
      <c r="B3375" s="2" t="s">
        <v>10807</v>
      </c>
      <c r="C3375" s="2" t="s">
        <v>88</v>
      </c>
      <c r="D3375" s="2" t="s">
        <v>2572</v>
      </c>
      <c r="E3375" s="2" t="s">
        <v>2573</v>
      </c>
      <c r="F3375" s="2" t="s">
        <v>852</v>
      </c>
      <c r="G3375" s="2" t="s">
        <v>977</v>
      </c>
      <c r="H3375" s="2" t="s">
        <v>10841</v>
      </c>
      <c r="I3375" s="2" t="s">
        <v>10842</v>
      </c>
      <c r="J3375" s="2" t="s">
        <v>10843</v>
      </c>
      <c r="K3375" s="2" t="s">
        <v>3543</v>
      </c>
      <c r="L3375" s="3">
        <v>18.4</v>
      </c>
      <c r="M3375" s="3">
        <v>19.32</v>
      </c>
      <c r="N3375" s="3">
        <v>39.99</v>
      </c>
      <c r="O3375" s="2" t="s">
        <v>97</v>
      </c>
      <c r="P3375" s="2" t="s">
        <v>98</v>
      </c>
      <c r="Q3375" s="2" t="s">
        <v>99</v>
      </c>
      <c r="R3375" s="2" t="s">
        <v>100</v>
      </c>
      <c r="S3375" s="2" t="s">
        <v>10852</v>
      </c>
      <c r="T3375" s="2" t="s">
        <v>100</v>
      </c>
      <c r="U3375" s="2" t="s">
        <v>1776</v>
      </c>
      <c r="V3375" s="2" t="s">
        <v>461</v>
      </c>
      <c r="W3375" s="2" t="s">
        <v>142</v>
      </c>
      <c r="X3375" s="2" t="s">
        <v>10845</v>
      </c>
      <c r="Y3375" s="2" t="s">
        <v>1414</v>
      </c>
      <c r="Z3375" s="4">
        <v>97</v>
      </c>
      <c r="AA3375" s="4">
        <f>=ROUNDDOWN(13.8571428571429,0)</f>
      </c>
      <c r="AB3375" s="5">
        <v>7</v>
      </c>
      <c r="AC3375" s="2" t="s">
        <v>107</v>
      </c>
      <c r="AD3375" s="4">
        <v>120</v>
      </c>
      <c r="AE3375" s="4">
        <v>260</v>
      </c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/>
      <c r="AQ3375" s="8"/>
      <c r="AR3375" s="4"/>
      <c r="AS3375" s="8"/>
      <c r="AT3375" s="7"/>
      <c r="AU3375" s="7"/>
      <c r="AV3375" s="4" t="s">
        <v>100</v>
      </c>
      <c r="AW3375" s="8" t="s">
        <v>100</v>
      </c>
      <c r="AX3375" s="4" t="s">
        <v>100</v>
      </c>
      <c r="AY3375" s="8" t="s">
        <v>100</v>
      </c>
      <c r="AZ3375" s="7" t="s">
        <v>100</v>
      </c>
      <c r="BA3375" s="7" t="s">
        <v>100</v>
      </c>
      <c r="BB3375" s="7"/>
      <c r="BC3375" s="4" t="s">
        <v>100</v>
      </c>
      <c r="BD3375" s="8" t="s">
        <v>100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 t="s">
        <v>100</v>
      </c>
      <c r="BJ3375" s="4">
        <v>20</v>
      </c>
      <c r="BK3375" s="8">
        <v>395.33</v>
      </c>
      <c r="BL3375" s="2" t="s">
        <v>5533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171</v>
      </c>
      <c r="BV3375" s="2" t="s">
        <v>97</v>
      </c>
      <c r="BW3375" s="2" t="s">
        <v>100</v>
      </c>
      <c r="BX3375" s="2" t="s">
        <v>100</v>
      </c>
      <c r="BY3375" s="2" t="s">
        <v>112</v>
      </c>
      <c r="BZ3375" s="2" t="s">
        <v>149</v>
      </c>
    </row>
    <row r="3376">
      <c r="A3376" s="2" t="s">
        <v>10853</v>
      </c>
      <c r="B3376" s="2" t="s">
        <v>10807</v>
      </c>
      <c r="C3376" s="2" t="s">
        <v>88</v>
      </c>
      <c r="D3376" s="2" t="s">
        <v>2572</v>
      </c>
      <c r="E3376" s="2" t="s">
        <v>2573</v>
      </c>
      <c r="F3376" s="2" t="s">
        <v>852</v>
      </c>
      <c r="G3376" s="2" t="s">
        <v>977</v>
      </c>
      <c r="H3376" s="2" t="s">
        <v>10841</v>
      </c>
      <c r="I3376" s="2" t="s">
        <v>10842</v>
      </c>
      <c r="J3376" s="2" t="s">
        <v>10848</v>
      </c>
      <c r="K3376" s="2" t="s">
        <v>3543</v>
      </c>
      <c r="L3376" s="3">
        <v>20.25</v>
      </c>
      <c r="M3376" s="3">
        <v>21.26</v>
      </c>
      <c r="N3376" s="3">
        <v>44.99</v>
      </c>
      <c r="O3376" s="2" t="s">
        <v>97</v>
      </c>
      <c r="P3376" s="2" t="s">
        <v>98</v>
      </c>
      <c r="Q3376" s="2" t="s">
        <v>99</v>
      </c>
      <c r="R3376" s="2" t="s">
        <v>100</v>
      </c>
      <c r="S3376" s="2" t="s">
        <v>10852</v>
      </c>
      <c r="T3376" s="2" t="s">
        <v>100</v>
      </c>
      <c r="U3376" s="2" t="s">
        <v>1776</v>
      </c>
      <c r="V3376" s="2" t="s">
        <v>461</v>
      </c>
      <c r="W3376" s="2" t="s">
        <v>142</v>
      </c>
      <c r="X3376" s="2" t="s">
        <v>10845</v>
      </c>
      <c r="Y3376" s="2" t="s">
        <v>1414</v>
      </c>
      <c r="Z3376" s="4">
        <v>233</v>
      </c>
      <c r="AA3376" s="4">
        <f>=ROUNDDOWN(38.8333333333333,0)</f>
      </c>
      <c r="AB3376" s="5">
        <v>6</v>
      </c>
      <c r="AC3376" s="2" t="s">
        <v>100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/>
      <c r="AQ3376" s="8"/>
      <c r="AR3376" s="4"/>
      <c r="AS3376" s="8"/>
      <c r="AT3376" s="7"/>
      <c r="AU3376" s="7"/>
      <c r="AV3376" s="4" t="s">
        <v>100</v>
      </c>
      <c r="AW3376" s="8" t="s">
        <v>100</v>
      </c>
      <c r="AX3376" s="4" t="s">
        <v>100</v>
      </c>
      <c r="AY3376" s="8" t="s">
        <v>100</v>
      </c>
      <c r="AZ3376" s="7" t="s">
        <v>100</v>
      </c>
      <c r="BA3376" s="7" t="s">
        <v>100</v>
      </c>
      <c r="BB3376" s="7"/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 t="s">
        <v>100</v>
      </c>
      <c r="BJ3376" s="4">
        <v>15</v>
      </c>
      <c r="BK3376" s="8">
        <v>301.53</v>
      </c>
      <c r="BL3376" s="2" t="s">
        <v>10854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171</v>
      </c>
      <c r="BV3376" s="2" t="s">
        <v>97</v>
      </c>
      <c r="BW3376" s="2" t="s">
        <v>100</v>
      </c>
      <c r="BX3376" s="2" t="s">
        <v>100</v>
      </c>
      <c r="BY3376" s="2" t="s">
        <v>112</v>
      </c>
      <c r="BZ3376" s="2" t="s">
        <v>149</v>
      </c>
    </row>
    <row r="3377">
      <c r="A3377" s="2" t="s">
        <v>10855</v>
      </c>
      <c r="B3377" s="2" t="s">
        <v>10807</v>
      </c>
      <c r="C3377" s="2" t="s">
        <v>88</v>
      </c>
      <c r="D3377" s="2" t="s">
        <v>2572</v>
      </c>
      <c r="E3377" s="2" t="s">
        <v>2573</v>
      </c>
      <c r="F3377" s="2" t="s">
        <v>852</v>
      </c>
      <c r="G3377" s="2" t="s">
        <v>977</v>
      </c>
      <c r="H3377" s="2" t="s">
        <v>10841</v>
      </c>
      <c r="I3377" s="2" t="s">
        <v>10842</v>
      </c>
      <c r="J3377" s="2" t="s">
        <v>10848</v>
      </c>
      <c r="K3377" s="2" t="s">
        <v>5739</v>
      </c>
      <c r="L3377" s="3">
        <v>20.25</v>
      </c>
      <c r="M3377" s="3">
        <v>21.26</v>
      </c>
      <c r="N3377" s="3">
        <v>44.99</v>
      </c>
      <c r="O3377" s="2" t="s">
        <v>97</v>
      </c>
      <c r="P3377" s="2" t="s">
        <v>98</v>
      </c>
      <c r="Q3377" s="2" t="s">
        <v>99</v>
      </c>
      <c r="R3377" s="2" t="s">
        <v>100</v>
      </c>
      <c r="S3377" s="2" t="s">
        <v>10856</v>
      </c>
      <c r="T3377" s="2" t="s">
        <v>100</v>
      </c>
      <c r="U3377" s="2" t="s">
        <v>1776</v>
      </c>
      <c r="V3377" s="2" t="s">
        <v>461</v>
      </c>
      <c r="W3377" s="2" t="s">
        <v>142</v>
      </c>
      <c r="X3377" s="2" t="s">
        <v>10845</v>
      </c>
      <c r="Y3377" s="2" t="s">
        <v>1120</v>
      </c>
      <c r="Z3377" s="4">
        <v>132</v>
      </c>
      <c r="AA3377" s="4">
        <f>=ROUNDDOWN(13.2,0)</f>
      </c>
      <c r="AB3377" s="5">
        <v>10</v>
      </c>
      <c r="AC3377" s="2" t="s">
        <v>107</v>
      </c>
      <c r="AD3377" s="4">
        <v>124</v>
      </c>
      <c r="AE3377" s="4">
        <v>124</v>
      </c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100</v>
      </c>
      <c r="BD3377" s="8" t="s">
        <v>100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/>
      <c r="BJ3377" s="4">
        <v>28</v>
      </c>
      <c r="BK3377" s="8">
        <v>596.24</v>
      </c>
      <c r="BL3377" s="2" t="s">
        <v>10857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109</v>
      </c>
      <c r="BV3377" s="2" t="s">
        <v>97</v>
      </c>
      <c r="BW3377" s="2" t="s">
        <v>5476</v>
      </c>
      <c r="BX3377" s="2" t="s">
        <v>9885</v>
      </c>
      <c r="BY3377" s="2" t="s">
        <v>112</v>
      </c>
      <c r="BZ3377" s="2" t="s">
        <v>149</v>
      </c>
    </row>
    <row r="3378">
      <c r="A3378" s="2" t="s">
        <v>10858</v>
      </c>
      <c r="B3378" s="2" t="s">
        <v>10807</v>
      </c>
      <c r="C3378" s="2" t="s">
        <v>88</v>
      </c>
      <c r="D3378" s="2" t="s">
        <v>2572</v>
      </c>
      <c r="E3378" s="2" t="s">
        <v>2573</v>
      </c>
      <c r="F3378" s="2" t="s">
        <v>852</v>
      </c>
      <c r="G3378" s="2" t="s">
        <v>977</v>
      </c>
      <c r="H3378" s="2" t="s">
        <v>10841</v>
      </c>
      <c r="I3378" s="2" t="s">
        <v>10842</v>
      </c>
      <c r="J3378" s="2" t="s">
        <v>10843</v>
      </c>
      <c r="K3378" s="2" t="s">
        <v>10859</v>
      </c>
      <c r="L3378" s="3">
        <v>18.4</v>
      </c>
      <c r="M3378" s="3">
        <v>19.32</v>
      </c>
      <c r="N3378" s="3">
        <v>39.99</v>
      </c>
      <c r="O3378" s="2" t="s">
        <v>97</v>
      </c>
      <c r="P3378" s="2" t="s">
        <v>98</v>
      </c>
      <c r="Q3378" s="2" t="s">
        <v>99</v>
      </c>
      <c r="R3378" s="2" t="s">
        <v>100</v>
      </c>
      <c r="S3378" s="2" t="s">
        <v>10860</v>
      </c>
      <c r="T3378" s="2" t="s">
        <v>100</v>
      </c>
      <c r="U3378" s="2" t="s">
        <v>1776</v>
      </c>
      <c r="V3378" s="2" t="s">
        <v>461</v>
      </c>
      <c r="W3378" s="2" t="s">
        <v>142</v>
      </c>
      <c r="X3378" s="2" t="s">
        <v>10845</v>
      </c>
      <c r="Y3378" s="2" t="s">
        <v>1414</v>
      </c>
      <c r="Z3378" s="4">
        <v>36</v>
      </c>
      <c r="AA3378" s="4">
        <f>=ROUNDDOWN(4.55696202531646,0)</f>
      </c>
      <c r="AB3378" s="5">
        <v>7.9</v>
      </c>
      <c r="AC3378" s="2" t="s">
        <v>875</v>
      </c>
      <c r="AD3378" s="4">
        <v>112</v>
      </c>
      <c r="AE3378" s="4">
        <v>276</v>
      </c>
      <c r="AF3378" s="6">
        <v>65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/>
      <c r="AQ3378" s="8"/>
      <c r="AR3378" s="4"/>
      <c r="AS3378" s="8"/>
      <c r="AT3378" s="7"/>
      <c r="AU3378" s="7"/>
      <c r="AV3378" s="4" t="s">
        <v>100</v>
      </c>
      <c r="AW3378" s="8" t="s">
        <v>100</v>
      </c>
      <c r="AX3378" s="4" t="s">
        <v>100</v>
      </c>
      <c r="AY3378" s="8" t="s">
        <v>100</v>
      </c>
      <c r="AZ3378" s="7" t="s">
        <v>100</v>
      </c>
      <c r="BA3378" s="7" t="s">
        <v>100</v>
      </c>
      <c r="BB3378" s="7"/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 t="s">
        <v>100</v>
      </c>
      <c r="BJ3378" s="4">
        <v>43</v>
      </c>
      <c r="BK3378" s="8">
        <v>890.91</v>
      </c>
      <c r="BL3378" s="2" t="s">
        <v>10861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171</v>
      </c>
      <c r="BV3378" s="2" t="s">
        <v>97</v>
      </c>
      <c r="BW3378" s="2" t="s">
        <v>100</v>
      </c>
      <c r="BX3378" s="2" t="s">
        <v>100</v>
      </c>
      <c r="BY3378" s="2" t="s">
        <v>112</v>
      </c>
      <c r="BZ3378" s="2" t="s">
        <v>149</v>
      </c>
    </row>
    <row r="3379">
      <c r="A3379" s="2" t="s">
        <v>10862</v>
      </c>
      <c r="B3379" s="2" t="s">
        <v>10807</v>
      </c>
      <c r="C3379" s="2" t="s">
        <v>88</v>
      </c>
      <c r="D3379" s="2" t="s">
        <v>2572</v>
      </c>
      <c r="E3379" s="2" t="s">
        <v>2573</v>
      </c>
      <c r="F3379" s="2" t="s">
        <v>852</v>
      </c>
      <c r="G3379" s="2" t="s">
        <v>977</v>
      </c>
      <c r="H3379" s="2" t="s">
        <v>10841</v>
      </c>
      <c r="I3379" s="2" t="s">
        <v>10842</v>
      </c>
      <c r="J3379" s="2" t="s">
        <v>10848</v>
      </c>
      <c r="K3379" s="2" t="s">
        <v>10859</v>
      </c>
      <c r="L3379" s="3">
        <v>20.25</v>
      </c>
      <c r="M3379" s="3">
        <v>21.26</v>
      </c>
      <c r="N3379" s="3">
        <v>44.99</v>
      </c>
      <c r="O3379" s="2" t="s">
        <v>97</v>
      </c>
      <c r="P3379" s="2" t="s">
        <v>98</v>
      </c>
      <c r="Q3379" s="2" t="s">
        <v>99</v>
      </c>
      <c r="R3379" s="2" t="s">
        <v>100</v>
      </c>
      <c r="S3379" s="2" t="s">
        <v>10860</v>
      </c>
      <c r="T3379" s="2" t="s">
        <v>100</v>
      </c>
      <c r="U3379" s="2" t="s">
        <v>1776</v>
      </c>
      <c r="V3379" s="2" t="s">
        <v>461</v>
      </c>
      <c r="W3379" s="2" t="s">
        <v>142</v>
      </c>
      <c r="X3379" s="2" t="s">
        <v>10845</v>
      </c>
      <c r="Y3379" s="2" t="s">
        <v>1414</v>
      </c>
      <c r="Z3379" s="4">
        <v>159</v>
      </c>
      <c r="AA3379" s="4">
        <f>=ROUNDDOWN(45.4285714285714,0)</f>
      </c>
      <c r="AB3379" s="5">
        <v>3.5</v>
      </c>
      <c r="AC3379" s="2" t="s">
        <v>875</v>
      </c>
      <c r="AD3379" s="4">
        <v>100</v>
      </c>
      <c r="AE3379" s="4">
        <v>100</v>
      </c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/>
      <c r="AQ3379" s="8"/>
      <c r="AR3379" s="4"/>
      <c r="AS3379" s="8"/>
      <c r="AT3379" s="7"/>
      <c r="AU3379" s="7"/>
      <c r="AV3379" s="4" t="s">
        <v>100</v>
      </c>
      <c r="AW3379" s="8" t="s">
        <v>100</v>
      </c>
      <c r="AX3379" s="4" t="s">
        <v>100</v>
      </c>
      <c r="AY3379" s="8" t="s">
        <v>100</v>
      </c>
      <c r="AZ3379" s="7" t="s">
        <v>100</v>
      </c>
      <c r="BA3379" s="7" t="s">
        <v>100</v>
      </c>
      <c r="BB3379" s="7"/>
      <c r="BC3379" s="4" t="s">
        <v>100</v>
      </c>
      <c r="BD3379" s="8" t="s">
        <v>100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 t="s">
        <v>100</v>
      </c>
      <c r="BJ3379" s="4">
        <v>18</v>
      </c>
      <c r="BK3379" s="8">
        <v>423.56</v>
      </c>
      <c r="BL3379" s="2" t="s">
        <v>10863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171</v>
      </c>
      <c r="BV3379" s="2" t="s">
        <v>97</v>
      </c>
      <c r="BW3379" s="2" t="s">
        <v>100</v>
      </c>
      <c r="BX3379" s="2" t="s">
        <v>100</v>
      </c>
      <c r="BY3379" s="2" t="s">
        <v>112</v>
      </c>
      <c r="BZ3379" s="2" t="s">
        <v>149</v>
      </c>
    </row>
    <row r="3380">
      <c r="A3380" s="2" t="s">
        <v>10864</v>
      </c>
      <c r="B3380" s="2" t="s">
        <v>10807</v>
      </c>
      <c r="C3380" s="2" t="s">
        <v>88</v>
      </c>
      <c r="D3380" s="2" t="s">
        <v>2572</v>
      </c>
      <c r="E3380" s="2" t="s">
        <v>2573</v>
      </c>
      <c r="F3380" s="2" t="s">
        <v>4685</v>
      </c>
      <c r="G3380" s="2" t="s">
        <v>10865</v>
      </c>
      <c r="H3380" s="2" t="s">
        <v>10866</v>
      </c>
      <c r="I3380" s="2" t="s">
        <v>10867</v>
      </c>
      <c r="J3380" s="2" t="s">
        <v>10868</v>
      </c>
      <c r="K3380" s="2" t="s">
        <v>458</v>
      </c>
      <c r="L3380" s="3">
        <v>13.8</v>
      </c>
      <c r="M3380" s="3">
        <v>14.49</v>
      </c>
      <c r="N3380" s="3">
        <v>29.99</v>
      </c>
      <c r="O3380" s="2" t="s">
        <v>97</v>
      </c>
      <c r="P3380" s="2" t="s">
        <v>156</v>
      </c>
      <c r="Q3380" s="2" t="s">
        <v>99</v>
      </c>
      <c r="R3380" s="2" t="s">
        <v>100</v>
      </c>
      <c r="S3380" s="2" t="s">
        <v>10869</v>
      </c>
      <c r="T3380" s="2" t="s">
        <v>100</v>
      </c>
      <c r="U3380" s="2" t="s">
        <v>100</v>
      </c>
      <c r="V3380" s="2" t="s">
        <v>461</v>
      </c>
      <c r="W3380" s="2" t="s">
        <v>525</v>
      </c>
      <c r="X3380" s="2" t="s">
        <v>10813</v>
      </c>
      <c r="Y3380" s="2" t="s">
        <v>144</v>
      </c>
      <c r="Z3380" s="4">
        <v>93</v>
      </c>
      <c r="AA3380" s="4">
        <f>=ROUNDDOWN(16.3157894736842,0)</f>
      </c>
      <c r="AB3380" s="5">
        <v>5.7</v>
      </c>
      <c r="AC3380" s="2" t="s">
        <v>1452</v>
      </c>
      <c r="AD3380" s="4">
        <v>100</v>
      </c>
      <c r="AE3380" s="4">
        <v>100</v>
      </c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/>
      <c r="AQ3380" s="8"/>
      <c r="AR3380" s="4"/>
      <c r="AS3380" s="8"/>
      <c r="AT3380" s="7"/>
      <c r="AU3380" s="7"/>
      <c r="AV3380" s="4">
        <v>5</v>
      </c>
      <c r="AW3380" s="8">
        <v>75.75</v>
      </c>
      <c r="AX3380" s="4" t="s">
        <v>100</v>
      </c>
      <c r="AY3380" s="8" t="s">
        <v>100</v>
      </c>
      <c r="AZ3380" s="7" t="s">
        <v>100</v>
      </c>
      <c r="BA3380" s="7" t="s">
        <v>100</v>
      </c>
      <c r="BB3380" s="7"/>
      <c r="BC3380" s="4">
        <v>5</v>
      </c>
      <c r="BD3380" s="8">
        <v>75.75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>
        <v>1</v>
      </c>
      <c r="BJ3380" s="4">
        <v>24</v>
      </c>
      <c r="BK3380" s="8">
        <v>351.18</v>
      </c>
      <c r="BL3380" s="2" t="s">
        <v>597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109</v>
      </c>
      <c r="BV3380" s="2" t="s">
        <v>97</v>
      </c>
      <c r="BW3380" s="2" t="s">
        <v>4796</v>
      </c>
      <c r="BX3380" s="2" t="s">
        <v>10870</v>
      </c>
      <c r="BY3380" s="2" t="s">
        <v>112</v>
      </c>
      <c r="BZ3380" s="2" t="s">
        <v>149</v>
      </c>
    </row>
    <row r="3381">
      <c r="A3381" s="2" t="s">
        <v>10871</v>
      </c>
      <c r="B3381" s="2" t="s">
        <v>10807</v>
      </c>
      <c r="C3381" s="2" t="s">
        <v>88</v>
      </c>
      <c r="D3381" s="2" t="s">
        <v>2572</v>
      </c>
      <c r="E3381" s="2" t="s">
        <v>2573</v>
      </c>
      <c r="F3381" s="2" t="s">
        <v>4685</v>
      </c>
      <c r="G3381" s="2" t="s">
        <v>10865</v>
      </c>
      <c r="H3381" s="2" t="s">
        <v>10866</v>
      </c>
      <c r="I3381" s="2" t="s">
        <v>10867</v>
      </c>
      <c r="J3381" s="2" t="s">
        <v>10811</v>
      </c>
      <c r="K3381" s="2" t="s">
        <v>458</v>
      </c>
      <c r="L3381" s="3">
        <v>16.1</v>
      </c>
      <c r="M3381" s="3">
        <v>16.9</v>
      </c>
      <c r="N3381" s="3">
        <v>34.99</v>
      </c>
      <c r="O3381" s="2" t="s">
        <v>97</v>
      </c>
      <c r="P3381" s="2" t="s">
        <v>156</v>
      </c>
      <c r="Q3381" s="2" t="s">
        <v>99</v>
      </c>
      <c r="R3381" s="2" t="s">
        <v>100</v>
      </c>
      <c r="S3381" s="2" t="s">
        <v>10869</v>
      </c>
      <c r="T3381" s="2" t="s">
        <v>100</v>
      </c>
      <c r="U3381" s="2" t="s">
        <v>100</v>
      </c>
      <c r="V3381" s="2" t="s">
        <v>461</v>
      </c>
      <c r="W3381" s="2" t="s">
        <v>525</v>
      </c>
      <c r="X3381" s="2" t="s">
        <v>10813</v>
      </c>
      <c r="Y3381" s="2" t="s">
        <v>144</v>
      </c>
      <c r="Z3381" s="4">
        <v>358</v>
      </c>
      <c r="AA3381" s="4">
        <f>=ROUNDDOWN(29.8333333333333,0)</f>
      </c>
      <c r="AB3381" s="5">
        <v>12</v>
      </c>
      <c r="AC3381" s="2" t="s">
        <v>1452</v>
      </c>
      <c r="AD3381" s="4">
        <v>52</v>
      </c>
      <c r="AE3381" s="4">
        <v>52</v>
      </c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>
        <v>5</v>
      </c>
      <c r="AQ3381" s="8">
        <v>75.75</v>
      </c>
      <c r="AR3381" s="4"/>
      <c r="AS3381" s="8"/>
      <c r="AT3381" s="7"/>
      <c r="AU3381" s="7"/>
      <c r="AV3381" s="4" t="s">
        <v>100</v>
      </c>
      <c r="AW3381" s="8" t="s">
        <v>100</v>
      </c>
      <c r="AX3381" s="4" t="s">
        <v>100</v>
      </c>
      <c r="AY3381" s="8" t="s">
        <v>100</v>
      </c>
      <c r="AZ3381" s="7" t="s">
        <v>100</v>
      </c>
      <c r="BA3381" s="7" t="s">
        <v>100</v>
      </c>
      <c r="BB3381" s="7">
        <v>1</v>
      </c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 t="s">
        <v>100</v>
      </c>
      <c r="BJ3381" s="4">
        <v>48</v>
      </c>
      <c r="BK3381" s="8">
        <v>797.44</v>
      </c>
      <c r="BL3381" s="2" t="s">
        <v>10872</v>
      </c>
      <c r="BM3381" s="7">
        <v>0.1042</v>
      </c>
      <c r="BN3381" s="7">
        <v>0.095</v>
      </c>
      <c r="BO3381" s="4">
        <v>5</v>
      </c>
      <c r="BP3381" s="8">
        <v>75.75</v>
      </c>
      <c r="BQ3381" s="4"/>
      <c r="BR3381" s="8"/>
      <c r="BS3381" s="7"/>
      <c r="BT3381" s="7"/>
      <c r="BU3381" s="2" t="s">
        <v>109</v>
      </c>
      <c r="BV3381" s="2" t="s">
        <v>97</v>
      </c>
      <c r="BW3381" s="2" t="s">
        <v>159</v>
      </c>
      <c r="BX3381" s="2" t="s">
        <v>10873</v>
      </c>
      <c r="BY3381" s="2" t="s">
        <v>112</v>
      </c>
      <c r="BZ3381" s="2" t="s">
        <v>149</v>
      </c>
    </row>
    <row r="3382">
      <c r="A3382" s="2" t="s">
        <v>10874</v>
      </c>
      <c r="B3382" s="2" t="s">
        <v>10807</v>
      </c>
      <c r="C3382" s="2" t="s">
        <v>88</v>
      </c>
      <c r="D3382" s="2" t="s">
        <v>2572</v>
      </c>
      <c r="E3382" s="2" t="s">
        <v>2573</v>
      </c>
      <c r="F3382" s="2" t="s">
        <v>10875</v>
      </c>
      <c r="G3382" s="2" t="s">
        <v>10876</v>
      </c>
      <c r="H3382" s="2" t="s">
        <v>10877</v>
      </c>
      <c r="I3382" s="2" t="s">
        <v>2574</v>
      </c>
      <c r="J3382" s="2" t="s">
        <v>10811</v>
      </c>
      <c r="K3382" s="2" t="s">
        <v>523</v>
      </c>
      <c r="L3382" s="3">
        <v>16.65</v>
      </c>
      <c r="M3382" s="3">
        <v>17.48</v>
      </c>
      <c r="N3382" s="3">
        <v>36.99</v>
      </c>
      <c r="O3382" s="2" t="s">
        <v>97</v>
      </c>
      <c r="P3382" s="2" t="s">
        <v>98</v>
      </c>
      <c r="Q3382" s="2" t="s">
        <v>99</v>
      </c>
      <c r="R3382" s="2" t="s">
        <v>100</v>
      </c>
      <c r="S3382" s="2" t="s">
        <v>10878</v>
      </c>
      <c r="T3382" s="2" t="s">
        <v>100</v>
      </c>
      <c r="U3382" s="2" t="s">
        <v>100</v>
      </c>
      <c r="V3382" s="2" t="s">
        <v>733</v>
      </c>
      <c r="W3382" s="2" t="s">
        <v>142</v>
      </c>
      <c r="X3382" s="2" t="s">
        <v>10813</v>
      </c>
      <c r="Y3382" s="2" t="s">
        <v>144</v>
      </c>
      <c r="Z3382" s="4">
        <v>304</v>
      </c>
      <c r="AA3382" s="4">
        <f>=ROUNDDOWN(19,0)</f>
      </c>
      <c r="AB3382" s="5">
        <v>16</v>
      </c>
      <c r="AC3382" s="2" t="s">
        <v>990</v>
      </c>
      <c r="AD3382" s="4">
        <v>268</v>
      </c>
      <c r="AE3382" s="4">
        <v>268</v>
      </c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2</v>
      </c>
      <c r="AQ3382" s="8">
        <v>31.36</v>
      </c>
      <c r="AR3382" s="4"/>
      <c r="AS3382" s="8"/>
      <c r="AT3382" s="7"/>
      <c r="AU3382" s="7"/>
      <c r="AV3382" s="4">
        <v>2</v>
      </c>
      <c r="AW3382" s="8">
        <v>31.36</v>
      </c>
      <c r="AX3382" s="4" t="s">
        <v>100</v>
      </c>
      <c r="AY3382" s="8" t="s">
        <v>100</v>
      </c>
      <c r="AZ3382" s="7" t="s">
        <v>100</v>
      </c>
      <c r="BA3382" s="7" t="s">
        <v>100</v>
      </c>
      <c r="BB3382" s="7">
        <v>1</v>
      </c>
      <c r="BC3382" s="4">
        <v>3</v>
      </c>
      <c r="BD3382" s="8">
        <v>47.04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>
        <v>0.6667</v>
      </c>
      <c r="BJ3382" s="4">
        <v>41</v>
      </c>
      <c r="BK3382" s="8">
        <v>686.08</v>
      </c>
      <c r="BL3382" s="2" t="s">
        <v>10879</v>
      </c>
      <c r="BM3382" s="7">
        <v>0.0488</v>
      </c>
      <c r="BN3382" s="7">
        <v>0.0457</v>
      </c>
      <c r="BO3382" s="4">
        <v>2</v>
      </c>
      <c r="BP3382" s="8">
        <v>31.36</v>
      </c>
      <c r="BQ3382" s="4"/>
      <c r="BR3382" s="8"/>
      <c r="BS3382" s="7"/>
      <c r="BT3382" s="7"/>
      <c r="BU3382" s="2" t="s">
        <v>109</v>
      </c>
      <c r="BV3382" s="2" t="s">
        <v>97</v>
      </c>
      <c r="BW3382" s="2" t="s">
        <v>159</v>
      </c>
      <c r="BX3382" s="2" t="s">
        <v>10880</v>
      </c>
      <c r="BY3382" s="2" t="s">
        <v>112</v>
      </c>
      <c r="BZ3382" s="2" t="s">
        <v>149</v>
      </c>
    </row>
    <row r="3383">
      <c r="A3383" s="2" t="s">
        <v>10881</v>
      </c>
      <c r="B3383" s="2" t="s">
        <v>10807</v>
      </c>
      <c r="C3383" s="2" t="s">
        <v>88</v>
      </c>
      <c r="D3383" s="2" t="s">
        <v>2572</v>
      </c>
      <c r="E3383" s="2" t="s">
        <v>2573</v>
      </c>
      <c r="F3383" s="2" t="s">
        <v>10875</v>
      </c>
      <c r="G3383" s="2" t="s">
        <v>10876</v>
      </c>
      <c r="H3383" s="2" t="s">
        <v>10877</v>
      </c>
      <c r="I3383" s="2" t="s">
        <v>2574</v>
      </c>
      <c r="J3383" s="2" t="s">
        <v>10818</v>
      </c>
      <c r="K3383" s="2" t="s">
        <v>523</v>
      </c>
      <c r="L3383" s="3">
        <v>19.35</v>
      </c>
      <c r="M3383" s="3">
        <v>20.32</v>
      </c>
      <c r="N3383" s="3">
        <v>42.99</v>
      </c>
      <c r="O3383" s="2" t="s">
        <v>97</v>
      </c>
      <c r="P3383" s="2" t="s">
        <v>98</v>
      </c>
      <c r="Q3383" s="2" t="s">
        <v>99</v>
      </c>
      <c r="R3383" s="2" t="s">
        <v>100</v>
      </c>
      <c r="S3383" s="2" t="s">
        <v>10878</v>
      </c>
      <c r="T3383" s="2" t="s">
        <v>100</v>
      </c>
      <c r="U3383" s="2" t="s">
        <v>100</v>
      </c>
      <c r="V3383" s="2" t="s">
        <v>733</v>
      </c>
      <c r="W3383" s="2" t="s">
        <v>142</v>
      </c>
      <c r="X3383" s="2" t="s">
        <v>10813</v>
      </c>
      <c r="Y3383" s="2" t="s">
        <v>144</v>
      </c>
      <c r="Z3383" s="4">
        <v>160</v>
      </c>
      <c r="AA3383" s="4">
        <f>=ROUNDDOWN(40,0)</f>
      </c>
      <c r="AB3383" s="5">
        <v>4</v>
      </c>
      <c r="AC3383" s="2" t="s">
        <v>990</v>
      </c>
      <c r="AD3383" s="4">
        <v>140</v>
      </c>
      <c r="AE3383" s="4">
        <v>140</v>
      </c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/>
      <c r="AQ3383" s="8"/>
      <c r="AR3383" s="4"/>
      <c r="AS3383" s="8"/>
      <c r="AT3383" s="7"/>
      <c r="AU3383" s="7"/>
      <c r="AV3383" s="4" t="s">
        <v>100</v>
      </c>
      <c r="AW3383" s="8" t="s">
        <v>100</v>
      </c>
      <c r="AX3383" s="4" t="s">
        <v>100</v>
      </c>
      <c r="AY3383" s="8" t="s">
        <v>100</v>
      </c>
      <c r="AZ3383" s="7" t="s">
        <v>100</v>
      </c>
      <c r="BA3383" s="7" t="s">
        <v>100</v>
      </c>
      <c r="BB3383" s="7"/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 t="s">
        <v>100</v>
      </c>
      <c r="BJ3383" s="4">
        <v>38</v>
      </c>
      <c r="BK3383" s="8">
        <v>791.92</v>
      </c>
      <c r="BL3383" s="2" t="s">
        <v>10882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109</v>
      </c>
      <c r="BV3383" s="2" t="s">
        <v>97</v>
      </c>
      <c r="BW3383" s="2" t="s">
        <v>159</v>
      </c>
      <c r="BX3383" s="2" t="s">
        <v>10883</v>
      </c>
      <c r="BY3383" s="2" t="s">
        <v>112</v>
      </c>
      <c r="BZ3383" s="2" t="s">
        <v>149</v>
      </c>
    </row>
    <row r="3384">
      <c r="A3384" s="2" t="s">
        <v>10884</v>
      </c>
      <c r="B3384" s="2" t="s">
        <v>10807</v>
      </c>
      <c r="C3384" s="2" t="s">
        <v>88</v>
      </c>
      <c r="D3384" s="2" t="s">
        <v>2572</v>
      </c>
      <c r="E3384" s="2" t="s">
        <v>2573</v>
      </c>
      <c r="F3384" s="2" t="s">
        <v>10875</v>
      </c>
      <c r="G3384" s="2" t="s">
        <v>10876</v>
      </c>
      <c r="H3384" s="2" t="s">
        <v>10877</v>
      </c>
      <c r="I3384" s="2" t="s">
        <v>2574</v>
      </c>
      <c r="J3384" s="2" t="s">
        <v>10811</v>
      </c>
      <c r="K3384" s="2" t="s">
        <v>223</v>
      </c>
      <c r="L3384" s="3">
        <v>16.65</v>
      </c>
      <c r="M3384" s="3">
        <v>17.48</v>
      </c>
      <c r="N3384" s="3">
        <v>36.99</v>
      </c>
      <c r="O3384" s="2" t="s">
        <v>97</v>
      </c>
      <c r="P3384" s="2" t="s">
        <v>98</v>
      </c>
      <c r="Q3384" s="2" t="s">
        <v>99</v>
      </c>
      <c r="R3384" s="2" t="s">
        <v>100</v>
      </c>
      <c r="S3384" s="2" t="s">
        <v>10885</v>
      </c>
      <c r="T3384" s="2" t="s">
        <v>100</v>
      </c>
      <c r="U3384" s="2" t="s">
        <v>100</v>
      </c>
      <c r="V3384" s="2" t="s">
        <v>733</v>
      </c>
      <c r="W3384" s="2" t="s">
        <v>142</v>
      </c>
      <c r="X3384" s="2" t="s">
        <v>10813</v>
      </c>
      <c r="Y3384" s="2" t="s">
        <v>144</v>
      </c>
      <c r="Z3384" s="4">
        <v>263</v>
      </c>
      <c r="AA3384" s="4">
        <f>=ROUNDDOWN(21.9166666666667,0)</f>
      </c>
      <c r="AB3384" s="5">
        <v>12</v>
      </c>
      <c r="AC3384" s="2" t="s">
        <v>100</v>
      </c>
      <c r="AD3384" s="4"/>
      <c r="AE3384" s="4"/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1</v>
      </c>
      <c r="AQ3384" s="8">
        <v>15.68</v>
      </c>
      <c r="AR3384" s="4"/>
      <c r="AS3384" s="8"/>
      <c r="AT3384" s="7"/>
      <c r="AU3384" s="7"/>
      <c r="AV3384" s="4">
        <v>1</v>
      </c>
      <c r="AW3384" s="8">
        <v>15.68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>
        <v>1</v>
      </c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>
        <v>0.3333</v>
      </c>
      <c r="BJ3384" s="4">
        <v>40</v>
      </c>
      <c r="BK3384" s="8">
        <v>660.51</v>
      </c>
      <c r="BL3384" s="2" t="s">
        <v>10886</v>
      </c>
      <c r="BM3384" s="7">
        <v>0.025</v>
      </c>
      <c r="BN3384" s="7">
        <v>0.0237</v>
      </c>
      <c r="BO3384" s="4">
        <v>1</v>
      </c>
      <c r="BP3384" s="8">
        <v>15.68</v>
      </c>
      <c r="BQ3384" s="4"/>
      <c r="BR3384" s="8"/>
      <c r="BS3384" s="7"/>
      <c r="BT3384" s="7"/>
      <c r="BU3384" s="2" t="s">
        <v>109</v>
      </c>
      <c r="BV3384" s="2" t="s">
        <v>97</v>
      </c>
      <c r="BW3384" s="2" t="s">
        <v>159</v>
      </c>
      <c r="BX3384" s="2" t="s">
        <v>5653</v>
      </c>
      <c r="BY3384" s="2" t="s">
        <v>112</v>
      </c>
      <c r="BZ3384" s="2" t="s">
        <v>149</v>
      </c>
    </row>
    <row r="3385">
      <c r="A3385" s="2" t="s">
        <v>10887</v>
      </c>
      <c r="B3385" s="2" t="s">
        <v>10807</v>
      </c>
      <c r="C3385" s="2" t="s">
        <v>88</v>
      </c>
      <c r="D3385" s="2" t="s">
        <v>2572</v>
      </c>
      <c r="E3385" s="2" t="s">
        <v>2573</v>
      </c>
      <c r="F3385" s="2" t="s">
        <v>10875</v>
      </c>
      <c r="G3385" s="2" t="s">
        <v>10876</v>
      </c>
      <c r="H3385" s="2" t="s">
        <v>10877</v>
      </c>
      <c r="I3385" s="2" t="s">
        <v>2574</v>
      </c>
      <c r="J3385" s="2" t="s">
        <v>10818</v>
      </c>
      <c r="K3385" s="2" t="s">
        <v>223</v>
      </c>
      <c r="L3385" s="3">
        <v>19.35</v>
      </c>
      <c r="M3385" s="3">
        <v>20.32</v>
      </c>
      <c r="N3385" s="3">
        <v>42.99</v>
      </c>
      <c r="O3385" s="2" t="s">
        <v>97</v>
      </c>
      <c r="P3385" s="2" t="s">
        <v>98</v>
      </c>
      <c r="Q3385" s="2" t="s">
        <v>99</v>
      </c>
      <c r="R3385" s="2" t="s">
        <v>100</v>
      </c>
      <c r="S3385" s="2" t="s">
        <v>10885</v>
      </c>
      <c r="T3385" s="2" t="s">
        <v>100</v>
      </c>
      <c r="U3385" s="2" t="s">
        <v>100</v>
      </c>
      <c r="V3385" s="2" t="s">
        <v>733</v>
      </c>
      <c r="W3385" s="2" t="s">
        <v>142</v>
      </c>
      <c r="X3385" s="2" t="s">
        <v>10813</v>
      </c>
      <c r="Y3385" s="2" t="s">
        <v>144</v>
      </c>
      <c r="Z3385" s="4">
        <v>152</v>
      </c>
      <c r="AA3385" s="4">
        <f>=ROUNDDOWN(30.4,0)</f>
      </c>
      <c r="AB3385" s="5">
        <v>5</v>
      </c>
      <c r="AC3385" s="2" t="s">
        <v>100</v>
      </c>
      <c r="AD3385" s="4"/>
      <c r="AE3385" s="4"/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/>
      <c r="AQ3385" s="8"/>
      <c r="AR3385" s="4"/>
      <c r="AS3385" s="8"/>
      <c r="AT3385" s="7"/>
      <c r="AU3385" s="7"/>
      <c r="AV3385" s="4" t="s">
        <v>100</v>
      </c>
      <c r="AW3385" s="8" t="s">
        <v>100</v>
      </c>
      <c r="AX3385" s="4" t="s">
        <v>100</v>
      </c>
      <c r="AY3385" s="8" t="s">
        <v>100</v>
      </c>
      <c r="AZ3385" s="7" t="s">
        <v>100</v>
      </c>
      <c r="BA3385" s="7" t="s">
        <v>100</v>
      </c>
      <c r="BB3385" s="7"/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 t="s">
        <v>100</v>
      </c>
      <c r="BJ3385" s="4">
        <v>20</v>
      </c>
      <c r="BK3385" s="8">
        <v>459.6</v>
      </c>
      <c r="BL3385" s="2" t="s">
        <v>10888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109</v>
      </c>
      <c r="BV3385" s="2" t="s">
        <v>97</v>
      </c>
      <c r="BW3385" s="2" t="s">
        <v>159</v>
      </c>
      <c r="BX3385" s="2" t="s">
        <v>9402</v>
      </c>
      <c r="BY3385" s="2" t="s">
        <v>112</v>
      </c>
      <c r="BZ3385" s="2" t="s">
        <v>149</v>
      </c>
    </row>
    <row r="3386">
      <c r="A3386" s="2" t="s">
        <v>10889</v>
      </c>
      <c r="B3386" s="2" t="s">
        <v>10807</v>
      </c>
      <c r="C3386" s="2" t="s">
        <v>88</v>
      </c>
      <c r="D3386" s="2" t="s">
        <v>2572</v>
      </c>
      <c r="E3386" s="2" t="s">
        <v>2573</v>
      </c>
      <c r="F3386" s="2" t="s">
        <v>10875</v>
      </c>
      <c r="G3386" s="2" t="s">
        <v>10876</v>
      </c>
      <c r="H3386" s="2" t="s">
        <v>10877</v>
      </c>
      <c r="I3386" s="2" t="s">
        <v>2574</v>
      </c>
      <c r="J3386" s="2" t="s">
        <v>10811</v>
      </c>
      <c r="K3386" s="2" t="s">
        <v>179</v>
      </c>
      <c r="L3386" s="3">
        <v>16.65</v>
      </c>
      <c r="M3386" s="3">
        <v>17.48</v>
      </c>
      <c r="N3386" s="3">
        <v>36.99</v>
      </c>
      <c r="O3386" s="2" t="s">
        <v>97</v>
      </c>
      <c r="P3386" s="2" t="s">
        <v>156</v>
      </c>
      <c r="Q3386" s="2" t="s">
        <v>99</v>
      </c>
      <c r="R3386" s="2" t="s">
        <v>100</v>
      </c>
      <c r="S3386" s="2" t="s">
        <v>10890</v>
      </c>
      <c r="T3386" s="2" t="s">
        <v>100</v>
      </c>
      <c r="U3386" s="2" t="s">
        <v>100</v>
      </c>
      <c r="V3386" s="2" t="s">
        <v>733</v>
      </c>
      <c r="W3386" s="2" t="s">
        <v>142</v>
      </c>
      <c r="X3386" s="2" t="s">
        <v>10813</v>
      </c>
      <c r="Y3386" s="2" t="s">
        <v>144</v>
      </c>
      <c r="Z3386" s="4">
        <v>263</v>
      </c>
      <c r="AA3386" s="4">
        <f>=ROUNDDOWN(18.7857142857143,0)</f>
      </c>
      <c r="AB3386" s="5">
        <v>14</v>
      </c>
      <c r="AC3386" s="2" t="s">
        <v>2690</v>
      </c>
      <c r="AD3386" s="4">
        <v>112</v>
      </c>
      <c r="AE3386" s="4">
        <v>112</v>
      </c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/>
      <c r="AQ3386" s="8"/>
      <c r="AR3386" s="4"/>
      <c r="AS3386" s="8"/>
      <c r="AT3386" s="7"/>
      <c r="AU3386" s="7"/>
      <c r="AV3386" s="4" t="s">
        <v>100</v>
      </c>
      <c r="AW3386" s="8" t="s">
        <v>100</v>
      </c>
      <c r="AX3386" s="4" t="s">
        <v>100</v>
      </c>
      <c r="AY3386" s="8" t="s">
        <v>100</v>
      </c>
      <c r="AZ3386" s="7" t="s">
        <v>100</v>
      </c>
      <c r="BA3386" s="7" t="s">
        <v>100</v>
      </c>
      <c r="BB3386" s="7"/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 t="s">
        <v>100</v>
      </c>
      <c r="BJ3386" s="4">
        <v>63</v>
      </c>
      <c r="BK3386" s="8">
        <v>1109.2</v>
      </c>
      <c r="BL3386" s="2" t="s">
        <v>10891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109</v>
      </c>
      <c r="BV3386" s="2" t="s">
        <v>97</v>
      </c>
      <c r="BW3386" s="2" t="s">
        <v>159</v>
      </c>
      <c r="BX3386" s="2" t="s">
        <v>10892</v>
      </c>
      <c r="BY3386" s="2" t="s">
        <v>112</v>
      </c>
      <c r="BZ3386" s="2" t="s">
        <v>149</v>
      </c>
    </row>
    <row r="3387">
      <c r="A3387" s="2" t="s">
        <v>10893</v>
      </c>
      <c r="B3387" s="2" t="s">
        <v>10807</v>
      </c>
      <c r="C3387" s="2" t="s">
        <v>88</v>
      </c>
      <c r="D3387" s="2" t="s">
        <v>2572</v>
      </c>
      <c r="E3387" s="2" t="s">
        <v>2573</v>
      </c>
      <c r="F3387" s="2" t="s">
        <v>10875</v>
      </c>
      <c r="G3387" s="2" t="s">
        <v>10876</v>
      </c>
      <c r="H3387" s="2" t="s">
        <v>10877</v>
      </c>
      <c r="I3387" s="2" t="s">
        <v>2574</v>
      </c>
      <c r="J3387" s="2" t="s">
        <v>10818</v>
      </c>
      <c r="K3387" s="2" t="s">
        <v>179</v>
      </c>
      <c r="L3387" s="3">
        <v>19.35</v>
      </c>
      <c r="M3387" s="3">
        <v>20.32</v>
      </c>
      <c r="N3387" s="3">
        <v>42.99</v>
      </c>
      <c r="O3387" s="2" t="s">
        <v>97</v>
      </c>
      <c r="P3387" s="2" t="s">
        <v>98</v>
      </c>
      <c r="Q3387" s="2" t="s">
        <v>99</v>
      </c>
      <c r="R3387" s="2" t="s">
        <v>100</v>
      </c>
      <c r="S3387" s="2" t="s">
        <v>10890</v>
      </c>
      <c r="T3387" s="2" t="s">
        <v>100</v>
      </c>
      <c r="U3387" s="2" t="s">
        <v>100</v>
      </c>
      <c r="V3387" s="2" t="s">
        <v>733</v>
      </c>
      <c r="W3387" s="2" t="s">
        <v>142</v>
      </c>
      <c r="X3387" s="2" t="s">
        <v>10813</v>
      </c>
      <c r="Y3387" s="2" t="s">
        <v>144</v>
      </c>
      <c r="Z3387" s="4">
        <v>90</v>
      </c>
      <c r="AA3387" s="4">
        <f>=ROUNDDOWN(9,0)</f>
      </c>
      <c r="AB3387" s="5">
        <v>10</v>
      </c>
      <c r="AC3387" s="2" t="s">
        <v>1142</v>
      </c>
      <c r="AD3387" s="4">
        <v>192</v>
      </c>
      <c r="AE3387" s="4">
        <v>192</v>
      </c>
      <c r="AF3387" s="6">
        <v>65</v>
      </c>
      <c r="AG3387" s="6"/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/>
      <c r="AQ3387" s="8"/>
      <c r="AR3387" s="4"/>
      <c r="AS3387" s="8"/>
      <c r="AT3387" s="7"/>
      <c r="AU3387" s="7"/>
      <c r="AV3387" s="4" t="s">
        <v>100</v>
      </c>
      <c r="AW3387" s="8" t="s">
        <v>100</v>
      </c>
      <c r="AX3387" s="4" t="s">
        <v>100</v>
      </c>
      <c r="AY3387" s="8" t="s">
        <v>100</v>
      </c>
      <c r="AZ3387" s="7" t="s">
        <v>100</v>
      </c>
      <c r="BA3387" s="7" t="s">
        <v>100</v>
      </c>
      <c r="BB3387" s="7"/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 t="s">
        <v>100</v>
      </c>
      <c r="BJ3387" s="4">
        <v>39</v>
      </c>
      <c r="BK3387" s="8">
        <v>771.16</v>
      </c>
      <c r="BL3387" s="2" t="s">
        <v>10894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109</v>
      </c>
      <c r="BV3387" s="2" t="s">
        <v>97</v>
      </c>
      <c r="BW3387" s="2" t="s">
        <v>159</v>
      </c>
      <c r="BX3387" s="2" t="s">
        <v>10895</v>
      </c>
      <c r="BY3387" s="2" t="s">
        <v>112</v>
      </c>
      <c r="BZ3387" s="2" t="s">
        <v>149</v>
      </c>
    </row>
    <row r="3388">
      <c r="A3388" s="2" t="s">
        <v>10896</v>
      </c>
      <c r="B3388" s="2" t="s">
        <v>10807</v>
      </c>
      <c r="C3388" s="2" t="s">
        <v>88</v>
      </c>
      <c r="D3388" s="2" t="s">
        <v>2572</v>
      </c>
      <c r="E3388" s="2" t="s">
        <v>2573</v>
      </c>
      <c r="F3388" s="2" t="s">
        <v>10875</v>
      </c>
      <c r="G3388" s="2" t="s">
        <v>10876</v>
      </c>
      <c r="H3388" s="2" t="s">
        <v>10877</v>
      </c>
      <c r="I3388" s="2" t="s">
        <v>2574</v>
      </c>
      <c r="J3388" s="2" t="s">
        <v>10811</v>
      </c>
      <c r="K3388" s="2" t="s">
        <v>96</v>
      </c>
      <c r="L3388" s="3">
        <v>16.65</v>
      </c>
      <c r="M3388" s="3">
        <v>17.48</v>
      </c>
      <c r="N3388" s="3">
        <v>36.99</v>
      </c>
      <c r="O3388" s="2" t="s">
        <v>97</v>
      </c>
      <c r="P3388" s="2" t="s">
        <v>98</v>
      </c>
      <c r="Q3388" s="2" t="s">
        <v>99</v>
      </c>
      <c r="R3388" s="2" t="s">
        <v>100</v>
      </c>
      <c r="S3388" s="2" t="s">
        <v>10897</v>
      </c>
      <c r="T3388" s="2" t="s">
        <v>100</v>
      </c>
      <c r="U3388" s="2" t="s">
        <v>100</v>
      </c>
      <c r="V3388" s="2" t="s">
        <v>733</v>
      </c>
      <c r="W3388" s="2" t="s">
        <v>142</v>
      </c>
      <c r="X3388" s="2" t="s">
        <v>10813</v>
      </c>
      <c r="Y3388" s="2" t="s">
        <v>144</v>
      </c>
      <c r="Z3388" s="4">
        <v>186</v>
      </c>
      <c r="AA3388" s="4">
        <f>=ROUNDDOWN(16.9090909090909,0)</f>
      </c>
      <c r="AB3388" s="5">
        <v>11</v>
      </c>
      <c r="AC3388" s="2" t="s">
        <v>676</v>
      </c>
      <c r="AD3388" s="4">
        <v>92</v>
      </c>
      <c r="AE3388" s="4">
        <v>184</v>
      </c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/>
      <c r="BJ3388" s="4">
        <v>26</v>
      </c>
      <c r="BK3388" s="8">
        <v>469.41</v>
      </c>
      <c r="BL3388" s="2" t="s">
        <v>10898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109</v>
      </c>
      <c r="BV3388" s="2" t="s">
        <v>97</v>
      </c>
      <c r="BW3388" s="2" t="s">
        <v>159</v>
      </c>
      <c r="BX3388" s="2" t="s">
        <v>10899</v>
      </c>
      <c r="BY3388" s="2" t="s">
        <v>112</v>
      </c>
      <c r="BZ3388" s="2" t="s">
        <v>149</v>
      </c>
    </row>
    <row r="3389">
      <c r="A3389" s="2" t="s">
        <v>10900</v>
      </c>
      <c r="B3389" s="2" t="s">
        <v>10807</v>
      </c>
      <c r="C3389" s="2" t="s">
        <v>88</v>
      </c>
      <c r="D3389" s="2" t="s">
        <v>2572</v>
      </c>
      <c r="E3389" s="2" t="s">
        <v>2573</v>
      </c>
      <c r="F3389" s="2" t="s">
        <v>10875</v>
      </c>
      <c r="G3389" s="2" t="s">
        <v>10876</v>
      </c>
      <c r="H3389" s="2" t="s">
        <v>10877</v>
      </c>
      <c r="I3389" s="2" t="s">
        <v>2574</v>
      </c>
      <c r="J3389" s="2" t="s">
        <v>10811</v>
      </c>
      <c r="K3389" s="2" t="s">
        <v>458</v>
      </c>
      <c r="L3389" s="3">
        <v>16.65</v>
      </c>
      <c r="M3389" s="3">
        <v>17.48</v>
      </c>
      <c r="N3389" s="3">
        <v>36.99</v>
      </c>
      <c r="O3389" s="2" t="s">
        <v>97</v>
      </c>
      <c r="P3389" s="2" t="s">
        <v>156</v>
      </c>
      <c r="Q3389" s="2" t="s">
        <v>99</v>
      </c>
      <c r="R3389" s="2" t="s">
        <v>100</v>
      </c>
      <c r="S3389" s="2" t="s">
        <v>10901</v>
      </c>
      <c r="T3389" s="2" t="s">
        <v>100</v>
      </c>
      <c r="U3389" s="2" t="s">
        <v>100</v>
      </c>
      <c r="V3389" s="2" t="s">
        <v>733</v>
      </c>
      <c r="W3389" s="2" t="s">
        <v>142</v>
      </c>
      <c r="X3389" s="2" t="s">
        <v>10813</v>
      </c>
      <c r="Y3389" s="2" t="s">
        <v>144</v>
      </c>
      <c r="Z3389" s="4">
        <v>271</v>
      </c>
      <c r="AA3389" s="4">
        <f>=ROUNDDOWN(13.55,0)</f>
      </c>
      <c r="AB3389" s="5">
        <v>20</v>
      </c>
      <c r="AC3389" s="2" t="s">
        <v>990</v>
      </c>
      <c r="AD3389" s="4">
        <v>236</v>
      </c>
      <c r="AE3389" s="4">
        <v>236</v>
      </c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/>
      <c r="AQ3389" s="8"/>
      <c r="AR3389" s="4"/>
      <c r="AS3389" s="8"/>
      <c r="AT3389" s="7"/>
      <c r="AU3389" s="7"/>
      <c r="AV3389" s="4" t="s">
        <v>100</v>
      </c>
      <c r="AW3389" s="8" t="s">
        <v>100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/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 t="s">
        <v>100</v>
      </c>
      <c r="BJ3389" s="4">
        <v>77</v>
      </c>
      <c r="BK3389" s="8">
        <v>1302.72</v>
      </c>
      <c r="BL3389" s="2" t="s">
        <v>10902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109</v>
      </c>
      <c r="BV3389" s="2" t="s">
        <v>97</v>
      </c>
      <c r="BW3389" s="2" t="s">
        <v>159</v>
      </c>
      <c r="BX3389" s="2" t="s">
        <v>10903</v>
      </c>
      <c r="BY3389" s="2" t="s">
        <v>112</v>
      </c>
      <c r="BZ3389" s="2" t="s">
        <v>149</v>
      </c>
    </row>
    <row r="3390">
      <c r="A3390" s="2" t="s">
        <v>10904</v>
      </c>
      <c r="B3390" s="2" t="s">
        <v>10807</v>
      </c>
      <c r="C3390" s="2" t="s">
        <v>88</v>
      </c>
      <c r="D3390" s="2" t="s">
        <v>2572</v>
      </c>
      <c r="E3390" s="2" t="s">
        <v>2573</v>
      </c>
      <c r="F3390" s="2" t="s">
        <v>10875</v>
      </c>
      <c r="G3390" s="2" t="s">
        <v>10876</v>
      </c>
      <c r="H3390" s="2" t="s">
        <v>10877</v>
      </c>
      <c r="I3390" s="2" t="s">
        <v>2574</v>
      </c>
      <c r="J3390" s="2" t="s">
        <v>10818</v>
      </c>
      <c r="K3390" s="2" t="s">
        <v>458</v>
      </c>
      <c r="L3390" s="3">
        <v>19.35</v>
      </c>
      <c r="M3390" s="3">
        <v>20.32</v>
      </c>
      <c r="N3390" s="3">
        <v>42.99</v>
      </c>
      <c r="O3390" s="2" t="s">
        <v>97</v>
      </c>
      <c r="P3390" s="2" t="s">
        <v>156</v>
      </c>
      <c r="Q3390" s="2" t="s">
        <v>99</v>
      </c>
      <c r="R3390" s="2" t="s">
        <v>100</v>
      </c>
      <c r="S3390" s="2" t="s">
        <v>10901</v>
      </c>
      <c r="T3390" s="2" t="s">
        <v>100</v>
      </c>
      <c r="U3390" s="2" t="s">
        <v>100</v>
      </c>
      <c r="V3390" s="2" t="s">
        <v>733</v>
      </c>
      <c r="W3390" s="2" t="s">
        <v>142</v>
      </c>
      <c r="X3390" s="2" t="s">
        <v>10813</v>
      </c>
      <c r="Y3390" s="2" t="s">
        <v>144</v>
      </c>
      <c r="Z3390" s="4">
        <v>212</v>
      </c>
      <c r="AA3390" s="4">
        <f>=ROUNDDOWN(15.1428571428571,0)</f>
      </c>
      <c r="AB3390" s="5">
        <v>14</v>
      </c>
      <c r="AC3390" s="2" t="s">
        <v>990</v>
      </c>
      <c r="AD3390" s="4">
        <v>192</v>
      </c>
      <c r="AE3390" s="4">
        <v>192</v>
      </c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/>
      <c r="AQ3390" s="8"/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/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 t="s">
        <v>100</v>
      </c>
      <c r="BJ3390" s="4">
        <v>16</v>
      </c>
      <c r="BK3390" s="8">
        <v>310.12</v>
      </c>
      <c r="BL3390" s="2" t="s">
        <v>10905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109</v>
      </c>
      <c r="BV3390" s="2" t="s">
        <v>97</v>
      </c>
      <c r="BW3390" s="2" t="s">
        <v>159</v>
      </c>
      <c r="BX3390" s="2" t="s">
        <v>10906</v>
      </c>
      <c r="BY3390" s="2" t="s">
        <v>112</v>
      </c>
      <c r="BZ3390" s="2" t="s">
        <v>149</v>
      </c>
    </row>
    <row r="3391">
      <c r="A3391" s="2" t="s">
        <v>10907</v>
      </c>
      <c r="B3391" s="2" t="s">
        <v>10807</v>
      </c>
      <c r="C3391" s="2" t="s">
        <v>88</v>
      </c>
      <c r="D3391" s="2" t="s">
        <v>2572</v>
      </c>
      <c r="E3391" s="2" t="s">
        <v>2573</v>
      </c>
      <c r="F3391" s="2" t="s">
        <v>10908</v>
      </c>
      <c r="G3391" s="2" t="s">
        <v>10909</v>
      </c>
      <c r="H3391" s="2" t="s">
        <v>10910</v>
      </c>
      <c r="I3391" s="2" t="s">
        <v>10911</v>
      </c>
      <c r="J3391" s="2" t="s">
        <v>10868</v>
      </c>
      <c r="K3391" s="2" t="s">
        <v>7377</v>
      </c>
      <c r="L3391" s="3">
        <v>13.5</v>
      </c>
      <c r="M3391" s="3">
        <v>14.18</v>
      </c>
      <c r="N3391" s="3">
        <v>29.99</v>
      </c>
      <c r="O3391" s="2" t="s">
        <v>97</v>
      </c>
      <c r="P3391" s="2" t="s">
        <v>98</v>
      </c>
      <c r="Q3391" s="2" t="s">
        <v>99</v>
      </c>
      <c r="R3391" s="2" t="s">
        <v>100</v>
      </c>
      <c r="S3391" s="2" t="s">
        <v>10912</v>
      </c>
      <c r="T3391" s="2" t="s">
        <v>100</v>
      </c>
      <c r="U3391" s="2" t="s">
        <v>1776</v>
      </c>
      <c r="V3391" s="2" t="s">
        <v>4636</v>
      </c>
      <c r="W3391" s="2" t="s">
        <v>493</v>
      </c>
      <c r="X3391" s="2" t="s">
        <v>10813</v>
      </c>
      <c r="Y3391" s="2" t="s">
        <v>144</v>
      </c>
      <c r="Z3391" s="4">
        <v>557</v>
      </c>
      <c r="AA3391" s="4">
        <f>=ROUNDDOWN(111.4,0)</f>
      </c>
      <c r="AB3391" s="5">
        <v>5</v>
      </c>
      <c r="AC3391" s="2" t="s">
        <v>100</v>
      </c>
      <c r="AD3391" s="4"/>
      <c r="AE3391" s="4"/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/>
      <c r="AQ3391" s="8"/>
      <c r="AR3391" s="4"/>
      <c r="AS3391" s="8"/>
      <c r="AT3391" s="7"/>
      <c r="AU3391" s="7"/>
      <c r="AV3391" s="4">
        <v>2</v>
      </c>
      <c r="AW3391" s="8">
        <v>39.9</v>
      </c>
      <c r="AX3391" s="4" t="s">
        <v>100</v>
      </c>
      <c r="AY3391" s="8" t="s">
        <v>100</v>
      </c>
      <c r="AZ3391" s="7" t="s">
        <v>100</v>
      </c>
      <c r="BA3391" s="7" t="s">
        <v>100</v>
      </c>
      <c r="BB3391" s="7"/>
      <c r="BC3391" s="4">
        <v>2</v>
      </c>
      <c r="BD3391" s="8">
        <v>39.9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>
        <v>1</v>
      </c>
      <c r="BJ3391" s="4">
        <v>20</v>
      </c>
      <c r="BK3391" s="8">
        <v>253.54</v>
      </c>
      <c r="BL3391" s="2" t="s">
        <v>10913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109</v>
      </c>
      <c r="BV3391" s="2" t="s">
        <v>97</v>
      </c>
      <c r="BW3391" s="2" t="s">
        <v>159</v>
      </c>
      <c r="BX3391" s="2" t="s">
        <v>10914</v>
      </c>
      <c r="BY3391" s="2" t="s">
        <v>112</v>
      </c>
      <c r="BZ3391" s="2" t="s">
        <v>149</v>
      </c>
    </row>
    <row r="3392">
      <c r="A3392" s="2" t="s">
        <v>10915</v>
      </c>
      <c r="B3392" s="2" t="s">
        <v>10807</v>
      </c>
      <c r="C3392" s="2" t="s">
        <v>88</v>
      </c>
      <c r="D3392" s="2" t="s">
        <v>2572</v>
      </c>
      <c r="E3392" s="2" t="s">
        <v>2573</v>
      </c>
      <c r="F3392" s="2" t="s">
        <v>10908</v>
      </c>
      <c r="G3392" s="2" t="s">
        <v>10909</v>
      </c>
      <c r="H3392" s="2" t="s">
        <v>10910</v>
      </c>
      <c r="I3392" s="2" t="s">
        <v>10911</v>
      </c>
      <c r="J3392" s="2" t="s">
        <v>10811</v>
      </c>
      <c r="K3392" s="2" t="s">
        <v>7377</v>
      </c>
      <c r="L3392" s="3">
        <v>15.75</v>
      </c>
      <c r="M3392" s="3">
        <v>16.54</v>
      </c>
      <c r="N3392" s="3">
        <v>34.99</v>
      </c>
      <c r="O3392" s="2" t="s">
        <v>97</v>
      </c>
      <c r="P3392" s="2" t="s">
        <v>98</v>
      </c>
      <c r="Q3392" s="2" t="s">
        <v>99</v>
      </c>
      <c r="R3392" s="2" t="s">
        <v>100</v>
      </c>
      <c r="S3392" s="2" t="s">
        <v>10912</v>
      </c>
      <c r="T3392" s="2" t="s">
        <v>100</v>
      </c>
      <c r="U3392" s="2" t="s">
        <v>1776</v>
      </c>
      <c r="V3392" s="2" t="s">
        <v>4636</v>
      </c>
      <c r="W3392" s="2" t="s">
        <v>493</v>
      </c>
      <c r="X3392" s="2" t="s">
        <v>10813</v>
      </c>
      <c r="Y3392" s="2" t="s">
        <v>144</v>
      </c>
      <c r="Z3392" s="4">
        <v>583</v>
      </c>
      <c r="AA3392" s="4">
        <f>=ROUNDDOWN(58.3,0)</f>
      </c>
      <c r="AB3392" s="5">
        <v>10</v>
      </c>
      <c r="AC3392" s="2" t="s">
        <v>100</v>
      </c>
      <c r="AD3392" s="4"/>
      <c r="AE3392" s="4"/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>
        <v>0</v>
      </c>
      <c r="AP3392" s="4"/>
      <c r="AQ3392" s="8"/>
      <c r="AR3392" s="4"/>
      <c r="AS3392" s="8"/>
      <c r="AT3392" s="7"/>
      <c r="AU3392" s="7"/>
      <c r="AV3392" s="4" t="s">
        <v>100</v>
      </c>
      <c r="AW3392" s="8" t="s">
        <v>100</v>
      </c>
      <c r="AX3392" s="4" t="s">
        <v>100</v>
      </c>
      <c r="AY3392" s="8" t="s">
        <v>100</v>
      </c>
      <c r="AZ3392" s="7" t="s">
        <v>100</v>
      </c>
      <c r="BA3392" s="7" t="s">
        <v>100</v>
      </c>
      <c r="BB3392" s="7"/>
      <c r="BC3392" s="4" t="s">
        <v>100</v>
      </c>
      <c r="BD3392" s="8" t="s">
        <v>100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 t="s">
        <v>100</v>
      </c>
      <c r="BJ3392" s="4">
        <v>60</v>
      </c>
      <c r="BK3392" s="8">
        <v>907.91</v>
      </c>
      <c r="BL3392" s="2" t="s">
        <v>10916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109</v>
      </c>
      <c r="BV3392" s="2" t="s">
        <v>97</v>
      </c>
      <c r="BW3392" s="2" t="s">
        <v>159</v>
      </c>
      <c r="BX3392" s="2" t="s">
        <v>464</v>
      </c>
      <c r="BY3392" s="2" t="s">
        <v>112</v>
      </c>
      <c r="BZ3392" s="2" t="s">
        <v>149</v>
      </c>
    </row>
    <row r="3393">
      <c r="A3393" s="2" t="s">
        <v>10917</v>
      </c>
      <c r="B3393" s="2" t="s">
        <v>10807</v>
      </c>
      <c r="C3393" s="2" t="s">
        <v>88</v>
      </c>
      <c r="D3393" s="2" t="s">
        <v>2572</v>
      </c>
      <c r="E3393" s="2" t="s">
        <v>2573</v>
      </c>
      <c r="F3393" s="2" t="s">
        <v>10908</v>
      </c>
      <c r="G3393" s="2" t="s">
        <v>10909</v>
      </c>
      <c r="H3393" s="2" t="s">
        <v>10910</v>
      </c>
      <c r="I3393" s="2" t="s">
        <v>10911</v>
      </c>
      <c r="J3393" s="2" t="s">
        <v>10818</v>
      </c>
      <c r="K3393" s="2" t="s">
        <v>7377</v>
      </c>
      <c r="L3393" s="3">
        <v>18.4</v>
      </c>
      <c r="M3393" s="3">
        <v>19.32</v>
      </c>
      <c r="N3393" s="3">
        <v>39.99</v>
      </c>
      <c r="O3393" s="2" t="s">
        <v>97</v>
      </c>
      <c r="P3393" s="2" t="s">
        <v>98</v>
      </c>
      <c r="Q3393" s="2" t="s">
        <v>99</v>
      </c>
      <c r="R3393" s="2" t="s">
        <v>100</v>
      </c>
      <c r="S3393" s="2" t="s">
        <v>10912</v>
      </c>
      <c r="T3393" s="2" t="s">
        <v>100</v>
      </c>
      <c r="U3393" s="2" t="s">
        <v>1776</v>
      </c>
      <c r="V3393" s="2" t="s">
        <v>4636</v>
      </c>
      <c r="W3393" s="2" t="s">
        <v>493</v>
      </c>
      <c r="X3393" s="2" t="s">
        <v>10813</v>
      </c>
      <c r="Y3393" s="2" t="s">
        <v>144</v>
      </c>
      <c r="Z3393" s="4">
        <v>118</v>
      </c>
      <c r="AA3393" s="4">
        <f>=ROUNDDOWN(23.6,0)</f>
      </c>
      <c r="AB3393" s="5">
        <v>5</v>
      </c>
      <c r="AC3393" s="2" t="s">
        <v>958</v>
      </c>
      <c r="AD3393" s="4">
        <v>100</v>
      </c>
      <c r="AE3393" s="4">
        <v>100</v>
      </c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/>
      <c r="AQ3393" s="8"/>
      <c r="AR3393" s="4"/>
      <c r="AS3393" s="8"/>
      <c r="AT3393" s="7"/>
      <c r="AU3393" s="7"/>
      <c r="AV3393" s="4" t="s">
        <v>100</v>
      </c>
      <c r="AW3393" s="8" t="s">
        <v>100</v>
      </c>
      <c r="AX3393" s="4" t="s">
        <v>100</v>
      </c>
      <c r="AY3393" s="8" t="s">
        <v>100</v>
      </c>
      <c r="AZ3393" s="7" t="s">
        <v>100</v>
      </c>
      <c r="BA3393" s="7" t="s">
        <v>100</v>
      </c>
      <c r="BB3393" s="7"/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 t="s">
        <v>100</v>
      </c>
      <c r="BJ3393" s="4">
        <v>15</v>
      </c>
      <c r="BK3393" s="8">
        <v>402.37</v>
      </c>
      <c r="BL3393" s="2" t="s">
        <v>10918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109</v>
      </c>
      <c r="BV3393" s="2" t="s">
        <v>97</v>
      </c>
      <c r="BW3393" s="2" t="s">
        <v>159</v>
      </c>
      <c r="BX3393" s="2" t="s">
        <v>10919</v>
      </c>
      <c r="BY3393" s="2" t="s">
        <v>112</v>
      </c>
      <c r="BZ3393" s="2" t="s">
        <v>149</v>
      </c>
    </row>
    <row r="3394">
      <c r="A3394" s="2" t="s">
        <v>10920</v>
      </c>
      <c r="B3394" s="2" t="s">
        <v>10807</v>
      </c>
      <c r="C3394" s="2" t="s">
        <v>88</v>
      </c>
      <c r="D3394" s="2" t="s">
        <v>2572</v>
      </c>
      <c r="E3394" s="2" t="s">
        <v>2573</v>
      </c>
      <c r="F3394" s="2" t="s">
        <v>10908</v>
      </c>
      <c r="G3394" s="2" t="s">
        <v>10909</v>
      </c>
      <c r="H3394" s="2" t="s">
        <v>10910</v>
      </c>
      <c r="I3394" s="2" t="s">
        <v>10911</v>
      </c>
      <c r="J3394" s="2" t="s">
        <v>10921</v>
      </c>
      <c r="K3394" s="2" t="s">
        <v>7377</v>
      </c>
      <c r="L3394" s="3">
        <v>20.7</v>
      </c>
      <c r="M3394" s="3">
        <v>21.74</v>
      </c>
      <c r="N3394" s="3">
        <v>44.99</v>
      </c>
      <c r="O3394" s="2" t="s">
        <v>97</v>
      </c>
      <c r="P3394" s="2" t="s">
        <v>98</v>
      </c>
      <c r="Q3394" s="2" t="s">
        <v>99</v>
      </c>
      <c r="R3394" s="2" t="s">
        <v>100</v>
      </c>
      <c r="S3394" s="2" t="s">
        <v>10912</v>
      </c>
      <c r="T3394" s="2" t="s">
        <v>100</v>
      </c>
      <c r="U3394" s="2" t="s">
        <v>1776</v>
      </c>
      <c r="V3394" s="2" t="s">
        <v>4636</v>
      </c>
      <c r="W3394" s="2" t="s">
        <v>493</v>
      </c>
      <c r="X3394" s="2" t="s">
        <v>10813</v>
      </c>
      <c r="Y3394" s="2" t="s">
        <v>144</v>
      </c>
      <c r="Z3394" s="4">
        <v>80</v>
      </c>
      <c r="AA3394" s="4">
        <f>=ROUNDDOWN(20,0)</f>
      </c>
      <c r="AB3394" s="5">
        <v>4</v>
      </c>
      <c r="AC3394" s="2" t="s">
        <v>958</v>
      </c>
      <c r="AD3394" s="4">
        <v>152</v>
      </c>
      <c r="AE3394" s="4">
        <v>152</v>
      </c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2</v>
      </c>
      <c r="AQ3394" s="8">
        <v>39.9</v>
      </c>
      <c r="AR3394" s="4"/>
      <c r="AS3394" s="8"/>
      <c r="AT3394" s="7"/>
      <c r="AU3394" s="7"/>
      <c r="AV3394" s="4" t="s">
        <v>100</v>
      </c>
      <c r="AW3394" s="8" t="s">
        <v>100</v>
      </c>
      <c r="AX3394" s="4" t="s">
        <v>100</v>
      </c>
      <c r="AY3394" s="8" t="s">
        <v>100</v>
      </c>
      <c r="AZ3394" s="7" t="s">
        <v>100</v>
      </c>
      <c r="BA3394" s="7" t="s">
        <v>100</v>
      </c>
      <c r="BB3394" s="7">
        <v>1</v>
      </c>
      <c r="BC3394" s="4" t="s">
        <v>100</v>
      </c>
      <c r="BD3394" s="8" t="s">
        <v>100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 t="s">
        <v>100</v>
      </c>
      <c r="BJ3394" s="4">
        <v>20</v>
      </c>
      <c r="BK3394" s="8">
        <v>383.3</v>
      </c>
      <c r="BL3394" s="2" t="s">
        <v>6323</v>
      </c>
      <c r="BM3394" s="7">
        <v>0.1</v>
      </c>
      <c r="BN3394" s="7">
        <v>0.1041</v>
      </c>
      <c r="BO3394" s="4">
        <v>2</v>
      </c>
      <c r="BP3394" s="8">
        <v>39.9</v>
      </c>
      <c r="BQ3394" s="4"/>
      <c r="BR3394" s="8"/>
      <c r="BS3394" s="7"/>
      <c r="BT3394" s="7"/>
      <c r="BU3394" s="2" t="s">
        <v>109</v>
      </c>
      <c r="BV3394" s="2" t="s">
        <v>97</v>
      </c>
      <c r="BW3394" s="2" t="s">
        <v>159</v>
      </c>
      <c r="BX3394" s="2" t="s">
        <v>10922</v>
      </c>
      <c r="BY3394" s="2" t="s">
        <v>112</v>
      </c>
      <c r="BZ3394" s="2" t="s">
        <v>149</v>
      </c>
    </row>
    <row r="3395">
      <c r="A3395" s="2" t="s">
        <v>10923</v>
      </c>
      <c r="B3395" s="2" t="s">
        <v>10807</v>
      </c>
      <c r="C3395" s="2" t="s">
        <v>88</v>
      </c>
      <c r="D3395" s="2" t="s">
        <v>2572</v>
      </c>
      <c r="E3395" s="2" t="s">
        <v>2573</v>
      </c>
      <c r="F3395" s="2" t="s">
        <v>10908</v>
      </c>
      <c r="G3395" s="2" t="s">
        <v>10909</v>
      </c>
      <c r="H3395" s="2" t="s">
        <v>10910</v>
      </c>
      <c r="I3395" s="2" t="s">
        <v>10911</v>
      </c>
      <c r="J3395" s="2" t="s">
        <v>10868</v>
      </c>
      <c r="K3395" s="2" t="s">
        <v>10924</v>
      </c>
      <c r="L3395" s="3">
        <v>13.5</v>
      </c>
      <c r="M3395" s="3">
        <v>14.18</v>
      </c>
      <c r="N3395" s="3">
        <v>29.99</v>
      </c>
      <c r="O3395" s="2" t="s">
        <v>97</v>
      </c>
      <c r="P3395" s="2" t="s">
        <v>98</v>
      </c>
      <c r="Q3395" s="2" t="s">
        <v>99</v>
      </c>
      <c r="R3395" s="2" t="s">
        <v>100</v>
      </c>
      <c r="S3395" s="2" t="s">
        <v>10925</v>
      </c>
      <c r="T3395" s="2" t="s">
        <v>100</v>
      </c>
      <c r="U3395" s="2" t="s">
        <v>1776</v>
      </c>
      <c r="V3395" s="2" t="s">
        <v>4636</v>
      </c>
      <c r="W3395" s="2" t="s">
        <v>493</v>
      </c>
      <c r="X3395" s="2" t="s">
        <v>10813</v>
      </c>
      <c r="Y3395" s="2" t="s">
        <v>144</v>
      </c>
      <c r="Z3395" s="4">
        <v>236</v>
      </c>
      <c r="AA3395" s="4">
        <f>=ROUNDDOWN(29.5,0)</f>
      </c>
      <c r="AB3395" s="5">
        <v>8</v>
      </c>
      <c r="AC3395" s="2" t="s">
        <v>100</v>
      </c>
      <c r="AD3395" s="4"/>
      <c r="AE3395" s="4"/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/>
      <c r="AQ3395" s="8"/>
      <c r="AR3395" s="4"/>
      <c r="AS3395" s="8"/>
      <c r="AT3395" s="7"/>
      <c r="AU3395" s="7"/>
      <c r="AV3395" s="4" t="s">
        <v>100</v>
      </c>
      <c r="AW3395" s="8" t="s">
        <v>100</v>
      </c>
      <c r="AX3395" s="4" t="s">
        <v>100</v>
      </c>
      <c r="AY3395" s="8" t="s">
        <v>100</v>
      </c>
      <c r="AZ3395" s="7" t="s">
        <v>100</v>
      </c>
      <c r="BA3395" s="7" t="s">
        <v>100</v>
      </c>
      <c r="BB3395" s="7"/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 t="s">
        <v>100</v>
      </c>
      <c r="BJ3395" s="4">
        <v>36</v>
      </c>
      <c r="BK3395" s="8">
        <v>484.08</v>
      </c>
      <c r="BL3395" s="2" t="s">
        <v>10926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109</v>
      </c>
      <c r="BV3395" s="2" t="s">
        <v>97</v>
      </c>
      <c r="BW3395" s="2" t="s">
        <v>4796</v>
      </c>
      <c r="BX3395" s="2" t="s">
        <v>5046</v>
      </c>
      <c r="BY3395" s="2" t="s">
        <v>112</v>
      </c>
      <c r="BZ3395" s="2" t="s">
        <v>149</v>
      </c>
    </row>
    <row r="3396">
      <c r="A3396" s="2" t="s">
        <v>10927</v>
      </c>
      <c r="B3396" s="2" t="s">
        <v>10807</v>
      </c>
      <c r="C3396" s="2" t="s">
        <v>88</v>
      </c>
      <c r="D3396" s="2" t="s">
        <v>2572</v>
      </c>
      <c r="E3396" s="2" t="s">
        <v>2573</v>
      </c>
      <c r="F3396" s="2" t="s">
        <v>10908</v>
      </c>
      <c r="G3396" s="2" t="s">
        <v>10909</v>
      </c>
      <c r="H3396" s="2" t="s">
        <v>10910</v>
      </c>
      <c r="I3396" s="2" t="s">
        <v>10911</v>
      </c>
      <c r="J3396" s="2" t="s">
        <v>10811</v>
      </c>
      <c r="K3396" s="2" t="s">
        <v>10924</v>
      </c>
      <c r="L3396" s="3">
        <v>15.75</v>
      </c>
      <c r="M3396" s="3">
        <v>16.54</v>
      </c>
      <c r="N3396" s="3">
        <v>34.99</v>
      </c>
      <c r="O3396" s="2" t="s">
        <v>97</v>
      </c>
      <c r="P3396" s="2" t="s">
        <v>98</v>
      </c>
      <c r="Q3396" s="2" t="s">
        <v>99</v>
      </c>
      <c r="R3396" s="2" t="s">
        <v>100</v>
      </c>
      <c r="S3396" s="2" t="s">
        <v>10925</v>
      </c>
      <c r="T3396" s="2" t="s">
        <v>100</v>
      </c>
      <c r="U3396" s="2" t="s">
        <v>1776</v>
      </c>
      <c r="V3396" s="2" t="s">
        <v>4636</v>
      </c>
      <c r="W3396" s="2" t="s">
        <v>493</v>
      </c>
      <c r="X3396" s="2" t="s">
        <v>10813</v>
      </c>
      <c r="Y3396" s="2" t="s">
        <v>144</v>
      </c>
      <c r="Z3396" s="4">
        <v>756</v>
      </c>
      <c r="AA3396" s="4">
        <f>=ROUNDDOWN(37.8,0)</f>
      </c>
      <c r="AB3396" s="5">
        <v>20</v>
      </c>
      <c r="AC3396" s="2" t="s">
        <v>100</v>
      </c>
      <c r="AD3396" s="4"/>
      <c r="AE3396" s="4"/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/>
      <c r="AQ3396" s="8"/>
      <c r="AR3396" s="4"/>
      <c r="AS3396" s="8"/>
      <c r="AT3396" s="7"/>
      <c r="AU3396" s="7"/>
      <c r="AV3396" s="4" t="s">
        <v>100</v>
      </c>
      <c r="AW3396" s="8" t="s">
        <v>100</v>
      </c>
      <c r="AX3396" s="4" t="s">
        <v>100</v>
      </c>
      <c r="AY3396" s="8" t="s">
        <v>100</v>
      </c>
      <c r="AZ3396" s="7" t="s">
        <v>100</v>
      </c>
      <c r="BA3396" s="7" t="s">
        <v>100</v>
      </c>
      <c r="BB3396" s="7"/>
      <c r="BC3396" s="4" t="s">
        <v>100</v>
      </c>
      <c r="BD3396" s="8" t="s">
        <v>100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 t="s">
        <v>100</v>
      </c>
      <c r="BJ3396" s="4">
        <v>94</v>
      </c>
      <c r="BK3396" s="8">
        <v>1392.7</v>
      </c>
      <c r="BL3396" s="2" t="s">
        <v>10928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109</v>
      </c>
      <c r="BV3396" s="2" t="s">
        <v>97</v>
      </c>
      <c r="BW3396" s="2" t="s">
        <v>4796</v>
      </c>
      <c r="BX3396" s="2" t="s">
        <v>9745</v>
      </c>
      <c r="BY3396" s="2" t="s">
        <v>112</v>
      </c>
      <c r="BZ3396" s="2" t="s">
        <v>149</v>
      </c>
    </row>
    <row r="3397">
      <c r="A3397" s="2" t="s">
        <v>10929</v>
      </c>
      <c r="B3397" s="2" t="s">
        <v>10807</v>
      </c>
      <c r="C3397" s="2" t="s">
        <v>88</v>
      </c>
      <c r="D3397" s="2" t="s">
        <v>2572</v>
      </c>
      <c r="E3397" s="2" t="s">
        <v>2573</v>
      </c>
      <c r="F3397" s="2" t="s">
        <v>10908</v>
      </c>
      <c r="G3397" s="2" t="s">
        <v>10909</v>
      </c>
      <c r="H3397" s="2" t="s">
        <v>10910</v>
      </c>
      <c r="I3397" s="2" t="s">
        <v>10911</v>
      </c>
      <c r="J3397" s="2" t="s">
        <v>10921</v>
      </c>
      <c r="K3397" s="2" t="s">
        <v>10924</v>
      </c>
      <c r="L3397" s="3">
        <v>20.7</v>
      </c>
      <c r="M3397" s="3">
        <v>21.74</v>
      </c>
      <c r="N3397" s="3">
        <v>44.99</v>
      </c>
      <c r="O3397" s="2" t="s">
        <v>97</v>
      </c>
      <c r="P3397" s="2" t="s">
        <v>98</v>
      </c>
      <c r="Q3397" s="2" t="s">
        <v>99</v>
      </c>
      <c r="R3397" s="2" t="s">
        <v>100</v>
      </c>
      <c r="S3397" s="2" t="s">
        <v>10925</v>
      </c>
      <c r="T3397" s="2" t="s">
        <v>100</v>
      </c>
      <c r="U3397" s="2" t="s">
        <v>1776</v>
      </c>
      <c r="V3397" s="2" t="s">
        <v>4636</v>
      </c>
      <c r="W3397" s="2" t="s">
        <v>493</v>
      </c>
      <c r="X3397" s="2" t="s">
        <v>10813</v>
      </c>
      <c r="Y3397" s="2" t="s">
        <v>144</v>
      </c>
      <c r="Z3397" s="4">
        <v>236</v>
      </c>
      <c r="AA3397" s="4">
        <f>=ROUNDDOWN(33.7142857142857,0)</f>
      </c>
      <c r="AB3397" s="5">
        <v>7</v>
      </c>
      <c r="AC3397" s="2" t="s">
        <v>646</v>
      </c>
      <c r="AD3397" s="4">
        <v>52</v>
      </c>
      <c r="AE3397" s="4">
        <v>52</v>
      </c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/>
      <c r="AQ3397" s="8"/>
      <c r="AR3397" s="4"/>
      <c r="AS3397" s="8"/>
      <c r="AT3397" s="7"/>
      <c r="AU3397" s="7"/>
      <c r="AV3397" s="4" t="s">
        <v>100</v>
      </c>
      <c r="AW3397" s="8" t="s">
        <v>100</v>
      </c>
      <c r="AX3397" s="4" t="s">
        <v>100</v>
      </c>
      <c r="AY3397" s="8" t="s">
        <v>100</v>
      </c>
      <c r="AZ3397" s="7" t="s">
        <v>100</v>
      </c>
      <c r="BA3397" s="7" t="s">
        <v>100</v>
      </c>
      <c r="BB3397" s="7"/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 t="s">
        <v>100</v>
      </c>
      <c r="BJ3397" s="4">
        <v>16</v>
      </c>
      <c r="BK3397" s="8">
        <v>311.49</v>
      </c>
      <c r="BL3397" s="2" t="s">
        <v>647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109</v>
      </c>
      <c r="BV3397" s="2" t="s">
        <v>97</v>
      </c>
      <c r="BW3397" s="2" t="s">
        <v>4796</v>
      </c>
      <c r="BX3397" s="2" t="s">
        <v>1336</v>
      </c>
      <c r="BY3397" s="2" t="s">
        <v>112</v>
      </c>
      <c r="BZ3397" s="2" t="s">
        <v>149</v>
      </c>
    </row>
    <row r="3398">
      <c r="A3398" s="2" t="s">
        <v>10930</v>
      </c>
      <c r="B3398" s="2" t="s">
        <v>10807</v>
      </c>
      <c r="C3398" s="2" t="s">
        <v>88</v>
      </c>
      <c r="D3398" s="2" t="s">
        <v>2572</v>
      </c>
      <c r="E3398" s="2" t="s">
        <v>2573</v>
      </c>
      <c r="F3398" s="2" t="s">
        <v>10908</v>
      </c>
      <c r="G3398" s="2" t="s">
        <v>10909</v>
      </c>
      <c r="H3398" s="2" t="s">
        <v>10910</v>
      </c>
      <c r="I3398" s="2" t="s">
        <v>10911</v>
      </c>
      <c r="J3398" s="2" t="s">
        <v>10868</v>
      </c>
      <c r="K3398" s="2" t="s">
        <v>10931</v>
      </c>
      <c r="L3398" s="3">
        <v>13.5</v>
      </c>
      <c r="M3398" s="3">
        <v>14.18</v>
      </c>
      <c r="N3398" s="3">
        <v>29.99</v>
      </c>
      <c r="O3398" s="2" t="s">
        <v>97</v>
      </c>
      <c r="P3398" s="2" t="s">
        <v>98</v>
      </c>
      <c r="Q3398" s="2" t="s">
        <v>99</v>
      </c>
      <c r="R3398" s="2" t="s">
        <v>100</v>
      </c>
      <c r="S3398" s="2" t="s">
        <v>10932</v>
      </c>
      <c r="T3398" s="2" t="s">
        <v>100</v>
      </c>
      <c r="U3398" s="2" t="s">
        <v>1776</v>
      </c>
      <c r="V3398" s="2" t="s">
        <v>4636</v>
      </c>
      <c r="W3398" s="2" t="s">
        <v>493</v>
      </c>
      <c r="X3398" s="2" t="s">
        <v>10813</v>
      </c>
      <c r="Y3398" s="2" t="s">
        <v>144</v>
      </c>
      <c r="Z3398" s="4">
        <v>636</v>
      </c>
      <c r="AA3398" s="4">
        <f>=ROUNDDOWN(79.5,0)</f>
      </c>
      <c r="AB3398" s="5">
        <v>8</v>
      </c>
      <c r="AC3398" s="2" t="s">
        <v>100</v>
      </c>
      <c r="AD3398" s="4"/>
      <c r="AE3398" s="4"/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/>
      <c r="AQ3398" s="8"/>
      <c r="AR3398" s="4"/>
      <c r="AS3398" s="8"/>
      <c r="AT3398" s="7"/>
      <c r="AU3398" s="7"/>
      <c r="AV3398" s="4" t="s">
        <v>100</v>
      </c>
      <c r="AW3398" s="8" t="s">
        <v>100</v>
      </c>
      <c r="AX3398" s="4" t="s">
        <v>100</v>
      </c>
      <c r="AY3398" s="8" t="s">
        <v>100</v>
      </c>
      <c r="AZ3398" s="7" t="s">
        <v>100</v>
      </c>
      <c r="BA3398" s="7" t="s">
        <v>100</v>
      </c>
      <c r="BB3398" s="7"/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 t="s">
        <v>100</v>
      </c>
      <c r="BJ3398" s="4">
        <v>27</v>
      </c>
      <c r="BK3398" s="8">
        <v>362.44</v>
      </c>
      <c r="BL3398" s="2" t="s">
        <v>10933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109</v>
      </c>
      <c r="BV3398" s="2" t="s">
        <v>97</v>
      </c>
      <c r="BW3398" s="2" t="s">
        <v>159</v>
      </c>
      <c r="BX3398" s="2" t="s">
        <v>10934</v>
      </c>
      <c r="BY3398" s="2" t="s">
        <v>112</v>
      </c>
      <c r="BZ3398" s="2" t="s">
        <v>149</v>
      </c>
    </row>
    <row r="3399">
      <c r="A3399" s="2" t="s">
        <v>10935</v>
      </c>
      <c r="B3399" s="2" t="s">
        <v>10807</v>
      </c>
      <c r="C3399" s="2" t="s">
        <v>88</v>
      </c>
      <c r="D3399" s="2" t="s">
        <v>2572</v>
      </c>
      <c r="E3399" s="2" t="s">
        <v>2573</v>
      </c>
      <c r="F3399" s="2" t="s">
        <v>10908</v>
      </c>
      <c r="G3399" s="2" t="s">
        <v>10909</v>
      </c>
      <c r="H3399" s="2" t="s">
        <v>10910</v>
      </c>
      <c r="I3399" s="2" t="s">
        <v>10911</v>
      </c>
      <c r="J3399" s="2" t="s">
        <v>10811</v>
      </c>
      <c r="K3399" s="2" t="s">
        <v>10931</v>
      </c>
      <c r="L3399" s="3">
        <v>15.75</v>
      </c>
      <c r="M3399" s="3">
        <v>16.54</v>
      </c>
      <c r="N3399" s="3">
        <v>34.99</v>
      </c>
      <c r="O3399" s="2" t="s">
        <v>97</v>
      </c>
      <c r="P3399" s="2" t="s">
        <v>98</v>
      </c>
      <c r="Q3399" s="2" t="s">
        <v>99</v>
      </c>
      <c r="R3399" s="2" t="s">
        <v>100</v>
      </c>
      <c r="S3399" s="2" t="s">
        <v>10932</v>
      </c>
      <c r="T3399" s="2" t="s">
        <v>100</v>
      </c>
      <c r="U3399" s="2" t="s">
        <v>1776</v>
      </c>
      <c r="V3399" s="2" t="s">
        <v>4636</v>
      </c>
      <c r="W3399" s="2" t="s">
        <v>493</v>
      </c>
      <c r="X3399" s="2" t="s">
        <v>10813</v>
      </c>
      <c r="Y3399" s="2" t="s">
        <v>144</v>
      </c>
      <c r="Z3399" s="4">
        <v>124</v>
      </c>
      <c r="AA3399" s="4">
        <f>=ROUNDDOWN(7.75,0)</f>
      </c>
      <c r="AB3399" s="5">
        <v>16</v>
      </c>
      <c r="AC3399" s="2" t="s">
        <v>990</v>
      </c>
      <c r="AD3399" s="4">
        <v>500</v>
      </c>
      <c r="AE3399" s="4">
        <v>692</v>
      </c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/>
      <c r="AQ3399" s="8"/>
      <c r="AR3399" s="4"/>
      <c r="AS3399" s="8"/>
      <c r="AT3399" s="7"/>
      <c r="AU3399" s="7"/>
      <c r="AV3399" s="4" t="s">
        <v>100</v>
      </c>
      <c r="AW3399" s="8" t="s">
        <v>100</v>
      </c>
      <c r="AX3399" s="4" t="s">
        <v>100</v>
      </c>
      <c r="AY3399" s="8" t="s">
        <v>100</v>
      </c>
      <c r="AZ3399" s="7" t="s">
        <v>100</v>
      </c>
      <c r="BA3399" s="7" t="s">
        <v>100</v>
      </c>
      <c r="BB3399" s="7"/>
      <c r="BC3399" s="4" t="s">
        <v>100</v>
      </c>
      <c r="BD3399" s="8" t="s">
        <v>100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 t="s">
        <v>100</v>
      </c>
      <c r="BJ3399" s="4">
        <v>53</v>
      </c>
      <c r="BK3399" s="8">
        <v>760.14</v>
      </c>
      <c r="BL3399" s="2" t="s">
        <v>10936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109</v>
      </c>
      <c r="BV3399" s="2" t="s">
        <v>97</v>
      </c>
      <c r="BW3399" s="2" t="s">
        <v>159</v>
      </c>
      <c r="BX3399" s="2" t="s">
        <v>10937</v>
      </c>
      <c r="BY3399" s="2" t="s">
        <v>112</v>
      </c>
      <c r="BZ3399" s="2" t="s">
        <v>149</v>
      </c>
    </row>
    <row r="3400">
      <c r="A3400" s="2" t="s">
        <v>10938</v>
      </c>
      <c r="B3400" s="2" t="s">
        <v>10807</v>
      </c>
      <c r="C3400" s="2" t="s">
        <v>88</v>
      </c>
      <c r="D3400" s="2" t="s">
        <v>2572</v>
      </c>
      <c r="E3400" s="2" t="s">
        <v>2573</v>
      </c>
      <c r="F3400" s="2" t="s">
        <v>10908</v>
      </c>
      <c r="G3400" s="2" t="s">
        <v>10909</v>
      </c>
      <c r="H3400" s="2" t="s">
        <v>10910</v>
      </c>
      <c r="I3400" s="2" t="s">
        <v>10911</v>
      </c>
      <c r="J3400" s="2" t="s">
        <v>10818</v>
      </c>
      <c r="K3400" s="2" t="s">
        <v>10931</v>
      </c>
      <c r="L3400" s="3">
        <v>18.4</v>
      </c>
      <c r="M3400" s="3">
        <v>19.32</v>
      </c>
      <c r="N3400" s="3">
        <v>39.99</v>
      </c>
      <c r="O3400" s="2" t="s">
        <v>97</v>
      </c>
      <c r="P3400" s="2" t="s">
        <v>98</v>
      </c>
      <c r="Q3400" s="2" t="s">
        <v>99</v>
      </c>
      <c r="R3400" s="2" t="s">
        <v>100</v>
      </c>
      <c r="S3400" s="2" t="s">
        <v>10932</v>
      </c>
      <c r="T3400" s="2" t="s">
        <v>100</v>
      </c>
      <c r="U3400" s="2" t="s">
        <v>1776</v>
      </c>
      <c r="V3400" s="2" t="s">
        <v>4636</v>
      </c>
      <c r="W3400" s="2" t="s">
        <v>493</v>
      </c>
      <c r="X3400" s="2" t="s">
        <v>10813</v>
      </c>
      <c r="Y3400" s="2" t="s">
        <v>144</v>
      </c>
      <c r="Z3400" s="4">
        <v>195</v>
      </c>
      <c r="AA3400" s="4">
        <f>=ROUNDDOWN(24.375,0)</f>
      </c>
      <c r="AB3400" s="5">
        <v>8</v>
      </c>
      <c r="AC3400" s="2" t="s">
        <v>173</v>
      </c>
      <c r="AD3400" s="4">
        <v>176</v>
      </c>
      <c r="AE3400" s="4">
        <v>176</v>
      </c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/>
      <c r="AQ3400" s="8"/>
      <c r="AR3400" s="4"/>
      <c r="AS3400" s="8"/>
      <c r="AT3400" s="7"/>
      <c r="AU3400" s="7"/>
      <c r="AV3400" s="4" t="s">
        <v>100</v>
      </c>
      <c r="AW3400" s="8" t="s">
        <v>100</v>
      </c>
      <c r="AX3400" s="4" t="s">
        <v>100</v>
      </c>
      <c r="AY3400" s="8" t="s">
        <v>100</v>
      </c>
      <c r="AZ3400" s="7" t="s">
        <v>100</v>
      </c>
      <c r="BA3400" s="7" t="s">
        <v>100</v>
      </c>
      <c r="BB3400" s="7"/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 t="s">
        <v>100</v>
      </c>
      <c r="BJ3400" s="4">
        <v>31</v>
      </c>
      <c r="BK3400" s="8">
        <v>556.31</v>
      </c>
      <c r="BL3400" s="2" t="s">
        <v>5533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109</v>
      </c>
      <c r="BV3400" s="2" t="s">
        <v>97</v>
      </c>
      <c r="BW3400" s="2" t="s">
        <v>159</v>
      </c>
      <c r="BX3400" s="2" t="s">
        <v>10939</v>
      </c>
      <c r="BY3400" s="2" t="s">
        <v>112</v>
      </c>
      <c r="BZ3400" s="2" t="s">
        <v>149</v>
      </c>
    </row>
    <row r="3401">
      <c r="A3401" s="2" t="s">
        <v>10940</v>
      </c>
      <c r="B3401" s="2" t="s">
        <v>10807</v>
      </c>
      <c r="C3401" s="2" t="s">
        <v>88</v>
      </c>
      <c r="D3401" s="2" t="s">
        <v>2572</v>
      </c>
      <c r="E3401" s="2" t="s">
        <v>2573</v>
      </c>
      <c r="F3401" s="2" t="s">
        <v>10908</v>
      </c>
      <c r="G3401" s="2" t="s">
        <v>10909</v>
      </c>
      <c r="H3401" s="2" t="s">
        <v>10910</v>
      </c>
      <c r="I3401" s="2" t="s">
        <v>10911</v>
      </c>
      <c r="J3401" s="2" t="s">
        <v>10921</v>
      </c>
      <c r="K3401" s="2" t="s">
        <v>10931</v>
      </c>
      <c r="L3401" s="3">
        <v>20.7</v>
      </c>
      <c r="M3401" s="3">
        <v>21.74</v>
      </c>
      <c r="N3401" s="3">
        <v>44.99</v>
      </c>
      <c r="O3401" s="2" t="s">
        <v>97</v>
      </c>
      <c r="P3401" s="2" t="s">
        <v>98</v>
      </c>
      <c r="Q3401" s="2" t="s">
        <v>99</v>
      </c>
      <c r="R3401" s="2" t="s">
        <v>100</v>
      </c>
      <c r="S3401" s="2" t="s">
        <v>10932</v>
      </c>
      <c r="T3401" s="2" t="s">
        <v>100</v>
      </c>
      <c r="U3401" s="2" t="s">
        <v>1776</v>
      </c>
      <c r="V3401" s="2" t="s">
        <v>4636</v>
      </c>
      <c r="W3401" s="2" t="s">
        <v>493</v>
      </c>
      <c r="X3401" s="2" t="s">
        <v>10813</v>
      </c>
      <c r="Y3401" s="2" t="s">
        <v>144</v>
      </c>
      <c r="Z3401" s="4">
        <v>269</v>
      </c>
      <c r="AA3401" s="4">
        <f>=ROUNDDOWN(67.25,0)</f>
      </c>
      <c r="AB3401" s="5">
        <v>4</v>
      </c>
      <c r="AC3401" s="2" t="s">
        <v>100</v>
      </c>
      <c r="AD3401" s="4"/>
      <c r="AE3401" s="4"/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/>
      <c r="AQ3401" s="8"/>
      <c r="AR3401" s="4"/>
      <c r="AS3401" s="8"/>
      <c r="AT3401" s="7"/>
      <c r="AU3401" s="7"/>
      <c r="AV3401" s="4" t="s">
        <v>100</v>
      </c>
      <c r="AW3401" s="8" t="s">
        <v>100</v>
      </c>
      <c r="AX3401" s="4" t="s">
        <v>100</v>
      </c>
      <c r="AY3401" s="8" t="s">
        <v>100</v>
      </c>
      <c r="AZ3401" s="7" t="s">
        <v>100</v>
      </c>
      <c r="BA3401" s="7" t="s">
        <v>100</v>
      </c>
      <c r="BB3401" s="7"/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 t="s">
        <v>100</v>
      </c>
      <c r="BJ3401" s="4">
        <v>13</v>
      </c>
      <c r="BK3401" s="8">
        <v>332.58</v>
      </c>
      <c r="BL3401" s="2" t="s">
        <v>10941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109</v>
      </c>
      <c r="BV3401" s="2" t="s">
        <v>97</v>
      </c>
      <c r="BW3401" s="2" t="s">
        <v>159</v>
      </c>
      <c r="BX3401" s="2" t="s">
        <v>10937</v>
      </c>
      <c r="BY3401" s="2" t="s">
        <v>112</v>
      </c>
      <c r="BZ3401" s="2" t="s">
        <v>149</v>
      </c>
    </row>
    <row r="3402">
      <c r="A3402" s="2" t="s">
        <v>10942</v>
      </c>
      <c r="B3402" s="2" t="s">
        <v>10807</v>
      </c>
      <c r="C3402" s="2" t="s">
        <v>88</v>
      </c>
      <c r="D3402" s="2" t="s">
        <v>2572</v>
      </c>
      <c r="E3402" s="2" t="s">
        <v>2573</v>
      </c>
      <c r="F3402" s="2" t="s">
        <v>10908</v>
      </c>
      <c r="G3402" s="2" t="s">
        <v>10909</v>
      </c>
      <c r="H3402" s="2" t="s">
        <v>10910</v>
      </c>
      <c r="I3402" s="2" t="s">
        <v>10911</v>
      </c>
      <c r="J3402" s="2" t="s">
        <v>10868</v>
      </c>
      <c r="K3402" s="2" t="s">
        <v>8721</v>
      </c>
      <c r="L3402" s="3">
        <v>13.5</v>
      </c>
      <c r="M3402" s="3">
        <v>14.18</v>
      </c>
      <c r="N3402" s="3">
        <v>29.99</v>
      </c>
      <c r="O3402" s="2" t="s">
        <v>97</v>
      </c>
      <c r="P3402" s="2" t="s">
        <v>98</v>
      </c>
      <c r="Q3402" s="2" t="s">
        <v>99</v>
      </c>
      <c r="R3402" s="2" t="s">
        <v>100</v>
      </c>
      <c r="S3402" s="2" t="s">
        <v>10943</v>
      </c>
      <c r="T3402" s="2" t="s">
        <v>100</v>
      </c>
      <c r="U3402" s="2" t="s">
        <v>1776</v>
      </c>
      <c r="V3402" s="2" t="s">
        <v>4636</v>
      </c>
      <c r="W3402" s="2" t="s">
        <v>493</v>
      </c>
      <c r="X3402" s="2" t="s">
        <v>10813</v>
      </c>
      <c r="Y3402" s="2" t="s">
        <v>10944</v>
      </c>
      <c r="Z3402" s="4">
        <v>84</v>
      </c>
      <c r="AA3402" s="4">
        <f>=ROUNDDOWN(5.6,0)</f>
      </c>
      <c r="AB3402" s="5">
        <v>15</v>
      </c>
      <c r="AC3402" s="2" t="s">
        <v>990</v>
      </c>
      <c r="AD3402" s="4">
        <v>308</v>
      </c>
      <c r="AE3402" s="4">
        <v>308</v>
      </c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/>
      <c r="AQ3402" s="8"/>
      <c r="AR3402" s="4"/>
      <c r="AS3402" s="8"/>
      <c r="AT3402" s="7"/>
      <c r="AU3402" s="7"/>
      <c r="AV3402" s="4" t="s">
        <v>100</v>
      </c>
      <c r="AW3402" s="8" t="s">
        <v>100</v>
      </c>
      <c r="AX3402" s="4" t="s">
        <v>100</v>
      </c>
      <c r="AY3402" s="8" t="s">
        <v>100</v>
      </c>
      <c r="AZ3402" s="7" t="s">
        <v>100</v>
      </c>
      <c r="BA3402" s="7" t="s">
        <v>100</v>
      </c>
      <c r="BB3402" s="7"/>
      <c r="BC3402" s="4" t="s">
        <v>100</v>
      </c>
      <c r="BD3402" s="8" t="s">
        <v>100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 t="s">
        <v>100</v>
      </c>
      <c r="BJ3402" s="4">
        <v>65</v>
      </c>
      <c r="BK3402" s="8">
        <v>810.53</v>
      </c>
      <c r="BL3402" s="2" t="s">
        <v>10945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109</v>
      </c>
      <c r="BV3402" s="2" t="s">
        <v>97</v>
      </c>
      <c r="BW3402" s="2" t="s">
        <v>159</v>
      </c>
      <c r="BX3402" s="2" t="s">
        <v>1688</v>
      </c>
      <c r="BY3402" s="2" t="s">
        <v>112</v>
      </c>
      <c r="BZ3402" s="2" t="s">
        <v>149</v>
      </c>
    </row>
    <row r="3403">
      <c r="A3403" s="2" t="s">
        <v>10946</v>
      </c>
      <c r="B3403" s="2" t="s">
        <v>10807</v>
      </c>
      <c r="C3403" s="2" t="s">
        <v>88</v>
      </c>
      <c r="D3403" s="2" t="s">
        <v>2572</v>
      </c>
      <c r="E3403" s="2" t="s">
        <v>2573</v>
      </c>
      <c r="F3403" s="2" t="s">
        <v>10908</v>
      </c>
      <c r="G3403" s="2" t="s">
        <v>10909</v>
      </c>
      <c r="H3403" s="2" t="s">
        <v>10910</v>
      </c>
      <c r="I3403" s="2" t="s">
        <v>10911</v>
      </c>
      <c r="J3403" s="2" t="s">
        <v>10811</v>
      </c>
      <c r="K3403" s="2" t="s">
        <v>8721</v>
      </c>
      <c r="L3403" s="3">
        <v>15.75</v>
      </c>
      <c r="M3403" s="3">
        <v>16.54</v>
      </c>
      <c r="N3403" s="3">
        <v>34.99</v>
      </c>
      <c r="O3403" s="2" t="s">
        <v>97</v>
      </c>
      <c r="P3403" s="2" t="s">
        <v>156</v>
      </c>
      <c r="Q3403" s="2" t="s">
        <v>99</v>
      </c>
      <c r="R3403" s="2" t="s">
        <v>100</v>
      </c>
      <c r="S3403" s="2" t="s">
        <v>10943</v>
      </c>
      <c r="T3403" s="2" t="s">
        <v>100</v>
      </c>
      <c r="U3403" s="2" t="s">
        <v>1776</v>
      </c>
      <c r="V3403" s="2" t="s">
        <v>4636</v>
      </c>
      <c r="W3403" s="2" t="s">
        <v>493</v>
      </c>
      <c r="X3403" s="2" t="s">
        <v>10813</v>
      </c>
      <c r="Y3403" s="2" t="s">
        <v>144</v>
      </c>
      <c r="Z3403" s="4">
        <v>891</v>
      </c>
      <c r="AA3403" s="4">
        <f>=ROUNDDOWN(28.741935483871,0)</f>
      </c>
      <c r="AB3403" s="5">
        <v>31</v>
      </c>
      <c r="AC3403" s="2" t="s">
        <v>173</v>
      </c>
      <c r="AD3403" s="4">
        <v>244</v>
      </c>
      <c r="AE3403" s="4">
        <v>244</v>
      </c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>
        <v>0</v>
      </c>
      <c r="AP3403" s="4"/>
      <c r="AQ3403" s="8"/>
      <c r="AR3403" s="4"/>
      <c r="AS3403" s="8"/>
      <c r="AT3403" s="7"/>
      <c r="AU3403" s="7"/>
      <c r="AV3403" s="4" t="s">
        <v>100</v>
      </c>
      <c r="AW3403" s="8" t="s">
        <v>100</v>
      </c>
      <c r="AX3403" s="4" t="s">
        <v>100</v>
      </c>
      <c r="AY3403" s="8" t="s">
        <v>100</v>
      </c>
      <c r="AZ3403" s="7" t="s">
        <v>100</v>
      </c>
      <c r="BA3403" s="7" t="s">
        <v>100</v>
      </c>
      <c r="BB3403" s="7"/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 t="s">
        <v>100</v>
      </c>
      <c r="BJ3403" s="4">
        <v>146</v>
      </c>
      <c r="BK3403" s="8">
        <v>2159.7</v>
      </c>
      <c r="BL3403" s="2" t="s">
        <v>10947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109</v>
      </c>
      <c r="BV3403" s="2" t="s">
        <v>97</v>
      </c>
      <c r="BW3403" s="2" t="s">
        <v>159</v>
      </c>
      <c r="BX3403" s="2" t="s">
        <v>10948</v>
      </c>
      <c r="BY3403" s="2" t="s">
        <v>112</v>
      </c>
      <c r="BZ3403" s="2" t="s">
        <v>149</v>
      </c>
    </row>
    <row r="3404">
      <c r="A3404" s="2" t="s">
        <v>10949</v>
      </c>
      <c r="B3404" s="2" t="s">
        <v>10807</v>
      </c>
      <c r="C3404" s="2" t="s">
        <v>88</v>
      </c>
      <c r="D3404" s="2" t="s">
        <v>2572</v>
      </c>
      <c r="E3404" s="2" t="s">
        <v>2573</v>
      </c>
      <c r="F3404" s="2" t="s">
        <v>10908</v>
      </c>
      <c r="G3404" s="2" t="s">
        <v>10909</v>
      </c>
      <c r="H3404" s="2" t="s">
        <v>10910</v>
      </c>
      <c r="I3404" s="2" t="s">
        <v>10911</v>
      </c>
      <c r="J3404" s="2" t="s">
        <v>10818</v>
      </c>
      <c r="K3404" s="2" t="s">
        <v>8721</v>
      </c>
      <c r="L3404" s="3">
        <v>18.4</v>
      </c>
      <c r="M3404" s="3">
        <v>19.32</v>
      </c>
      <c r="N3404" s="3">
        <v>39.99</v>
      </c>
      <c r="O3404" s="2" t="s">
        <v>97</v>
      </c>
      <c r="P3404" s="2" t="s">
        <v>98</v>
      </c>
      <c r="Q3404" s="2" t="s">
        <v>99</v>
      </c>
      <c r="R3404" s="2" t="s">
        <v>100</v>
      </c>
      <c r="S3404" s="2" t="s">
        <v>10943</v>
      </c>
      <c r="T3404" s="2" t="s">
        <v>100</v>
      </c>
      <c r="U3404" s="2" t="s">
        <v>1776</v>
      </c>
      <c r="V3404" s="2" t="s">
        <v>4636</v>
      </c>
      <c r="W3404" s="2" t="s">
        <v>493</v>
      </c>
      <c r="X3404" s="2" t="s">
        <v>10813</v>
      </c>
      <c r="Y3404" s="2" t="s">
        <v>144</v>
      </c>
      <c r="Z3404" s="4">
        <v>371</v>
      </c>
      <c r="AA3404" s="4">
        <f>=ROUNDDOWN(33.7272727272727,0)</f>
      </c>
      <c r="AB3404" s="5">
        <v>11</v>
      </c>
      <c r="AC3404" s="2" t="s">
        <v>173</v>
      </c>
      <c r="AD3404" s="4">
        <v>72</v>
      </c>
      <c r="AE3404" s="4">
        <v>72</v>
      </c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/>
      <c r="AQ3404" s="8"/>
      <c r="AR3404" s="4"/>
      <c r="AS3404" s="8"/>
      <c r="AT3404" s="7"/>
      <c r="AU3404" s="7"/>
      <c r="AV3404" s="4" t="s">
        <v>100</v>
      </c>
      <c r="AW3404" s="8" t="s">
        <v>100</v>
      </c>
      <c r="AX3404" s="4" t="s">
        <v>100</v>
      </c>
      <c r="AY3404" s="8" t="s">
        <v>100</v>
      </c>
      <c r="AZ3404" s="7" t="s">
        <v>100</v>
      </c>
      <c r="BA3404" s="7" t="s">
        <v>100</v>
      </c>
      <c r="BB3404" s="7"/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 t="s">
        <v>100</v>
      </c>
      <c r="BJ3404" s="4">
        <v>47</v>
      </c>
      <c r="BK3404" s="8">
        <v>820.43</v>
      </c>
      <c r="BL3404" s="2" t="s">
        <v>10335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109</v>
      </c>
      <c r="BV3404" s="2" t="s">
        <v>97</v>
      </c>
      <c r="BW3404" s="2" t="s">
        <v>159</v>
      </c>
      <c r="BX3404" s="2" t="s">
        <v>10950</v>
      </c>
      <c r="BY3404" s="2" t="s">
        <v>112</v>
      </c>
      <c r="BZ3404" s="2" t="s">
        <v>149</v>
      </c>
    </row>
    <row r="3405">
      <c r="A3405" s="2" t="s">
        <v>10951</v>
      </c>
      <c r="B3405" s="2" t="s">
        <v>10807</v>
      </c>
      <c r="C3405" s="2" t="s">
        <v>88</v>
      </c>
      <c r="D3405" s="2" t="s">
        <v>2572</v>
      </c>
      <c r="E3405" s="2" t="s">
        <v>2573</v>
      </c>
      <c r="F3405" s="2" t="s">
        <v>10908</v>
      </c>
      <c r="G3405" s="2" t="s">
        <v>10909</v>
      </c>
      <c r="H3405" s="2" t="s">
        <v>10910</v>
      </c>
      <c r="I3405" s="2" t="s">
        <v>10911</v>
      </c>
      <c r="J3405" s="2" t="s">
        <v>10921</v>
      </c>
      <c r="K3405" s="2" t="s">
        <v>8721</v>
      </c>
      <c r="L3405" s="3">
        <v>20.7</v>
      </c>
      <c r="M3405" s="3">
        <v>21.74</v>
      </c>
      <c r="N3405" s="3">
        <v>44.99</v>
      </c>
      <c r="O3405" s="2" t="s">
        <v>97</v>
      </c>
      <c r="P3405" s="2" t="s">
        <v>98</v>
      </c>
      <c r="Q3405" s="2" t="s">
        <v>99</v>
      </c>
      <c r="R3405" s="2" t="s">
        <v>100</v>
      </c>
      <c r="S3405" s="2" t="s">
        <v>10943</v>
      </c>
      <c r="T3405" s="2" t="s">
        <v>100</v>
      </c>
      <c r="U3405" s="2" t="s">
        <v>1776</v>
      </c>
      <c r="V3405" s="2" t="s">
        <v>4636</v>
      </c>
      <c r="W3405" s="2" t="s">
        <v>493</v>
      </c>
      <c r="X3405" s="2" t="s">
        <v>10813</v>
      </c>
      <c r="Y3405" s="2" t="s">
        <v>144</v>
      </c>
      <c r="Z3405" s="4">
        <v>501</v>
      </c>
      <c r="AA3405" s="4">
        <f>=ROUNDDOWN(38.5384615384615,0)</f>
      </c>
      <c r="AB3405" s="5">
        <v>13</v>
      </c>
      <c r="AC3405" s="2" t="s">
        <v>100</v>
      </c>
      <c r="AD3405" s="4"/>
      <c r="AE3405" s="4"/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/>
      <c r="AQ3405" s="8"/>
      <c r="AR3405" s="4"/>
      <c r="AS3405" s="8"/>
      <c r="AT3405" s="7"/>
      <c r="AU3405" s="7"/>
      <c r="AV3405" s="4" t="s">
        <v>100</v>
      </c>
      <c r="AW3405" s="8" t="s">
        <v>100</v>
      </c>
      <c r="AX3405" s="4" t="s">
        <v>100</v>
      </c>
      <c r="AY3405" s="8" t="s">
        <v>100</v>
      </c>
      <c r="AZ3405" s="7" t="s">
        <v>100</v>
      </c>
      <c r="BA3405" s="7" t="s">
        <v>100</v>
      </c>
      <c r="BB3405" s="7"/>
      <c r="BC3405" s="4" t="s">
        <v>100</v>
      </c>
      <c r="BD3405" s="8" t="s">
        <v>100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 t="s">
        <v>100</v>
      </c>
      <c r="BJ3405" s="4">
        <v>50</v>
      </c>
      <c r="BK3405" s="8">
        <v>966.16</v>
      </c>
      <c r="BL3405" s="2" t="s">
        <v>1657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109</v>
      </c>
      <c r="BV3405" s="2" t="s">
        <v>97</v>
      </c>
      <c r="BW3405" s="2" t="s">
        <v>159</v>
      </c>
      <c r="BX3405" s="2" t="s">
        <v>2179</v>
      </c>
      <c r="BY3405" s="2" t="s">
        <v>112</v>
      </c>
      <c r="BZ3405" s="2" t="s">
        <v>149</v>
      </c>
    </row>
    <row r="3406">
      <c r="A3406" s="2" t="s">
        <v>10952</v>
      </c>
      <c r="B3406" s="2" t="s">
        <v>10807</v>
      </c>
      <c r="C3406" s="2" t="s">
        <v>88</v>
      </c>
      <c r="D3406" s="2" t="s">
        <v>2572</v>
      </c>
      <c r="E3406" s="2" t="s">
        <v>2573</v>
      </c>
      <c r="F3406" s="2" t="s">
        <v>10908</v>
      </c>
      <c r="G3406" s="2" t="s">
        <v>10909</v>
      </c>
      <c r="H3406" s="2" t="s">
        <v>10910</v>
      </c>
      <c r="I3406" s="2" t="s">
        <v>10911</v>
      </c>
      <c r="J3406" s="2" t="s">
        <v>10868</v>
      </c>
      <c r="K3406" s="2" t="s">
        <v>10953</v>
      </c>
      <c r="L3406" s="3">
        <v>13.5</v>
      </c>
      <c r="M3406" s="3">
        <v>14.18</v>
      </c>
      <c r="N3406" s="3">
        <v>29.99</v>
      </c>
      <c r="O3406" s="2" t="s">
        <v>97</v>
      </c>
      <c r="P3406" s="2" t="s">
        <v>98</v>
      </c>
      <c r="Q3406" s="2" t="s">
        <v>99</v>
      </c>
      <c r="R3406" s="2" t="s">
        <v>100</v>
      </c>
      <c r="S3406" s="2" t="s">
        <v>10954</v>
      </c>
      <c r="T3406" s="2" t="s">
        <v>100</v>
      </c>
      <c r="U3406" s="2" t="s">
        <v>1776</v>
      </c>
      <c r="V3406" s="2" t="s">
        <v>4636</v>
      </c>
      <c r="W3406" s="2" t="s">
        <v>493</v>
      </c>
      <c r="X3406" s="2" t="s">
        <v>10813</v>
      </c>
      <c r="Y3406" s="2" t="s">
        <v>144</v>
      </c>
      <c r="Z3406" s="4">
        <v>31</v>
      </c>
      <c r="AA3406" s="4">
        <f>=ROUNDDOWN(4.92063492063492,0)</f>
      </c>
      <c r="AB3406" s="5">
        <v>6.3</v>
      </c>
      <c r="AC3406" s="2" t="s">
        <v>990</v>
      </c>
      <c r="AD3406" s="4">
        <v>88</v>
      </c>
      <c r="AE3406" s="4">
        <v>276</v>
      </c>
      <c r="AF3406" s="6">
        <v>65</v>
      </c>
      <c r="AG3406" s="6"/>
      <c r="AH3406" s="7">
        <v>1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/>
      <c r="AQ3406" s="8"/>
      <c r="AR3406" s="4"/>
      <c r="AS3406" s="8"/>
      <c r="AT3406" s="7"/>
      <c r="AU3406" s="7"/>
      <c r="AV3406" s="4" t="s">
        <v>100</v>
      </c>
      <c r="AW3406" s="8" t="s">
        <v>100</v>
      </c>
      <c r="AX3406" s="4" t="s">
        <v>100</v>
      </c>
      <c r="AY3406" s="8" t="s">
        <v>100</v>
      </c>
      <c r="AZ3406" s="7" t="s">
        <v>100</v>
      </c>
      <c r="BA3406" s="7" t="s">
        <v>100</v>
      </c>
      <c r="BB3406" s="7"/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 t="s">
        <v>100</v>
      </c>
      <c r="BJ3406" s="4">
        <v>29</v>
      </c>
      <c r="BK3406" s="8">
        <v>376.07</v>
      </c>
      <c r="BL3406" s="2" t="s">
        <v>10945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109</v>
      </c>
      <c r="BV3406" s="2" t="s">
        <v>97</v>
      </c>
      <c r="BW3406" s="2" t="s">
        <v>159</v>
      </c>
      <c r="BX3406" s="2" t="s">
        <v>2203</v>
      </c>
      <c r="BY3406" s="2" t="s">
        <v>112</v>
      </c>
      <c r="BZ3406" s="2" t="s">
        <v>149</v>
      </c>
    </row>
    <row r="3407">
      <c r="A3407" s="2" t="s">
        <v>10955</v>
      </c>
      <c r="B3407" s="2" t="s">
        <v>10807</v>
      </c>
      <c r="C3407" s="2" t="s">
        <v>88</v>
      </c>
      <c r="D3407" s="2" t="s">
        <v>2572</v>
      </c>
      <c r="E3407" s="2" t="s">
        <v>2573</v>
      </c>
      <c r="F3407" s="2" t="s">
        <v>10908</v>
      </c>
      <c r="G3407" s="2" t="s">
        <v>10909</v>
      </c>
      <c r="H3407" s="2" t="s">
        <v>10910</v>
      </c>
      <c r="I3407" s="2" t="s">
        <v>10911</v>
      </c>
      <c r="J3407" s="2" t="s">
        <v>10811</v>
      </c>
      <c r="K3407" s="2" t="s">
        <v>10953</v>
      </c>
      <c r="L3407" s="3">
        <v>15.75</v>
      </c>
      <c r="M3407" s="3">
        <v>16.54</v>
      </c>
      <c r="N3407" s="3">
        <v>34.99</v>
      </c>
      <c r="O3407" s="2" t="s">
        <v>97</v>
      </c>
      <c r="P3407" s="2" t="s">
        <v>98</v>
      </c>
      <c r="Q3407" s="2" t="s">
        <v>99</v>
      </c>
      <c r="R3407" s="2" t="s">
        <v>100</v>
      </c>
      <c r="S3407" s="2" t="s">
        <v>10954</v>
      </c>
      <c r="T3407" s="2" t="s">
        <v>100</v>
      </c>
      <c r="U3407" s="2" t="s">
        <v>1776</v>
      </c>
      <c r="V3407" s="2" t="s">
        <v>4636</v>
      </c>
      <c r="W3407" s="2" t="s">
        <v>493</v>
      </c>
      <c r="X3407" s="2" t="s">
        <v>10813</v>
      </c>
      <c r="Y3407" s="2" t="s">
        <v>144</v>
      </c>
      <c r="Z3407" s="4">
        <v>125</v>
      </c>
      <c r="AA3407" s="4">
        <f>=ROUNDDOWN(11.3636363636364,0)</f>
      </c>
      <c r="AB3407" s="5">
        <v>11</v>
      </c>
      <c r="AC3407" s="2" t="s">
        <v>990</v>
      </c>
      <c r="AD3407" s="4">
        <v>232</v>
      </c>
      <c r="AE3407" s="4">
        <v>464</v>
      </c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/>
      <c r="AQ3407" s="8"/>
      <c r="AR3407" s="4"/>
      <c r="AS3407" s="8"/>
      <c r="AT3407" s="7"/>
      <c r="AU3407" s="7"/>
      <c r="AV3407" s="4" t="s">
        <v>100</v>
      </c>
      <c r="AW3407" s="8" t="s">
        <v>100</v>
      </c>
      <c r="AX3407" s="4" t="s">
        <v>100</v>
      </c>
      <c r="AY3407" s="8" t="s">
        <v>100</v>
      </c>
      <c r="AZ3407" s="7" t="s">
        <v>100</v>
      </c>
      <c r="BA3407" s="7" t="s">
        <v>100</v>
      </c>
      <c r="BB3407" s="7"/>
      <c r="BC3407" s="4" t="s">
        <v>100</v>
      </c>
      <c r="BD3407" s="8" t="s">
        <v>100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 t="s">
        <v>100</v>
      </c>
      <c r="BJ3407" s="4">
        <v>41</v>
      </c>
      <c r="BK3407" s="8">
        <v>647.65</v>
      </c>
      <c r="BL3407" s="2" t="s">
        <v>10956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109</v>
      </c>
      <c r="BV3407" s="2" t="s">
        <v>97</v>
      </c>
      <c r="BW3407" s="2" t="s">
        <v>159</v>
      </c>
      <c r="BX3407" s="2" t="s">
        <v>4284</v>
      </c>
      <c r="BY3407" s="2" t="s">
        <v>112</v>
      </c>
      <c r="BZ3407" s="2" t="s">
        <v>149</v>
      </c>
    </row>
    <row r="3408">
      <c r="A3408" s="2" t="s">
        <v>10957</v>
      </c>
      <c r="B3408" s="2" t="s">
        <v>10807</v>
      </c>
      <c r="C3408" s="2" t="s">
        <v>88</v>
      </c>
      <c r="D3408" s="2" t="s">
        <v>2572</v>
      </c>
      <c r="E3408" s="2" t="s">
        <v>2573</v>
      </c>
      <c r="F3408" s="2" t="s">
        <v>10908</v>
      </c>
      <c r="G3408" s="2" t="s">
        <v>10909</v>
      </c>
      <c r="H3408" s="2" t="s">
        <v>10910</v>
      </c>
      <c r="I3408" s="2" t="s">
        <v>10911</v>
      </c>
      <c r="J3408" s="2" t="s">
        <v>10818</v>
      </c>
      <c r="K3408" s="2" t="s">
        <v>10953</v>
      </c>
      <c r="L3408" s="3">
        <v>18.4</v>
      </c>
      <c r="M3408" s="3">
        <v>19.32</v>
      </c>
      <c r="N3408" s="3">
        <v>39.99</v>
      </c>
      <c r="O3408" s="2" t="s">
        <v>97</v>
      </c>
      <c r="P3408" s="2" t="s">
        <v>98</v>
      </c>
      <c r="Q3408" s="2" t="s">
        <v>99</v>
      </c>
      <c r="R3408" s="2" t="s">
        <v>100</v>
      </c>
      <c r="S3408" s="2" t="s">
        <v>10954</v>
      </c>
      <c r="T3408" s="2" t="s">
        <v>100</v>
      </c>
      <c r="U3408" s="2" t="s">
        <v>1776</v>
      </c>
      <c r="V3408" s="2" t="s">
        <v>4636</v>
      </c>
      <c r="W3408" s="2" t="s">
        <v>493</v>
      </c>
      <c r="X3408" s="2" t="s">
        <v>10813</v>
      </c>
      <c r="Y3408" s="2" t="s">
        <v>144</v>
      </c>
      <c r="Z3408" s="4">
        <v>73</v>
      </c>
      <c r="AA3408" s="4">
        <f>=ROUNDDOWN(14.6,0)</f>
      </c>
      <c r="AB3408" s="5">
        <v>5</v>
      </c>
      <c r="AC3408" s="2" t="s">
        <v>990</v>
      </c>
      <c r="AD3408" s="4">
        <v>168</v>
      </c>
      <c r="AE3408" s="4">
        <v>168</v>
      </c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/>
      <c r="AQ3408" s="8"/>
      <c r="AR3408" s="4"/>
      <c r="AS3408" s="8"/>
      <c r="AT3408" s="7"/>
      <c r="AU3408" s="7"/>
      <c r="AV3408" s="4" t="s">
        <v>100</v>
      </c>
      <c r="AW3408" s="8" t="s">
        <v>100</v>
      </c>
      <c r="AX3408" s="4" t="s">
        <v>100</v>
      </c>
      <c r="AY3408" s="8" t="s">
        <v>100</v>
      </c>
      <c r="AZ3408" s="7" t="s">
        <v>100</v>
      </c>
      <c r="BA3408" s="7" t="s">
        <v>100</v>
      </c>
      <c r="BB3408" s="7"/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 t="s">
        <v>100</v>
      </c>
      <c r="BJ3408" s="4">
        <v>9</v>
      </c>
      <c r="BK3408" s="8">
        <v>150.93</v>
      </c>
      <c r="BL3408" s="2" t="s">
        <v>4176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109</v>
      </c>
      <c r="BV3408" s="2" t="s">
        <v>97</v>
      </c>
      <c r="BW3408" s="2" t="s">
        <v>159</v>
      </c>
      <c r="BX3408" s="2" t="s">
        <v>5647</v>
      </c>
      <c r="BY3408" s="2" t="s">
        <v>112</v>
      </c>
      <c r="BZ3408" s="2" t="s">
        <v>149</v>
      </c>
    </row>
    <row r="3409">
      <c r="A3409" s="2" t="s">
        <v>10958</v>
      </c>
      <c r="B3409" s="2" t="s">
        <v>10807</v>
      </c>
      <c r="C3409" s="2" t="s">
        <v>88</v>
      </c>
      <c r="D3409" s="2" t="s">
        <v>2572</v>
      </c>
      <c r="E3409" s="2" t="s">
        <v>2573</v>
      </c>
      <c r="F3409" s="2" t="s">
        <v>10908</v>
      </c>
      <c r="G3409" s="2" t="s">
        <v>10909</v>
      </c>
      <c r="H3409" s="2" t="s">
        <v>10910</v>
      </c>
      <c r="I3409" s="2" t="s">
        <v>10911</v>
      </c>
      <c r="J3409" s="2" t="s">
        <v>10921</v>
      </c>
      <c r="K3409" s="2" t="s">
        <v>10953</v>
      </c>
      <c r="L3409" s="3">
        <v>20.7</v>
      </c>
      <c r="M3409" s="3">
        <v>21.74</v>
      </c>
      <c r="N3409" s="3">
        <v>44.99</v>
      </c>
      <c r="O3409" s="2" t="s">
        <v>97</v>
      </c>
      <c r="P3409" s="2" t="s">
        <v>98</v>
      </c>
      <c r="Q3409" s="2" t="s">
        <v>99</v>
      </c>
      <c r="R3409" s="2" t="s">
        <v>100</v>
      </c>
      <c r="S3409" s="2" t="s">
        <v>10954</v>
      </c>
      <c r="T3409" s="2" t="s">
        <v>100</v>
      </c>
      <c r="U3409" s="2" t="s">
        <v>1776</v>
      </c>
      <c r="V3409" s="2" t="s">
        <v>4636</v>
      </c>
      <c r="W3409" s="2" t="s">
        <v>493</v>
      </c>
      <c r="X3409" s="2" t="s">
        <v>10813</v>
      </c>
      <c r="Y3409" s="2" t="s">
        <v>144</v>
      </c>
      <c r="Z3409" s="4">
        <v>149</v>
      </c>
      <c r="AA3409" s="4">
        <f>=ROUNDDOWN(59.6,0)</f>
      </c>
      <c r="AB3409" s="5">
        <v>2.5</v>
      </c>
      <c r="AC3409" s="2" t="s">
        <v>958</v>
      </c>
      <c r="AD3409" s="4">
        <v>52</v>
      </c>
      <c r="AE3409" s="4">
        <v>52</v>
      </c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/>
      <c r="AQ3409" s="8"/>
      <c r="AR3409" s="4"/>
      <c r="AS3409" s="8"/>
      <c r="AT3409" s="7"/>
      <c r="AU3409" s="7"/>
      <c r="AV3409" s="4" t="s">
        <v>100</v>
      </c>
      <c r="AW3409" s="8" t="s">
        <v>100</v>
      </c>
      <c r="AX3409" s="4" t="s">
        <v>100</v>
      </c>
      <c r="AY3409" s="8" t="s">
        <v>100</v>
      </c>
      <c r="AZ3409" s="7" t="s">
        <v>100</v>
      </c>
      <c r="BA3409" s="7" t="s">
        <v>100</v>
      </c>
      <c r="BB3409" s="7"/>
      <c r="BC3409" s="4" t="s">
        <v>100</v>
      </c>
      <c r="BD3409" s="8" t="s">
        <v>100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 t="s">
        <v>100</v>
      </c>
      <c r="BJ3409" s="4">
        <v>6</v>
      </c>
      <c r="BK3409" s="8">
        <v>131.84</v>
      </c>
      <c r="BL3409" s="2" t="s">
        <v>10959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109</v>
      </c>
      <c r="BV3409" s="2" t="s">
        <v>97</v>
      </c>
      <c r="BW3409" s="2" t="s">
        <v>159</v>
      </c>
      <c r="BX3409" s="2" t="s">
        <v>5007</v>
      </c>
      <c r="BY3409" s="2" t="s">
        <v>112</v>
      </c>
      <c r="BZ3409" s="2" t="s">
        <v>149</v>
      </c>
    </row>
    <row r="3410">
      <c r="A3410" s="2" t="s">
        <v>10960</v>
      </c>
      <c r="B3410" s="2" t="s">
        <v>10807</v>
      </c>
      <c r="C3410" s="2" t="s">
        <v>88</v>
      </c>
      <c r="D3410" s="2" t="s">
        <v>2572</v>
      </c>
      <c r="E3410" s="2" t="s">
        <v>2573</v>
      </c>
      <c r="F3410" s="2" t="s">
        <v>10961</v>
      </c>
      <c r="G3410" s="2" t="s">
        <v>10962</v>
      </c>
      <c r="H3410" s="2" t="s">
        <v>10963</v>
      </c>
      <c r="I3410" s="2" t="s">
        <v>10964</v>
      </c>
      <c r="J3410" s="2" t="s">
        <v>10811</v>
      </c>
      <c r="K3410" s="2" t="s">
        <v>446</v>
      </c>
      <c r="L3410" s="3">
        <v>15.5</v>
      </c>
      <c r="M3410" s="3">
        <v>16.28</v>
      </c>
      <c r="N3410" s="3">
        <v>34.99</v>
      </c>
      <c r="O3410" s="2" t="s">
        <v>97</v>
      </c>
      <c r="P3410" s="2" t="s">
        <v>98</v>
      </c>
      <c r="Q3410" s="2" t="s">
        <v>99</v>
      </c>
      <c r="R3410" s="2" t="s">
        <v>100</v>
      </c>
      <c r="S3410" s="2" t="s">
        <v>10965</v>
      </c>
      <c r="T3410" s="2" t="s">
        <v>100</v>
      </c>
      <c r="U3410" s="2" t="s">
        <v>1776</v>
      </c>
      <c r="V3410" s="2" t="s">
        <v>461</v>
      </c>
      <c r="W3410" s="2" t="s">
        <v>609</v>
      </c>
      <c r="X3410" s="2" t="s">
        <v>10813</v>
      </c>
      <c r="Y3410" s="2" t="s">
        <v>6602</v>
      </c>
      <c r="Z3410" s="4">
        <v>1286</v>
      </c>
      <c r="AA3410" s="4">
        <f>=ROUNDDOWN(67.6842105263158,0)</f>
      </c>
      <c r="AB3410" s="5">
        <v>19</v>
      </c>
      <c r="AC3410" s="2" t="s">
        <v>100</v>
      </c>
      <c r="AD3410" s="4"/>
      <c r="AE3410" s="4"/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/>
      <c r="AQ3410" s="8"/>
      <c r="AR3410" s="4"/>
      <c r="AS3410" s="8"/>
      <c r="AT3410" s="7"/>
      <c r="AU3410" s="7"/>
      <c r="AV3410" s="4" t="s">
        <v>100</v>
      </c>
      <c r="AW3410" s="8" t="s">
        <v>100</v>
      </c>
      <c r="AX3410" s="4" t="s">
        <v>100</v>
      </c>
      <c r="AY3410" s="8" t="s">
        <v>100</v>
      </c>
      <c r="AZ3410" s="7" t="s">
        <v>100</v>
      </c>
      <c r="BA3410" s="7" t="s">
        <v>100</v>
      </c>
      <c r="BB3410" s="7" t="s">
        <v>100</v>
      </c>
      <c r="BC3410" s="4" t="s">
        <v>100</v>
      </c>
      <c r="BD3410" s="8" t="s">
        <v>100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/>
      <c r="BJ3410" s="4">
        <v>80</v>
      </c>
      <c r="BK3410" s="8">
        <v>1400.92</v>
      </c>
      <c r="BL3410" s="2" t="s">
        <v>10966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171</v>
      </c>
      <c r="BV3410" s="2" t="s">
        <v>97</v>
      </c>
      <c r="BW3410" s="2" t="s">
        <v>100</v>
      </c>
      <c r="BX3410" s="2" t="s">
        <v>100</v>
      </c>
      <c r="BY3410" s="2" t="s">
        <v>112</v>
      </c>
      <c r="BZ3410" s="2" t="s">
        <v>149</v>
      </c>
    </row>
    <row r="3411">
      <c r="A3411" s="2" t="s">
        <v>10967</v>
      </c>
      <c r="B3411" s="2" t="s">
        <v>10807</v>
      </c>
      <c r="C3411" s="2" t="s">
        <v>88</v>
      </c>
      <c r="D3411" s="2" t="s">
        <v>2572</v>
      </c>
      <c r="E3411" s="2" t="s">
        <v>2573</v>
      </c>
      <c r="F3411" s="2" t="s">
        <v>10961</v>
      </c>
      <c r="G3411" s="2" t="s">
        <v>10962</v>
      </c>
      <c r="H3411" s="2" t="s">
        <v>10963</v>
      </c>
      <c r="I3411" s="2" t="s">
        <v>10968</v>
      </c>
      <c r="J3411" s="2" t="s">
        <v>10811</v>
      </c>
      <c r="K3411" s="2" t="s">
        <v>446</v>
      </c>
      <c r="L3411" s="3">
        <v>15.5</v>
      </c>
      <c r="M3411" s="3">
        <v>16.28</v>
      </c>
      <c r="N3411" s="3">
        <v>34.99</v>
      </c>
      <c r="O3411" s="2" t="s">
        <v>97</v>
      </c>
      <c r="P3411" s="2" t="s">
        <v>98</v>
      </c>
      <c r="Q3411" s="2" t="s">
        <v>99</v>
      </c>
      <c r="R3411" s="2" t="s">
        <v>100</v>
      </c>
      <c r="S3411" s="2" t="s">
        <v>10965</v>
      </c>
      <c r="T3411" s="2" t="s">
        <v>100</v>
      </c>
      <c r="U3411" s="2" t="s">
        <v>1776</v>
      </c>
      <c r="V3411" s="2" t="s">
        <v>461</v>
      </c>
      <c r="W3411" s="2" t="s">
        <v>609</v>
      </c>
      <c r="X3411" s="2" t="s">
        <v>10813</v>
      </c>
      <c r="Y3411" s="2" t="s">
        <v>6602</v>
      </c>
      <c r="Z3411" s="4">
        <v>121</v>
      </c>
      <c r="AA3411" s="4">
        <f>=ROUNDDOWN(20.1666666666667,0)</f>
      </c>
      <c r="AB3411" s="5">
        <v>6</v>
      </c>
      <c r="AC3411" s="2" t="s">
        <v>2709</v>
      </c>
      <c r="AD3411" s="4">
        <v>52</v>
      </c>
      <c r="AE3411" s="4">
        <v>52</v>
      </c>
      <c r="AF3411" s="6">
        <v>65</v>
      </c>
      <c r="AG3411" s="6"/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/>
      <c r="AQ3411" s="8"/>
      <c r="AR3411" s="4"/>
      <c r="AS3411" s="8"/>
      <c r="AT3411" s="7"/>
      <c r="AU3411" s="7"/>
      <c r="AV3411" s="4" t="s">
        <v>100</v>
      </c>
      <c r="AW3411" s="8" t="s">
        <v>100</v>
      </c>
      <c r="AX3411" s="4" t="s">
        <v>100</v>
      </c>
      <c r="AY3411" s="8" t="s">
        <v>100</v>
      </c>
      <c r="AZ3411" s="7" t="s">
        <v>100</v>
      </c>
      <c r="BA3411" s="7" t="s">
        <v>100</v>
      </c>
      <c r="BB3411" s="7" t="s">
        <v>100</v>
      </c>
      <c r="BC3411" s="4" t="s">
        <v>100</v>
      </c>
      <c r="BD3411" s="8" t="s">
        <v>100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/>
      <c r="BJ3411" s="4">
        <v>27</v>
      </c>
      <c r="BK3411" s="8">
        <v>473.51</v>
      </c>
      <c r="BL3411" s="2" t="s">
        <v>10969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171</v>
      </c>
      <c r="BV3411" s="2" t="s">
        <v>97</v>
      </c>
      <c r="BW3411" s="2" t="s">
        <v>100</v>
      </c>
      <c r="BX3411" s="2" t="s">
        <v>100</v>
      </c>
      <c r="BY3411" s="2" t="s">
        <v>112</v>
      </c>
      <c r="BZ3411" s="2" t="s">
        <v>149</v>
      </c>
    </row>
    <row r="3412">
      <c r="A3412" s="2" t="s">
        <v>10970</v>
      </c>
      <c r="B3412" s="2" t="s">
        <v>10807</v>
      </c>
      <c r="C3412" s="2" t="s">
        <v>88</v>
      </c>
      <c r="D3412" s="2" t="s">
        <v>2572</v>
      </c>
      <c r="E3412" s="2" t="s">
        <v>2573</v>
      </c>
      <c r="F3412" s="2" t="s">
        <v>10961</v>
      </c>
      <c r="G3412" s="2" t="s">
        <v>10962</v>
      </c>
      <c r="H3412" s="2" t="s">
        <v>10963</v>
      </c>
      <c r="I3412" s="2" t="s">
        <v>10964</v>
      </c>
      <c r="J3412" s="2" t="s">
        <v>10818</v>
      </c>
      <c r="K3412" s="2" t="s">
        <v>446</v>
      </c>
      <c r="L3412" s="3">
        <v>17.5</v>
      </c>
      <c r="M3412" s="3">
        <v>18.38</v>
      </c>
      <c r="N3412" s="3">
        <v>39.99</v>
      </c>
      <c r="O3412" s="2" t="s">
        <v>97</v>
      </c>
      <c r="P3412" s="2" t="s">
        <v>98</v>
      </c>
      <c r="Q3412" s="2" t="s">
        <v>99</v>
      </c>
      <c r="R3412" s="2" t="s">
        <v>100</v>
      </c>
      <c r="S3412" s="2" t="s">
        <v>10965</v>
      </c>
      <c r="T3412" s="2" t="s">
        <v>100</v>
      </c>
      <c r="U3412" s="2" t="s">
        <v>1776</v>
      </c>
      <c r="V3412" s="2" t="s">
        <v>461</v>
      </c>
      <c r="W3412" s="2" t="s">
        <v>609</v>
      </c>
      <c r="X3412" s="2" t="s">
        <v>10813</v>
      </c>
      <c r="Y3412" s="2" t="s">
        <v>6602</v>
      </c>
      <c r="Z3412" s="4">
        <v>603</v>
      </c>
      <c r="AA3412" s="4">
        <f>=ROUNDDOWN(21.5357142857143,0)</f>
      </c>
      <c r="AB3412" s="5">
        <v>28</v>
      </c>
      <c r="AC3412" s="2" t="s">
        <v>2709</v>
      </c>
      <c r="AD3412" s="4">
        <v>40</v>
      </c>
      <c r="AE3412" s="4">
        <v>40</v>
      </c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/>
      <c r="AQ3412" s="8"/>
      <c r="AR3412" s="4"/>
      <c r="AS3412" s="8"/>
      <c r="AT3412" s="7"/>
      <c r="AU3412" s="7"/>
      <c r="AV3412" s="4" t="s">
        <v>100</v>
      </c>
      <c r="AW3412" s="8" t="s">
        <v>100</v>
      </c>
      <c r="AX3412" s="4" t="s">
        <v>100</v>
      </c>
      <c r="AY3412" s="8" t="s">
        <v>100</v>
      </c>
      <c r="AZ3412" s="7" t="s">
        <v>100</v>
      </c>
      <c r="BA3412" s="7" t="s">
        <v>100</v>
      </c>
      <c r="BB3412" s="7"/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/>
      <c r="BJ3412" s="4">
        <v>102</v>
      </c>
      <c r="BK3412" s="8">
        <v>1974.26</v>
      </c>
      <c r="BL3412" s="2" t="s">
        <v>4161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171</v>
      </c>
      <c r="BV3412" s="2" t="s">
        <v>97</v>
      </c>
      <c r="BW3412" s="2" t="s">
        <v>100</v>
      </c>
      <c r="BX3412" s="2" t="s">
        <v>100</v>
      </c>
      <c r="BY3412" s="2" t="s">
        <v>112</v>
      </c>
      <c r="BZ3412" s="2" t="s">
        <v>149</v>
      </c>
    </row>
    <row r="3413">
      <c r="A3413" s="2" t="s">
        <v>10971</v>
      </c>
      <c r="B3413" s="2" t="s">
        <v>10807</v>
      </c>
      <c r="C3413" s="2" t="s">
        <v>88</v>
      </c>
      <c r="D3413" s="2" t="s">
        <v>2572</v>
      </c>
      <c r="E3413" s="2" t="s">
        <v>2573</v>
      </c>
      <c r="F3413" s="2" t="s">
        <v>10972</v>
      </c>
      <c r="G3413" s="2" t="s">
        <v>10973</v>
      </c>
      <c r="H3413" s="2" t="s">
        <v>10974</v>
      </c>
      <c r="I3413" s="2" t="s">
        <v>10975</v>
      </c>
      <c r="J3413" s="2" t="s">
        <v>10868</v>
      </c>
      <c r="K3413" s="2" t="s">
        <v>446</v>
      </c>
      <c r="L3413" s="3">
        <v>13.5</v>
      </c>
      <c r="M3413" s="3">
        <v>14.18</v>
      </c>
      <c r="N3413" s="3">
        <v>29.99</v>
      </c>
      <c r="O3413" s="2" t="s">
        <v>97</v>
      </c>
      <c r="P3413" s="2" t="s">
        <v>98</v>
      </c>
      <c r="Q3413" s="2" t="s">
        <v>99</v>
      </c>
      <c r="R3413" s="2" t="s">
        <v>100</v>
      </c>
      <c r="S3413" s="2" t="s">
        <v>10976</v>
      </c>
      <c r="T3413" s="2" t="s">
        <v>100</v>
      </c>
      <c r="U3413" s="2" t="s">
        <v>1776</v>
      </c>
      <c r="V3413" s="2" t="s">
        <v>461</v>
      </c>
      <c r="W3413" s="2" t="s">
        <v>493</v>
      </c>
      <c r="X3413" s="2" t="s">
        <v>10813</v>
      </c>
      <c r="Y3413" s="2" t="s">
        <v>4841</v>
      </c>
      <c r="Z3413" s="4">
        <v>326</v>
      </c>
      <c r="AA3413" s="4">
        <f>=ROUNDDOWN(40.75,0)</f>
      </c>
      <c r="AB3413" s="5">
        <v>8</v>
      </c>
      <c r="AC3413" s="2" t="s">
        <v>100</v>
      </c>
      <c r="AD3413" s="4"/>
      <c r="AE3413" s="4"/>
      <c r="AF3413" s="6">
        <v>65</v>
      </c>
      <c r="AG3413" s="6"/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/>
      <c r="AQ3413" s="8"/>
      <c r="AR3413" s="4"/>
      <c r="AS3413" s="8"/>
      <c r="AT3413" s="7"/>
      <c r="AU3413" s="7"/>
      <c r="AV3413" s="4" t="s">
        <v>100</v>
      </c>
      <c r="AW3413" s="8" t="s">
        <v>100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/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/>
      <c r="BJ3413" s="4">
        <v>13</v>
      </c>
      <c r="BK3413" s="8">
        <v>176.94</v>
      </c>
      <c r="BL3413" s="2" t="s">
        <v>2195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109</v>
      </c>
      <c r="BV3413" s="2" t="s">
        <v>97</v>
      </c>
      <c r="BW3413" s="2" t="s">
        <v>2216</v>
      </c>
      <c r="BX3413" s="2" t="s">
        <v>10977</v>
      </c>
      <c r="BY3413" s="2" t="s">
        <v>112</v>
      </c>
      <c r="BZ3413" s="2" t="s">
        <v>149</v>
      </c>
    </row>
    <row r="3414">
      <c r="A3414" s="2" t="s">
        <v>10978</v>
      </c>
      <c r="B3414" s="2" t="s">
        <v>10807</v>
      </c>
      <c r="C3414" s="2" t="s">
        <v>88</v>
      </c>
      <c r="D3414" s="2" t="s">
        <v>2572</v>
      </c>
      <c r="E3414" s="2" t="s">
        <v>2573</v>
      </c>
      <c r="F3414" s="2" t="s">
        <v>10972</v>
      </c>
      <c r="G3414" s="2" t="s">
        <v>10973</v>
      </c>
      <c r="H3414" s="2" t="s">
        <v>10974</v>
      </c>
      <c r="I3414" s="2" t="s">
        <v>10975</v>
      </c>
      <c r="J3414" s="2" t="s">
        <v>10811</v>
      </c>
      <c r="K3414" s="2" t="s">
        <v>446</v>
      </c>
      <c r="L3414" s="3">
        <v>15.75</v>
      </c>
      <c r="M3414" s="3">
        <v>16.54</v>
      </c>
      <c r="N3414" s="3">
        <v>34.99</v>
      </c>
      <c r="O3414" s="2" t="s">
        <v>97</v>
      </c>
      <c r="P3414" s="2" t="s">
        <v>98</v>
      </c>
      <c r="Q3414" s="2" t="s">
        <v>99</v>
      </c>
      <c r="R3414" s="2" t="s">
        <v>100</v>
      </c>
      <c r="S3414" s="2" t="s">
        <v>10976</v>
      </c>
      <c r="T3414" s="2" t="s">
        <v>100</v>
      </c>
      <c r="U3414" s="2" t="s">
        <v>1776</v>
      </c>
      <c r="V3414" s="2" t="s">
        <v>461</v>
      </c>
      <c r="W3414" s="2" t="s">
        <v>493</v>
      </c>
      <c r="X3414" s="2" t="s">
        <v>10813</v>
      </c>
      <c r="Y3414" s="2" t="s">
        <v>4841</v>
      </c>
      <c r="Z3414" s="4">
        <v>284</v>
      </c>
      <c r="AA3414" s="4">
        <f>=ROUNDDOWN(21.8461538461538,0)</f>
      </c>
      <c r="AB3414" s="5">
        <v>13</v>
      </c>
      <c r="AC3414" s="2" t="s">
        <v>1452</v>
      </c>
      <c r="AD3414" s="4">
        <v>120</v>
      </c>
      <c r="AE3414" s="4">
        <v>120</v>
      </c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/>
      <c r="AQ3414" s="8"/>
      <c r="AR3414" s="4"/>
      <c r="AS3414" s="8"/>
      <c r="AT3414" s="7"/>
      <c r="AU3414" s="7"/>
      <c r="AV3414" s="4" t="s">
        <v>100</v>
      </c>
      <c r="AW3414" s="8" t="s">
        <v>100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/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/>
      <c r="BJ3414" s="4">
        <v>35</v>
      </c>
      <c r="BK3414" s="8">
        <v>600.5</v>
      </c>
      <c r="BL3414" s="2" t="s">
        <v>2465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109</v>
      </c>
      <c r="BV3414" s="2" t="s">
        <v>97</v>
      </c>
      <c r="BW3414" s="2" t="s">
        <v>2216</v>
      </c>
      <c r="BX3414" s="2" t="s">
        <v>100</v>
      </c>
      <c r="BY3414" s="2" t="s">
        <v>112</v>
      </c>
      <c r="BZ3414" s="2" t="s">
        <v>149</v>
      </c>
    </row>
    <row r="3415">
      <c r="A3415" s="2" t="s">
        <v>10979</v>
      </c>
      <c r="B3415" s="2" t="s">
        <v>10807</v>
      </c>
      <c r="C3415" s="2" t="s">
        <v>88</v>
      </c>
      <c r="D3415" s="2" t="s">
        <v>2572</v>
      </c>
      <c r="E3415" s="2" t="s">
        <v>2573</v>
      </c>
      <c r="F3415" s="2" t="s">
        <v>10972</v>
      </c>
      <c r="G3415" s="2" t="s">
        <v>10973</v>
      </c>
      <c r="H3415" s="2" t="s">
        <v>10974</v>
      </c>
      <c r="I3415" s="2" t="s">
        <v>10975</v>
      </c>
      <c r="J3415" s="2" t="s">
        <v>10818</v>
      </c>
      <c r="K3415" s="2" t="s">
        <v>446</v>
      </c>
      <c r="L3415" s="3">
        <v>17.6</v>
      </c>
      <c r="M3415" s="3">
        <v>18.48</v>
      </c>
      <c r="N3415" s="3">
        <v>39.99</v>
      </c>
      <c r="O3415" s="2" t="s">
        <v>97</v>
      </c>
      <c r="P3415" s="2" t="s">
        <v>98</v>
      </c>
      <c r="Q3415" s="2" t="s">
        <v>99</v>
      </c>
      <c r="R3415" s="2" t="s">
        <v>100</v>
      </c>
      <c r="S3415" s="2" t="s">
        <v>10976</v>
      </c>
      <c r="T3415" s="2" t="s">
        <v>100</v>
      </c>
      <c r="U3415" s="2" t="s">
        <v>1776</v>
      </c>
      <c r="V3415" s="2" t="s">
        <v>461</v>
      </c>
      <c r="W3415" s="2" t="s">
        <v>493</v>
      </c>
      <c r="X3415" s="2" t="s">
        <v>10813</v>
      </c>
      <c r="Y3415" s="2" t="s">
        <v>4841</v>
      </c>
      <c r="Z3415" s="4">
        <v>106</v>
      </c>
      <c r="AA3415" s="4">
        <f>=ROUNDDOWN(10.6,0)</f>
      </c>
      <c r="AB3415" s="5">
        <v>10</v>
      </c>
      <c r="AC3415" s="2" t="s">
        <v>1452</v>
      </c>
      <c r="AD3415" s="4">
        <v>176</v>
      </c>
      <c r="AE3415" s="4">
        <v>176</v>
      </c>
      <c r="AF3415" s="6">
        <v>65</v>
      </c>
      <c r="AG3415" s="6"/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/>
      <c r="AQ3415" s="8"/>
      <c r="AR3415" s="4"/>
      <c r="AS3415" s="8"/>
      <c r="AT3415" s="7"/>
      <c r="AU3415" s="7"/>
      <c r="AV3415" s="4" t="s">
        <v>100</v>
      </c>
      <c r="AW3415" s="8" t="s">
        <v>100</v>
      </c>
      <c r="AX3415" s="4" t="s">
        <v>100</v>
      </c>
      <c r="AY3415" s="8" t="s">
        <v>100</v>
      </c>
      <c r="AZ3415" s="7" t="s">
        <v>100</v>
      </c>
      <c r="BA3415" s="7" t="s">
        <v>100</v>
      </c>
      <c r="BB3415" s="7"/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/>
      <c r="BJ3415" s="4">
        <v>58</v>
      </c>
      <c r="BK3415" s="8">
        <v>1119.74</v>
      </c>
      <c r="BL3415" s="2" t="s">
        <v>10980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109</v>
      </c>
      <c r="BV3415" s="2" t="s">
        <v>97</v>
      </c>
      <c r="BW3415" s="2" t="s">
        <v>2216</v>
      </c>
      <c r="BX3415" s="2" t="s">
        <v>10981</v>
      </c>
      <c r="BY3415" s="2" t="s">
        <v>112</v>
      </c>
      <c r="BZ3415" s="2" t="s">
        <v>149</v>
      </c>
    </row>
    <row r="3416">
      <c r="A3416" s="2" t="s">
        <v>10982</v>
      </c>
      <c r="B3416" s="2" t="s">
        <v>10807</v>
      </c>
      <c r="C3416" s="2" t="s">
        <v>88</v>
      </c>
      <c r="D3416" s="2" t="s">
        <v>2572</v>
      </c>
      <c r="E3416" s="2" t="s">
        <v>2573</v>
      </c>
      <c r="F3416" s="2" t="s">
        <v>252</v>
      </c>
      <c r="G3416" s="2" t="s">
        <v>253</v>
      </c>
      <c r="H3416" s="2" t="s">
        <v>254</v>
      </c>
      <c r="I3416" s="2" t="s">
        <v>10983</v>
      </c>
      <c r="J3416" s="2" t="s">
        <v>10811</v>
      </c>
      <c r="K3416" s="2" t="s">
        <v>223</v>
      </c>
      <c r="L3416" s="3">
        <v>16.45</v>
      </c>
      <c r="M3416" s="3">
        <v>17.27</v>
      </c>
      <c r="N3416" s="3">
        <v>34.99</v>
      </c>
      <c r="O3416" s="2" t="s">
        <v>97</v>
      </c>
      <c r="P3416" s="2" t="s">
        <v>707</v>
      </c>
      <c r="Q3416" s="2" t="s">
        <v>99</v>
      </c>
      <c r="R3416" s="2" t="s">
        <v>100</v>
      </c>
      <c r="S3416" s="2" t="s">
        <v>4570</v>
      </c>
      <c r="T3416" s="2" t="s">
        <v>100</v>
      </c>
      <c r="U3416" s="2" t="s">
        <v>100</v>
      </c>
      <c r="V3416" s="2" t="s">
        <v>141</v>
      </c>
      <c r="W3416" s="2" t="s">
        <v>104</v>
      </c>
      <c r="X3416" s="2" t="s">
        <v>10813</v>
      </c>
      <c r="Y3416" s="2" t="s">
        <v>1108</v>
      </c>
      <c r="Z3416" s="4">
        <v>242</v>
      </c>
      <c r="AA3416" s="4">
        <f>=ROUNDDOWN(26.8888888888889,0)</f>
      </c>
      <c r="AB3416" s="5">
        <v>9</v>
      </c>
      <c r="AC3416" s="2" t="s">
        <v>100</v>
      </c>
      <c r="AD3416" s="4"/>
      <c r="AE3416" s="4"/>
      <c r="AF3416" s="6">
        <v>64</v>
      </c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/>
      <c r="AQ3416" s="8"/>
      <c r="AR3416" s="4"/>
      <c r="AS3416" s="8"/>
      <c r="AT3416" s="7"/>
      <c r="AU3416" s="7"/>
      <c r="AV3416" s="4"/>
      <c r="AW3416" s="8"/>
      <c r="AX3416" s="4"/>
      <c r="AY3416" s="8"/>
      <c r="AZ3416" s="7"/>
      <c r="BA3416" s="7"/>
      <c r="BB3416" s="7"/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/>
      <c r="BJ3416" s="4">
        <v>15</v>
      </c>
      <c r="BK3416" s="8">
        <v>268.02</v>
      </c>
      <c r="BL3416" s="2" t="s">
        <v>10984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109</v>
      </c>
      <c r="BV3416" s="2" t="s">
        <v>97</v>
      </c>
      <c r="BW3416" s="2" t="s">
        <v>10985</v>
      </c>
      <c r="BX3416" s="2" t="s">
        <v>10986</v>
      </c>
      <c r="BY3416" s="2" t="s">
        <v>112</v>
      </c>
      <c r="BZ3416" s="2" t="s">
        <v>149</v>
      </c>
    </row>
    <row r="3417">
      <c r="A3417" s="2" t="s">
        <v>10987</v>
      </c>
      <c r="B3417" s="2" t="s">
        <v>10807</v>
      </c>
      <c r="C3417" s="2" t="s">
        <v>88</v>
      </c>
      <c r="D3417" s="2" t="s">
        <v>2572</v>
      </c>
      <c r="E3417" s="2" t="s">
        <v>2573</v>
      </c>
      <c r="F3417" s="2" t="s">
        <v>252</v>
      </c>
      <c r="G3417" s="2" t="s">
        <v>253</v>
      </c>
      <c r="H3417" s="2" t="s">
        <v>254</v>
      </c>
      <c r="I3417" s="2" t="s">
        <v>10983</v>
      </c>
      <c r="J3417" s="2" t="s">
        <v>10811</v>
      </c>
      <c r="K3417" s="2" t="s">
        <v>626</v>
      </c>
      <c r="L3417" s="3">
        <v>16.45</v>
      </c>
      <c r="M3417" s="3">
        <v>17.27</v>
      </c>
      <c r="N3417" s="3">
        <v>34.99</v>
      </c>
      <c r="O3417" s="2" t="s">
        <v>97</v>
      </c>
      <c r="P3417" s="2" t="s">
        <v>98</v>
      </c>
      <c r="Q3417" s="2" t="s">
        <v>99</v>
      </c>
      <c r="R3417" s="2" t="s">
        <v>100</v>
      </c>
      <c r="S3417" s="2" t="s">
        <v>4573</v>
      </c>
      <c r="T3417" s="2" t="s">
        <v>100</v>
      </c>
      <c r="U3417" s="2" t="s">
        <v>1776</v>
      </c>
      <c r="V3417" s="2" t="s">
        <v>141</v>
      </c>
      <c r="W3417" s="2" t="s">
        <v>104</v>
      </c>
      <c r="X3417" s="2" t="s">
        <v>10813</v>
      </c>
      <c r="Y3417" s="2" t="s">
        <v>10988</v>
      </c>
      <c r="Z3417" s="4">
        <v>236</v>
      </c>
      <c r="AA3417" s="4">
        <f>=ROUNDDOWN(20.3448275862069,0)</f>
      </c>
      <c r="AB3417" s="5">
        <v>11.6</v>
      </c>
      <c r="AC3417" s="2" t="s">
        <v>312</v>
      </c>
      <c r="AD3417" s="4">
        <v>72</v>
      </c>
      <c r="AE3417" s="4">
        <v>172</v>
      </c>
      <c r="AF3417" s="6">
        <v>64</v>
      </c>
      <c r="AG3417" s="6"/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/>
      <c r="AQ3417" s="8"/>
      <c r="AR3417" s="4"/>
      <c r="AS3417" s="8"/>
      <c r="AT3417" s="7"/>
      <c r="AU3417" s="7"/>
      <c r="AV3417" s="4"/>
      <c r="AW3417" s="8"/>
      <c r="AX3417" s="4"/>
      <c r="AY3417" s="8"/>
      <c r="AZ3417" s="7"/>
      <c r="BA3417" s="7"/>
      <c r="BB3417" s="7"/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/>
      <c r="BJ3417" s="4">
        <v>52</v>
      </c>
      <c r="BK3417" s="8">
        <v>912.6</v>
      </c>
      <c r="BL3417" s="2" t="s">
        <v>10989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109</v>
      </c>
      <c r="BV3417" s="2" t="s">
        <v>97</v>
      </c>
      <c r="BW3417" s="2" t="s">
        <v>1673</v>
      </c>
      <c r="BX3417" s="2" t="s">
        <v>10990</v>
      </c>
      <c r="BY3417" s="2" t="s">
        <v>112</v>
      </c>
      <c r="BZ3417" s="2" t="s">
        <v>149</v>
      </c>
    </row>
    <row r="3418">
      <c r="A3418" s="2" t="s">
        <v>10991</v>
      </c>
      <c r="B3418" s="2" t="s">
        <v>10807</v>
      </c>
      <c r="C3418" s="2" t="s">
        <v>88</v>
      </c>
      <c r="D3418" s="2" t="s">
        <v>2572</v>
      </c>
      <c r="E3418" s="2" t="s">
        <v>10992</v>
      </c>
      <c r="F3418" s="2" t="s">
        <v>10993</v>
      </c>
      <c r="G3418" s="2" t="s">
        <v>10994</v>
      </c>
      <c r="H3418" s="2" t="s">
        <v>10995</v>
      </c>
      <c r="I3418" s="2" t="s">
        <v>10996</v>
      </c>
      <c r="J3418" s="2" t="s">
        <v>10997</v>
      </c>
      <c r="K3418" s="2" t="s">
        <v>458</v>
      </c>
      <c r="L3418" s="3">
        <v>14.7</v>
      </c>
      <c r="M3418" s="3">
        <v>15.44</v>
      </c>
      <c r="N3418" s="3">
        <v>29.99</v>
      </c>
      <c r="O3418" s="2" t="s">
        <v>97</v>
      </c>
      <c r="P3418" s="2" t="s">
        <v>156</v>
      </c>
      <c r="Q3418" s="2" t="s">
        <v>99</v>
      </c>
      <c r="R3418" s="2" t="s">
        <v>100</v>
      </c>
      <c r="S3418" s="2" t="s">
        <v>10998</v>
      </c>
      <c r="T3418" s="2" t="s">
        <v>100</v>
      </c>
      <c r="U3418" s="2" t="s">
        <v>100</v>
      </c>
      <c r="V3418" s="2" t="s">
        <v>461</v>
      </c>
      <c r="W3418" s="2" t="s">
        <v>142</v>
      </c>
      <c r="X3418" s="2" t="s">
        <v>10999</v>
      </c>
      <c r="Y3418" s="2" t="s">
        <v>10056</v>
      </c>
      <c r="Z3418" s="4">
        <v>1312</v>
      </c>
      <c r="AA3418" s="4">
        <f>=ROUNDDOWN(20.1846153846154,0)</f>
      </c>
      <c r="AB3418" s="5">
        <v>65</v>
      </c>
      <c r="AC3418" s="2" t="s">
        <v>145</v>
      </c>
      <c r="AD3418" s="4">
        <v>460</v>
      </c>
      <c r="AE3418" s="4">
        <v>460</v>
      </c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>
        <v>0</v>
      </c>
      <c r="AP3418" s="4">
        <v>7</v>
      </c>
      <c r="AQ3418" s="8">
        <v>102.9</v>
      </c>
      <c r="AR3418" s="4"/>
      <c r="AS3418" s="8"/>
      <c r="AT3418" s="7"/>
      <c r="AU3418" s="7"/>
      <c r="AV3418" s="4">
        <v>16</v>
      </c>
      <c r="AW3418" s="8">
        <v>244.65</v>
      </c>
      <c r="AX3418" s="4" t="s">
        <v>100</v>
      </c>
      <c r="AY3418" s="8" t="s">
        <v>100</v>
      </c>
      <c r="AZ3418" s="7" t="s">
        <v>100</v>
      </c>
      <c r="BA3418" s="7" t="s">
        <v>100</v>
      </c>
      <c r="BB3418" s="7">
        <v>0.4206</v>
      </c>
      <c r="BC3418" s="4">
        <v>16</v>
      </c>
      <c r="BD3418" s="8">
        <v>244.65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>
        <v>1</v>
      </c>
      <c r="BJ3418" s="4">
        <v>193</v>
      </c>
      <c r="BK3418" s="8">
        <v>2964.93</v>
      </c>
      <c r="BL3418" s="2" t="s">
        <v>11000</v>
      </c>
      <c r="BM3418" s="7">
        <v>0.0363</v>
      </c>
      <c r="BN3418" s="7">
        <v>0.0347</v>
      </c>
      <c r="BO3418" s="4">
        <v>7</v>
      </c>
      <c r="BP3418" s="8">
        <v>102.9</v>
      </c>
      <c r="BQ3418" s="4"/>
      <c r="BR3418" s="8"/>
      <c r="BS3418" s="7"/>
      <c r="BT3418" s="7"/>
      <c r="BU3418" s="2" t="s">
        <v>109</v>
      </c>
      <c r="BV3418" s="2" t="s">
        <v>97</v>
      </c>
      <c r="BW3418" s="2" t="s">
        <v>1673</v>
      </c>
      <c r="BX3418" s="2" t="s">
        <v>2301</v>
      </c>
      <c r="BY3418" s="2" t="s">
        <v>112</v>
      </c>
      <c r="BZ3418" s="2" t="s">
        <v>149</v>
      </c>
    </row>
    <row r="3419">
      <c r="A3419" s="2" t="s">
        <v>11001</v>
      </c>
      <c r="B3419" s="2" t="s">
        <v>10807</v>
      </c>
      <c r="C3419" s="2" t="s">
        <v>88</v>
      </c>
      <c r="D3419" s="2" t="s">
        <v>2572</v>
      </c>
      <c r="E3419" s="2" t="s">
        <v>10992</v>
      </c>
      <c r="F3419" s="2" t="s">
        <v>10993</v>
      </c>
      <c r="G3419" s="2" t="s">
        <v>10994</v>
      </c>
      <c r="H3419" s="2" t="s">
        <v>10995</v>
      </c>
      <c r="I3419" s="2" t="s">
        <v>10996</v>
      </c>
      <c r="J3419" s="2" t="s">
        <v>11002</v>
      </c>
      <c r="K3419" s="2" t="s">
        <v>458</v>
      </c>
      <c r="L3419" s="3">
        <v>16.17</v>
      </c>
      <c r="M3419" s="3">
        <v>16.98</v>
      </c>
      <c r="N3419" s="3">
        <v>32.99</v>
      </c>
      <c r="O3419" s="2" t="s">
        <v>97</v>
      </c>
      <c r="P3419" s="2" t="s">
        <v>156</v>
      </c>
      <c r="Q3419" s="2" t="s">
        <v>99</v>
      </c>
      <c r="R3419" s="2" t="s">
        <v>100</v>
      </c>
      <c r="S3419" s="2" t="s">
        <v>10998</v>
      </c>
      <c r="T3419" s="2" t="s">
        <v>100</v>
      </c>
      <c r="U3419" s="2" t="s">
        <v>100</v>
      </c>
      <c r="V3419" s="2" t="s">
        <v>461</v>
      </c>
      <c r="W3419" s="2" t="s">
        <v>142</v>
      </c>
      <c r="X3419" s="2" t="s">
        <v>10999</v>
      </c>
      <c r="Y3419" s="2" t="s">
        <v>10056</v>
      </c>
      <c r="Z3419" s="4">
        <v>1022</v>
      </c>
      <c r="AA3419" s="4">
        <f>=ROUNDDOWN(24.3333333333333,0)</f>
      </c>
      <c r="AB3419" s="5">
        <v>42</v>
      </c>
      <c r="AC3419" s="2" t="s">
        <v>145</v>
      </c>
      <c r="AD3419" s="4">
        <v>136</v>
      </c>
      <c r="AE3419" s="4">
        <v>136</v>
      </c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9</v>
      </c>
      <c r="AQ3419" s="8">
        <v>141.75</v>
      </c>
      <c r="AR3419" s="4"/>
      <c r="AS3419" s="8"/>
      <c r="AT3419" s="7"/>
      <c r="AU3419" s="7"/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>
        <v>0.5794</v>
      </c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 t="s">
        <v>100</v>
      </c>
      <c r="BJ3419" s="4">
        <v>98</v>
      </c>
      <c r="BK3419" s="8">
        <v>1573.5</v>
      </c>
      <c r="BL3419" s="2" t="s">
        <v>11003</v>
      </c>
      <c r="BM3419" s="7">
        <v>0.0918</v>
      </c>
      <c r="BN3419" s="7">
        <v>0.0901</v>
      </c>
      <c r="BO3419" s="4">
        <v>9</v>
      </c>
      <c r="BP3419" s="8">
        <v>141.75</v>
      </c>
      <c r="BQ3419" s="4"/>
      <c r="BR3419" s="8"/>
      <c r="BS3419" s="7"/>
      <c r="BT3419" s="7"/>
      <c r="BU3419" s="2" t="s">
        <v>109</v>
      </c>
      <c r="BV3419" s="2" t="s">
        <v>97</v>
      </c>
      <c r="BW3419" s="2" t="s">
        <v>1673</v>
      </c>
      <c r="BX3419" s="2" t="s">
        <v>11004</v>
      </c>
      <c r="BY3419" s="2" t="s">
        <v>112</v>
      </c>
      <c r="BZ3419" s="2" t="s">
        <v>149</v>
      </c>
    </row>
    <row r="3420">
      <c r="A3420" s="2" t="s">
        <v>11005</v>
      </c>
      <c r="B3420" s="2" t="s">
        <v>10807</v>
      </c>
      <c r="C3420" s="2" t="s">
        <v>88</v>
      </c>
      <c r="D3420" s="2" t="s">
        <v>2572</v>
      </c>
      <c r="E3420" s="2" t="s">
        <v>10992</v>
      </c>
      <c r="F3420" s="2" t="s">
        <v>10993</v>
      </c>
      <c r="G3420" s="2" t="s">
        <v>10994</v>
      </c>
      <c r="H3420" s="2" t="s">
        <v>10995</v>
      </c>
      <c r="I3420" s="2" t="s">
        <v>11006</v>
      </c>
      <c r="J3420" s="2" t="s">
        <v>10997</v>
      </c>
      <c r="K3420" s="2" t="s">
        <v>1373</v>
      </c>
      <c r="L3420" s="3">
        <v>14.7</v>
      </c>
      <c r="M3420" s="3">
        <v>15.44</v>
      </c>
      <c r="N3420" s="3">
        <v>29.99</v>
      </c>
      <c r="O3420" s="2" t="s">
        <v>97</v>
      </c>
      <c r="P3420" s="2" t="s">
        <v>98</v>
      </c>
      <c r="Q3420" s="2" t="s">
        <v>99</v>
      </c>
      <c r="R3420" s="2" t="s">
        <v>100</v>
      </c>
      <c r="S3420" s="2" t="s">
        <v>11007</v>
      </c>
      <c r="T3420" s="2" t="s">
        <v>438</v>
      </c>
      <c r="U3420" s="2" t="s">
        <v>1776</v>
      </c>
      <c r="V3420" s="2" t="s">
        <v>461</v>
      </c>
      <c r="W3420" s="2" t="s">
        <v>142</v>
      </c>
      <c r="X3420" s="2" t="s">
        <v>10999</v>
      </c>
      <c r="Y3420" s="2" t="s">
        <v>11008</v>
      </c>
      <c r="Z3420" s="4">
        <v>752</v>
      </c>
      <c r="AA3420" s="4">
        <f>=ROUNDDOWN(18.8,0)</f>
      </c>
      <c r="AB3420" s="5">
        <v>40</v>
      </c>
      <c r="AC3420" s="2" t="s">
        <v>2772</v>
      </c>
      <c r="AD3420" s="4">
        <v>240</v>
      </c>
      <c r="AE3420" s="4">
        <v>240</v>
      </c>
      <c r="AF3420" s="6">
        <v>65</v>
      </c>
      <c r="AG3420" s="6"/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/>
      <c r="AQ3420" s="8"/>
      <c r="AR3420" s="4"/>
      <c r="AS3420" s="8"/>
      <c r="AT3420" s="7"/>
      <c r="AU3420" s="7"/>
      <c r="AV3420" s="4" t="s">
        <v>100</v>
      </c>
      <c r="AW3420" s="8" t="s">
        <v>100</v>
      </c>
      <c r="AX3420" s="4" t="s">
        <v>100</v>
      </c>
      <c r="AY3420" s="8" t="s">
        <v>100</v>
      </c>
      <c r="AZ3420" s="7" t="s">
        <v>100</v>
      </c>
      <c r="BA3420" s="7" t="s">
        <v>100</v>
      </c>
      <c r="BB3420" s="7"/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 t="s">
        <v>100</v>
      </c>
      <c r="BJ3420" s="4">
        <v>98</v>
      </c>
      <c r="BK3420" s="8">
        <v>1563.66</v>
      </c>
      <c r="BL3420" s="2" t="s">
        <v>11009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171</v>
      </c>
      <c r="BV3420" s="2" t="s">
        <v>97</v>
      </c>
      <c r="BW3420" s="2" t="s">
        <v>100</v>
      </c>
      <c r="BX3420" s="2" t="s">
        <v>100</v>
      </c>
      <c r="BY3420" s="2" t="s">
        <v>112</v>
      </c>
      <c r="BZ3420" s="2" t="s">
        <v>149</v>
      </c>
    </row>
    <row r="3421">
      <c r="A3421" s="2" t="s">
        <v>11010</v>
      </c>
      <c r="B3421" s="2" t="s">
        <v>10807</v>
      </c>
      <c r="C3421" s="2" t="s">
        <v>88</v>
      </c>
      <c r="D3421" s="2" t="s">
        <v>2572</v>
      </c>
      <c r="E3421" s="2" t="s">
        <v>10992</v>
      </c>
      <c r="F3421" s="2" t="s">
        <v>10993</v>
      </c>
      <c r="G3421" s="2" t="s">
        <v>10994</v>
      </c>
      <c r="H3421" s="2" t="s">
        <v>10995</v>
      </c>
      <c r="I3421" s="2" t="s">
        <v>11006</v>
      </c>
      <c r="J3421" s="2" t="s">
        <v>11011</v>
      </c>
      <c r="K3421" s="2" t="s">
        <v>1373</v>
      </c>
      <c r="L3421" s="3">
        <v>13.23</v>
      </c>
      <c r="M3421" s="3">
        <v>13.89</v>
      </c>
      <c r="N3421" s="3">
        <v>26.99</v>
      </c>
      <c r="O3421" s="2" t="s">
        <v>97</v>
      </c>
      <c r="P3421" s="2" t="s">
        <v>98</v>
      </c>
      <c r="Q3421" s="2" t="s">
        <v>99</v>
      </c>
      <c r="R3421" s="2" t="s">
        <v>100</v>
      </c>
      <c r="S3421" s="2" t="s">
        <v>11007</v>
      </c>
      <c r="T3421" s="2" t="s">
        <v>438</v>
      </c>
      <c r="U3421" s="2" t="s">
        <v>1776</v>
      </c>
      <c r="V3421" s="2" t="s">
        <v>461</v>
      </c>
      <c r="W3421" s="2" t="s">
        <v>142</v>
      </c>
      <c r="X3421" s="2" t="s">
        <v>10999</v>
      </c>
      <c r="Y3421" s="2" t="s">
        <v>11008</v>
      </c>
      <c r="Z3421" s="4">
        <v>276</v>
      </c>
      <c r="AA3421" s="4">
        <f>=ROUNDDOWN(19.7142857142857,0)</f>
      </c>
      <c r="AB3421" s="5">
        <v>14</v>
      </c>
      <c r="AC3421" s="2" t="s">
        <v>2772</v>
      </c>
      <c r="AD3421" s="4">
        <v>88</v>
      </c>
      <c r="AE3421" s="4">
        <v>88</v>
      </c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/>
      <c r="AQ3421" s="8"/>
      <c r="AR3421" s="4"/>
      <c r="AS3421" s="8"/>
      <c r="AT3421" s="7"/>
      <c r="AU3421" s="7"/>
      <c r="AV3421" s="4" t="s">
        <v>100</v>
      </c>
      <c r="AW3421" s="8" t="s">
        <v>100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/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 t="s">
        <v>100</v>
      </c>
      <c r="BJ3421" s="4">
        <v>46</v>
      </c>
      <c r="BK3421" s="8">
        <v>642.06</v>
      </c>
      <c r="BL3421" s="2" t="s">
        <v>11012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171</v>
      </c>
      <c r="BV3421" s="2" t="s">
        <v>97</v>
      </c>
      <c r="BW3421" s="2" t="s">
        <v>100</v>
      </c>
      <c r="BX3421" s="2" t="s">
        <v>100</v>
      </c>
      <c r="BY3421" s="2" t="s">
        <v>112</v>
      </c>
      <c r="BZ3421" s="2" t="s">
        <v>149</v>
      </c>
    </row>
    <row r="3422">
      <c r="A3422" s="2" t="s">
        <v>11013</v>
      </c>
      <c r="B3422" s="2" t="s">
        <v>10807</v>
      </c>
      <c r="C3422" s="2" t="s">
        <v>88</v>
      </c>
      <c r="D3422" s="2" t="s">
        <v>2572</v>
      </c>
      <c r="E3422" s="2" t="s">
        <v>10992</v>
      </c>
      <c r="F3422" s="2" t="s">
        <v>10993</v>
      </c>
      <c r="G3422" s="2" t="s">
        <v>10994</v>
      </c>
      <c r="H3422" s="2" t="s">
        <v>10995</v>
      </c>
      <c r="I3422" s="2" t="s">
        <v>11006</v>
      </c>
      <c r="J3422" s="2" t="s">
        <v>11002</v>
      </c>
      <c r="K3422" s="2" t="s">
        <v>1373</v>
      </c>
      <c r="L3422" s="3">
        <v>16.17</v>
      </c>
      <c r="M3422" s="3">
        <v>16.98</v>
      </c>
      <c r="N3422" s="3">
        <v>32.99</v>
      </c>
      <c r="O3422" s="2" t="s">
        <v>97</v>
      </c>
      <c r="P3422" s="2" t="s">
        <v>98</v>
      </c>
      <c r="Q3422" s="2" t="s">
        <v>99</v>
      </c>
      <c r="R3422" s="2" t="s">
        <v>100</v>
      </c>
      <c r="S3422" s="2" t="s">
        <v>11007</v>
      </c>
      <c r="T3422" s="2" t="s">
        <v>438</v>
      </c>
      <c r="U3422" s="2" t="s">
        <v>1776</v>
      </c>
      <c r="V3422" s="2" t="s">
        <v>461</v>
      </c>
      <c r="W3422" s="2" t="s">
        <v>142</v>
      </c>
      <c r="X3422" s="2" t="s">
        <v>10999</v>
      </c>
      <c r="Y3422" s="2" t="s">
        <v>11008</v>
      </c>
      <c r="Z3422" s="4">
        <v>626</v>
      </c>
      <c r="AA3422" s="4">
        <f>=ROUNDDOWN(50.08,0)</f>
      </c>
      <c r="AB3422" s="5">
        <v>12.5</v>
      </c>
      <c r="AC3422" s="2" t="s">
        <v>2772</v>
      </c>
      <c r="AD3422" s="4">
        <v>152</v>
      </c>
      <c r="AE3422" s="4">
        <v>152</v>
      </c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/>
      <c r="AQ3422" s="8"/>
      <c r="AR3422" s="4"/>
      <c r="AS3422" s="8"/>
      <c r="AT3422" s="7"/>
      <c r="AU3422" s="7"/>
      <c r="AV3422" s="4" t="s">
        <v>100</v>
      </c>
      <c r="AW3422" s="8" t="s">
        <v>100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/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 t="s">
        <v>100</v>
      </c>
      <c r="BJ3422" s="4">
        <v>66</v>
      </c>
      <c r="BK3422" s="8">
        <v>1121.94</v>
      </c>
      <c r="BL3422" s="2" t="s">
        <v>11014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171</v>
      </c>
      <c r="BV3422" s="2" t="s">
        <v>97</v>
      </c>
      <c r="BW3422" s="2" t="s">
        <v>100</v>
      </c>
      <c r="BX3422" s="2" t="s">
        <v>100</v>
      </c>
      <c r="BY3422" s="2" t="s">
        <v>112</v>
      </c>
      <c r="BZ3422" s="2" t="s">
        <v>149</v>
      </c>
    </row>
    <row r="3423">
      <c r="A3423" s="2" t="s">
        <v>11015</v>
      </c>
      <c r="B3423" s="2" t="s">
        <v>10807</v>
      </c>
      <c r="C3423" s="2" t="s">
        <v>88</v>
      </c>
      <c r="D3423" s="2" t="s">
        <v>2572</v>
      </c>
      <c r="E3423" s="2" t="s">
        <v>10992</v>
      </c>
      <c r="F3423" s="2" t="s">
        <v>1130</v>
      </c>
      <c r="G3423" s="2" t="s">
        <v>11016</v>
      </c>
      <c r="H3423" s="2" t="s">
        <v>8403</v>
      </c>
      <c r="I3423" s="2" t="s">
        <v>11017</v>
      </c>
      <c r="J3423" s="2" t="s">
        <v>11018</v>
      </c>
      <c r="K3423" s="2" t="s">
        <v>1090</v>
      </c>
      <c r="L3423" s="3">
        <v>17.6</v>
      </c>
      <c r="M3423" s="3">
        <v>18.48</v>
      </c>
      <c r="N3423" s="3">
        <v>39.99</v>
      </c>
      <c r="O3423" s="2" t="s">
        <v>97</v>
      </c>
      <c r="P3423" s="2" t="s">
        <v>156</v>
      </c>
      <c r="Q3423" s="2" t="s">
        <v>99</v>
      </c>
      <c r="R3423" s="2" t="s">
        <v>100</v>
      </c>
      <c r="S3423" s="2" t="s">
        <v>11019</v>
      </c>
      <c r="T3423" s="2" t="s">
        <v>100</v>
      </c>
      <c r="U3423" s="2" t="s">
        <v>100</v>
      </c>
      <c r="V3423" s="2" t="s">
        <v>461</v>
      </c>
      <c r="W3423" s="2" t="s">
        <v>493</v>
      </c>
      <c r="X3423" s="2" t="s">
        <v>10999</v>
      </c>
      <c r="Y3423" s="2" t="s">
        <v>4766</v>
      </c>
      <c r="Z3423" s="4">
        <v>224</v>
      </c>
      <c r="AA3423" s="4">
        <f>=ROUNDDOWN(18.6666666666667,0)</f>
      </c>
      <c r="AB3423" s="5">
        <v>12</v>
      </c>
      <c r="AC3423" s="2" t="s">
        <v>173</v>
      </c>
      <c r="AD3423" s="4">
        <v>60</v>
      </c>
      <c r="AE3423" s="4">
        <v>132</v>
      </c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7</v>
      </c>
      <c r="AQ3423" s="8">
        <v>115.78</v>
      </c>
      <c r="AR3423" s="4"/>
      <c r="AS3423" s="8"/>
      <c r="AT3423" s="7"/>
      <c r="AU3423" s="7"/>
      <c r="AV3423" s="4">
        <v>7</v>
      </c>
      <c r="AW3423" s="8">
        <v>115.78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>
        <v>1</v>
      </c>
      <c r="BC3423" s="4">
        <v>9</v>
      </c>
      <c r="BD3423" s="8">
        <v>148.86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>
        <v>0.7778</v>
      </c>
      <c r="BJ3423" s="4">
        <v>60</v>
      </c>
      <c r="BK3423" s="8">
        <v>1138.2</v>
      </c>
      <c r="BL3423" s="2" t="s">
        <v>11020</v>
      </c>
      <c r="BM3423" s="7">
        <v>0.1167</v>
      </c>
      <c r="BN3423" s="7">
        <v>0.1017</v>
      </c>
      <c r="BO3423" s="4">
        <v>7</v>
      </c>
      <c r="BP3423" s="8">
        <v>115.78</v>
      </c>
      <c r="BQ3423" s="4"/>
      <c r="BR3423" s="8"/>
      <c r="BS3423" s="7"/>
      <c r="BT3423" s="7"/>
      <c r="BU3423" s="2" t="s">
        <v>109</v>
      </c>
      <c r="BV3423" s="2" t="s">
        <v>97</v>
      </c>
      <c r="BW3423" s="2" t="s">
        <v>1974</v>
      </c>
      <c r="BX3423" s="2" t="s">
        <v>1079</v>
      </c>
      <c r="BY3423" s="2" t="s">
        <v>112</v>
      </c>
      <c r="BZ3423" s="2" t="s">
        <v>149</v>
      </c>
    </row>
    <row r="3424">
      <c r="A3424" s="2" t="s">
        <v>11021</v>
      </c>
      <c r="B3424" s="2" t="s">
        <v>10807</v>
      </c>
      <c r="C3424" s="2" t="s">
        <v>88</v>
      </c>
      <c r="D3424" s="2" t="s">
        <v>2572</v>
      </c>
      <c r="E3424" s="2" t="s">
        <v>10992</v>
      </c>
      <c r="F3424" s="2" t="s">
        <v>1130</v>
      </c>
      <c r="G3424" s="2" t="s">
        <v>11016</v>
      </c>
      <c r="H3424" s="2" t="s">
        <v>8403</v>
      </c>
      <c r="I3424" s="2" t="s">
        <v>11017</v>
      </c>
      <c r="J3424" s="2" t="s">
        <v>11022</v>
      </c>
      <c r="K3424" s="2" t="s">
        <v>1090</v>
      </c>
      <c r="L3424" s="3">
        <v>20.25</v>
      </c>
      <c r="M3424" s="3">
        <v>21.26</v>
      </c>
      <c r="N3424" s="3">
        <v>44.99</v>
      </c>
      <c r="O3424" s="2" t="s">
        <v>97</v>
      </c>
      <c r="P3424" s="2" t="s">
        <v>156</v>
      </c>
      <c r="Q3424" s="2" t="s">
        <v>99</v>
      </c>
      <c r="R3424" s="2" t="s">
        <v>100</v>
      </c>
      <c r="S3424" s="2" t="s">
        <v>11019</v>
      </c>
      <c r="T3424" s="2" t="s">
        <v>100</v>
      </c>
      <c r="U3424" s="2" t="s">
        <v>100</v>
      </c>
      <c r="V3424" s="2" t="s">
        <v>461</v>
      </c>
      <c r="W3424" s="2" t="s">
        <v>493</v>
      </c>
      <c r="X3424" s="2" t="s">
        <v>10999</v>
      </c>
      <c r="Y3424" s="2" t="s">
        <v>4766</v>
      </c>
      <c r="Z3424" s="4">
        <v>65</v>
      </c>
      <c r="AA3424" s="4">
        <f>=ROUNDDOWN(9.02777777777778,0)</f>
      </c>
      <c r="AB3424" s="5">
        <v>7.2</v>
      </c>
      <c r="AC3424" s="2" t="s">
        <v>1468</v>
      </c>
      <c r="AD3424" s="4">
        <v>132</v>
      </c>
      <c r="AE3424" s="4">
        <v>184</v>
      </c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/>
      <c r="AQ3424" s="8"/>
      <c r="AR3424" s="4"/>
      <c r="AS3424" s="8"/>
      <c r="AT3424" s="7"/>
      <c r="AU3424" s="7"/>
      <c r="AV3424" s="4" t="s">
        <v>100</v>
      </c>
      <c r="AW3424" s="8" t="s">
        <v>100</v>
      </c>
      <c r="AX3424" s="4" t="s">
        <v>100</v>
      </c>
      <c r="AY3424" s="8" t="s">
        <v>100</v>
      </c>
      <c r="AZ3424" s="7" t="s">
        <v>100</v>
      </c>
      <c r="BA3424" s="7" t="s">
        <v>100</v>
      </c>
      <c r="BB3424" s="7"/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 t="s">
        <v>100</v>
      </c>
      <c r="BJ3424" s="4">
        <v>29</v>
      </c>
      <c r="BK3424" s="8">
        <v>613.16</v>
      </c>
      <c r="BL3424" s="2" t="s">
        <v>644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109</v>
      </c>
      <c r="BV3424" s="2" t="s">
        <v>97</v>
      </c>
      <c r="BW3424" s="2" t="s">
        <v>1974</v>
      </c>
      <c r="BX3424" s="2" t="s">
        <v>7990</v>
      </c>
      <c r="BY3424" s="2" t="s">
        <v>112</v>
      </c>
      <c r="BZ3424" s="2" t="s">
        <v>149</v>
      </c>
    </row>
    <row r="3425">
      <c r="A3425" s="2" t="s">
        <v>11023</v>
      </c>
      <c r="B3425" s="2" t="s">
        <v>10807</v>
      </c>
      <c r="C3425" s="2" t="s">
        <v>88</v>
      </c>
      <c r="D3425" s="2" t="s">
        <v>2572</v>
      </c>
      <c r="E3425" s="2" t="s">
        <v>10992</v>
      </c>
      <c r="F3425" s="2" t="s">
        <v>1130</v>
      </c>
      <c r="G3425" s="2" t="s">
        <v>11016</v>
      </c>
      <c r="H3425" s="2" t="s">
        <v>8403</v>
      </c>
      <c r="I3425" s="2" t="s">
        <v>11017</v>
      </c>
      <c r="J3425" s="2" t="s">
        <v>11018</v>
      </c>
      <c r="K3425" s="2" t="s">
        <v>96</v>
      </c>
      <c r="L3425" s="3">
        <v>17.6</v>
      </c>
      <c r="M3425" s="3">
        <v>18.48</v>
      </c>
      <c r="N3425" s="3">
        <v>39.99</v>
      </c>
      <c r="O3425" s="2" t="s">
        <v>97</v>
      </c>
      <c r="P3425" s="2" t="s">
        <v>98</v>
      </c>
      <c r="Q3425" s="2" t="s">
        <v>99</v>
      </c>
      <c r="R3425" s="2" t="s">
        <v>100</v>
      </c>
      <c r="S3425" s="2" t="s">
        <v>11024</v>
      </c>
      <c r="T3425" s="2" t="s">
        <v>100</v>
      </c>
      <c r="U3425" s="2" t="s">
        <v>100</v>
      </c>
      <c r="V3425" s="2" t="s">
        <v>461</v>
      </c>
      <c r="W3425" s="2" t="s">
        <v>493</v>
      </c>
      <c r="X3425" s="2" t="s">
        <v>10999</v>
      </c>
      <c r="Y3425" s="2" t="s">
        <v>4766</v>
      </c>
      <c r="Z3425" s="4">
        <v>199</v>
      </c>
      <c r="AA3425" s="4">
        <f>=ROUNDDOWN(39.8,0)</f>
      </c>
      <c r="AB3425" s="5">
        <v>5</v>
      </c>
      <c r="AC3425" s="2" t="s">
        <v>100</v>
      </c>
      <c r="AD3425" s="4"/>
      <c r="AE3425" s="4"/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2</v>
      </c>
      <c r="AQ3425" s="8">
        <v>33.08</v>
      </c>
      <c r="AR3425" s="4"/>
      <c r="AS3425" s="8"/>
      <c r="AT3425" s="7"/>
      <c r="AU3425" s="7"/>
      <c r="AV3425" s="4">
        <v>2</v>
      </c>
      <c r="AW3425" s="8">
        <v>33.08</v>
      </c>
      <c r="AX3425" s="4" t="s">
        <v>100</v>
      </c>
      <c r="AY3425" s="8" t="s">
        <v>100</v>
      </c>
      <c r="AZ3425" s="7" t="s">
        <v>100</v>
      </c>
      <c r="BA3425" s="7" t="s">
        <v>100</v>
      </c>
      <c r="BB3425" s="7">
        <v>1</v>
      </c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>
        <v>0.2222</v>
      </c>
      <c r="BJ3425" s="4">
        <v>35</v>
      </c>
      <c r="BK3425" s="8">
        <v>676.89</v>
      </c>
      <c r="BL3425" s="2" t="s">
        <v>11025</v>
      </c>
      <c r="BM3425" s="7">
        <v>0.0571</v>
      </c>
      <c r="BN3425" s="7">
        <v>0.0489</v>
      </c>
      <c r="BO3425" s="4">
        <v>2</v>
      </c>
      <c r="BP3425" s="8">
        <v>33.08</v>
      </c>
      <c r="BQ3425" s="4"/>
      <c r="BR3425" s="8"/>
      <c r="BS3425" s="7"/>
      <c r="BT3425" s="7"/>
      <c r="BU3425" s="2" t="s">
        <v>109</v>
      </c>
      <c r="BV3425" s="2" t="s">
        <v>97</v>
      </c>
      <c r="BW3425" s="2" t="s">
        <v>1974</v>
      </c>
      <c r="BX3425" s="2" t="s">
        <v>281</v>
      </c>
      <c r="BY3425" s="2" t="s">
        <v>112</v>
      </c>
      <c r="BZ3425" s="2" t="s">
        <v>149</v>
      </c>
    </row>
    <row r="3426">
      <c r="A3426" s="2" t="s">
        <v>11026</v>
      </c>
      <c r="B3426" s="2" t="s">
        <v>10807</v>
      </c>
      <c r="C3426" s="2" t="s">
        <v>88</v>
      </c>
      <c r="D3426" s="2" t="s">
        <v>2572</v>
      </c>
      <c r="E3426" s="2" t="s">
        <v>10992</v>
      </c>
      <c r="F3426" s="2" t="s">
        <v>1130</v>
      </c>
      <c r="G3426" s="2" t="s">
        <v>11016</v>
      </c>
      <c r="H3426" s="2" t="s">
        <v>8403</v>
      </c>
      <c r="I3426" s="2" t="s">
        <v>11017</v>
      </c>
      <c r="J3426" s="2" t="s">
        <v>11022</v>
      </c>
      <c r="K3426" s="2" t="s">
        <v>96</v>
      </c>
      <c r="L3426" s="3">
        <v>20.25</v>
      </c>
      <c r="M3426" s="3">
        <v>21.26</v>
      </c>
      <c r="N3426" s="3">
        <v>44.99</v>
      </c>
      <c r="O3426" s="2" t="s">
        <v>97</v>
      </c>
      <c r="P3426" s="2" t="s">
        <v>98</v>
      </c>
      <c r="Q3426" s="2" t="s">
        <v>99</v>
      </c>
      <c r="R3426" s="2" t="s">
        <v>100</v>
      </c>
      <c r="S3426" s="2" t="s">
        <v>11024</v>
      </c>
      <c r="T3426" s="2" t="s">
        <v>100</v>
      </c>
      <c r="U3426" s="2" t="s">
        <v>100</v>
      </c>
      <c r="V3426" s="2" t="s">
        <v>461</v>
      </c>
      <c r="W3426" s="2" t="s">
        <v>493</v>
      </c>
      <c r="X3426" s="2" t="s">
        <v>10999</v>
      </c>
      <c r="Y3426" s="2" t="s">
        <v>4766</v>
      </c>
      <c r="Z3426" s="4">
        <v>59</v>
      </c>
      <c r="AA3426" s="4">
        <f>=ROUNDDOWN(42.1428571428571,0)</f>
      </c>
      <c r="AB3426" s="5">
        <v>1.4</v>
      </c>
      <c r="AC3426" s="2" t="s">
        <v>100</v>
      </c>
      <c r="AD3426" s="4"/>
      <c r="AE3426" s="4"/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/>
      <c r="AQ3426" s="8"/>
      <c r="AR3426" s="4"/>
      <c r="AS3426" s="8"/>
      <c r="AT3426" s="7"/>
      <c r="AU3426" s="7"/>
      <c r="AV3426" s="4" t="s">
        <v>100</v>
      </c>
      <c r="AW3426" s="8" t="s">
        <v>100</v>
      </c>
      <c r="AX3426" s="4" t="s">
        <v>100</v>
      </c>
      <c r="AY3426" s="8" t="s">
        <v>100</v>
      </c>
      <c r="AZ3426" s="7" t="s">
        <v>100</v>
      </c>
      <c r="BA3426" s="7" t="s">
        <v>100</v>
      </c>
      <c r="BB3426" s="7"/>
      <c r="BC3426" s="4" t="s">
        <v>100</v>
      </c>
      <c r="BD3426" s="8" t="s">
        <v>100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 t="s">
        <v>100</v>
      </c>
      <c r="BJ3426" s="4">
        <v>6</v>
      </c>
      <c r="BK3426" s="8">
        <v>141.43</v>
      </c>
      <c r="BL3426" s="2" t="s">
        <v>11027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109</v>
      </c>
      <c r="BV3426" s="2" t="s">
        <v>97</v>
      </c>
      <c r="BW3426" s="2" t="s">
        <v>1974</v>
      </c>
      <c r="BX3426" s="2" t="s">
        <v>4209</v>
      </c>
      <c r="BY3426" s="2" t="s">
        <v>112</v>
      </c>
      <c r="BZ3426" s="2" t="s">
        <v>149</v>
      </c>
    </row>
    <row r="3427">
      <c r="A3427" s="2" t="s">
        <v>11028</v>
      </c>
      <c r="B3427" s="2" t="s">
        <v>10807</v>
      </c>
      <c r="C3427" s="2" t="s">
        <v>88</v>
      </c>
      <c r="D3427" s="2" t="s">
        <v>2572</v>
      </c>
      <c r="E3427" s="2" t="s">
        <v>10992</v>
      </c>
      <c r="F3427" s="2" t="s">
        <v>1130</v>
      </c>
      <c r="G3427" s="2" t="s">
        <v>11016</v>
      </c>
      <c r="H3427" s="2" t="s">
        <v>8403</v>
      </c>
      <c r="I3427" s="2" t="s">
        <v>11017</v>
      </c>
      <c r="J3427" s="2" t="s">
        <v>11018</v>
      </c>
      <c r="K3427" s="2" t="s">
        <v>673</v>
      </c>
      <c r="L3427" s="3">
        <v>17.6</v>
      </c>
      <c r="M3427" s="3">
        <v>18.48</v>
      </c>
      <c r="N3427" s="3">
        <v>39.99</v>
      </c>
      <c r="O3427" s="2" t="s">
        <v>97</v>
      </c>
      <c r="P3427" s="2" t="s">
        <v>98</v>
      </c>
      <c r="Q3427" s="2" t="s">
        <v>99</v>
      </c>
      <c r="R3427" s="2" t="s">
        <v>100</v>
      </c>
      <c r="S3427" s="2" t="s">
        <v>11029</v>
      </c>
      <c r="T3427" s="2" t="s">
        <v>100</v>
      </c>
      <c r="U3427" s="2" t="s">
        <v>100</v>
      </c>
      <c r="V3427" s="2" t="s">
        <v>461</v>
      </c>
      <c r="W3427" s="2" t="s">
        <v>493</v>
      </c>
      <c r="X3427" s="2" t="s">
        <v>10999</v>
      </c>
      <c r="Y3427" s="2" t="s">
        <v>4766</v>
      </c>
      <c r="Z3427" s="4">
        <v>308</v>
      </c>
      <c r="AA3427" s="4">
        <f>=ROUNDDOWN(28,0)</f>
      </c>
      <c r="AB3427" s="5">
        <v>11</v>
      </c>
      <c r="AC3427" s="2" t="s">
        <v>100</v>
      </c>
      <c r="AD3427" s="4"/>
      <c r="AE3427" s="4"/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/>
      <c r="BJ3427" s="4">
        <v>51</v>
      </c>
      <c r="BK3427" s="8">
        <v>924.45</v>
      </c>
      <c r="BL3427" s="2" t="s">
        <v>5533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109</v>
      </c>
      <c r="BV3427" s="2" t="s">
        <v>97</v>
      </c>
      <c r="BW3427" s="2" t="s">
        <v>1974</v>
      </c>
      <c r="BX3427" s="2" t="s">
        <v>9264</v>
      </c>
      <c r="BY3427" s="2" t="s">
        <v>112</v>
      </c>
      <c r="BZ3427" s="2" t="s">
        <v>149</v>
      </c>
    </row>
    <row r="3428">
      <c r="A3428" s="2" t="s">
        <v>11030</v>
      </c>
      <c r="B3428" s="2" t="s">
        <v>10807</v>
      </c>
      <c r="C3428" s="2" t="s">
        <v>88</v>
      </c>
      <c r="D3428" s="2" t="s">
        <v>2572</v>
      </c>
      <c r="E3428" s="2" t="s">
        <v>10992</v>
      </c>
      <c r="F3428" s="2" t="s">
        <v>1130</v>
      </c>
      <c r="G3428" s="2" t="s">
        <v>11016</v>
      </c>
      <c r="H3428" s="2" t="s">
        <v>8403</v>
      </c>
      <c r="I3428" s="2" t="s">
        <v>11017</v>
      </c>
      <c r="J3428" s="2" t="s">
        <v>11018</v>
      </c>
      <c r="K3428" s="2" t="s">
        <v>458</v>
      </c>
      <c r="L3428" s="3">
        <v>17.6</v>
      </c>
      <c r="M3428" s="3">
        <v>18.48</v>
      </c>
      <c r="N3428" s="3">
        <v>39.99</v>
      </c>
      <c r="O3428" s="2" t="s">
        <v>97</v>
      </c>
      <c r="P3428" s="2" t="s">
        <v>98</v>
      </c>
      <c r="Q3428" s="2" t="s">
        <v>99</v>
      </c>
      <c r="R3428" s="2" t="s">
        <v>100</v>
      </c>
      <c r="S3428" s="2" t="s">
        <v>11031</v>
      </c>
      <c r="T3428" s="2" t="s">
        <v>100</v>
      </c>
      <c r="U3428" s="2" t="s">
        <v>100</v>
      </c>
      <c r="V3428" s="2" t="s">
        <v>461</v>
      </c>
      <c r="W3428" s="2" t="s">
        <v>493</v>
      </c>
      <c r="X3428" s="2" t="s">
        <v>10999</v>
      </c>
      <c r="Y3428" s="2" t="s">
        <v>4766</v>
      </c>
      <c r="Z3428" s="4">
        <v>316</v>
      </c>
      <c r="AA3428" s="4">
        <f>=ROUNDDOWN(35.1111111111111,0)</f>
      </c>
      <c r="AB3428" s="5">
        <v>9</v>
      </c>
      <c r="AC3428" s="2" t="s">
        <v>2709</v>
      </c>
      <c r="AD3428" s="4">
        <v>108</v>
      </c>
      <c r="AE3428" s="4">
        <v>108</v>
      </c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/>
      <c r="AQ3428" s="8"/>
      <c r="AR3428" s="4"/>
      <c r="AS3428" s="8"/>
      <c r="AT3428" s="7"/>
      <c r="AU3428" s="7"/>
      <c r="AV3428" s="4" t="s">
        <v>100</v>
      </c>
      <c r="AW3428" s="8" t="s">
        <v>100</v>
      </c>
      <c r="AX3428" s="4" t="s">
        <v>100</v>
      </c>
      <c r="AY3428" s="8" t="s">
        <v>100</v>
      </c>
      <c r="AZ3428" s="7" t="s">
        <v>100</v>
      </c>
      <c r="BA3428" s="7" t="s">
        <v>100</v>
      </c>
      <c r="BB3428" s="7"/>
      <c r="BC3428" s="4" t="s">
        <v>100</v>
      </c>
      <c r="BD3428" s="8" t="s">
        <v>100</v>
      </c>
      <c r="BE3428" s="4" t="s">
        <v>100</v>
      </c>
      <c r="BF3428" s="8" t="s">
        <v>100</v>
      </c>
      <c r="BG3428" s="7" t="s">
        <v>100</v>
      </c>
      <c r="BH3428" s="7" t="s">
        <v>100</v>
      </c>
      <c r="BI3428" s="7" t="s">
        <v>100</v>
      </c>
      <c r="BJ3428" s="4">
        <v>38</v>
      </c>
      <c r="BK3428" s="8">
        <v>711.55</v>
      </c>
      <c r="BL3428" s="2" t="s">
        <v>2046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109</v>
      </c>
      <c r="BV3428" s="2" t="s">
        <v>97</v>
      </c>
      <c r="BW3428" s="2" t="s">
        <v>1974</v>
      </c>
      <c r="BX3428" s="2" t="s">
        <v>11032</v>
      </c>
      <c r="BY3428" s="2" t="s">
        <v>112</v>
      </c>
      <c r="BZ3428" s="2" t="s">
        <v>149</v>
      </c>
    </row>
    <row r="3429">
      <c r="A3429" s="2" t="s">
        <v>11033</v>
      </c>
      <c r="B3429" s="2" t="s">
        <v>10807</v>
      </c>
      <c r="C3429" s="2" t="s">
        <v>88</v>
      </c>
      <c r="D3429" s="2" t="s">
        <v>2572</v>
      </c>
      <c r="E3429" s="2" t="s">
        <v>10992</v>
      </c>
      <c r="F3429" s="2" t="s">
        <v>1130</v>
      </c>
      <c r="G3429" s="2" t="s">
        <v>11016</v>
      </c>
      <c r="H3429" s="2" t="s">
        <v>8403</v>
      </c>
      <c r="I3429" s="2" t="s">
        <v>11017</v>
      </c>
      <c r="J3429" s="2" t="s">
        <v>11022</v>
      </c>
      <c r="K3429" s="2" t="s">
        <v>458</v>
      </c>
      <c r="L3429" s="3">
        <v>20.25</v>
      </c>
      <c r="M3429" s="3">
        <v>21.26</v>
      </c>
      <c r="N3429" s="3">
        <v>44.99</v>
      </c>
      <c r="O3429" s="2" t="s">
        <v>97</v>
      </c>
      <c r="P3429" s="2" t="s">
        <v>98</v>
      </c>
      <c r="Q3429" s="2" t="s">
        <v>99</v>
      </c>
      <c r="R3429" s="2" t="s">
        <v>100</v>
      </c>
      <c r="S3429" s="2" t="s">
        <v>11031</v>
      </c>
      <c r="T3429" s="2" t="s">
        <v>100</v>
      </c>
      <c r="U3429" s="2" t="s">
        <v>100</v>
      </c>
      <c r="V3429" s="2" t="s">
        <v>461</v>
      </c>
      <c r="W3429" s="2" t="s">
        <v>493</v>
      </c>
      <c r="X3429" s="2" t="s">
        <v>10999</v>
      </c>
      <c r="Y3429" s="2" t="s">
        <v>4766</v>
      </c>
      <c r="Z3429" s="4">
        <v>228</v>
      </c>
      <c r="AA3429" s="4">
        <f>=ROUNDDOWN(32.5714285714286,0)</f>
      </c>
      <c r="AB3429" s="5">
        <v>7</v>
      </c>
      <c r="AC3429" s="2" t="s">
        <v>100</v>
      </c>
      <c r="AD3429" s="4"/>
      <c r="AE3429" s="4"/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/>
      <c r="AQ3429" s="8"/>
      <c r="AR3429" s="4"/>
      <c r="AS3429" s="8"/>
      <c r="AT3429" s="7"/>
      <c r="AU3429" s="7"/>
      <c r="AV3429" s="4" t="s">
        <v>100</v>
      </c>
      <c r="AW3429" s="8" t="s">
        <v>100</v>
      </c>
      <c r="AX3429" s="4" t="s">
        <v>100</v>
      </c>
      <c r="AY3429" s="8" t="s">
        <v>100</v>
      </c>
      <c r="AZ3429" s="7" t="s">
        <v>100</v>
      </c>
      <c r="BA3429" s="7" t="s">
        <v>100</v>
      </c>
      <c r="BB3429" s="7"/>
      <c r="BC3429" s="4" t="s">
        <v>100</v>
      </c>
      <c r="BD3429" s="8" t="s">
        <v>100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 t="s">
        <v>100</v>
      </c>
      <c r="BJ3429" s="4">
        <v>25</v>
      </c>
      <c r="BK3429" s="8">
        <v>554.31</v>
      </c>
      <c r="BL3429" s="2" t="s">
        <v>10504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109</v>
      </c>
      <c r="BV3429" s="2" t="s">
        <v>97</v>
      </c>
      <c r="BW3429" s="2" t="s">
        <v>1974</v>
      </c>
      <c r="BX3429" s="2" t="s">
        <v>4946</v>
      </c>
      <c r="BY3429" s="2" t="s">
        <v>112</v>
      </c>
      <c r="BZ3429" s="2" t="s">
        <v>149</v>
      </c>
    </row>
    <row r="3430">
      <c r="A3430" s="2" t="s">
        <v>11034</v>
      </c>
      <c r="B3430" s="2" t="s">
        <v>10807</v>
      </c>
      <c r="C3430" s="2" t="s">
        <v>88</v>
      </c>
      <c r="D3430" s="2" t="s">
        <v>2572</v>
      </c>
      <c r="E3430" s="2" t="s">
        <v>10992</v>
      </c>
      <c r="F3430" s="2" t="s">
        <v>890</v>
      </c>
      <c r="G3430" s="2" t="s">
        <v>4602</v>
      </c>
      <c r="H3430" s="2" t="s">
        <v>3615</v>
      </c>
      <c r="I3430" s="2" t="s">
        <v>11035</v>
      </c>
      <c r="J3430" s="2" t="s">
        <v>10997</v>
      </c>
      <c r="K3430" s="2" t="s">
        <v>471</v>
      </c>
      <c r="L3430" s="3">
        <v>23.77</v>
      </c>
      <c r="M3430" s="3">
        <v>24.96</v>
      </c>
      <c r="N3430" s="3">
        <v>54.99</v>
      </c>
      <c r="O3430" s="2" t="s">
        <v>97</v>
      </c>
      <c r="P3430" s="2" t="s">
        <v>98</v>
      </c>
      <c r="Q3430" s="2" t="s">
        <v>99</v>
      </c>
      <c r="R3430" s="2" t="s">
        <v>100</v>
      </c>
      <c r="S3430" s="2" t="s">
        <v>11036</v>
      </c>
      <c r="T3430" s="2" t="s">
        <v>100</v>
      </c>
      <c r="U3430" s="2" t="s">
        <v>894</v>
      </c>
      <c r="V3430" s="2" t="s">
        <v>733</v>
      </c>
      <c r="W3430" s="2" t="s">
        <v>493</v>
      </c>
      <c r="X3430" s="2" t="s">
        <v>10999</v>
      </c>
      <c r="Y3430" s="2" t="s">
        <v>10289</v>
      </c>
      <c r="Z3430" s="4">
        <v>324</v>
      </c>
      <c r="AA3430" s="4">
        <f>=ROUNDDOWN(29.4545454545455,0)</f>
      </c>
      <c r="AB3430" s="5">
        <v>11</v>
      </c>
      <c r="AC3430" s="2" t="s">
        <v>3010</v>
      </c>
      <c r="AD3430" s="4">
        <v>468</v>
      </c>
      <c r="AE3430" s="4">
        <v>468</v>
      </c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/>
      <c r="BJ3430" s="4">
        <v>34</v>
      </c>
      <c r="BK3430" s="8">
        <v>843.18</v>
      </c>
      <c r="BL3430" s="2" t="s">
        <v>11037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171</v>
      </c>
      <c r="BV3430" s="2" t="s">
        <v>97</v>
      </c>
      <c r="BW3430" s="2" t="s">
        <v>100</v>
      </c>
      <c r="BX3430" s="2" t="s">
        <v>100</v>
      </c>
      <c r="BY3430" s="2" t="s">
        <v>112</v>
      </c>
      <c r="BZ3430" s="2" t="s">
        <v>149</v>
      </c>
    </row>
    <row r="3431">
      <c r="A3431" s="2" t="s">
        <v>11038</v>
      </c>
      <c r="B3431" s="2" t="s">
        <v>10807</v>
      </c>
      <c r="C3431" s="2" t="s">
        <v>88</v>
      </c>
      <c r="D3431" s="2" t="s">
        <v>2572</v>
      </c>
      <c r="E3431" s="2" t="s">
        <v>10992</v>
      </c>
      <c r="F3431" s="2" t="s">
        <v>890</v>
      </c>
      <c r="G3431" s="2" t="s">
        <v>4602</v>
      </c>
      <c r="H3431" s="2" t="s">
        <v>3615</v>
      </c>
      <c r="I3431" s="2" t="s">
        <v>11035</v>
      </c>
      <c r="J3431" s="2" t="s">
        <v>10997</v>
      </c>
      <c r="K3431" s="2" t="s">
        <v>96</v>
      </c>
      <c r="L3431" s="3">
        <v>23.77</v>
      </c>
      <c r="M3431" s="3">
        <v>24.96</v>
      </c>
      <c r="N3431" s="3">
        <v>54.99</v>
      </c>
      <c r="O3431" s="2" t="s">
        <v>97</v>
      </c>
      <c r="P3431" s="2" t="s">
        <v>98</v>
      </c>
      <c r="Q3431" s="2" t="s">
        <v>99</v>
      </c>
      <c r="R3431" s="2" t="s">
        <v>100</v>
      </c>
      <c r="S3431" s="2" t="s">
        <v>11039</v>
      </c>
      <c r="T3431" s="2" t="s">
        <v>100</v>
      </c>
      <c r="U3431" s="2" t="s">
        <v>894</v>
      </c>
      <c r="V3431" s="2" t="s">
        <v>733</v>
      </c>
      <c r="W3431" s="2" t="s">
        <v>493</v>
      </c>
      <c r="X3431" s="2" t="s">
        <v>10999</v>
      </c>
      <c r="Y3431" s="2" t="s">
        <v>10289</v>
      </c>
      <c r="Z3431" s="4">
        <v>1</v>
      </c>
      <c r="AA3431" s="4">
        <f>=ROUNDDOWN(0.0344827586206897,0)</f>
      </c>
      <c r="AB3431" s="5">
        <v>29</v>
      </c>
      <c r="AC3431" s="2" t="s">
        <v>903</v>
      </c>
      <c r="AD3431" s="4">
        <v>220</v>
      </c>
      <c r="AE3431" s="4">
        <v>1152</v>
      </c>
      <c r="AF3431" s="6">
        <v>65</v>
      </c>
      <c r="AG3431" s="6"/>
      <c r="AH3431" s="7">
        <v>0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 t="s">
        <v>100</v>
      </c>
      <c r="BD3431" s="8" t="s">
        <v>100</v>
      </c>
      <c r="BE3431" s="4" t="s">
        <v>100</v>
      </c>
      <c r="BF3431" s="8" t="s">
        <v>100</v>
      </c>
      <c r="BG3431" s="7" t="s">
        <v>100</v>
      </c>
      <c r="BH3431" s="7" t="s">
        <v>100</v>
      </c>
      <c r="BI3431" s="7"/>
      <c r="BJ3431" s="4"/>
      <c r="BK3431" s="8"/>
      <c r="BL3431" s="2" t="s">
        <v>100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171</v>
      </c>
      <c r="BV3431" s="2" t="s">
        <v>97</v>
      </c>
      <c r="BW3431" s="2" t="s">
        <v>100</v>
      </c>
      <c r="BX3431" s="2" t="s">
        <v>100</v>
      </c>
      <c r="BY3431" s="2" t="s">
        <v>112</v>
      </c>
      <c r="BZ3431" s="2" t="s">
        <v>149</v>
      </c>
    </row>
    <row r="3432">
      <c r="A3432" s="2" t="s">
        <v>11040</v>
      </c>
      <c r="B3432" s="2" t="s">
        <v>10807</v>
      </c>
      <c r="C3432" s="2" t="s">
        <v>88</v>
      </c>
      <c r="D3432" s="2" t="s">
        <v>2572</v>
      </c>
      <c r="E3432" s="2" t="s">
        <v>11041</v>
      </c>
      <c r="F3432" s="2" t="s">
        <v>1130</v>
      </c>
      <c r="G3432" s="2" t="s">
        <v>11016</v>
      </c>
      <c r="H3432" s="2" t="s">
        <v>8403</v>
      </c>
      <c r="I3432" s="2" t="s">
        <v>11042</v>
      </c>
      <c r="J3432" s="2" t="s">
        <v>11043</v>
      </c>
      <c r="K3432" s="2" t="s">
        <v>673</v>
      </c>
      <c r="L3432" s="3">
        <v>20.25</v>
      </c>
      <c r="M3432" s="3">
        <v>21.26</v>
      </c>
      <c r="N3432" s="3">
        <v>44.99</v>
      </c>
      <c r="O3432" s="2" t="s">
        <v>97</v>
      </c>
      <c r="P3432" s="2" t="s">
        <v>98</v>
      </c>
      <c r="Q3432" s="2" t="s">
        <v>99</v>
      </c>
      <c r="R3432" s="2" t="s">
        <v>100</v>
      </c>
      <c r="S3432" s="2" t="s">
        <v>11029</v>
      </c>
      <c r="T3432" s="2" t="s">
        <v>100</v>
      </c>
      <c r="U3432" s="2" t="s">
        <v>100</v>
      </c>
      <c r="V3432" s="2" t="s">
        <v>461</v>
      </c>
      <c r="W3432" s="2" t="s">
        <v>493</v>
      </c>
      <c r="X3432" s="2" t="s">
        <v>100</v>
      </c>
      <c r="Y3432" s="2" t="s">
        <v>4766</v>
      </c>
      <c r="Z3432" s="4">
        <v>292</v>
      </c>
      <c r="AA3432" s="4">
        <f>=ROUNDDOWN(14.6,0)</f>
      </c>
      <c r="AB3432" s="5">
        <v>20</v>
      </c>
      <c r="AC3432" s="2" t="s">
        <v>1452</v>
      </c>
      <c r="AD3432" s="4">
        <v>488</v>
      </c>
      <c r="AE3432" s="4">
        <v>488</v>
      </c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>
        <v>3</v>
      </c>
      <c r="AQ3432" s="8">
        <v>56.7</v>
      </c>
      <c r="AR3432" s="4"/>
      <c r="AS3432" s="8"/>
      <c r="AT3432" s="7"/>
      <c r="AU3432" s="7"/>
      <c r="AV3432" s="4">
        <v>3</v>
      </c>
      <c r="AW3432" s="8">
        <v>56.7</v>
      </c>
      <c r="AX3432" s="4"/>
      <c r="AY3432" s="8"/>
      <c r="AZ3432" s="7"/>
      <c r="BA3432" s="7"/>
      <c r="BB3432" s="7">
        <v>1</v>
      </c>
      <c r="BC3432" s="4">
        <v>3</v>
      </c>
      <c r="BD3432" s="8">
        <v>56.7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>
        <v>1</v>
      </c>
      <c r="BJ3432" s="4">
        <v>75</v>
      </c>
      <c r="BK3432" s="8">
        <v>1575.82</v>
      </c>
      <c r="BL3432" s="2" t="s">
        <v>11044</v>
      </c>
      <c r="BM3432" s="7">
        <v>0.04</v>
      </c>
      <c r="BN3432" s="7">
        <v>0.036</v>
      </c>
      <c r="BO3432" s="4">
        <v>3</v>
      </c>
      <c r="BP3432" s="8">
        <v>56.7</v>
      </c>
      <c r="BQ3432" s="4"/>
      <c r="BR3432" s="8"/>
      <c r="BS3432" s="7"/>
      <c r="BT3432" s="7"/>
      <c r="BU3432" s="2" t="s">
        <v>109</v>
      </c>
      <c r="BV3432" s="2" t="s">
        <v>97</v>
      </c>
      <c r="BW3432" s="2" t="s">
        <v>1974</v>
      </c>
      <c r="BX3432" s="2" t="s">
        <v>11045</v>
      </c>
      <c r="BY3432" s="2" t="s">
        <v>112</v>
      </c>
      <c r="BZ3432" s="2" t="s">
        <v>149</v>
      </c>
    </row>
    <row r="3433">
      <c r="A3433" s="2" t="s">
        <v>11046</v>
      </c>
      <c r="B3433" s="2" t="s">
        <v>10807</v>
      </c>
      <c r="C3433" s="2" t="s">
        <v>88</v>
      </c>
      <c r="D3433" s="2" t="s">
        <v>2572</v>
      </c>
      <c r="E3433" s="2" t="s">
        <v>11041</v>
      </c>
      <c r="F3433" s="2" t="s">
        <v>1130</v>
      </c>
      <c r="G3433" s="2" t="s">
        <v>11016</v>
      </c>
      <c r="H3433" s="2" t="s">
        <v>8403</v>
      </c>
      <c r="I3433" s="2" t="s">
        <v>11042</v>
      </c>
      <c r="J3433" s="2" t="s">
        <v>11043</v>
      </c>
      <c r="K3433" s="2" t="s">
        <v>96</v>
      </c>
      <c r="L3433" s="3">
        <v>20.25</v>
      </c>
      <c r="M3433" s="3">
        <v>21.26</v>
      </c>
      <c r="N3433" s="3">
        <v>44.99</v>
      </c>
      <c r="O3433" s="2" t="s">
        <v>97</v>
      </c>
      <c r="P3433" s="2" t="s">
        <v>98</v>
      </c>
      <c r="Q3433" s="2" t="s">
        <v>99</v>
      </c>
      <c r="R3433" s="2" t="s">
        <v>100</v>
      </c>
      <c r="S3433" s="2" t="s">
        <v>11024</v>
      </c>
      <c r="T3433" s="2" t="s">
        <v>100</v>
      </c>
      <c r="U3433" s="2" t="s">
        <v>100</v>
      </c>
      <c r="V3433" s="2" t="s">
        <v>461</v>
      </c>
      <c r="W3433" s="2" t="s">
        <v>493</v>
      </c>
      <c r="X3433" s="2" t="s">
        <v>100</v>
      </c>
      <c r="Y3433" s="2" t="s">
        <v>4766</v>
      </c>
      <c r="Z3433" s="4">
        <v>70</v>
      </c>
      <c r="AA3433" s="4">
        <f>=ROUNDDOWN(5.38461538461539,0)</f>
      </c>
      <c r="AB3433" s="5">
        <v>13</v>
      </c>
      <c r="AC3433" s="2" t="s">
        <v>1468</v>
      </c>
      <c r="AD3433" s="4">
        <v>300</v>
      </c>
      <c r="AE3433" s="4">
        <v>500</v>
      </c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/>
      <c r="BJ3433" s="4">
        <v>60</v>
      </c>
      <c r="BK3433" s="8">
        <v>1259.39</v>
      </c>
      <c r="BL3433" s="2" t="s">
        <v>2396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109</v>
      </c>
      <c r="BV3433" s="2" t="s">
        <v>97</v>
      </c>
      <c r="BW3433" s="2" t="s">
        <v>1974</v>
      </c>
      <c r="BX3433" s="2" t="s">
        <v>5475</v>
      </c>
      <c r="BY3433" s="2" t="s">
        <v>112</v>
      </c>
      <c r="BZ3433" s="2" t="s">
        <v>149</v>
      </c>
    </row>
    <row r="3434">
      <c r="A3434" s="2" t="s">
        <v>11047</v>
      </c>
      <c r="B3434" s="2" t="s">
        <v>10807</v>
      </c>
      <c r="C3434" s="2" t="s">
        <v>88</v>
      </c>
      <c r="D3434" s="2" t="s">
        <v>2572</v>
      </c>
      <c r="E3434" s="2" t="s">
        <v>11041</v>
      </c>
      <c r="F3434" s="2" t="s">
        <v>1130</v>
      </c>
      <c r="G3434" s="2" t="s">
        <v>11016</v>
      </c>
      <c r="H3434" s="2" t="s">
        <v>8403</v>
      </c>
      <c r="I3434" s="2" t="s">
        <v>11042</v>
      </c>
      <c r="J3434" s="2" t="s">
        <v>11043</v>
      </c>
      <c r="K3434" s="2" t="s">
        <v>458</v>
      </c>
      <c r="L3434" s="3">
        <v>20.25</v>
      </c>
      <c r="M3434" s="3">
        <v>21.26</v>
      </c>
      <c r="N3434" s="3">
        <v>44.99</v>
      </c>
      <c r="O3434" s="2" t="s">
        <v>97</v>
      </c>
      <c r="P3434" s="2" t="s">
        <v>98</v>
      </c>
      <c r="Q3434" s="2" t="s">
        <v>99</v>
      </c>
      <c r="R3434" s="2" t="s">
        <v>100</v>
      </c>
      <c r="S3434" s="2" t="s">
        <v>11031</v>
      </c>
      <c r="T3434" s="2" t="s">
        <v>100</v>
      </c>
      <c r="U3434" s="2" t="s">
        <v>100</v>
      </c>
      <c r="V3434" s="2" t="s">
        <v>461</v>
      </c>
      <c r="W3434" s="2" t="s">
        <v>493</v>
      </c>
      <c r="X3434" s="2" t="s">
        <v>100</v>
      </c>
      <c r="Y3434" s="2" t="s">
        <v>4766</v>
      </c>
      <c r="Z3434" s="4">
        <v>246</v>
      </c>
      <c r="AA3434" s="4">
        <f>=ROUNDDOWN(20.5,0)</f>
      </c>
      <c r="AB3434" s="5">
        <v>12</v>
      </c>
      <c r="AC3434" s="2" t="s">
        <v>2709</v>
      </c>
      <c r="AD3434" s="4">
        <v>156</v>
      </c>
      <c r="AE3434" s="4">
        <v>156</v>
      </c>
      <c r="AF3434" s="6">
        <v>65</v>
      </c>
      <c r="AG3434" s="6"/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 t="s">
        <v>100</v>
      </c>
      <c r="BD3434" s="8" t="s">
        <v>100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/>
      <c r="BJ3434" s="4">
        <v>48</v>
      </c>
      <c r="BK3434" s="8">
        <v>1002.85</v>
      </c>
      <c r="BL3434" s="2" t="s">
        <v>2396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109</v>
      </c>
      <c r="BV3434" s="2" t="s">
        <v>97</v>
      </c>
      <c r="BW3434" s="2" t="s">
        <v>1974</v>
      </c>
      <c r="BX3434" s="2" t="s">
        <v>1264</v>
      </c>
      <c r="BY3434" s="2" t="s">
        <v>112</v>
      </c>
      <c r="BZ3434" s="2" t="s">
        <v>149</v>
      </c>
    </row>
    <row r="3435">
      <c r="A3435" s="2" t="s">
        <v>11048</v>
      </c>
      <c r="B3435" s="2" t="s">
        <v>10807</v>
      </c>
      <c r="C3435" s="2" t="s">
        <v>88</v>
      </c>
      <c r="D3435" s="2" t="s">
        <v>2572</v>
      </c>
      <c r="E3435" s="2" t="s">
        <v>11041</v>
      </c>
      <c r="F3435" s="2" t="s">
        <v>11049</v>
      </c>
      <c r="G3435" s="2" t="s">
        <v>11050</v>
      </c>
      <c r="H3435" s="2" t="s">
        <v>11051</v>
      </c>
      <c r="I3435" s="2" t="s">
        <v>11052</v>
      </c>
      <c r="J3435" s="2" t="s">
        <v>11053</v>
      </c>
      <c r="K3435" s="2" t="s">
        <v>1373</v>
      </c>
      <c r="L3435" s="3">
        <v>16.1</v>
      </c>
      <c r="M3435" s="3">
        <v>16.9</v>
      </c>
      <c r="N3435" s="3">
        <v>34.99</v>
      </c>
      <c r="O3435" s="2" t="s">
        <v>97</v>
      </c>
      <c r="P3435" s="2" t="s">
        <v>98</v>
      </c>
      <c r="Q3435" s="2" t="s">
        <v>99</v>
      </c>
      <c r="R3435" s="2" t="s">
        <v>100</v>
      </c>
      <c r="S3435" s="2" t="s">
        <v>11054</v>
      </c>
      <c r="T3435" s="2" t="s">
        <v>100</v>
      </c>
      <c r="U3435" s="2" t="s">
        <v>100</v>
      </c>
      <c r="V3435" s="2" t="s">
        <v>473</v>
      </c>
      <c r="W3435" s="2" t="s">
        <v>142</v>
      </c>
      <c r="X3435" s="2" t="s">
        <v>100</v>
      </c>
      <c r="Y3435" s="2" t="s">
        <v>5595</v>
      </c>
      <c r="Z3435" s="4">
        <v>67</v>
      </c>
      <c r="AA3435" s="4">
        <f>=ROUNDDOWN(7.44444444444445,0)</f>
      </c>
      <c r="AB3435" s="5">
        <v>9</v>
      </c>
      <c r="AC3435" s="2" t="s">
        <v>1452</v>
      </c>
      <c r="AD3435" s="4">
        <v>244</v>
      </c>
      <c r="AE3435" s="4">
        <v>244</v>
      </c>
      <c r="AF3435" s="6">
        <v>65</v>
      </c>
      <c r="AG3435" s="6"/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/>
      <c r="AQ3435" s="8"/>
      <c r="AR3435" s="4"/>
      <c r="AS3435" s="8"/>
      <c r="AT3435" s="7"/>
      <c r="AU3435" s="7"/>
      <c r="AV3435" s="4">
        <v>1</v>
      </c>
      <c r="AW3435" s="8">
        <v>20.16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/>
      <c r="BC3435" s="4">
        <v>1</v>
      </c>
      <c r="BD3435" s="8">
        <v>20.16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>
        <v>1</v>
      </c>
      <c r="BJ3435" s="4">
        <v>23</v>
      </c>
      <c r="BK3435" s="8">
        <v>427.02</v>
      </c>
      <c r="BL3435" s="2" t="s">
        <v>11055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109</v>
      </c>
      <c r="BV3435" s="2" t="s">
        <v>97</v>
      </c>
      <c r="BW3435" s="2" t="s">
        <v>11056</v>
      </c>
      <c r="BX3435" s="2" t="s">
        <v>11057</v>
      </c>
      <c r="BY3435" s="2" t="s">
        <v>112</v>
      </c>
      <c r="BZ3435" s="2" t="s">
        <v>149</v>
      </c>
    </row>
    <row r="3436">
      <c r="A3436" s="2" t="s">
        <v>11058</v>
      </c>
      <c r="B3436" s="2" t="s">
        <v>10807</v>
      </c>
      <c r="C3436" s="2" t="s">
        <v>88</v>
      </c>
      <c r="D3436" s="2" t="s">
        <v>2572</v>
      </c>
      <c r="E3436" s="2" t="s">
        <v>11041</v>
      </c>
      <c r="F3436" s="2" t="s">
        <v>11049</v>
      </c>
      <c r="G3436" s="2" t="s">
        <v>11050</v>
      </c>
      <c r="H3436" s="2" t="s">
        <v>11051</v>
      </c>
      <c r="I3436" s="2" t="s">
        <v>11052</v>
      </c>
      <c r="J3436" s="2" t="s">
        <v>11059</v>
      </c>
      <c r="K3436" s="2" t="s">
        <v>1373</v>
      </c>
      <c r="L3436" s="3">
        <v>21.15</v>
      </c>
      <c r="M3436" s="3">
        <v>22.21</v>
      </c>
      <c r="N3436" s="3">
        <v>44.99</v>
      </c>
      <c r="O3436" s="2" t="s">
        <v>97</v>
      </c>
      <c r="P3436" s="2" t="s">
        <v>98</v>
      </c>
      <c r="Q3436" s="2" t="s">
        <v>99</v>
      </c>
      <c r="R3436" s="2" t="s">
        <v>100</v>
      </c>
      <c r="S3436" s="2" t="s">
        <v>11054</v>
      </c>
      <c r="T3436" s="2" t="s">
        <v>100</v>
      </c>
      <c r="U3436" s="2" t="s">
        <v>100</v>
      </c>
      <c r="V3436" s="2" t="s">
        <v>473</v>
      </c>
      <c r="W3436" s="2" t="s">
        <v>142</v>
      </c>
      <c r="X3436" s="2" t="s">
        <v>100</v>
      </c>
      <c r="Y3436" s="2" t="s">
        <v>5595</v>
      </c>
      <c r="Z3436" s="4">
        <v>73</v>
      </c>
      <c r="AA3436" s="4">
        <f>=ROUNDDOWN(10.4285714285714,0)</f>
      </c>
      <c r="AB3436" s="5">
        <v>7</v>
      </c>
      <c r="AC3436" s="2" t="s">
        <v>4620</v>
      </c>
      <c r="AD3436" s="4">
        <v>100</v>
      </c>
      <c r="AE3436" s="4">
        <v>100</v>
      </c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1</v>
      </c>
      <c r="AQ3436" s="8">
        <v>20.16</v>
      </c>
      <c r="AR3436" s="4"/>
      <c r="AS3436" s="8"/>
      <c r="AT3436" s="7"/>
      <c r="AU3436" s="7"/>
      <c r="AV3436" s="4" t="s">
        <v>100</v>
      </c>
      <c r="AW3436" s="8" t="s">
        <v>100</v>
      </c>
      <c r="AX3436" s="4" t="s">
        <v>100</v>
      </c>
      <c r="AY3436" s="8" t="s">
        <v>100</v>
      </c>
      <c r="AZ3436" s="7" t="s">
        <v>100</v>
      </c>
      <c r="BA3436" s="7" t="s">
        <v>100</v>
      </c>
      <c r="BB3436" s="7">
        <v>1</v>
      </c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 t="s">
        <v>100</v>
      </c>
      <c r="BJ3436" s="4">
        <v>26</v>
      </c>
      <c r="BK3436" s="8">
        <v>587.01</v>
      </c>
      <c r="BL3436" s="2" t="s">
        <v>11060</v>
      </c>
      <c r="BM3436" s="7">
        <v>0.0385</v>
      </c>
      <c r="BN3436" s="7">
        <v>0.0343</v>
      </c>
      <c r="BO3436" s="4">
        <v>1</v>
      </c>
      <c r="BP3436" s="8">
        <v>20.16</v>
      </c>
      <c r="BQ3436" s="4"/>
      <c r="BR3436" s="8"/>
      <c r="BS3436" s="7"/>
      <c r="BT3436" s="7"/>
      <c r="BU3436" s="2" t="s">
        <v>109</v>
      </c>
      <c r="BV3436" s="2" t="s">
        <v>97</v>
      </c>
      <c r="BW3436" s="2" t="s">
        <v>11056</v>
      </c>
      <c r="BX3436" s="2" t="s">
        <v>8484</v>
      </c>
      <c r="BY3436" s="2" t="s">
        <v>112</v>
      </c>
      <c r="BZ3436" s="2" t="s">
        <v>149</v>
      </c>
    </row>
    <row r="3437">
      <c r="A3437" s="2" t="s">
        <v>11061</v>
      </c>
      <c r="B3437" s="2" t="s">
        <v>10807</v>
      </c>
      <c r="C3437" s="2" t="s">
        <v>88</v>
      </c>
      <c r="D3437" s="2" t="s">
        <v>2572</v>
      </c>
      <c r="E3437" s="2" t="s">
        <v>11041</v>
      </c>
      <c r="F3437" s="2" t="s">
        <v>11049</v>
      </c>
      <c r="G3437" s="2" t="s">
        <v>11050</v>
      </c>
      <c r="H3437" s="2" t="s">
        <v>11051</v>
      </c>
      <c r="I3437" s="2" t="s">
        <v>11052</v>
      </c>
      <c r="J3437" s="2" t="s">
        <v>11053</v>
      </c>
      <c r="K3437" s="2" t="s">
        <v>96</v>
      </c>
      <c r="L3437" s="3">
        <v>16.1</v>
      </c>
      <c r="M3437" s="3">
        <v>16.9</v>
      </c>
      <c r="N3437" s="3">
        <v>34.99</v>
      </c>
      <c r="O3437" s="2" t="s">
        <v>97</v>
      </c>
      <c r="P3437" s="2" t="s">
        <v>98</v>
      </c>
      <c r="Q3437" s="2" t="s">
        <v>99</v>
      </c>
      <c r="R3437" s="2" t="s">
        <v>100</v>
      </c>
      <c r="S3437" s="2" t="s">
        <v>11062</v>
      </c>
      <c r="T3437" s="2" t="s">
        <v>100</v>
      </c>
      <c r="U3437" s="2" t="s">
        <v>100</v>
      </c>
      <c r="V3437" s="2" t="s">
        <v>473</v>
      </c>
      <c r="W3437" s="2" t="s">
        <v>142</v>
      </c>
      <c r="X3437" s="2" t="s">
        <v>100</v>
      </c>
      <c r="Y3437" s="2" t="s">
        <v>5595</v>
      </c>
      <c r="Z3437" s="4">
        <v>184</v>
      </c>
      <c r="AA3437" s="4">
        <f>=ROUNDDOWN(48.421052631579,0)</f>
      </c>
      <c r="AB3437" s="5">
        <v>3.8</v>
      </c>
      <c r="AC3437" s="2" t="s">
        <v>100</v>
      </c>
      <c r="AD3437" s="4"/>
      <c r="AE3437" s="4"/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>
        <v>0</v>
      </c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/>
      <c r="BJ3437" s="4">
        <v>26</v>
      </c>
      <c r="BK3437" s="8">
        <v>427.05</v>
      </c>
      <c r="BL3437" s="2" t="s">
        <v>10989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109</v>
      </c>
      <c r="BV3437" s="2" t="s">
        <v>97</v>
      </c>
      <c r="BW3437" s="2" t="s">
        <v>11056</v>
      </c>
      <c r="BX3437" s="2" t="s">
        <v>989</v>
      </c>
      <c r="BY3437" s="2" t="s">
        <v>112</v>
      </c>
      <c r="BZ3437" s="2" t="s">
        <v>149</v>
      </c>
    </row>
    <row r="3438">
      <c r="A3438" s="2" t="s">
        <v>11063</v>
      </c>
      <c r="B3438" s="2" t="s">
        <v>10807</v>
      </c>
      <c r="C3438" s="2" t="s">
        <v>88</v>
      </c>
      <c r="D3438" s="2" t="s">
        <v>2572</v>
      </c>
      <c r="E3438" s="2" t="s">
        <v>11041</v>
      </c>
      <c r="F3438" s="2" t="s">
        <v>11049</v>
      </c>
      <c r="G3438" s="2" t="s">
        <v>11050</v>
      </c>
      <c r="H3438" s="2" t="s">
        <v>11051</v>
      </c>
      <c r="I3438" s="2" t="s">
        <v>11052</v>
      </c>
      <c r="J3438" s="2" t="s">
        <v>11059</v>
      </c>
      <c r="K3438" s="2" t="s">
        <v>458</v>
      </c>
      <c r="L3438" s="3">
        <v>21.15</v>
      </c>
      <c r="M3438" s="3">
        <v>22.21</v>
      </c>
      <c r="N3438" s="3">
        <v>44.99</v>
      </c>
      <c r="O3438" s="2" t="s">
        <v>97</v>
      </c>
      <c r="P3438" s="2" t="s">
        <v>98</v>
      </c>
      <c r="Q3438" s="2" t="s">
        <v>99</v>
      </c>
      <c r="R3438" s="2" t="s">
        <v>100</v>
      </c>
      <c r="S3438" s="2" t="s">
        <v>11064</v>
      </c>
      <c r="T3438" s="2" t="s">
        <v>100</v>
      </c>
      <c r="U3438" s="2" t="s">
        <v>100</v>
      </c>
      <c r="V3438" s="2" t="s">
        <v>473</v>
      </c>
      <c r="W3438" s="2" t="s">
        <v>142</v>
      </c>
      <c r="X3438" s="2" t="s">
        <v>100</v>
      </c>
      <c r="Y3438" s="2" t="s">
        <v>5595</v>
      </c>
      <c r="Z3438" s="4">
        <v>110</v>
      </c>
      <c r="AA3438" s="4">
        <f>=ROUNDDOWN(13.75,0)</f>
      </c>
      <c r="AB3438" s="5">
        <v>8</v>
      </c>
      <c r="AC3438" s="2" t="s">
        <v>389</v>
      </c>
      <c r="AD3438" s="4">
        <v>180</v>
      </c>
      <c r="AE3438" s="4">
        <v>180</v>
      </c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>
        <v>0</v>
      </c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 t="s">
        <v>100</v>
      </c>
      <c r="BD3438" s="8" t="s">
        <v>100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/>
      <c r="BJ3438" s="4">
        <v>25</v>
      </c>
      <c r="BK3438" s="8">
        <v>545.4</v>
      </c>
      <c r="BL3438" s="2" t="s">
        <v>11065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109</v>
      </c>
      <c r="BV3438" s="2" t="s">
        <v>97</v>
      </c>
      <c r="BW3438" s="2" t="s">
        <v>11056</v>
      </c>
      <c r="BX3438" s="2" t="s">
        <v>11066</v>
      </c>
      <c r="BY3438" s="2" t="s">
        <v>112</v>
      </c>
      <c r="BZ3438" s="2" t="s">
        <v>149</v>
      </c>
    </row>
    <row r="3439">
      <c r="A3439" s="2" t="s">
        <v>11067</v>
      </c>
      <c r="B3439" s="2" t="s">
        <v>10807</v>
      </c>
      <c r="C3439" s="2" t="s">
        <v>88</v>
      </c>
      <c r="D3439" s="2" t="s">
        <v>2572</v>
      </c>
      <c r="E3439" s="2" t="s">
        <v>11041</v>
      </c>
      <c r="F3439" s="2" t="s">
        <v>11049</v>
      </c>
      <c r="G3439" s="2" t="s">
        <v>11050</v>
      </c>
      <c r="H3439" s="2" t="s">
        <v>11051</v>
      </c>
      <c r="I3439" s="2" t="s">
        <v>11052</v>
      </c>
      <c r="J3439" s="2" t="s">
        <v>11053</v>
      </c>
      <c r="K3439" s="2" t="s">
        <v>2686</v>
      </c>
      <c r="L3439" s="3">
        <v>16.1</v>
      </c>
      <c r="M3439" s="3">
        <v>16.9</v>
      </c>
      <c r="N3439" s="3">
        <v>34.99</v>
      </c>
      <c r="O3439" s="2" t="s">
        <v>97</v>
      </c>
      <c r="P3439" s="2" t="s">
        <v>98</v>
      </c>
      <c r="Q3439" s="2" t="s">
        <v>99</v>
      </c>
      <c r="R3439" s="2" t="s">
        <v>100</v>
      </c>
      <c r="S3439" s="2" t="s">
        <v>11068</v>
      </c>
      <c r="T3439" s="2" t="s">
        <v>100</v>
      </c>
      <c r="U3439" s="2" t="s">
        <v>100</v>
      </c>
      <c r="V3439" s="2" t="s">
        <v>473</v>
      </c>
      <c r="W3439" s="2" t="s">
        <v>142</v>
      </c>
      <c r="X3439" s="2" t="s">
        <v>100</v>
      </c>
      <c r="Y3439" s="2" t="s">
        <v>5595</v>
      </c>
      <c r="Z3439" s="4">
        <v>273</v>
      </c>
      <c r="AA3439" s="4">
        <f>=ROUNDDOWN(27.3,0)</f>
      </c>
      <c r="AB3439" s="5">
        <v>10</v>
      </c>
      <c r="AC3439" s="2" t="s">
        <v>100</v>
      </c>
      <c r="AD3439" s="4"/>
      <c r="AE3439" s="4"/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>
        <v>0</v>
      </c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/>
      <c r="BJ3439" s="4">
        <v>29</v>
      </c>
      <c r="BK3439" s="8">
        <v>465.61</v>
      </c>
      <c r="BL3439" s="2" t="s">
        <v>10335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109</v>
      </c>
      <c r="BV3439" s="2" t="s">
        <v>97</v>
      </c>
      <c r="BW3439" s="2" t="s">
        <v>11056</v>
      </c>
      <c r="BX3439" s="2" t="s">
        <v>1230</v>
      </c>
      <c r="BY3439" s="2" t="s">
        <v>112</v>
      </c>
      <c r="BZ3439" s="2" t="s">
        <v>149</v>
      </c>
    </row>
    <row r="3440">
      <c r="A3440" s="2" t="s">
        <v>11069</v>
      </c>
      <c r="B3440" s="2" t="s">
        <v>10807</v>
      </c>
      <c r="C3440" s="2" t="s">
        <v>88</v>
      </c>
      <c r="D3440" s="2" t="s">
        <v>2572</v>
      </c>
      <c r="E3440" s="2" t="s">
        <v>10999</v>
      </c>
      <c r="F3440" s="2" t="s">
        <v>11070</v>
      </c>
      <c r="G3440" s="2" t="s">
        <v>11071</v>
      </c>
      <c r="H3440" s="2" t="s">
        <v>11072</v>
      </c>
      <c r="I3440" s="2" t="s">
        <v>11073</v>
      </c>
      <c r="J3440" s="2" t="s">
        <v>10868</v>
      </c>
      <c r="K3440" s="2" t="s">
        <v>458</v>
      </c>
      <c r="L3440" s="3">
        <v>14.85</v>
      </c>
      <c r="M3440" s="3">
        <v>15.59</v>
      </c>
      <c r="N3440" s="3">
        <v>32.99</v>
      </c>
      <c r="O3440" s="2" t="s">
        <v>97</v>
      </c>
      <c r="P3440" s="2" t="s">
        <v>156</v>
      </c>
      <c r="Q3440" s="2" t="s">
        <v>99</v>
      </c>
      <c r="R3440" s="2" t="s">
        <v>100</v>
      </c>
      <c r="S3440" s="2" t="s">
        <v>11074</v>
      </c>
      <c r="T3440" s="2" t="s">
        <v>100</v>
      </c>
      <c r="U3440" s="2" t="s">
        <v>1776</v>
      </c>
      <c r="V3440" s="2" t="s">
        <v>733</v>
      </c>
      <c r="W3440" s="2" t="s">
        <v>493</v>
      </c>
      <c r="X3440" s="2" t="s">
        <v>10813</v>
      </c>
      <c r="Y3440" s="2" t="s">
        <v>144</v>
      </c>
      <c r="Z3440" s="4">
        <v>336</v>
      </c>
      <c r="AA3440" s="4">
        <f>=ROUNDDOWN(33.6,0)</f>
      </c>
      <c r="AB3440" s="5">
        <v>10</v>
      </c>
      <c r="AC3440" s="2" t="s">
        <v>1452</v>
      </c>
      <c r="AD3440" s="4">
        <v>208</v>
      </c>
      <c r="AE3440" s="4">
        <v>208</v>
      </c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>
        <v>1</v>
      </c>
      <c r="AQ3440" s="8">
        <v>14.07</v>
      </c>
      <c r="AR3440" s="4"/>
      <c r="AS3440" s="8"/>
      <c r="AT3440" s="7"/>
      <c r="AU3440" s="7"/>
      <c r="AV3440" s="4">
        <v>1</v>
      </c>
      <c r="AW3440" s="8">
        <v>14.07</v>
      </c>
      <c r="AX3440" s="4"/>
      <c r="AY3440" s="8"/>
      <c r="AZ3440" s="7"/>
      <c r="BA3440" s="7"/>
      <c r="BB3440" s="7">
        <v>1</v>
      </c>
      <c r="BC3440" s="4">
        <v>1</v>
      </c>
      <c r="BD3440" s="8">
        <v>14.07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>
        <v>1</v>
      </c>
      <c r="BJ3440" s="4">
        <v>21</v>
      </c>
      <c r="BK3440" s="8">
        <v>337.86</v>
      </c>
      <c r="BL3440" s="2" t="s">
        <v>11075</v>
      </c>
      <c r="BM3440" s="7">
        <v>0.0476</v>
      </c>
      <c r="BN3440" s="7">
        <v>0.0416</v>
      </c>
      <c r="BO3440" s="4">
        <v>1</v>
      </c>
      <c r="BP3440" s="8">
        <v>14.07</v>
      </c>
      <c r="BQ3440" s="4"/>
      <c r="BR3440" s="8"/>
      <c r="BS3440" s="7"/>
      <c r="BT3440" s="7"/>
      <c r="BU3440" s="2" t="s">
        <v>109</v>
      </c>
      <c r="BV3440" s="2" t="s">
        <v>97</v>
      </c>
      <c r="BW3440" s="2" t="s">
        <v>159</v>
      </c>
      <c r="BX3440" s="2" t="s">
        <v>11076</v>
      </c>
      <c r="BY3440" s="2" t="s">
        <v>112</v>
      </c>
      <c r="BZ3440" s="2" t="s">
        <v>149</v>
      </c>
    </row>
    <row r="3441">
      <c r="A3441" s="2" t="s">
        <v>11077</v>
      </c>
      <c r="B3441" s="2" t="s">
        <v>10807</v>
      </c>
      <c r="C3441" s="2" t="s">
        <v>88</v>
      </c>
      <c r="D3441" s="2" t="s">
        <v>2572</v>
      </c>
      <c r="E3441" s="2" t="s">
        <v>10999</v>
      </c>
      <c r="F3441" s="2" t="s">
        <v>11070</v>
      </c>
      <c r="G3441" s="2" t="s">
        <v>11071</v>
      </c>
      <c r="H3441" s="2" t="s">
        <v>11072</v>
      </c>
      <c r="I3441" s="2" t="s">
        <v>11073</v>
      </c>
      <c r="J3441" s="2" t="s">
        <v>10811</v>
      </c>
      <c r="K3441" s="2" t="s">
        <v>96</v>
      </c>
      <c r="L3441" s="3">
        <v>18.24</v>
      </c>
      <c r="M3441" s="3">
        <v>19.15</v>
      </c>
      <c r="N3441" s="3">
        <v>37.99</v>
      </c>
      <c r="O3441" s="2" t="s">
        <v>97</v>
      </c>
      <c r="P3441" s="2" t="s">
        <v>98</v>
      </c>
      <c r="Q3441" s="2" t="s">
        <v>99</v>
      </c>
      <c r="R3441" s="2" t="s">
        <v>100</v>
      </c>
      <c r="S3441" s="2" t="s">
        <v>11078</v>
      </c>
      <c r="T3441" s="2" t="s">
        <v>100</v>
      </c>
      <c r="U3441" s="2" t="s">
        <v>1776</v>
      </c>
      <c r="V3441" s="2" t="s">
        <v>11079</v>
      </c>
      <c r="W3441" s="2" t="s">
        <v>493</v>
      </c>
      <c r="X3441" s="2" t="s">
        <v>10813</v>
      </c>
      <c r="Y3441" s="2" t="s">
        <v>144</v>
      </c>
      <c r="Z3441" s="4">
        <v>196</v>
      </c>
      <c r="AA3441" s="4">
        <f>=ROUNDDOWN(10.6521739130435,0)</f>
      </c>
      <c r="AB3441" s="5">
        <v>18.4</v>
      </c>
      <c r="AC3441" s="2" t="s">
        <v>100</v>
      </c>
      <c r="AD3441" s="4"/>
      <c r="AE3441" s="4"/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/>
      <c r="BJ3441" s="4">
        <v>24</v>
      </c>
      <c r="BK3441" s="8">
        <v>438.64</v>
      </c>
      <c r="BL3441" s="2" t="s">
        <v>1721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109</v>
      </c>
      <c r="BV3441" s="2" t="s">
        <v>97</v>
      </c>
      <c r="BW3441" s="2" t="s">
        <v>4796</v>
      </c>
      <c r="BX3441" s="2" t="s">
        <v>5030</v>
      </c>
      <c r="BY3441" s="2" t="s">
        <v>112</v>
      </c>
      <c r="BZ3441" s="2" t="s">
        <v>149</v>
      </c>
    </row>
    <row r="3442">
      <c r="A3442" s="2" t="s">
        <v>11080</v>
      </c>
      <c r="B3442" s="2" t="s">
        <v>10807</v>
      </c>
      <c r="C3442" s="2" t="s">
        <v>88</v>
      </c>
      <c r="D3442" s="2" t="s">
        <v>2572</v>
      </c>
      <c r="E3442" s="2" t="s">
        <v>10999</v>
      </c>
      <c r="F3442" s="2" t="s">
        <v>11081</v>
      </c>
      <c r="G3442" s="2" t="s">
        <v>11082</v>
      </c>
      <c r="H3442" s="2" t="s">
        <v>11083</v>
      </c>
      <c r="I3442" s="2" t="s">
        <v>11084</v>
      </c>
      <c r="J3442" s="2" t="s">
        <v>10868</v>
      </c>
      <c r="K3442" s="2" t="s">
        <v>96</v>
      </c>
      <c r="L3442" s="3">
        <v>13.5</v>
      </c>
      <c r="M3442" s="3">
        <v>14.18</v>
      </c>
      <c r="N3442" s="3">
        <v>29.99</v>
      </c>
      <c r="O3442" s="2" t="s">
        <v>97</v>
      </c>
      <c r="P3442" s="2" t="s">
        <v>98</v>
      </c>
      <c r="Q3442" s="2" t="s">
        <v>99</v>
      </c>
      <c r="R3442" s="2" t="s">
        <v>100</v>
      </c>
      <c r="S3442" s="2" t="s">
        <v>11085</v>
      </c>
      <c r="T3442" s="2" t="s">
        <v>100</v>
      </c>
      <c r="U3442" s="2" t="s">
        <v>1776</v>
      </c>
      <c r="V3442" s="2" t="s">
        <v>461</v>
      </c>
      <c r="W3442" s="2" t="s">
        <v>193</v>
      </c>
      <c r="X3442" s="2" t="s">
        <v>10999</v>
      </c>
      <c r="Y3442" s="2" t="s">
        <v>989</v>
      </c>
      <c r="Z3442" s="4">
        <v>128</v>
      </c>
      <c r="AA3442" s="4">
        <f>=ROUNDDOWN(32,0)</f>
      </c>
      <c r="AB3442" s="5">
        <v>4</v>
      </c>
      <c r="AC3442" s="2" t="s">
        <v>1468</v>
      </c>
      <c r="AD3442" s="4">
        <v>120</v>
      </c>
      <c r="AE3442" s="4">
        <v>120</v>
      </c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>
        <v>1</v>
      </c>
      <c r="AQ3442" s="8">
        <v>12.6</v>
      </c>
      <c r="AR3442" s="4"/>
      <c r="AS3442" s="8"/>
      <c r="AT3442" s="7"/>
      <c r="AU3442" s="7"/>
      <c r="AV3442" s="4">
        <v>1</v>
      </c>
      <c r="AW3442" s="8">
        <v>12.6</v>
      </c>
      <c r="AX3442" s="4" t="s">
        <v>100</v>
      </c>
      <c r="AY3442" s="8" t="s">
        <v>100</v>
      </c>
      <c r="AZ3442" s="7" t="s">
        <v>100</v>
      </c>
      <c r="BA3442" s="7" t="s">
        <v>100</v>
      </c>
      <c r="BB3442" s="7">
        <v>1</v>
      </c>
      <c r="BC3442" s="4">
        <v>1</v>
      </c>
      <c r="BD3442" s="8">
        <v>12.6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>
        <v>1</v>
      </c>
      <c r="BJ3442" s="4">
        <v>8</v>
      </c>
      <c r="BK3442" s="8">
        <v>109.16</v>
      </c>
      <c r="BL3442" s="2" t="s">
        <v>11086</v>
      </c>
      <c r="BM3442" s="7">
        <v>0.125</v>
      </c>
      <c r="BN3442" s="7">
        <v>0.1154</v>
      </c>
      <c r="BO3442" s="4">
        <v>1</v>
      </c>
      <c r="BP3442" s="8">
        <v>12.6</v>
      </c>
      <c r="BQ3442" s="4"/>
      <c r="BR3442" s="8"/>
      <c r="BS3442" s="7"/>
      <c r="BT3442" s="7"/>
      <c r="BU3442" s="2" t="s">
        <v>109</v>
      </c>
      <c r="BV3442" s="2" t="s">
        <v>97</v>
      </c>
      <c r="BW3442" s="2" t="s">
        <v>4899</v>
      </c>
      <c r="BX3442" s="2" t="s">
        <v>11087</v>
      </c>
      <c r="BY3442" s="2" t="s">
        <v>112</v>
      </c>
      <c r="BZ3442" s="2" t="s">
        <v>149</v>
      </c>
    </row>
    <row r="3443">
      <c r="A3443" s="2" t="s">
        <v>11088</v>
      </c>
      <c r="B3443" s="2" t="s">
        <v>10807</v>
      </c>
      <c r="C3443" s="2" t="s">
        <v>88</v>
      </c>
      <c r="D3443" s="2" t="s">
        <v>2572</v>
      </c>
      <c r="E3443" s="2" t="s">
        <v>10999</v>
      </c>
      <c r="F3443" s="2" t="s">
        <v>11081</v>
      </c>
      <c r="G3443" s="2" t="s">
        <v>11082</v>
      </c>
      <c r="H3443" s="2" t="s">
        <v>11083</v>
      </c>
      <c r="I3443" s="2" t="s">
        <v>11084</v>
      </c>
      <c r="J3443" s="2" t="s">
        <v>10811</v>
      </c>
      <c r="K3443" s="2" t="s">
        <v>96</v>
      </c>
      <c r="L3443" s="3">
        <v>15.05</v>
      </c>
      <c r="M3443" s="3">
        <v>15.8</v>
      </c>
      <c r="N3443" s="3">
        <v>34.99</v>
      </c>
      <c r="O3443" s="2" t="s">
        <v>97</v>
      </c>
      <c r="P3443" s="2" t="s">
        <v>98</v>
      </c>
      <c r="Q3443" s="2" t="s">
        <v>99</v>
      </c>
      <c r="R3443" s="2" t="s">
        <v>100</v>
      </c>
      <c r="S3443" s="2" t="s">
        <v>11085</v>
      </c>
      <c r="T3443" s="2" t="s">
        <v>100</v>
      </c>
      <c r="U3443" s="2" t="s">
        <v>1776</v>
      </c>
      <c r="V3443" s="2" t="s">
        <v>461</v>
      </c>
      <c r="W3443" s="2" t="s">
        <v>193</v>
      </c>
      <c r="X3443" s="2" t="s">
        <v>10999</v>
      </c>
      <c r="Y3443" s="2" t="s">
        <v>989</v>
      </c>
      <c r="Z3443" s="4">
        <v>389</v>
      </c>
      <c r="AA3443" s="4">
        <f>=ROUNDDOWN(32.4166666666667,0)</f>
      </c>
      <c r="AB3443" s="5">
        <v>12</v>
      </c>
      <c r="AC3443" s="2" t="s">
        <v>1468</v>
      </c>
      <c r="AD3443" s="4">
        <v>52</v>
      </c>
      <c r="AE3443" s="4">
        <v>52</v>
      </c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/>
      <c r="AQ3443" s="8"/>
      <c r="AR3443" s="4"/>
      <c r="AS3443" s="8"/>
      <c r="AT3443" s="7"/>
      <c r="AU3443" s="7"/>
      <c r="AV3443" s="4" t="s">
        <v>100</v>
      </c>
      <c r="AW3443" s="8" t="s">
        <v>100</v>
      </c>
      <c r="AX3443" s="4" t="s">
        <v>100</v>
      </c>
      <c r="AY3443" s="8" t="s">
        <v>100</v>
      </c>
      <c r="AZ3443" s="7" t="s">
        <v>100</v>
      </c>
      <c r="BA3443" s="7" t="s">
        <v>100</v>
      </c>
      <c r="BB3443" s="7"/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 t="s">
        <v>100</v>
      </c>
      <c r="BJ3443" s="4">
        <v>48</v>
      </c>
      <c r="BK3443" s="8">
        <v>786.6</v>
      </c>
      <c r="BL3443" s="2" t="s">
        <v>11089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109</v>
      </c>
      <c r="BV3443" s="2" t="s">
        <v>97</v>
      </c>
      <c r="BW3443" s="2" t="s">
        <v>4899</v>
      </c>
      <c r="BX3443" s="2" t="s">
        <v>11090</v>
      </c>
      <c r="BY3443" s="2" t="s">
        <v>112</v>
      </c>
      <c r="BZ3443" s="2" t="s">
        <v>149</v>
      </c>
    </row>
    <row r="3444">
      <c r="A3444" s="2" t="s">
        <v>11091</v>
      </c>
      <c r="B3444" s="2" t="s">
        <v>10807</v>
      </c>
      <c r="C3444" s="2" t="s">
        <v>88</v>
      </c>
      <c r="D3444" s="2" t="s">
        <v>2572</v>
      </c>
      <c r="E3444" s="2" t="s">
        <v>10999</v>
      </c>
      <c r="F3444" s="2" t="s">
        <v>11081</v>
      </c>
      <c r="G3444" s="2" t="s">
        <v>11082</v>
      </c>
      <c r="H3444" s="2" t="s">
        <v>11083</v>
      </c>
      <c r="I3444" s="2" t="s">
        <v>11084</v>
      </c>
      <c r="J3444" s="2" t="s">
        <v>10818</v>
      </c>
      <c r="K3444" s="2" t="s">
        <v>96</v>
      </c>
      <c r="L3444" s="3">
        <v>17.2</v>
      </c>
      <c r="M3444" s="3">
        <v>18.06</v>
      </c>
      <c r="N3444" s="3">
        <v>39.99</v>
      </c>
      <c r="O3444" s="2" t="s">
        <v>97</v>
      </c>
      <c r="P3444" s="2" t="s">
        <v>98</v>
      </c>
      <c r="Q3444" s="2" t="s">
        <v>99</v>
      </c>
      <c r="R3444" s="2" t="s">
        <v>100</v>
      </c>
      <c r="S3444" s="2" t="s">
        <v>11085</v>
      </c>
      <c r="T3444" s="2" t="s">
        <v>100</v>
      </c>
      <c r="U3444" s="2" t="s">
        <v>1776</v>
      </c>
      <c r="V3444" s="2" t="s">
        <v>461</v>
      </c>
      <c r="W3444" s="2" t="s">
        <v>193</v>
      </c>
      <c r="X3444" s="2" t="s">
        <v>10999</v>
      </c>
      <c r="Y3444" s="2" t="s">
        <v>989</v>
      </c>
      <c r="Z3444" s="4">
        <v>269</v>
      </c>
      <c r="AA3444" s="4">
        <f>=ROUNDDOWN(38.4285714285714,0)</f>
      </c>
      <c r="AB3444" s="5">
        <v>7</v>
      </c>
      <c r="AC3444" s="2" t="s">
        <v>100</v>
      </c>
      <c r="AD3444" s="4"/>
      <c r="AE3444" s="4"/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>
        <v>0</v>
      </c>
      <c r="AP3444" s="4"/>
      <c r="AQ3444" s="8"/>
      <c r="AR3444" s="4"/>
      <c r="AS3444" s="8"/>
      <c r="AT3444" s="7"/>
      <c r="AU3444" s="7"/>
      <c r="AV3444" s="4" t="s">
        <v>100</v>
      </c>
      <c r="AW3444" s="8" t="s">
        <v>100</v>
      </c>
      <c r="AX3444" s="4" t="s">
        <v>100</v>
      </c>
      <c r="AY3444" s="8" t="s">
        <v>100</v>
      </c>
      <c r="AZ3444" s="7" t="s">
        <v>100</v>
      </c>
      <c r="BA3444" s="7" t="s">
        <v>100</v>
      </c>
      <c r="BB3444" s="7"/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 t="s">
        <v>100</v>
      </c>
      <c r="BJ3444" s="4">
        <v>26</v>
      </c>
      <c r="BK3444" s="8">
        <v>470.7</v>
      </c>
      <c r="BL3444" s="2" t="s">
        <v>11092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109</v>
      </c>
      <c r="BV3444" s="2" t="s">
        <v>97</v>
      </c>
      <c r="BW3444" s="2" t="s">
        <v>4899</v>
      </c>
      <c r="BX3444" s="2" t="s">
        <v>11093</v>
      </c>
      <c r="BY3444" s="2" t="s">
        <v>112</v>
      </c>
      <c r="BZ3444" s="2" t="s">
        <v>100</v>
      </c>
    </row>
    <row r="3445">
      <c r="A3445" s="2" t="s">
        <v>11094</v>
      </c>
      <c r="B3445" s="2" t="s">
        <v>10807</v>
      </c>
      <c r="C3445" s="2" t="s">
        <v>88</v>
      </c>
      <c r="D3445" s="2" t="s">
        <v>2572</v>
      </c>
      <c r="E3445" s="2" t="s">
        <v>10999</v>
      </c>
      <c r="F3445" s="2" t="s">
        <v>11081</v>
      </c>
      <c r="G3445" s="2" t="s">
        <v>11082</v>
      </c>
      <c r="H3445" s="2" t="s">
        <v>11083</v>
      </c>
      <c r="I3445" s="2" t="s">
        <v>11084</v>
      </c>
      <c r="J3445" s="2" t="s">
        <v>10868</v>
      </c>
      <c r="K3445" s="2" t="s">
        <v>188</v>
      </c>
      <c r="L3445" s="3">
        <v>13.5</v>
      </c>
      <c r="M3445" s="3">
        <v>14.18</v>
      </c>
      <c r="N3445" s="3">
        <v>29.99</v>
      </c>
      <c r="O3445" s="2" t="s">
        <v>97</v>
      </c>
      <c r="P3445" s="2" t="s">
        <v>98</v>
      </c>
      <c r="Q3445" s="2" t="s">
        <v>99</v>
      </c>
      <c r="R3445" s="2" t="s">
        <v>100</v>
      </c>
      <c r="S3445" s="2" t="s">
        <v>11095</v>
      </c>
      <c r="T3445" s="2" t="s">
        <v>100</v>
      </c>
      <c r="U3445" s="2" t="s">
        <v>1776</v>
      </c>
      <c r="V3445" s="2" t="s">
        <v>461</v>
      </c>
      <c r="W3445" s="2" t="s">
        <v>193</v>
      </c>
      <c r="X3445" s="2" t="s">
        <v>10999</v>
      </c>
      <c r="Y3445" s="2" t="s">
        <v>4628</v>
      </c>
      <c r="Z3445" s="4">
        <v>41</v>
      </c>
      <c r="AA3445" s="4">
        <f>=ROUNDDOWN(6.83333333333333,0)</f>
      </c>
      <c r="AB3445" s="5">
        <v>6</v>
      </c>
      <c r="AC3445" s="2" t="s">
        <v>1468</v>
      </c>
      <c r="AD3445" s="4">
        <v>72</v>
      </c>
      <c r="AE3445" s="4">
        <v>72</v>
      </c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>
        <v>0</v>
      </c>
      <c r="AP3445" s="4"/>
      <c r="AQ3445" s="8"/>
      <c r="AR3445" s="4"/>
      <c r="AS3445" s="8"/>
      <c r="AT3445" s="7"/>
      <c r="AU3445" s="7"/>
      <c r="AV3445" s="4" t="s">
        <v>100</v>
      </c>
      <c r="AW3445" s="8" t="s">
        <v>100</v>
      </c>
      <c r="AX3445" s="4" t="s">
        <v>100</v>
      </c>
      <c r="AY3445" s="8" t="s">
        <v>100</v>
      </c>
      <c r="AZ3445" s="7" t="s">
        <v>100</v>
      </c>
      <c r="BA3445" s="7" t="s">
        <v>100</v>
      </c>
      <c r="BB3445" s="7"/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 t="s">
        <v>100</v>
      </c>
      <c r="BJ3445" s="4">
        <v>31</v>
      </c>
      <c r="BK3445" s="8">
        <v>455.39</v>
      </c>
      <c r="BL3445" s="2" t="s">
        <v>4157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109</v>
      </c>
      <c r="BV3445" s="2" t="s">
        <v>97</v>
      </c>
      <c r="BW3445" s="2" t="s">
        <v>4899</v>
      </c>
      <c r="BX3445" s="2" t="s">
        <v>11096</v>
      </c>
      <c r="BY3445" s="2" t="s">
        <v>112</v>
      </c>
      <c r="BZ3445" s="2" t="s">
        <v>149</v>
      </c>
    </row>
    <row r="3446">
      <c r="A3446" s="2" t="s">
        <v>11097</v>
      </c>
      <c r="B3446" s="2" t="s">
        <v>10807</v>
      </c>
      <c r="C3446" s="2" t="s">
        <v>88</v>
      </c>
      <c r="D3446" s="2" t="s">
        <v>2572</v>
      </c>
      <c r="E3446" s="2" t="s">
        <v>10999</v>
      </c>
      <c r="F3446" s="2" t="s">
        <v>11081</v>
      </c>
      <c r="G3446" s="2" t="s">
        <v>11082</v>
      </c>
      <c r="H3446" s="2" t="s">
        <v>11083</v>
      </c>
      <c r="I3446" s="2" t="s">
        <v>11084</v>
      </c>
      <c r="J3446" s="2" t="s">
        <v>10811</v>
      </c>
      <c r="K3446" s="2" t="s">
        <v>188</v>
      </c>
      <c r="L3446" s="3">
        <v>15.05</v>
      </c>
      <c r="M3446" s="3">
        <v>15.8</v>
      </c>
      <c r="N3446" s="3">
        <v>34.99</v>
      </c>
      <c r="O3446" s="2" t="s">
        <v>97</v>
      </c>
      <c r="P3446" s="2" t="s">
        <v>98</v>
      </c>
      <c r="Q3446" s="2" t="s">
        <v>99</v>
      </c>
      <c r="R3446" s="2" t="s">
        <v>100</v>
      </c>
      <c r="S3446" s="2" t="s">
        <v>11095</v>
      </c>
      <c r="T3446" s="2" t="s">
        <v>100</v>
      </c>
      <c r="U3446" s="2" t="s">
        <v>1776</v>
      </c>
      <c r="V3446" s="2" t="s">
        <v>461</v>
      </c>
      <c r="W3446" s="2" t="s">
        <v>193</v>
      </c>
      <c r="X3446" s="2" t="s">
        <v>10999</v>
      </c>
      <c r="Y3446" s="2" t="s">
        <v>4628</v>
      </c>
      <c r="Z3446" s="4">
        <v>149</v>
      </c>
      <c r="AA3446" s="4">
        <f>=ROUNDDOWN(12.4166666666667,0)</f>
      </c>
      <c r="AB3446" s="5">
        <v>12</v>
      </c>
      <c r="AC3446" s="2" t="s">
        <v>1468</v>
      </c>
      <c r="AD3446" s="4">
        <v>272</v>
      </c>
      <c r="AE3446" s="4">
        <v>272</v>
      </c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/>
      <c r="AQ3446" s="8"/>
      <c r="AR3446" s="4"/>
      <c r="AS3446" s="8"/>
      <c r="AT3446" s="7"/>
      <c r="AU3446" s="7"/>
      <c r="AV3446" s="4" t="s">
        <v>100</v>
      </c>
      <c r="AW3446" s="8" t="s">
        <v>100</v>
      </c>
      <c r="AX3446" s="4" t="s">
        <v>100</v>
      </c>
      <c r="AY3446" s="8" t="s">
        <v>100</v>
      </c>
      <c r="AZ3446" s="7" t="s">
        <v>100</v>
      </c>
      <c r="BA3446" s="7" t="s">
        <v>100</v>
      </c>
      <c r="BB3446" s="7"/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 t="s">
        <v>100</v>
      </c>
      <c r="BJ3446" s="4">
        <v>47</v>
      </c>
      <c r="BK3446" s="8">
        <v>776.7</v>
      </c>
      <c r="BL3446" s="2" t="s">
        <v>11098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109</v>
      </c>
      <c r="BV3446" s="2" t="s">
        <v>97</v>
      </c>
      <c r="BW3446" s="2" t="s">
        <v>4899</v>
      </c>
      <c r="BX3446" s="2" t="s">
        <v>2119</v>
      </c>
      <c r="BY3446" s="2" t="s">
        <v>112</v>
      </c>
      <c r="BZ3446" s="2" t="s">
        <v>149</v>
      </c>
    </row>
    <row r="3447">
      <c r="A3447" s="2" t="s">
        <v>11099</v>
      </c>
      <c r="B3447" s="2" t="s">
        <v>10807</v>
      </c>
      <c r="C3447" s="2" t="s">
        <v>88</v>
      </c>
      <c r="D3447" s="2" t="s">
        <v>2572</v>
      </c>
      <c r="E3447" s="2" t="s">
        <v>10999</v>
      </c>
      <c r="F3447" s="2" t="s">
        <v>11081</v>
      </c>
      <c r="G3447" s="2" t="s">
        <v>11082</v>
      </c>
      <c r="H3447" s="2" t="s">
        <v>11083</v>
      </c>
      <c r="I3447" s="2" t="s">
        <v>11084</v>
      </c>
      <c r="J3447" s="2" t="s">
        <v>10818</v>
      </c>
      <c r="K3447" s="2" t="s">
        <v>188</v>
      </c>
      <c r="L3447" s="3">
        <v>17.2</v>
      </c>
      <c r="M3447" s="3">
        <v>18.06</v>
      </c>
      <c r="N3447" s="3">
        <v>39.99</v>
      </c>
      <c r="O3447" s="2" t="s">
        <v>97</v>
      </c>
      <c r="P3447" s="2" t="s">
        <v>98</v>
      </c>
      <c r="Q3447" s="2" t="s">
        <v>99</v>
      </c>
      <c r="R3447" s="2" t="s">
        <v>100</v>
      </c>
      <c r="S3447" s="2" t="s">
        <v>11095</v>
      </c>
      <c r="T3447" s="2" t="s">
        <v>100</v>
      </c>
      <c r="U3447" s="2" t="s">
        <v>1776</v>
      </c>
      <c r="V3447" s="2" t="s">
        <v>461</v>
      </c>
      <c r="W3447" s="2" t="s">
        <v>193</v>
      </c>
      <c r="X3447" s="2" t="s">
        <v>10999</v>
      </c>
      <c r="Y3447" s="2" t="s">
        <v>4628</v>
      </c>
      <c r="Z3447" s="4">
        <v>157</v>
      </c>
      <c r="AA3447" s="4">
        <f>=ROUNDDOWN(39.25,0)</f>
      </c>
      <c r="AB3447" s="5">
        <v>4</v>
      </c>
      <c r="AC3447" s="2" t="s">
        <v>1468</v>
      </c>
      <c r="AD3447" s="4">
        <v>52</v>
      </c>
      <c r="AE3447" s="4">
        <v>52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/>
      <c r="AQ3447" s="8"/>
      <c r="AR3447" s="4"/>
      <c r="AS3447" s="8"/>
      <c r="AT3447" s="7"/>
      <c r="AU3447" s="7"/>
      <c r="AV3447" s="4" t="s">
        <v>100</v>
      </c>
      <c r="AW3447" s="8" t="s">
        <v>100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/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 t="s">
        <v>100</v>
      </c>
      <c r="BJ3447" s="4">
        <v>24</v>
      </c>
      <c r="BK3447" s="8">
        <v>443.01</v>
      </c>
      <c r="BL3447" s="2" t="s">
        <v>11100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109</v>
      </c>
      <c r="BV3447" s="2" t="s">
        <v>97</v>
      </c>
      <c r="BW3447" s="2" t="s">
        <v>4899</v>
      </c>
      <c r="BX3447" s="2" t="s">
        <v>8738</v>
      </c>
      <c r="BY3447" s="2" t="s">
        <v>112</v>
      </c>
      <c r="BZ3447" s="2" t="s">
        <v>149</v>
      </c>
    </row>
    <row r="3448">
      <c r="A3448" s="2" t="s">
        <v>11101</v>
      </c>
      <c r="B3448" s="2" t="s">
        <v>10807</v>
      </c>
      <c r="C3448" s="2" t="s">
        <v>88</v>
      </c>
      <c r="D3448" s="2" t="s">
        <v>2572</v>
      </c>
      <c r="E3448" s="2" t="s">
        <v>10999</v>
      </c>
      <c r="F3448" s="2" t="s">
        <v>11081</v>
      </c>
      <c r="G3448" s="2" t="s">
        <v>11082</v>
      </c>
      <c r="H3448" s="2" t="s">
        <v>11083</v>
      </c>
      <c r="I3448" s="2" t="s">
        <v>11084</v>
      </c>
      <c r="J3448" s="2" t="s">
        <v>10868</v>
      </c>
      <c r="K3448" s="2" t="s">
        <v>2548</v>
      </c>
      <c r="L3448" s="3">
        <v>13.5</v>
      </c>
      <c r="M3448" s="3">
        <v>14.18</v>
      </c>
      <c r="N3448" s="3">
        <v>29.99</v>
      </c>
      <c r="O3448" s="2" t="s">
        <v>97</v>
      </c>
      <c r="P3448" s="2" t="s">
        <v>98</v>
      </c>
      <c r="Q3448" s="2" t="s">
        <v>99</v>
      </c>
      <c r="R3448" s="2" t="s">
        <v>100</v>
      </c>
      <c r="S3448" s="2" t="s">
        <v>11102</v>
      </c>
      <c r="T3448" s="2" t="s">
        <v>100</v>
      </c>
      <c r="U3448" s="2" t="s">
        <v>1776</v>
      </c>
      <c r="V3448" s="2" t="s">
        <v>461</v>
      </c>
      <c r="W3448" s="2" t="s">
        <v>193</v>
      </c>
      <c r="X3448" s="2" t="s">
        <v>10999</v>
      </c>
      <c r="Y3448" s="2" t="s">
        <v>11103</v>
      </c>
      <c r="Z3448" s="4">
        <v>282</v>
      </c>
      <c r="AA3448" s="4">
        <f>=ROUNDDOWN(47,0)</f>
      </c>
      <c r="AB3448" s="5">
        <v>6</v>
      </c>
      <c r="AC3448" s="2" t="s">
        <v>676</v>
      </c>
      <c r="AD3448" s="4">
        <v>136</v>
      </c>
      <c r="AE3448" s="4">
        <v>136</v>
      </c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/>
      <c r="AQ3448" s="8"/>
      <c r="AR3448" s="4"/>
      <c r="AS3448" s="8"/>
      <c r="AT3448" s="7"/>
      <c r="AU3448" s="7"/>
      <c r="AV3448" s="4" t="s">
        <v>100</v>
      </c>
      <c r="AW3448" s="8" t="s">
        <v>100</v>
      </c>
      <c r="AX3448" s="4" t="s">
        <v>100</v>
      </c>
      <c r="AY3448" s="8" t="s">
        <v>100</v>
      </c>
      <c r="AZ3448" s="7" t="s">
        <v>100</v>
      </c>
      <c r="BA3448" s="7" t="s">
        <v>100</v>
      </c>
      <c r="BB3448" s="7"/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 t="s">
        <v>100</v>
      </c>
      <c r="BJ3448" s="4">
        <v>20</v>
      </c>
      <c r="BK3448" s="8">
        <v>282.76</v>
      </c>
      <c r="BL3448" s="2" t="s">
        <v>11104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109</v>
      </c>
      <c r="BV3448" s="2" t="s">
        <v>97</v>
      </c>
      <c r="BW3448" s="2" t="s">
        <v>2216</v>
      </c>
      <c r="BX3448" s="2" t="s">
        <v>2213</v>
      </c>
      <c r="BY3448" s="2" t="s">
        <v>112</v>
      </c>
      <c r="BZ3448" s="2" t="s">
        <v>149</v>
      </c>
    </row>
    <row r="3449">
      <c r="A3449" s="2" t="s">
        <v>11105</v>
      </c>
      <c r="B3449" s="2" t="s">
        <v>10807</v>
      </c>
      <c r="C3449" s="2" t="s">
        <v>88</v>
      </c>
      <c r="D3449" s="2" t="s">
        <v>2572</v>
      </c>
      <c r="E3449" s="2" t="s">
        <v>10999</v>
      </c>
      <c r="F3449" s="2" t="s">
        <v>11081</v>
      </c>
      <c r="G3449" s="2" t="s">
        <v>11082</v>
      </c>
      <c r="H3449" s="2" t="s">
        <v>11083</v>
      </c>
      <c r="I3449" s="2" t="s">
        <v>11084</v>
      </c>
      <c r="J3449" s="2" t="s">
        <v>10811</v>
      </c>
      <c r="K3449" s="2" t="s">
        <v>2548</v>
      </c>
      <c r="L3449" s="3">
        <v>15.05</v>
      </c>
      <c r="M3449" s="3">
        <v>15.8</v>
      </c>
      <c r="N3449" s="3">
        <v>34.99</v>
      </c>
      <c r="O3449" s="2" t="s">
        <v>97</v>
      </c>
      <c r="P3449" s="2" t="s">
        <v>98</v>
      </c>
      <c r="Q3449" s="2" t="s">
        <v>99</v>
      </c>
      <c r="R3449" s="2" t="s">
        <v>100</v>
      </c>
      <c r="S3449" s="2" t="s">
        <v>11102</v>
      </c>
      <c r="T3449" s="2" t="s">
        <v>100</v>
      </c>
      <c r="U3449" s="2" t="s">
        <v>1776</v>
      </c>
      <c r="V3449" s="2" t="s">
        <v>461</v>
      </c>
      <c r="W3449" s="2" t="s">
        <v>193</v>
      </c>
      <c r="X3449" s="2" t="s">
        <v>10999</v>
      </c>
      <c r="Y3449" s="2" t="s">
        <v>11103</v>
      </c>
      <c r="Z3449" s="4">
        <v>164</v>
      </c>
      <c r="AA3449" s="4">
        <f>=ROUNDDOWN(11.7142857142857,0)</f>
      </c>
      <c r="AB3449" s="5">
        <v>14</v>
      </c>
      <c r="AC3449" s="2" t="s">
        <v>676</v>
      </c>
      <c r="AD3449" s="4">
        <v>272</v>
      </c>
      <c r="AE3449" s="4">
        <v>272</v>
      </c>
      <c r="AF3449" s="6">
        <v>65</v>
      </c>
      <c r="AG3449" s="6"/>
      <c r="AH3449" s="7">
        <v>0.2258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/>
      <c r="AQ3449" s="8"/>
      <c r="AR3449" s="4"/>
      <c r="AS3449" s="8"/>
      <c r="AT3449" s="7"/>
      <c r="AU3449" s="7"/>
      <c r="AV3449" s="4" t="s">
        <v>100</v>
      </c>
      <c r="AW3449" s="8" t="s">
        <v>100</v>
      </c>
      <c r="AX3449" s="4" t="s">
        <v>100</v>
      </c>
      <c r="AY3449" s="8" t="s">
        <v>100</v>
      </c>
      <c r="AZ3449" s="7" t="s">
        <v>100</v>
      </c>
      <c r="BA3449" s="7" t="s">
        <v>100</v>
      </c>
      <c r="BB3449" s="7"/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 t="s">
        <v>100</v>
      </c>
      <c r="BJ3449" s="4">
        <v>5</v>
      </c>
      <c r="BK3449" s="8">
        <v>79.01</v>
      </c>
      <c r="BL3449" s="2" t="s">
        <v>11106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109</v>
      </c>
      <c r="BV3449" s="2" t="s">
        <v>97</v>
      </c>
      <c r="BW3449" s="2" t="s">
        <v>2216</v>
      </c>
      <c r="BX3449" s="2" t="s">
        <v>11107</v>
      </c>
      <c r="BY3449" s="2" t="s">
        <v>112</v>
      </c>
      <c r="BZ3449" s="2" t="s">
        <v>149</v>
      </c>
    </row>
    <row r="3450">
      <c r="A3450" s="2" t="s">
        <v>11108</v>
      </c>
      <c r="B3450" s="2" t="s">
        <v>10807</v>
      </c>
      <c r="C3450" s="2" t="s">
        <v>88</v>
      </c>
      <c r="D3450" s="2" t="s">
        <v>2572</v>
      </c>
      <c r="E3450" s="2" t="s">
        <v>10999</v>
      </c>
      <c r="F3450" s="2" t="s">
        <v>890</v>
      </c>
      <c r="G3450" s="2" t="s">
        <v>4602</v>
      </c>
      <c r="H3450" s="2" t="s">
        <v>3615</v>
      </c>
      <c r="I3450" s="2" t="s">
        <v>11109</v>
      </c>
      <c r="J3450" s="2" t="s">
        <v>10811</v>
      </c>
      <c r="K3450" s="2" t="s">
        <v>471</v>
      </c>
      <c r="L3450" s="3">
        <v>13.86</v>
      </c>
      <c r="M3450" s="3">
        <v>14.55</v>
      </c>
      <c r="N3450" s="3">
        <v>32.99</v>
      </c>
      <c r="O3450" s="2" t="s">
        <v>97</v>
      </c>
      <c r="P3450" s="2" t="s">
        <v>139</v>
      </c>
      <c r="Q3450" s="2" t="s">
        <v>99</v>
      </c>
      <c r="R3450" s="2" t="s">
        <v>100</v>
      </c>
      <c r="S3450" s="2" t="s">
        <v>11036</v>
      </c>
      <c r="T3450" s="2" t="s">
        <v>100</v>
      </c>
      <c r="U3450" s="2" t="s">
        <v>1776</v>
      </c>
      <c r="V3450" s="2" t="s">
        <v>733</v>
      </c>
      <c r="W3450" s="2" t="s">
        <v>493</v>
      </c>
      <c r="X3450" s="2" t="s">
        <v>10999</v>
      </c>
      <c r="Y3450" s="2" t="s">
        <v>11110</v>
      </c>
      <c r="Z3450" s="4">
        <v>1121</v>
      </c>
      <c r="AA3450" s="4">
        <f>=ROUNDDOWN(12.3186813186813,0)</f>
      </c>
      <c r="AB3450" s="5">
        <v>91</v>
      </c>
      <c r="AC3450" s="2" t="s">
        <v>4620</v>
      </c>
      <c r="AD3450" s="4">
        <v>720</v>
      </c>
      <c r="AE3450" s="4">
        <v>2080</v>
      </c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/>
      <c r="AQ3450" s="8"/>
      <c r="AR3450" s="4"/>
      <c r="AS3450" s="8"/>
      <c r="AT3450" s="7"/>
      <c r="AU3450" s="7"/>
      <c r="AV3450" s="4" t="s">
        <v>100</v>
      </c>
      <c r="AW3450" s="8" t="s">
        <v>100</v>
      </c>
      <c r="AX3450" s="4" t="s">
        <v>100</v>
      </c>
      <c r="AY3450" s="8" t="s">
        <v>100</v>
      </c>
      <c r="AZ3450" s="7" t="s">
        <v>100</v>
      </c>
      <c r="BA3450" s="7" t="s">
        <v>100</v>
      </c>
      <c r="BB3450" s="7"/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/>
      <c r="BJ3450" s="4">
        <v>381</v>
      </c>
      <c r="BK3450" s="8">
        <v>5296.34</v>
      </c>
      <c r="BL3450" s="2" t="s">
        <v>11111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171</v>
      </c>
      <c r="BV3450" s="2" t="s">
        <v>97</v>
      </c>
      <c r="BW3450" s="2" t="s">
        <v>100</v>
      </c>
      <c r="BX3450" s="2" t="s">
        <v>100</v>
      </c>
      <c r="BY3450" s="2" t="s">
        <v>112</v>
      </c>
      <c r="BZ3450" s="2" t="s">
        <v>149</v>
      </c>
    </row>
    <row r="3451">
      <c r="A3451" s="2" t="s">
        <v>11112</v>
      </c>
      <c r="B3451" s="2" t="s">
        <v>10807</v>
      </c>
      <c r="C3451" s="2" t="s">
        <v>88</v>
      </c>
      <c r="D3451" s="2" t="s">
        <v>2572</v>
      </c>
      <c r="E3451" s="2" t="s">
        <v>10999</v>
      </c>
      <c r="F3451" s="2" t="s">
        <v>890</v>
      </c>
      <c r="G3451" s="2" t="s">
        <v>4602</v>
      </c>
      <c r="H3451" s="2" t="s">
        <v>3615</v>
      </c>
      <c r="I3451" s="2" t="s">
        <v>11109</v>
      </c>
      <c r="J3451" s="2" t="s">
        <v>10818</v>
      </c>
      <c r="K3451" s="2" t="s">
        <v>471</v>
      </c>
      <c r="L3451" s="3">
        <v>15.5</v>
      </c>
      <c r="M3451" s="3">
        <v>16.28</v>
      </c>
      <c r="N3451" s="3">
        <v>37.99</v>
      </c>
      <c r="O3451" s="2" t="s">
        <v>97</v>
      </c>
      <c r="P3451" s="2" t="s">
        <v>123</v>
      </c>
      <c r="Q3451" s="2" t="s">
        <v>99</v>
      </c>
      <c r="R3451" s="2" t="s">
        <v>100</v>
      </c>
      <c r="S3451" s="2" t="s">
        <v>11036</v>
      </c>
      <c r="T3451" s="2" t="s">
        <v>100</v>
      </c>
      <c r="U3451" s="2" t="s">
        <v>1776</v>
      </c>
      <c r="V3451" s="2" t="s">
        <v>733</v>
      </c>
      <c r="W3451" s="2" t="s">
        <v>493</v>
      </c>
      <c r="X3451" s="2" t="s">
        <v>10999</v>
      </c>
      <c r="Y3451" s="2" t="s">
        <v>11113</v>
      </c>
      <c r="Z3451" s="4">
        <v>252</v>
      </c>
      <c r="AA3451" s="4">
        <f>=ROUNDDOWN(13.2631578947368,0)</f>
      </c>
      <c r="AB3451" s="5">
        <v>19</v>
      </c>
      <c r="AC3451" s="2" t="s">
        <v>4620</v>
      </c>
      <c r="AD3451" s="4">
        <v>112</v>
      </c>
      <c r="AE3451" s="4">
        <v>428</v>
      </c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/>
      <c r="AQ3451" s="8"/>
      <c r="AR3451" s="4"/>
      <c r="AS3451" s="8"/>
      <c r="AT3451" s="7"/>
      <c r="AU3451" s="7"/>
      <c r="AV3451" s="4" t="s">
        <v>100</v>
      </c>
      <c r="AW3451" s="8" t="s">
        <v>100</v>
      </c>
      <c r="AX3451" s="4" t="s">
        <v>100</v>
      </c>
      <c r="AY3451" s="8" t="s">
        <v>100</v>
      </c>
      <c r="AZ3451" s="7" t="s">
        <v>100</v>
      </c>
      <c r="BA3451" s="7" t="s">
        <v>100</v>
      </c>
      <c r="BB3451" s="7"/>
      <c r="BC3451" s="4" t="s">
        <v>100</v>
      </c>
      <c r="BD3451" s="8" t="s">
        <v>100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/>
      <c r="BJ3451" s="4">
        <v>85</v>
      </c>
      <c r="BK3451" s="8">
        <v>1487.41</v>
      </c>
      <c r="BL3451" s="2" t="s">
        <v>11114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171</v>
      </c>
      <c r="BV3451" s="2" t="s">
        <v>97</v>
      </c>
      <c r="BW3451" s="2" t="s">
        <v>100</v>
      </c>
      <c r="BX3451" s="2" t="s">
        <v>100</v>
      </c>
      <c r="BY3451" s="2" t="s">
        <v>112</v>
      </c>
      <c r="BZ3451" s="2" t="s">
        <v>149</v>
      </c>
    </row>
    <row r="3452">
      <c r="A3452" s="2" t="s">
        <v>11115</v>
      </c>
      <c r="B3452" s="2" t="s">
        <v>10807</v>
      </c>
      <c r="C3452" s="2" t="s">
        <v>88</v>
      </c>
      <c r="D3452" s="2" t="s">
        <v>2572</v>
      </c>
      <c r="E3452" s="2" t="s">
        <v>10999</v>
      </c>
      <c r="F3452" s="2" t="s">
        <v>890</v>
      </c>
      <c r="G3452" s="2" t="s">
        <v>4602</v>
      </c>
      <c r="H3452" s="2" t="s">
        <v>3615</v>
      </c>
      <c r="I3452" s="2" t="s">
        <v>11109</v>
      </c>
      <c r="J3452" s="2" t="s">
        <v>10818</v>
      </c>
      <c r="K3452" s="2" t="s">
        <v>96</v>
      </c>
      <c r="L3452" s="3">
        <v>15.5</v>
      </c>
      <c r="M3452" s="3">
        <v>16.28</v>
      </c>
      <c r="N3452" s="3">
        <v>37.99</v>
      </c>
      <c r="O3452" s="2" t="s">
        <v>97</v>
      </c>
      <c r="P3452" s="2" t="s">
        <v>139</v>
      </c>
      <c r="Q3452" s="2" t="s">
        <v>99</v>
      </c>
      <c r="R3452" s="2" t="s">
        <v>100</v>
      </c>
      <c r="S3452" s="2" t="s">
        <v>11116</v>
      </c>
      <c r="T3452" s="2" t="s">
        <v>100</v>
      </c>
      <c r="U3452" s="2" t="s">
        <v>1776</v>
      </c>
      <c r="V3452" s="2" t="s">
        <v>733</v>
      </c>
      <c r="W3452" s="2" t="s">
        <v>493</v>
      </c>
      <c r="X3452" s="2" t="s">
        <v>10999</v>
      </c>
      <c r="Y3452" s="2" t="s">
        <v>11113</v>
      </c>
      <c r="Z3452" s="4">
        <v>520</v>
      </c>
      <c r="AA3452" s="4">
        <f>=ROUNDDOWN(8.8135593220339,0)</f>
      </c>
      <c r="AB3452" s="5">
        <v>59</v>
      </c>
      <c r="AC3452" s="2" t="s">
        <v>4620</v>
      </c>
      <c r="AD3452" s="4">
        <v>268</v>
      </c>
      <c r="AE3452" s="4">
        <v>1824</v>
      </c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/>
      <c r="AQ3452" s="8"/>
      <c r="AR3452" s="4"/>
      <c r="AS3452" s="8"/>
      <c r="AT3452" s="7"/>
      <c r="AU3452" s="7"/>
      <c r="AV3452" s="4"/>
      <c r="AW3452" s="8"/>
      <c r="AX3452" s="4"/>
      <c r="AY3452" s="8"/>
      <c r="AZ3452" s="7"/>
      <c r="BA3452" s="7"/>
      <c r="BB3452" s="7"/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/>
      <c r="BJ3452" s="4">
        <v>227</v>
      </c>
      <c r="BK3452" s="8">
        <v>3846.65</v>
      </c>
      <c r="BL3452" s="2" t="s">
        <v>11117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171</v>
      </c>
      <c r="BV3452" s="2" t="s">
        <v>97</v>
      </c>
      <c r="BW3452" s="2" t="s">
        <v>100</v>
      </c>
      <c r="BX3452" s="2" t="s">
        <v>100</v>
      </c>
      <c r="BY3452" s="2" t="s">
        <v>112</v>
      </c>
      <c r="BZ3452" s="2" t="s">
        <v>149</v>
      </c>
    </row>
    <row r="3453">
      <c r="A3453" s="2" t="s">
        <v>11118</v>
      </c>
      <c r="B3453" s="2" t="s">
        <v>10807</v>
      </c>
      <c r="C3453" s="2" t="s">
        <v>88</v>
      </c>
      <c r="D3453" s="2" t="s">
        <v>2572</v>
      </c>
      <c r="E3453" s="2" t="s">
        <v>10999</v>
      </c>
      <c r="F3453" s="2" t="s">
        <v>890</v>
      </c>
      <c r="G3453" s="2" t="s">
        <v>4602</v>
      </c>
      <c r="H3453" s="2" t="s">
        <v>3615</v>
      </c>
      <c r="I3453" s="2" t="s">
        <v>11109</v>
      </c>
      <c r="J3453" s="2" t="s">
        <v>10811</v>
      </c>
      <c r="K3453" s="2" t="s">
        <v>1995</v>
      </c>
      <c r="L3453" s="3">
        <v>13.86</v>
      </c>
      <c r="M3453" s="3">
        <v>14.55</v>
      </c>
      <c r="N3453" s="3">
        <v>32.99</v>
      </c>
      <c r="O3453" s="2" t="s">
        <v>97</v>
      </c>
      <c r="P3453" s="2" t="s">
        <v>139</v>
      </c>
      <c r="Q3453" s="2" t="s">
        <v>99</v>
      </c>
      <c r="R3453" s="2" t="s">
        <v>100</v>
      </c>
      <c r="S3453" s="2" t="s">
        <v>4610</v>
      </c>
      <c r="T3453" s="2" t="s">
        <v>100</v>
      </c>
      <c r="U3453" s="2" t="s">
        <v>1776</v>
      </c>
      <c r="V3453" s="2" t="s">
        <v>733</v>
      </c>
      <c r="W3453" s="2" t="s">
        <v>493</v>
      </c>
      <c r="X3453" s="2" t="s">
        <v>10999</v>
      </c>
      <c r="Y3453" s="2" t="s">
        <v>494</v>
      </c>
      <c r="Z3453" s="4">
        <v>1132</v>
      </c>
      <c r="AA3453" s="4">
        <f>=ROUNDDOWN(16.0795454545455,0)</f>
      </c>
      <c r="AB3453" s="5">
        <v>70.4</v>
      </c>
      <c r="AC3453" s="2" t="s">
        <v>2709</v>
      </c>
      <c r="AD3453" s="4">
        <v>900</v>
      </c>
      <c r="AE3453" s="4">
        <v>900</v>
      </c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/>
      <c r="AQ3453" s="8"/>
      <c r="AR3453" s="4"/>
      <c r="AS3453" s="8"/>
      <c r="AT3453" s="7"/>
      <c r="AU3453" s="7"/>
      <c r="AV3453" s="4" t="s">
        <v>100</v>
      </c>
      <c r="AW3453" s="8" t="s">
        <v>100</v>
      </c>
      <c r="AX3453" s="4" t="s">
        <v>100</v>
      </c>
      <c r="AY3453" s="8" t="s">
        <v>100</v>
      </c>
      <c r="AZ3453" s="7" t="s">
        <v>100</v>
      </c>
      <c r="BA3453" s="7" t="s">
        <v>100</v>
      </c>
      <c r="BB3453" s="7"/>
      <c r="BC3453" s="4" t="s">
        <v>100</v>
      </c>
      <c r="BD3453" s="8" t="s">
        <v>100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/>
      <c r="BJ3453" s="4">
        <v>286</v>
      </c>
      <c r="BK3453" s="8">
        <v>3997.12</v>
      </c>
      <c r="BL3453" s="2" t="s">
        <v>11119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171</v>
      </c>
      <c r="BV3453" s="2" t="s">
        <v>97</v>
      </c>
      <c r="BW3453" s="2" t="s">
        <v>100</v>
      </c>
      <c r="BX3453" s="2" t="s">
        <v>100</v>
      </c>
      <c r="BY3453" s="2" t="s">
        <v>112</v>
      </c>
      <c r="BZ3453" s="2" t="s">
        <v>149</v>
      </c>
    </row>
    <row r="3454">
      <c r="A3454" s="2" t="s">
        <v>11120</v>
      </c>
      <c r="B3454" s="2" t="s">
        <v>10807</v>
      </c>
      <c r="C3454" s="2" t="s">
        <v>88</v>
      </c>
      <c r="D3454" s="2" t="s">
        <v>2572</v>
      </c>
      <c r="E3454" s="2" t="s">
        <v>10999</v>
      </c>
      <c r="F3454" s="2" t="s">
        <v>890</v>
      </c>
      <c r="G3454" s="2" t="s">
        <v>4602</v>
      </c>
      <c r="H3454" s="2" t="s">
        <v>3615</v>
      </c>
      <c r="I3454" s="2" t="s">
        <v>11109</v>
      </c>
      <c r="J3454" s="2" t="s">
        <v>10818</v>
      </c>
      <c r="K3454" s="2" t="s">
        <v>1995</v>
      </c>
      <c r="L3454" s="3">
        <v>15.5</v>
      </c>
      <c r="M3454" s="3">
        <v>16.28</v>
      </c>
      <c r="N3454" s="3">
        <v>37.99</v>
      </c>
      <c r="O3454" s="2" t="s">
        <v>97</v>
      </c>
      <c r="P3454" s="2" t="s">
        <v>123</v>
      </c>
      <c r="Q3454" s="2" t="s">
        <v>99</v>
      </c>
      <c r="R3454" s="2" t="s">
        <v>100</v>
      </c>
      <c r="S3454" s="2" t="s">
        <v>4610</v>
      </c>
      <c r="T3454" s="2" t="s">
        <v>100</v>
      </c>
      <c r="U3454" s="2" t="s">
        <v>1776</v>
      </c>
      <c r="V3454" s="2" t="s">
        <v>733</v>
      </c>
      <c r="W3454" s="2" t="s">
        <v>493</v>
      </c>
      <c r="X3454" s="2" t="s">
        <v>10999</v>
      </c>
      <c r="Y3454" s="2" t="s">
        <v>11113</v>
      </c>
      <c r="Z3454" s="4">
        <v>342</v>
      </c>
      <c r="AA3454" s="4">
        <f>=ROUNDDOWN(28.5,0)</f>
      </c>
      <c r="AB3454" s="5">
        <v>12</v>
      </c>
      <c r="AC3454" s="2" t="s">
        <v>2709</v>
      </c>
      <c r="AD3454" s="4">
        <v>120</v>
      </c>
      <c r="AE3454" s="4">
        <v>120</v>
      </c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/>
      <c r="AQ3454" s="8"/>
      <c r="AR3454" s="4"/>
      <c r="AS3454" s="8"/>
      <c r="AT3454" s="7"/>
      <c r="AU3454" s="7"/>
      <c r="AV3454" s="4" t="s">
        <v>100</v>
      </c>
      <c r="AW3454" s="8" t="s">
        <v>100</v>
      </c>
      <c r="AX3454" s="4" t="s">
        <v>100</v>
      </c>
      <c r="AY3454" s="8" t="s">
        <v>100</v>
      </c>
      <c r="AZ3454" s="7" t="s">
        <v>100</v>
      </c>
      <c r="BA3454" s="7" t="s">
        <v>100</v>
      </c>
      <c r="BB3454" s="7"/>
      <c r="BC3454" s="4" t="s">
        <v>100</v>
      </c>
      <c r="BD3454" s="8" t="s">
        <v>100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/>
      <c r="BJ3454" s="4">
        <v>46</v>
      </c>
      <c r="BK3454" s="8">
        <v>728.68</v>
      </c>
      <c r="BL3454" s="2" t="s">
        <v>11121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171</v>
      </c>
      <c r="BV3454" s="2" t="s">
        <v>97</v>
      </c>
      <c r="BW3454" s="2" t="s">
        <v>100</v>
      </c>
      <c r="BX3454" s="2" t="s">
        <v>100</v>
      </c>
      <c r="BY3454" s="2" t="s">
        <v>112</v>
      </c>
      <c r="BZ3454" s="2" t="s">
        <v>149</v>
      </c>
    </row>
    <row r="3455">
      <c r="A3455" s="2" t="s">
        <v>11122</v>
      </c>
      <c r="B3455" s="2" t="s">
        <v>10807</v>
      </c>
      <c r="C3455" s="2" t="s">
        <v>88</v>
      </c>
      <c r="D3455" s="2" t="s">
        <v>2572</v>
      </c>
      <c r="E3455" s="2" t="s">
        <v>10999</v>
      </c>
      <c r="F3455" s="2" t="s">
        <v>890</v>
      </c>
      <c r="G3455" s="2" t="s">
        <v>4602</v>
      </c>
      <c r="H3455" s="2" t="s">
        <v>3615</v>
      </c>
      <c r="I3455" s="2" t="s">
        <v>11109</v>
      </c>
      <c r="J3455" s="2" t="s">
        <v>10811</v>
      </c>
      <c r="K3455" s="2" t="s">
        <v>626</v>
      </c>
      <c r="L3455" s="3">
        <v>13.86</v>
      </c>
      <c r="M3455" s="3">
        <v>14.55</v>
      </c>
      <c r="N3455" s="3">
        <v>32.99</v>
      </c>
      <c r="O3455" s="2" t="s">
        <v>97</v>
      </c>
      <c r="P3455" s="2" t="s">
        <v>98</v>
      </c>
      <c r="Q3455" s="2" t="s">
        <v>99</v>
      </c>
      <c r="R3455" s="2" t="s">
        <v>100</v>
      </c>
      <c r="S3455" s="2" t="s">
        <v>11039</v>
      </c>
      <c r="T3455" s="2" t="s">
        <v>100</v>
      </c>
      <c r="U3455" s="2" t="s">
        <v>1776</v>
      </c>
      <c r="V3455" s="2" t="s">
        <v>733</v>
      </c>
      <c r="W3455" s="2" t="s">
        <v>493</v>
      </c>
      <c r="X3455" s="2" t="s">
        <v>10999</v>
      </c>
      <c r="Y3455" s="2" t="s">
        <v>11123</v>
      </c>
      <c r="Z3455" s="4">
        <v>618</v>
      </c>
      <c r="AA3455" s="4">
        <f>=ROUNDDOWN(10.3,0)</f>
      </c>
      <c r="AB3455" s="5">
        <v>60</v>
      </c>
      <c r="AC3455" s="2" t="s">
        <v>903</v>
      </c>
      <c r="AD3455" s="4">
        <v>976</v>
      </c>
      <c r="AE3455" s="4">
        <v>976</v>
      </c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/>
      <c r="AQ3455" s="8"/>
      <c r="AR3455" s="4"/>
      <c r="AS3455" s="8"/>
      <c r="AT3455" s="7"/>
      <c r="AU3455" s="7"/>
      <c r="AV3455" s="4" t="s">
        <v>100</v>
      </c>
      <c r="AW3455" s="8" t="s">
        <v>100</v>
      </c>
      <c r="AX3455" s="4" t="s">
        <v>100</v>
      </c>
      <c r="AY3455" s="8" t="s">
        <v>100</v>
      </c>
      <c r="AZ3455" s="7" t="s">
        <v>100</v>
      </c>
      <c r="BA3455" s="7" t="s">
        <v>100</v>
      </c>
      <c r="BB3455" s="7"/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/>
      <c r="BJ3455" s="4">
        <v>282</v>
      </c>
      <c r="BK3455" s="8">
        <v>4145.66</v>
      </c>
      <c r="BL3455" s="2" t="s">
        <v>480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171</v>
      </c>
      <c r="BV3455" s="2" t="s">
        <v>97</v>
      </c>
      <c r="BW3455" s="2" t="s">
        <v>100</v>
      </c>
      <c r="BX3455" s="2" t="s">
        <v>100</v>
      </c>
      <c r="BY3455" s="2" t="s">
        <v>112</v>
      </c>
      <c r="BZ3455" s="2" t="s">
        <v>149</v>
      </c>
    </row>
    <row r="3456">
      <c r="A3456" s="2" t="s">
        <v>11124</v>
      </c>
      <c r="B3456" s="2" t="s">
        <v>10807</v>
      </c>
      <c r="C3456" s="2" t="s">
        <v>88</v>
      </c>
      <c r="D3456" s="2" t="s">
        <v>2572</v>
      </c>
      <c r="E3456" s="2" t="s">
        <v>10999</v>
      </c>
      <c r="F3456" s="2" t="s">
        <v>890</v>
      </c>
      <c r="G3456" s="2" t="s">
        <v>4602</v>
      </c>
      <c r="H3456" s="2" t="s">
        <v>3615</v>
      </c>
      <c r="I3456" s="2" t="s">
        <v>11109</v>
      </c>
      <c r="J3456" s="2" t="s">
        <v>10818</v>
      </c>
      <c r="K3456" s="2" t="s">
        <v>626</v>
      </c>
      <c r="L3456" s="3">
        <v>15.5</v>
      </c>
      <c r="M3456" s="3">
        <v>16.28</v>
      </c>
      <c r="N3456" s="3">
        <v>37.99</v>
      </c>
      <c r="O3456" s="2" t="s">
        <v>97</v>
      </c>
      <c r="P3456" s="2" t="s">
        <v>98</v>
      </c>
      <c r="Q3456" s="2" t="s">
        <v>99</v>
      </c>
      <c r="R3456" s="2" t="s">
        <v>100</v>
      </c>
      <c r="S3456" s="2" t="s">
        <v>11039</v>
      </c>
      <c r="T3456" s="2" t="s">
        <v>100</v>
      </c>
      <c r="U3456" s="2" t="s">
        <v>1776</v>
      </c>
      <c r="V3456" s="2" t="s">
        <v>733</v>
      </c>
      <c r="W3456" s="2" t="s">
        <v>493</v>
      </c>
      <c r="X3456" s="2" t="s">
        <v>10999</v>
      </c>
      <c r="Y3456" s="2" t="s">
        <v>11113</v>
      </c>
      <c r="Z3456" s="4">
        <v>731</v>
      </c>
      <c r="AA3456" s="4">
        <f>=ROUNDDOWN(45.6875,0)</f>
      </c>
      <c r="AB3456" s="5">
        <v>16</v>
      </c>
      <c r="AC3456" s="2" t="s">
        <v>903</v>
      </c>
      <c r="AD3456" s="4">
        <v>108</v>
      </c>
      <c r="AE3456" s="4">
        <v>108</v>
      </c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/>
      <c r="AQ3456" s="8"/>
      <c r="AR3456" s="4"/>
      <c r="AS3456" s="8"/>
      <c r="AT3456" s="7"/>
      <c r="AU3456" s="7"/>
      <c r="AV3456" s="4" t="s">
        <v>100</v>
      </c>
      <c r="AW3456" s="8" t="s">
        <v>100</v>
      </c>
      <c r="AX3456" s="4" t="s">
        <v>100</v>
      </c>
      <c r="AY3456" s="8" t="s">
        <v>100</v>
      </c>
      <c r="AZ3456" s="7" t="s">
        <v>100</v>
      </c>
      <c r="BA3456" s="7" t="s">
        <v>100</v>
      </c>
      <c r="BB3456" s="7"/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/>
      <c r="BJ3456" s="4">
        <v>84</v>
      </c>
      <c r="BK3456" s="8">
        <v>1370.28</v>
      </c>
      <c r="BL3456" s="2" t="s">
        <v>11125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171</v>
      </c>
      <c r="BV3456" s="2" t="s">
        <v>97</v>
      </c>
      <c r="BW3456" s="2" t="s">
        <v>100</v>
      </c>
      <c r="BX3456" s="2" t="s">
        <v>100</v>
      </c>
      <c r="BY3456" s="2" t="s">
        <v>112</v>
      </c>
      <c r="BZ3456" s="2" t="s">
        <v>149</v>
      </c>
    </row>
    <row r="3457">
      <c r="A3457" s="2" t="s">
        <v>11126</v>
      </c>
      <c r="B3457" s="2" t="s">
        <v>10807</v>
      </c>
      <c r="C3457" s="2" t="s">
        <v>88</v>
      </c>
      <c r="D3457" s="2" t="s">
        <v>2572</v>
      </c>
      <c r="E3457" s="2" t="s">
        <v>10999</v>
      </c>
      <c r="F3457" s="2" t="s">
        <v>1969</v>
      </c>
      <c r="G3457" s="2" t="s">
        <v>11127</v>
      </c>
      <c r="H3457" s="2" t="s">
        <v>11128</v>
      </c>
      <c r="I3457" s="2" t="s">
        <v>11129</v>
      </c>
      <c r="J3457" s="2" t="s">
        <v>10868</v>
      </c>
      <c r="K3457" s="2" t="s">
        <v>1373</v>
      </c>
      <c r="L3457" s="3">
        <v>10.5</v>
      </c>
      <c r="M3457" s="3">
        <v>11.02</v>
      </c>
      <c r="N3457" s="3">
        <v>24.99</v>
      </c>
      <c r="O3457" s="2" t="s">
        <v>97</v>
      </c>
      <c r="P3457" s="2" t="s">
        <v>98</v>
      </c>
      <c r="Q3457" s="2" t="s">
        <v>99</v>
      </c>
      <c r="R3457" s="2" t="s">
        <v>100</v>
      </c>
      <c r="S3457" s="2" t="s">
        <v>11130</v>
      </c>
      <c r="T3457" s="2" t="s">
        <v>100</v>
      </c>
      <c r="U3457" s="2" t="s">
        <v>100</v>
      </c>
      <c r="V3457" s="2" t="s">
        <v>473</v>
      </c>
      <c r="W3457" s="2" t="s">
        <v>493</v>
      </c>
      <c r="X3457" s="2" t="s">
        <v>10999</v>
      </c>
      <c r="Y3457" s="2" t="s">
        <v>144</v>
      </c>
      <c r="Z3457" s="4">
        <v>130</v>
      </c>
      <c r="AA3457" s="4">
        <f>=ROUNDDOWN(11.8181818181818,0)</f>
      </c>
      <c r="AB3457" s="5">
        <v>11</v>
      </c>
      <c r="AC3457" s="2" t="s">
        <v>2709</v>
      </c>
      <c r="AD3457" s="4">
        <v>120</v>
      </c>
      <c r="AE3457" s="4">
        <v>292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/>
      <c r="AQ3457" s="8"/>
      <c r="AR3457" s="4"/>
      <c r="AS3457" s="8"/>
      <c r="AT3457" s="7"/>
      <c r="AU3457" s="7"/>
      <c r="AV3457" s="4" t="s">
        <v>100</v>
      </c>
      <c r="AW3457" s="8" t="s">
        <v>100</v>
      </c>
      <c r="AX3457" s="4" t="s">
        <v>100</v>
      </c>
      <c r="AY3457" s="8" t="s">
        <v>100</v>
      </c>
      <c r="AZ3457" s="7" t="s">
        <v>100</v>
      </c>
      <c r="BA3457" s="7" t="s">
        <v>100</v>
      </c>
      <c r="BB3457" s="7"/>
      <c r="BC3457" s="4" t="s">
        <v>100</v>
      </c>
      <c r="BD3457" s="8" t="s">
        <v>100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/>
      <c r="BJ3457" s="4">
        <v>16</v>
      </c>
      <c r="BK3457" s="8">
        <v>156.98</v>
      </c>
      <c r="BL3457" s="2" t="s">
        <v>11131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109</v>
      </c>
      <c r="BV3457" s="2" t="s">
        <v>97</v>
      </c>
      <c r="BW3457" s="2" t="s">
        <v>1688</v>
      </c>
      <c r="BX3457" s="2" t="s">
        <v>2478</v>
      </c>
      <c r="BY3457" s="2" t="s">
        <v>112</v>
      </c>
      <c r="BZ3457" s="2" t="s">
        <v>149</v>
      </c>
    </row>
    <row r="3458">
      <c r="A3458" s="2" t="s">
        <v>11132</v>
      </c>
      <c r="B3458" s="2" t="s">
        <v>10807</v>
      </c>
      <c r="C3458" s="2" t="s">
        <v>88</v>
      </c>
      <c r="D3458" s="2" t="s">
        <v>2572</v>
      </c>
      <c r="E3458" s="2" t="s">
        <v>10999</v>
      </c>
      <c r="F3458" s="2" t="s">
        <v>1969</v>
      </c>
      <c r="G3458" s="2" t="s">
        <v>11127</v>
      </c>
      <c r="H3458" s="2" t="s">
        <v>11128</v>
      </c>
      <c r="I3458" s="2" t="s">
        <v>11129</v>
      </c>
      <c r="J3458" s="2" t="s">
        <v>10811</v>
      </c>
      <c r="K3458" s="2" t="s">
        <v>1373</v>
      </c>
      <c r="L3458" s="3">
        <v>13.2</v>
      </c>
      <c r="M3458" s="3">
        <v>13.86</v>
      </c>
      <c r="N3458" s="3">
        <v>29.99</v>
      </c>
      <c r="O3458" s="2" t="s">
        <v>97</v>
      </c>
      <c r="P3458" s="2" t="s">
        <v>98</v>
      </c>
      <c r="Q3458" s="2" t="s">
        <v>99</v>
      </c>
      <c r="R3458" s="2" t="s">
        <v>100</v>
      </c>
      <c r="S3458" s="2" t="s">
        <v>11130</v>
      </c>
      <c r="T3458" s="2" t="s">
        <v>100</v>
      </c>
      <c r="U3458" s="2" t="s">
        <v>100</v>
      </c>
      <c r="V3458" s="2" t="s">
        <v>473</v>
      </c>
      <c r="W3458" s="2" t="s">
        <v>493</v>
      </c>
      <c r="X3458" s="2" t="s">
        <v>10999</v>
      </c>
      <c r="Y3458" s="2" t="s">
        <v>144</v>
      </c>
      <c r="Z3458" s="4">
        <v>177</v>
      </c>
      <c r="AA3458" s="4">
        <f>=ROUNDDOWN(9.31578947368421,0)</f>
      </c>
      <c r="AB3458" s="5">
        <v>19</v>
      </c>
      <c r="AC3458" s="2" t="s">
        <v>2709</v>
      </c>
      <c r="AD3458" s="4">
        <v>268</v>
      </c>
      <c r="AE3458" s="4">
        <v>556</v>
      </c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/>
      <c r="AQ3458" s="8"/>
      <c r="AR3458" s="4"/>
      <c r="AS3458" s="8"/>
      <c r="AT3458" s="7"/>
      <c r="AU3458" s="7"/>
      <c r="AV3458" s="4" t="s">
        <v>100</v>
      </c>
      <c r="AW3458" s="8" t="s">
        <v>100</v>
      </c>
      <c r="AX3458" s="4" t="s">
        <v>100</v>
      </c>
      <c r="AY3458" s="8" t="s">
        <v>100</v>
      </c>
      <c r="AZ3458" s="7" t="s">
        <v>100</v>
      </c>
      <c r="BA3458" s="7" t="s">
        <v>100</v>
      </c>
      <c r="BB3458" s="7"/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/>
      <c r="BJ3458" s="4">
        <v>83</v>
      </c>
      <c r="BK3458" s="8">
        <v>1131.29</v>
      </c>
      <c r="BL3458" s="2" t="s">
        <v>11133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109</v>
      </c>
      <c r="BV3458" s="2" t="s">
        <v>97</v>
      </c>
      <c r="BW3458" s="2" t="s">
        <v>1688</v>
      </c>
      <c r="BX3458" s="2" t="s">
        <v>11134</v>
      </c>
      <c r="BY3458" s="2" t="s">
        <v>112</v>
      </c>
      <c r="BZ3458" s="2" t="s">
        <v>100</v>
      </c>
    </row>
    <row r="3459">
      <c r="A3459" s="2" t="s">
        <v>11135</v>
      </c>
      <c r="B3459" s="2" t="s">
        <v>10807</v>
      </c>
      <c r="C3459" s="2" t="s">
        <v>88</v>
      </c>
      <c r="D3459" s="2" t="s">
        <v>2572</v>
      </c>
      <c r="E3459" s="2" t="s">
        <v>10999</v>
      </c>
      <c r="F3459" s="2" t="s">
        <v>1969</v>
      </c>
      <c r="G3459" s="2" t="s">
        <v>11127</v>
      </c>
      <c r="H3459" s="2" t="s">
        <v>11128</v>
      </c>
      <c r="I3459" s="2" t="s">
        <v>11129</v>
      </c>
      <c r="J3459" s="2" t="s">
        <v>10818</v>
      </c>
      <c r="K3459" s="2" t="s">
        <v>1373</v>
      </c>
      <c r="L3459" s="3">
        <v>15.75</v>
      </c>
      <c r="M3459" s="3">
        <v>16.54</v>
      </c>
      <c r="N3459" s="3">
        <v>34.99</v>
      </c>
      <c r="O3459" s="2" t="s">
        <v>97</v>
      </c>
      <c r="P3459" s="2" t="s">
        <v>98</v>
      </c>
      <c r="Q3459" s="2" t="s">
        <v>99</v>
      </c>
      <c r="R3459" s="2" t="s">
        <v>100</v>
      </c>
      <c r="S3459" s="2" t="s">
        <v>11130</v>
      </c>
      <c r="T3459" s="2" t="s">
        <v>100</v>
      </c>
      <c r="U3459" s="2" t="s">
        <v>100</v>
      </c>
      <c r="V3459" s="2" t="s">
        <v>473</v>
      </c>
      <c r="W3459" s="2" t="s">
        <v>493</v>
      </c>
      <c r="X3459" s="2" t="s">
        <v>10999</v>
      </c>
      <c r="Y3459" s="2" t="s">
        <v>144</v>
      </c>
      <c r="Z3459" s="4">
        <v>162</v>
      </c>
      <c r="AA3459" s="4">
        <f>=ROUNDDOWN(14.7272727272727,0)</f>
      </c>
      <c r="AB3459" s="5">
        <v>11</v>
      </c>
      <c r="AC3459" s="2" t="s">
        <v>646</v>
      </c>
      <c r="AD3459" s="4">
        <v>184</v>
      </c>
      <c r="AE3459" s="4">
        <v>184</v>
      </c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/>
      <c r="AQ3459" s="8"/>
      <c r="AR3459" s="4"/>
      <c r="AS3459" s="8"/>
      <c r="AT3459" s="7"/>
      <c r="AU3459" s="7"/>
      <c r="AV3459" s="4" t="s">
        <v>100</v>
      </c>
      <c r="AW3459" s="8" t="s">
        <v>100</v>
      </c>
      <c r="AX3459" s="4" t="s">
        <v>100</v>
      </c>
      <c r="AY3459" s="8" t="s">
        <v>100</v>
      </c>
      <c r="AZ3459" s="7" t="s">
        <v>100</v>
      </c>
      <c r="BA3459" s="7" t="s">
        <v>100</v>
      </c>
      <c r="BB3459" s="7"/>
      <c r="BC3459" s="4" t="s">
        <v>100</v>
      </c>
      <c r="BD3459" s="8" t="s">
        <v>100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/>
      <c r="BJ3459" s="4">
        <v>44</v>
      </c>
      <c r="BK3459" s="8">
        <v>699.36</v>
      </c>
      <c r="BL3459" s="2" t="s">
        <v>11136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109</v>
      </c>
      <c r="BV3459" s="2" t="s">
        <v>97</v>
      </c>
      <c r="BW3459" s="2" t="s">
        <v>1688</v>
      </c>
      <c r="BX3459" s="2" t="s">
        <v>4766</v>
      </c>
      <c r="BY3459" s="2" t="s">
        <v>112</v>
      </c>
      <c r="BZ3459" s="2" t="s">
        <v>149</v>
      </c>
    </row>
    <row r="3460">
      <c r="A3460" s="2" t="s">
        <v>11137</v>
      </c>
      <c r="B3460" s="2" t="s">
        <v>10807</v>
      </c>
      <c r="C3460" s="2" t="s">
        <v>88</v>
      </c>
      <c r="D3460" s="2" t="s">
        <v>2572</v>
      </c>
      <c r="E3460" s="2" t="s">
        <v>10999</v>
      </c>
      <c r="F3460" s="2" t="s">
        <v>1969</v>
      </c>
      <c r="G3460" s="2" t="s">
        <v>11127</v>
      </c>
      <c r="H3460" s="2" t="s">
        <v>11128</v>
      </c>
      <c r="I3460" s="2" t="s">
        <v>11129</v>
      </c>
      <c r="J3460" s="2" t="s">
        <v>10868</v>
      </c>
      <c r="K3460" s="2" t="s">
        <v>458</v>
      </c>
      <c r="L3460" s="3">
        <v>10.5</v>
      </c>
      <c r="M3460" s="3">
        <v>11.02</v>
      </c>
      <c r="N3460" s="3">
        <v>24.99</v>
      </c>
      <c r="O3460" s="2" t="s">
        <v>97</v>
      </c>
      <c r="P3460" s="2" t="s">
        <v>98</v>
      </c>
      <c r="Q3460" s="2" t="s">
        <v>99</v>
      </c>
      <c r="R3460" s="2" t="s">
        <v>100</v>
      </c>
      <c r="S3460" s="2" t="s">
        <v>11138</v>
      </c>
      <c r="T3460" s="2" t="s">
        <v>100</v>
      </c>
      <c r="U3460" s="2" t="s">
        <v>100</v>
      </c>
      <c r="V3460" s="2" t="s">
        <v>473</v>
      </c>
      <c r="W3460" s="2" t="s">
        <v>493</v>
      </c>
      <c r="X3460" s="2" t="s">
        <v>10999</v>
      </c>
      <c r="Y3460" s="2" t="s">
        <v>144</v>
      </c>
      <c r="Z3460" s="4">
        <v>577</v>
      </c>
      <c r="AA3460" s="4">
        <f>=ROUNDDOWN(63.4065934065934,0)</f>
      </c>
      <c r="AB3460" s="5">
        <v>9.1</v>
      </c>
      <c r="AC3460" s="2" t="s">
        <v>100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/>
      <c r="AQ3460" s="8"/>
      <c r="AR3460" s="4"/>
      <c r="AS3460" s="8"/>
      <c r="AT3460" s="7"/>
      <c r="AU3460" s="7"/>
      <c r="AV3460" s="4" t="s">
        <v>100</v>
      </c>
      <c r="AW3460" s="8" t="s">
        <v>100</v>
      </c>
      <c r="AX3460" s="4" t="s">
        <v>100</v>
      </c>
      <c r="AY3460" s="8" t="s">
        <v>100</v>
      </c>
      <c r="AZ3460" s="7" t="s">
        <v>100</v>
      </c>
      <c r="BA3460" s="7" t="s">
        <v>100</v>
      </c>
      <c r="BB3460" s="7"/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/>
      <c r="BJ3460" s="4">
        <v>31</v>
      </c>
      <c r="BK3460" s="8">
        <v>327.31</v>
      </c>
      <c r="BL3460" s="2" t="s">
        <v>11139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109</v>
      </c>
      <c r="BV3460" s="2" t="s">
        <v>97</v>
      </c>
      <c r="BW3460" s="2" t="s">
        <v>1688</v>
      </c>
      <c r="BX3460" s="2" t="s">
        <v>11140</v>
      </c>
      <c r="BY3460" s="2" t="s">
        <v>112</v>
      </c>
      <c r="BZ3460" s="2" t="s">
        <v>149</v>
      </c>
    </row>
    <row r="3461">
      <c r="A3461" s="2" t="s">
        <v>11141</v>
      </c>
      <c r="B3461" s="2" t="s">
        <v>10807</v>
      </c>
      <c r="C3461" s="2" t="s">
        <v>88</v>
      </c>
      <c r="D3461" s="2" t="s">
        <v>2572</v>
      </c>
      <c r="E3461" s="2" t="s">
        <v>10999</v>
      </c>
      <c r="F3461" s="2" t="s">
        <v>1969</v>
      </c>
      <c r="G3461" s="2" t="s">
        <v>11127</v>
      </c>
      <c r="H3461" s="2" t="s">
        <v>11128</v>
      </c>
      <c r="I3461" s="2" t="s">
        <v>11129</v>
      </c>
      <c r="J3461" s="2" t="s">
        <v>10818</v>
      </c>
      <c r="K3461" s="2" t="s">
        <v>458</v>
      </c>
      <c r="L3461" s="3">
        <v>15.75</v>
      </c>
      <c r="M3461" s="3">
        <v>16.54</v>
      </c>
      <c r="N3461" s="3">
        <v>34.99</v>
      </c>
      <c r="O3461" s="2" t="s">
        <v>97</v>
      </c>
      <c r="P3461" s="2" t="s">
        <v>98</v>
      </c>
      <c r="Q3461" s="2" t="s">
        <v>99</v>
      </c>
      <c r="R3461" s="2" t="s">
        <v>100</v>
      </c>
      <c r="S3461" s="2" t="s">
        <v>11138</v>
      </c>
      <c r="T3461" s="2" t="s">
        <v>100</v>
      </c>
      <c r="U3461" s="2" t="s">
        <v>100</v>
      </c>
      <c r="V3461" s="2" t="s">
        <v>473</v>
      </c>
      <c r="W3461" s="2" t="s">
        <v>493</v>
      </c>
      <c r="X3461" s="2" t="s">
        <v>10999</v>
      </c>
      <c r="Y3461" s="2" t="s">
        <v>144</v>
      </c>
      <c r="Z3461" s="4">
        <v>422</v>
      </c>
      <c r="AA3461" s="4">
        <f>=ROUNDDOWN(35.1666666666667,0)</f>
      </c>
      <c r="AB3461" s="5">
        <v>12</v>
      </c>
      <c r="AC3461" s="2" t="s">
        <v>100</v>
      </c>
      <c r="AD3461" s="4"/>
      <c r="AE3461" s="4"/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/>
      <c r="AQ3461" s="8"/>
      <c r="AR3461" s="4"/>
      <c r="AS3461" s="8"/>
      <c r="AT3461" s="7"/>
      <c r="AU3461" s="7"/>
      <c r="AV3461" s="4" t="s">
        <v>100</v>
      </c>
      <c r="AW3461" s="8" t="s">
        <v>100</v>
      </c>
      <c r="AX3461" s="4" t="s">
        <v>100</v>
      </c>
      <c r="AY3461" s="8" t="s">
        <v>100</v>
      </c>
      <c r="AZ3461" s="7" t="s">
        <v>100</v>
      </c>
      <c r="BA3461" s="7" t="s">
        <v>100</v>
      </c>
      <c r="BB3461" s="7"/>
      <c r="BC3461" s="4" t="s">
        <v>100</v>
      </c>
      <c r="BD3461" s="8" t="s">
        <v>100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/>
      <c r="BJ3461" s="4">
        <v>48</v>
      </c>
      <c r="BK3461" s="8">
        <v>784.18</v>
      </c>
      <c r="BL3461" s="2" t="s">
        <v>644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109</v>
      </c>
      <c r="BV3461" s="2" t="s">
        <v>97</v>
      </c>
      <c r="BW3461" s="2" t="s">
        <v>1688</v>
      </c>
      <c r="BX3461" s="2" t="s">
        <v>11142</v>
      </c>
      <c r="BY3461" s="2" t="s">
        <v>112</v>
      </c>
      <c r="BZ3461" s="2" t="s">
        <v>149</v>
      </c>
    </row>
    <row r="3462">
      <c r="A3462" s="2" t="s">
        <v>11143</v>
      </c>
      <c r="B3462" s="2" t="s">
        <v>10807</v>
      </c>
      <c r="C3462" s="2" t="s">
        <v>88</v>
      </c>
      <c r="D3462" s="2" t="s">
        <v>2572</v>
      </c>
      <c r="E3462" s="2" t="s">
        <v>10999</v>
      </c>
      <c r="F3462" s="2" t="s">
        <v>11049</v>
      </c>
      <c r="G3462" s="2" t="s">
        <v>11050</v>
      </c>
      <c r="H3462" s="2" t="s">
        <v>11051</v>
      </c>
      <c r="I3462" s="2" t="s">
        <v>11144</v>
      </c>
      <c r="J3462" s="2" t="s">
        <v>10811</v>
      </c>
      <c r="K3462" s="2" t="s">
        <v>96</v>
      </c>
      <c r="L3462" s="3">
        <v>14.1</v>
      </c>
      <c r="M3462" s="3">
        <v>14.8</v>
      </c>
      <c r="N3462" s="3">
        <v>29.99</v>
      </c>
      <c r="O3462" s="2" t="s">
        <v>97</v>
      </c>
      <c r="P3462" s="2" t="s">
        <v>98</v>
      </c>
      <c r="Q3462" s="2" t="s">
        <v>99</v>
      </c>
      <c r="R3462" s="2" t="s">
        <v>100</v>
      </c>
      <c r="S3462" s="2" t="s">
        <v>11062</v>
      </c>
      <c r="T3462" s="2" t="s">
        <v>100</v>
      </c>
      <c r="U3462" s="2" t="s">
        <v>100</v>
      </c>
      <c r="V3462" s="2" t="s">
        <v>473</v>
      </c>
      <c r="W3462" s="2" t="s">
        <v>142</v>
      </c>
      <c r="X3462" s="2" t="s">
        <v>10999</v>
      </c>
      <c r="Y3462" s="2" t="s">
        <v>144</v>
      </c>
      <c r="Z3462" s="4">
        <v>194</v>
      </c>
      <c r="AA3462" s="4">
        <f>=ROUNDDOWN(26.2162162162162,0)</f>
      </c>
      <c r="AB3462" s="5">
        <v>7.4</v>
      </c>
      <c r="AC3462" s="2" t="s">
        <v>389</v>
      </c>
      <c r="AD3462" s="4">
        <v>152</v>
      </c>
      <c r="AE3462" s="4">
        <v>152</v>
      </c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/>
      <c r="AQ3462" s="8"/>
      <c r="AR3462" s="4"/>
      <c r="AS3462" s="8"/>
      <c r="AT3462" s="7"/>
      <c r="AU3462" s="7"/>
      <c r="AV3462" s="4"/>
      <c r="AW3462" s="8"/>
      <c r="AX3462" s="4"/>
      <c r="AY3462" s="8"/>
      <c r="AZ3462" s="7"/>
      <c r="BA3462" s="7"/>
      <c r="BB3462" s="7"/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/>
      <c r="BJ3462" s="4">
        <v>19</v>
      </c>
      <c r="BK3462" s="8">
        <v>241.71</v>
      </c>
      <c r="BL3462" s="2" t="s">
        <v>10035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109</v>
      </c>
      <c r="BV3462" s="2" t="s">
        <v>97</v>
      </c>
      <c r="BW3462" s="2" t="s">
        <v>159</v>
      </c>
      <c r="BX3462" s="2" t="s">
        <v>11145</v>
      </c>
      <c r="BY3462" s="2" t="s">
        <v>112</v>
      </c>
      <c r="BZ3462" s="2" t="s">
        <v>149</v>
      </c>
    </row>
    <row r="3463">
      <c r="A3463" s="2" t="s">
        <v>11146</v>
      </c>
      <c r="B3463" s="2" t="s">
        <v>10807</v>
      </c>
      <c r="C3463" s="2" t="s">
        <v>88</v>
      </c>
      <c r="D3463" s="2" t="s">
        <v>2572</v>
      </c>
      <c r="E3463" s="2" t="s">
        <v>10999</v>
      </c>
      <c r="F3463" s="2" t="s">
        <v>11049</v>
      </c>
      <c r="G3463" s="2" t="s">
        <v>11050</v>
      </c>
      <c r="H3463" s="2" t="s">
        <v>11051</v>
      </c>
      <c r="I3463" s="2" t="s">
        <v>11144</v>
      </c>
      <c r="J3463" s="2" t="s">
        <v>10811</v>
      </c>
      <c r="K3463" s="2" t="s">
        <v>1373</v>
      </c>
      <c r="L3463" s="3">
        <v>14.1</v>
      </c>
      <c r="M3463" s="3">
        <v>14.8</v>
      </c>
      <c r="N3463" s="3">
        <v>29.99</v>
      </c>
      <c r="O3463" s="2" t="s">
        <v>97</v>
      </c>
      <c r="P3463" s="2" t="s">
        <v>98</v>
      </c>
      <c r="Q3463" s="2" t="s">
        <v>99</v>
      </c>
      <c r="R3463" s="2" t="s">
        <v>100</v>
      </c>
      <c r="S3463" s="2" t="s">
        <v>11054</v>
      </c>
      <c r="T3463" s="2" t="s">
        <v>100</v>
      </c>
      <c r="U3463" s="2" t="s">
        <v>100</v>
      </c>
      <c r="V3463" s="2" t="s">
        <v>473</v>
      </c>
      <c r="W3463" s="2" t="s">
        <v>142</v>
      </c>
      <c r="X3463" s="2" t="s">
        <v>10999</v>
      </c>
      <c r="Y3463" s="2" t="s">
        <v>144</v>
      </c>
      <c r="Z3463" s="4">
        <v>93</v>
      </c>
      <c r="AA3463" s="4">
        <f>=ROUNDDOWN(15.5,0)</f>
      </c>
      <c r="AB3463" s="5">
        <v>6</v>
      </c>
      <c r="AC3463" s="2" t="s">
        <v>4620</v>
      </c>
      <c r="AD3463" s="4">
        <v>200</v>
      </c>
      <c r="AE3463" s="4">
        <v>332</v>
      </c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/>
      <c r="AQ3463" s="8"/>
      <c r="AR3463" s="4"/>
      <c r="AS3463" s="8"/>
      <c r="AT3463" s="7"/>
      <c r="AU3463" s="7"/>
      <c r="AV3463" s="4" t="s">
        <v>100</v>
      </c>
      <c r="AW3463" s="8" t="s">
        <v>100</v>
      </c>
      <c r="AX3463" s="4" t="s">
        <v>100</v>
      </c>
      <c r="AY3463" s="8" t="s">
        <v>100</v>
      </c>
      <c r="AZ3463" s="7" t="s">
        <v>100</v>
      </c>
      <c r="BA3463" s="7" t="s">
        <v>100</v>
      </c>
      <c r="BB3463" s="7"/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/>
      <c r="BJ3463" s="4">
        <v>17</v>
      </c>
      <c r="BK3463" s="8">
        <v>199.95</v>
      </c>
      <c r="BL3463" s="2" t="s">
        <v>11147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109</v>
      </c>
      <c r="BV3463" s="2" t="s">
        <v>97</v>
      </c>
      <c r="BW3463" s="2" t="s">
        <v>159</v>
      </c>
      <c r="BX3463" s="2" t="s">
        <v>371</v>
      </c>
      <c r="BY3463" s="2" t="s">
        <v>112</v>
      </c>
      <c r="BZ3463" s="2" t="s">
        <v>149</v>
      </c>
    </row>
    <row r="3464">
      <c r="A3464" s="2" t="s">
        <v>11148</v>
      </c>
      <c r="B3464" s="2" t="s">
        <v>10807</v>
      </c>
      <c r="C3464" s="2" t="s">
        <v>88</v>
      </c>
      <c r="D3464" s="2" t="s">
        <v>2572</v>
      </c>
      <c r="E3464" s="2" t="s">
        <v>10999</v>
      </c>
      <c r="F3464" s="2" t="s">
        <v>11049</v>
      </c>
      <c r="G3464" s="2" t="s">
        <v>11050</v>
      </c>
      <c r="H3464" s="2" t="s">
        <v>11051</v>
      </c>
      <c r="I3464" s="2" t="s">
        <v>11144</v>
      </c>
      <c r="J3464" s="2" t="s">
        <v>10818</v>
      </c>
      <c r="K3464" s="2" t="s">
        <v>1373</v>
      </c>
      <c r="L3464" s="3">
        <v>16.45</v>
      </c>
      <c r="M3464" s="3">
        <v>17.27</v>
      </c>
      <c r="N3464" s="3">
        <v>34.99</v>
      </c>
      <c r="O3464" s="2" t="s">
        <v>97</v>
      </c>
      <c r="P3464" s="2" t="s">
        <v>98</v>
      </c>
      <c r="Q3464" s="2" t="s">
        <v>99</v>
      </c>
      <c r="R3464" s="2" t="s">
        <v>100</v>
      </c>
      <c r="S3464" s="2" t="s">
        <v>11054</v>
      </c>
      <c r="T3464" s="2" t="s">
        <v>100</v>
      </c>
      <c r="U3464" s="2" t="s">
        <v>100</v>
      </c>
      <c r="V3464" s="2" t="s">
        <v>473</v>
      </c>
      <c r="W3464" s="2" t="s">
        <v>142</v>
      </c>
      <c r="X3464" s="2" t="s">
        <v>10999</v>
      </c>
      <c r="Y3464" s="2" t="s">
        <v>144</v>
      </c>
      <c r="Z3464" s="4">
        <v>124</v>
      </c>
      <c r="AA3464" s="4">
        <f>=ROUNDDOWN(41.3333333333333,0)</f>
      </c>
      <c r="AB3464" s="5">
        <v>3</v>
      </c>
      <c r="AC3464" s="2" t="s">
        <v>4620</v>
      </c>
      <c r="AD3464" s="4">
        <v>92</v>
      </c>
      <c r="AE3464" s="4">
        <v>92</v>
      </c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/>
      <c r="AQ3464" s="8"/>
      <c r="AR3464" s="4"/>
      <c r="AS3464" s="8"/>
      <c r="AT3464" s="7"/>
      <c r="AU3464" s="7"/>
      <c r="AV3464" s="4" t="s">
        <v>100</v>
      </c>
      <c r="AW3464" s="8" t="s">
        <v>100</v>
      </c>
      <c r="AX3464" s="4" t="s">
        <v>100</v>
      </c>
      <c r="AY3464" s="8" t="s">
        <v>100</v>
      </c>
      <c r="AZ3464" s="7" t="s">
        <v>100</v>
      </c>
      <c r="BA3464" s="7" t="s">
        <v>100</v>
      </c>
      <c r="BB3464" s="7"/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/>
      <c r="BJ3464" s="4">
        <v>2</v>
      </c>
      <c r="BK3464" s="8">
        <v>33.14</v>
      </c>
      <c r="BL3464" s="2" t="s">
        <v>6840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109</v>
      </c>
      <c r="BV3464" s="2" t="s">
        <v>97</v>
      </c>
      <c r="BW3464" s="2" t="s">
        <v>159</v>
      </c>
      <c r="BX3464" s="2" t="s">
        <v>11149</v>
      </c>
      <c r="BY3464" s="2" t="s">
        <v>112</v>
      </c>
      <c r="BZ3464" s="2" t="s">
        <v>100</v>
      </c>
    </row>
    <row r="3465">
      <c r="A3465" s="2" t="s">
        <v>11150</v>
      </c>
      <c r="B3465" s="2" t="s">
        <v>10807</v>
      </c>
      <c r="C3465" s="2" t="s">
        <v>88</v>
      </c>
      <c r="D3465" s="2" t="s">
        <v>2572</v>
      </c>
      <c r="E3465" s="2" t="s">
        <v>10999</v>
      </c>
      <c r="F3465" s="2" t="s">
        <v>11049</v>
      </c>
      <c r="G3465" s="2" t="s">
        <v>11050</v>
      </c>
      <c r="H3465" s="2" t="s">
        <v>11051</v>
      </c>
      <c r="I3465" s="2" t="s">
        <v>11144</v>
      </c>
      <c r="J3465" s="2" t="s">
        <v>10818</v>
      </c>
      <c r="K3465" s="2" t="s">
        <v>458</v>
      </c>
      <c r="L3465" s="3">
        <v>16.45</v>
      </c>
      <c r="M3465" s="3">
        <v>17.27</v>
      </c>
      <c r="N3465" s="3">
        <v>34.99</v>
      </c>
      <c r="O3465" s="2" t="s">
        <v>97</v>
      </c>
      <c r="P3465" s="2" t="s">
        <v>98</v>
      </c>
      <c r="Q3465" s="2" t="s">
        <v>99</v>
      </c>
      <c r="R3465" s="2" t="s">
        <v>100</v>
      </c>
      <c r="S3465" s="2" t="s">
        <v>11064</v>
      </c>
      <c r="T3465" s="2" t="s">
        <v>100</v>
      </c>
      <c r="U3465" s="2" t="s">
        <v>100</v>
      </c>
      <c r="V3465" s="2" t="s">
        <v>473</v>
      </c>
      <c r="W3465" s="2" t="s">
        <v>142</v>
      </c>
      <c r="X3465" s="2" t="s">
        <v>10999</v>
      </c>
      <c r="Y3465" s="2" t="s">
        <v>144</v>
      </c>
      <c r="Z3465" s="4">
        <v>159</v>
      </c>
      <c r="AA3465" s="4">
        <f>=ROUNDDOWN(39.75,0)</f>
      </c>
      <c r="AB3465" s="5">
        <v>4</v>
      </c>
      <c r="AC3465" s="2" t="s">
        <v>100</v>
      </c>
      <c r="AD3465" s="4"/>
      <c r="AE3465" s="4"/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/>
      <c r="AQ3465" s="8"/>
      <c r="AR3465" s="4"/>
      <c r="AS3465" s="8"/>
      <c r="AT3465" s="7"/>
      <c r="AU3465" s="7"/>
      <c r="AV3465" s="4"/>
      <c r="AW3465" s="8"/>
      <c r="AX3465" s="4"/>
      <c r="AY3465" s="8"/>
      <c r="AZ3465" s="7"/>
      <c r="BA3465" s="7"/>
      <c r="BB3465" s="7"/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/>
      <c r="BJ3465" s="4">
        <v>17</v>
      </c>
      <c r="BK3465" s="8">
        <v>257.45</v>
      </c>
      <c r="BL3465" s="2" t="s">
        <v>11151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109</v>
      </c>
      <c r="BV3465" s="2" t="s">
        <v>97</v>
      </c>
      <c r="BW3465" s="2" t="s">
        <v>159</v>
      </c>
      <c r="BX3465" s="2" t="s">
        <v>11152</v>
      </c>
      <c r="BY3465" s="2" t="s">
        <v>112</v>
      </c>
      <c r="BZ3465" s="2" t="s">
        <v>149</v>
      </c>
    </row>
    <row r="3466">
      <c r="A3466" s="2" t="s">
        <v>11153</v>
      </c>
      <c r="B3466" s="2" t="s">
        <v>10807</v>
      </c>
      <c r="C3466" s="2" t="s">
        <v>88</v>
      </c>
      <c r="D3466" s="2" t="s">
        <v>2572</v>
      </c>
      <c r="E3466" s="2" t="s">
        <v>10999</v>
      </c>
      <c r="F3466" s="2" t="s">
        <v>11049</v>
      </c>
      <c r="G3466" s="2" t="s">
        <v>11050</v>
      </c>
      <c r="H3466" s="2" t="s">
        <v>11051</v>
      </c>
      <c r="I3466" s="2" t="s">
        <v>11144</v>
      </c>
      <c r="J3466" s="2" t="s">
        <v>10811</v>
      </c>
      <c r="K3466" s="2" t="s">
        <v>2686</v>
      </c>
      <c r="L3466" s="3">
        <v>14.1</v>
      </c>
      <c r="M3466" s="3">
        <v>14.8</v>
      </c>
      <c r="N3466" s="3">
        <v>29.99</v>
      </c>
      <c r="O3466" s="2" t="s">
        <v>97</v>
      </c>
      <c r="P3466" s="2" t="s">
        <v>98</v>
      </c>
      <c r="Q3466" s="2" t="s">
        <v>99</v>
      </c>
      <c r="R3466" s="2" t="s">
        <v>100</v>
      </c>
      <c r="S3466" s="2" t="s">
        <v>11068</v>
      </c>
      <c r="T3466" s="2" t="s">
        <v>100</v>
      </c>
      <c r="U3466" s="2" t="s">
        <v>100</v>
      </c>
      <c r="V3466" s="2" t="s">
        <v>473</v>
      </c>
      <c r="W3466" s="2" t="s">
        <v>142</v>
      </c>
      <c r="X3466" s="2" t="s">
        <v>10999</v>
      </c>
      <c r="Y3466" s="2" t="s">
        <v>144</v>
      </c>
      <c r="Z3466" s="4">
        <v>256</v>
      </c>
      <c r="AA3466" s="4">
        <f>=ROUNDDOWN(28.4444444444444,0)</f>
      </c>
      <c r="AB3466" s="5">
        <v>9</v>
      </c>
      <c r="AC3466" s="2" t="s">
        <v>4620</v>
      </c>
      <c r="AD3466" s="4">
        <v>152</v>
      </c>
      <c r="AE3466" s="4">
        <v>152</v>
      </c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/>
      <c r="AQ3466" s="8"/>
      <c r="AR3466" s="4"/>
      <c r="AS3466" s="8"/>
      <c r="AT3466" s="7"/>
      <c r="AU3466" s="7"/>
      <c r="AV3466" s="4"/>
      <c r="AW3466" s="8"/>
      <c r="AX3466" s="4"/>
      <c r="AY3466" s="8"/>
      <c r="AZ3466" s="7"/>
      <c r="BA3466" s="7"/>
      <c r="BB3466" s="7"/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/>
      <c r="BJ3466" s="4">
        <v>54</v>
      </c>
      <c r="BK3466" s="8">
        <v>680.72</v>
      </c>
      <c r="BL3466" s="2" t="s">
        <v>11154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109</v>
      </c>
      <c r="BV3466" s="2" t="s">
        <v>97</v>
      </c>
      <c r="BW3466" s="2" t="s">
        <v>159</v>
      </c>
      <c r="BX3466" s="2" t="s">
        <v>11076</v>
      </c>
      <c r="BY3466" s="2" t="s">
        <v>112</v>
      </c>
      <c r="BZ3466" s="2" t="s">
        <v>149</v>
      </c>
    </row>
    <row r="3467">
      <c r="A3467" s="2" t="s">
        <v>11155</v>
      </c>
      <c r="B3467" s="2" t="s">
        <v>10807</v>
      </c>
      <c r="C3467" s="2" t="s">
        <v>88</v>
      </c>
      <c r="D3467" s="2" t="s">
        <v>2572</v>
      </c>
      <c r="E3467" s="2" t="s">
        <v>10999</v>
      </c>
      <c r="F3467" s="2" t="s">
        <v>11156</v>
      </c>
      <c r="G3467" s="2" t="s">
        <v>11157</v>
      </c>
      <c r="H3467" s="2" t="s">
        <v>11158</v>
      </c>
      <c r="I3467" s="2" t="s">
        <v>11159</v>
      </c>
      <c r="J3467" s="2" t="s">
        <v>10868</v>
      </c>
      <c r="K3467" s="2" t="s">
        <v>446</v>
      </c>
      <c r="L3467" s="3">
        <v>11.88</v>
      </c>
      <c r="M3467" s="3">
        <v>12.47</v>
      </c>
      <c r="N3467" s="3">
        <v>26.99</v>
      </c>
      <c r="O3467" s="2" t="s">
        <v>97</v>
      </c>
      <c r="P3467" s="2" t="s">
        <v>98</v>
      </c>
      <c r="Q3467" s="2" t="s">
        <v>99</v>
      </c>
      <c r="R3467" s="2" t="s">
        <v>100</v>
      </c>
      <c r="S3467" s="2" t="s">
        <v>11160</v>
      </c>
      <c r="T3467" s="2" t="s">
        <v>100</v>
      </c>
      <c r="U3467" s="2" t="s">
        <v>1776</v>
      </c>
      <c r="V3467" s="2" t="s">
        <v>717</v>
      </c>
      <c r="W3467" s="2" t="s">
        <v>717</v>
      </c>
      <c r="X3467" s="2" t="s">
        <v>10999</v>
      </c>
      <c r="Y3467" s="2" t="s">
        <v>9578</v>
      </c>
      <c r="Z3467" s="4">
        <v>209</v>
      </c>
      <c r="AA3467" s="4">
        <f>=ROUNDDOWN(14.822695035461,0)</f>
      </c>
      <c r="AB3467" s="5">
        <v>14.1</v>
      </c>
      <c r="AC3467" s="2" t="s">
        <v>2690</v>
      </c>
      <c r="AD3467" s="4">
        <v>160</v>
      </c>
      <c r="AE3467" s="4">
        <v>160</v>
      </c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>
        <v>0</v>
      </c>
      <c r="AP3467" s="4"/>
      <c r="AQ3467" s="8"/>
      <c r="AR3467" s="4"/>
      <c r="AS3467" s="8"/>
      <c r="AT3467" s="7"/>
      <c r="AU3467" s="7"/>
      <c r="AV3467" s="4" t="s">
        <v>100</v>
      </c>
      <c r="AW3467" s="8" t="s">
        <v>100</v>
      </c>
      <c r="AX3467" s="4" t="s">
        <v>100</v>
      </c>
      <c r="AY3467" s="8" t="s">
        <v>100</v>
      </c>
      <c r="AZ3467" s="7" t="s">
        <v>100</v>
      </c>
      <c r="BA3467" s="7" t="s">
        <v>100</v>
      </c>
      <c r="BB3467" s="7"/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/>
      <c r="BJ3467" s="4">
        <v>36</v>
      </c>
      <c r="BK3467" s="8">
        <v>457.62</v>
      </c>
      <c r="BL3467" s="2" t="s">
        <v>1657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171</v>
      </c>
      <c r="BV3467" s="2" t="s">
        <v>97</v>
      </c>
      <c r="BW3467" s="2" t="s">
        <v>100</v>
      </c>
      <c r="BX3467" s="2" t="s">
        <v>100</v>
      </c>
      <c r="BY3467" s="2" t="s">
        <v>112</v>
      </c>
      <c r="BZ3467" s="2" t="s">
        <v>149</v>
      </c>
    </row>
    <row r="3468">
      <c r="A3468" s="2" t="s">
        <v>11161</v>
      </c>
      <c r="B3468" s="2" t="s">
        <v>10807</v>
      </c>
      <c r="C3468" s="2" t="s">
        <v>88</v>
      </c>
      <c r="D3468" s="2" t="s">
        <v>2572</v>
      </c>
      <c r="E3468" s="2" t="s">
        <v>10999</v>
      </c>
      <c r="F3468" s="2" t="s">
        <v>11156</v>
      </c>
      <c r="G3468" s="2" t="s">
        <v>11157</v>
      </c>
      <c r="H3468" s="2" t="s">
        <v>11158</v>
      </c>
      <c r="I3468" s="2" t="s">
        <v>11159</v>
      </c>
      <c r="J3468" s="2" t="s">
        <v>10811</v>
      </c>
      <c r="K3468" s="2" t="s">
        <v>446</v>
      </c>
      <c r="L3468" s="3">
        <v>14.19</v>
      </c>
      <c r="M3468" s="3">
        <v>14.9</v>
      </c>
      <c r="N3468" s="3">
        <v>32.99</v>
      </c>
      <c r="O3468" s="2" t="s">
        <v>97</v>
      </c>
      <c r="P3468" s="2" t="s">
        <v>98</v>
      </c>
      <c r="Q3468" s="2" t="s">
        <v>99</v>
      </c>
      <c r="R3468" s="2" t="s">
        <v>100</v>
      </c>
      <c r="S3468" s="2" t="s">
        <v>11160</v>
      </c>
      <c r="T3468" s="2" t="s">
        <v>100</v>
      </c>
      <c r="U3468" s="2" t="s">
        <v>1776</v>
      </c>
      <c r="V3468" s="2" t="s">
        <v>717</v>
      </c>
      <c r="W3468" s="2" t="s">
        <v>717</v>
      </c>
      <c r="X3468" s="2" t="s">
        <v>10999</v>
      </c>
      <c r="Y3468" s="2" t="s">
        <v>9578</v>
      </c>
      <c r="Z3468" s="4">
        <v>499</v>
      </c>
      <c r="AA3468" s="4">
        <f>=ROUNDDOWN(12.9947916666667,0)</f>
      </c>
      <c r="AB3468" s="5">
        <v>38.4</v>
      </c>
      <c r="AC3468" s="2" t="s">
        <v>2690</v>
      </c>
      <c r="AD3468" s="4">
        <v>628</v>
      </c>
      <c r="AE3468" s="4">
        <v>628</v>
      </c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/>
      <c r="AQ3468" s="8"/>
      <c r="AR3468" s="4"/>
      <c r="AS3468" s="8"/>
      <c r="AT3468" s="7"/>
      <c r="AU3468" s="7"/>
      <c r="AV3468" s="4" t="s">
        <v>100</v>
      </c>
      <c r="AW3468" s="8" t="s">
        <v>100</v>
      </c>
      <c r="AX3468" s="4" t="s">
        <v>100</v>
      </c>
      <c r="AY3468" s="8" t="s">
        <v>100</v>
      </c>
      <c r="AZ3468" s="7" t="s">
        <v>100</v>
      </c>
      <c r="BA3468" s="7" t="s">
        <v>100</v>
      </c>
      <c r="BB3468" s="7"/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/>
      <c r="BJ3468" s="4">
        <v>94</v>
      </c>
      <c r="BK3468" s="8">
        <v>1406.2</v>
      </c>
      <c r="BL3468" s="2" t="s">
        <v>1657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171</v>
      </c>
      <c r="BV3468" s="2" t="s">
        <v>97</v>
      </c>
      <c r="BW3468" s="2" t="s">
        <v>100</v>
      </c>
      <c r="BX3468" s="2" t="s">
        <v>100</v>
      </c>
      <c r="BY3468" s="2" t="s">
        <v>112</v>
      </c>
      <c r="BZ3468" s="2" t="s">
        <v>149</v>
      </c>
    </row>
    <row r="3469">
      <c r="A3469" s="2" t="s">
        <v>11162</v>
      </c>
      <c r="B3469" s="2" t="s">
        <v>10807</v>
      </c>
      <c r="C3469" s="2" t="s">
        <v>88</v>
      </c>
      <c r="D3469" s="2" t="s">
        <v>2572</v>
      </c>
      <c r="E3469" s="2" t="s">
        <v>10999</v>
      </c>
      <c r="F3469" s="2" t="s">
        <v>11156</v>
      </c>
      <c r="G3469" s="2" t="s">
        <v>11157</v>
      </c>
      <c r="H3469" s="2" t="s">
        <v>11158</v>
      </c>
      <c r="I3469" s="2" t="s">
        <v>11159</v>
      </c>
      <c r="J3469" s="2" t="s">
        <v>10818</v>
      </c>
      <c r="K3469" s="2" t="s">
        <v>446</v>
      </c>
      <c r="L3469" s="3">
        <v>15.91</v>
      </c>
      <c r="M3469" s="3">
        <v>16.71</v>
      </c>
      <c r="N3469" s="3">
        <v>36.99</v>
      </c>
      <c r="O3469" s="2" t="s">
        <v>97</v>
      </c>
      <c r="P3469" s="2" t="s">
        <v>98</v>
      </c>
      <c r="Q3469" s="2" t="s">
        <v>99</v>
      </c>
      <c r="R3469" s="2" t="s">
        <v>100</v>
      </c>
      <c r="S3469" s="2" t="s">
        <v>11160</v>
      </c>
      <c r="T3469" s="2" t="s">
        <v>100</v>
      </c>
      <c r="U3469" s="2" t="s">
        <v>1776</v>
      </c>
      <c r="V3469" s="2" t="s">
        <v>717</v>
      </c>
      <c r="W3469" s="2" t="s">
        <v>717</v>
      </c>
      <c r="X3469" s="2" t="s">
        <v>10999</v>
      </c>
      <c r="Y3469" s="2" t="s">
        <v>9578</v>
      </c>
      <c r="Z3469" s="4">
        <v>266</v>
      </c>
      <c r="AA3469" s="4">
        <f>=ROUNDDOWN(38,0)</f>
      </c>
      <c r="AB3469" s="5">
        <v>7</v>
      </c>
      <c r="AC3469" s="2" t="s">
        <v>2690</v>
      </c>
      <c r="AD3469" s="4">
        <v>224</v>
      </c>
      <c r="AE3469" s="4">
        <v>224</v>
      </c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/>
      <c r="AQ3469" s="8"/>
      <c r="AR3469" s="4"/>
      <c r="AS3469" s="8"/>
      <c r="AT3469" s="7"/>
      <c r="AU3469" s="7"/>
      <c r="AV3469" s="4" t="s">
        <v>100</v>
      </c>
      <c r="AW3469" s="8" t="s">
        <v>100</v>
      </c>
      <c r="AX3469" s="4" t="s">
        <v>100</v>
      </c>
      <c r="AY3469" s="8" t="s">
        <v>100</v>
      </c>
      <c r="AZ3469" s="7" t="s">
        <v>100</v>
      </c>
      <c r="BA3469" s="7" t="s">
        <v>100</v>
      </c>
      <c r="BB3469" s="7"/>
      <c r="BC3469" s="4" t="s">
        <v>100</v>
      </c>
      <c r="BD3469" s="8" t="s">
        <v>100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/>
      <c r="BJ3469" s="4">
        <v>25</v>
      </c>
      <c r="BK3469" s="8">
        <v>426.37</v>
      </c>
      <c r="BL3469" s="2" t="s">
        <v>11163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171</v>
      </c>
      <c r="BV3469" s="2" t="s">
        <v>97</v>
      </c>
      <c r="BW3469" s="2" t="s">
        <v>100</v>
      </c>
      <c r="BX3469" s="2" t="s">
        <v>100</v>
      </c>
      <c r="BY3469" s="2" t="s">
        <v>112</v>
      </c>
      <c r="BZ3469" s="2" t="s">
        <v>149</v>
      </c>
    </row>
    <row r="3470">
      <c r="A3470" s="2" t="s">
        <v>11164</v>
      </c>
      <c r="B3470" s="2" t="s">
        <v>10807</v>
      </c>
      <c r="C3470" s="2" t="s">
        <v>88</v>
      </c>
      <c r="D3470" s="2" t="s">
        <v>2572</v>
      </c>
      <c r="E3470" s="2" t="s">
        <v>11165</v>
      </c>
      <c r="F3470" s="2" t="s">
        <v>812</v>
      </c>
      <c r="G3470" s="2" t="s">
        <v>813</v>
      </c>
      <c r="H3470" s="2" t="s">
        <v>814</v>
      </c>
      <c r="I3470" s="2" t="s">
        <v>11166</v>
      </c>
      <c r="J3470" s="2" t="s">
        <v>10921</v>
      </c>
      <c r="K3470" s="2" t="s">
        <v>1676</v>
      </c>
      <c r="L3470" s="3">
        <v>31.5</v>
      </c>
      <c r="M3470" s="3">
        <v>33.08</v>
      </c>
      <c r="N3470" s="3">
        <v>69.99</v>
      </c>
      <c r="O3470" s="2" t="s">
        <v>97</v>
      </c>
      <c r="P3470" s="2" t="s">
        <v>156</v>
      </c>
      <c r="Q3470" s="2" t="s">
        <v>99</v>
      </c>
      <c r="R3470" s="2" t="s">
        <v>100</v>
      </c>
      <c r="S3470" s="2" t="s">
        <v>1677</v>
      </c>
      <c r="T3470" s="2" t="s">
        <v>100</v>
      </c>
      <c r="U3470" s="2" t="s">
        <v>100</v>
      </c>
      <c r="V3470" s="2" t="s">
        <v>401</v>
      </c>
      <c r="W3470" s="2" t="s">
        <v>104</v>
      </c>
      <c r="X3470" s="2" t="s">
        <v>10813</v>
      </c>
      <c r="Y3470" s="2" t="s">
        <v>144</v>
      </c>
      <c r="Z3470" s="4">
        <v>177</v>
      </c>
      <c r="AA3470" s="4">
        <f>=ROUNDDOWN(22.125,0)</f>
      </c>
      <c r="AB3470" s="5">
        <v>8</v>
      </c>
      <c r="AC3470" s="2" t="s">
        <v>903</v>
      </c>
      <c r="AD3470" s="4">
        <v>68</v>
      </c>
      <c r="AE3470" s="4">
        <v>220</v>
      </c>
      <c r="AF3470" s="6">
        <v>66</v>
      </c>
      <c r="AG3470" s="6"/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>
        <v>0</v>
      </c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/>
      <c r="BJ3470" s="4">
        <v>23</v>
      </c>
      <c r="BK3470" s="8">
        <v>808.58</v>
      </c>
      <c r="BL3470" s="2" t="s">
        <v>11167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109</v>
      </c>
      <c r="BV3470" s="2" t="s">
        <v>97</v>
      </c>
      <c r="BW3470" s="2" t="s">
        <v>159</v>
      </c>
      <c r="BX3470" s="2" t="s">
        <v>4177</v>
      </c>
      <c r="BY3470" s="2" t="s">
        <v>112</v>
      </c>
      <c r="BZ3470" s="2" t="s">
        <v>149</v>
      </c>
    </row>
    <row r="3471">
      <c r="A3471" s="2" t="s">
        <v>11168</v>
      </c>
      <c r="B3471" s="2" t="s">
        <v>10807</v>
      </c>
      <c r="C3471" s="2" t="s">
        <v>88</v>
      </c>
      <c r="D3471" s="2" t="s">
        <v>2572</v>
      </c>
      <c r="E3471" s="2" t="s">
        <v>11165</v>
      </c>
      <c r="F3471" s="2" t="s">
        <v>812</v>
      </c>
      <c r="G3471" s="2" t="s">
        <v>813</v>
      </c>
      <c r="H3471" s="2" t="s">
        <v>814</v>
      </c>
      <c r="I3471" s="2" t="s">
        <v>11166</v>
      </c>
      <c r="J3471" s="2" t="s">
        <v>10818</v>
      </c>
      <c r="K3471" s="2" t="s">
        <v>223</v>
      </c>
      <c r="L3471" s="3">
        <v>29.9</v>
      </c>
      <c r="M3471" s="3">
        <v>31.4</v>
      </c>
      <c r="N3471" s="3">
        <v>64.99</v>
      </c>
      <c r="O3471" s="2" t="s">
        <v>97</v>
      </c>
      <c r="P3471" s="2" t="s">
        <v>123</v>
      </c>
      <c r="Q3471" s="2" t="s">
        <v>99</v>
      </c>
      <c r="R3471" s="2" t="s">
        <v>100</v>
      </c>
      <c r="S3471" s="2" t="s">
        <v>831</v>
      </c>
      <c r="T3471" s="2" t="s">
        <v>100</v>
      </c>
      <c r="U3471" s="2" t="s">
        <v>100</v>
      </c>
      <c r="V3471" s="2" t="s">
        <v>401</v>
      </c>
      <c r="W3471" s="2" t="s">
        <v>104</v>
      </c>
      <c r="X3471" s="2" t="s">
        <v>10813</v>
      </c>
      <c r="Y3471" s="2" t="s">
        <v>4853</v>
      </c>
      <c r="Z3471" s="4">
        <v>183</v>
      </c>
      <c r="AA3471" s="4">
        <f>=ROUNDDOWN(16.6363636363636,0)</f>
      </c>
      <c r="AB3471" s="5">
        <v>11</v>
      </c>
      <c r="AC3471" s="2" t="s">
        <v>990</v>
      </c>
      <c r="AD3471" s="4">
        <v>180</v>
      </c>
      <c r="AE3471" s="4">
        <v>360</v>
      </c>
      <c r="AF3471" s="6">
        <v>66</v>
      </c>
      <c r="AG3471" s="6"/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100</v>
      </c>
      <c r="BD3471" s="8" t="s">
        <v>100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/>
      <c r="BJ3471" s="4">
        <v>19</v>
      </c>
      <c r="BK3471" s="8">
        <v>610.58</v>
      </c>
      <c r="BL3471" s="2" t="s">
        <v>4259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109</v>
      </c>
      <c r="BV3471" s="2" t="s">
        <v>97</v>
      </c>
      <c r="BW3471" s="2" t="s">
        <v>11056</v>
      </c>
      <c r="BX3471" s="2" t="s">
        <v>11169</v>
      </c>
      <c r="BY3471" s="2" t="s">
        <v>112</v>
      </c>
      <c r="BZ3471" s="2" t="s">
        <v>149</v>
      </c>
    </row>
    <row r="3472">
      <c r="A3472" s="2" t="s">
        <v>11170</v>
      </c>
      <c r="B3472" s="2" t="s">
        <v>10807</v>
      </c>
      <c r="C3472" s="2" t="s">
        <v>88</v>
      </c>
      <c r="D3472" s="2" t="s">
        <v>2572</v>
      </c>
      <c r="E3472" s="2" t="s">
        <v>11165</v>
      </c>
      <c r="F3472" s="2" t="s">
        <v>852</v>
      </c>
      <c r="G3472" s="2" t="s">
        <v>977</v>
      </c>
      <c r="H3472" s="2" t="s">
        <v>10841</v>
      </c>
      <c r="I3472" s="2" t="s">
        <v>11171</v>
      </c>
      <c r="J3472" s="2" t="s">
        <v>10997</v>
      </c>
      <c r="K3472" s="2" t="s">
        <v>458</v>
      </c>
      <c r="L3472" s="3">
        <v>28.5</v>
      </c>
      <c r="M3472" s="3">
        <v>29.93</v>
      </c>
      <c r="N3472" s="3">
        <v>69.99</v>
      </c>
      <c r="O3472" s="2" t="s">
        <v>97</v>
      </c>
      <c r="P3472" s="2" t="s">
        <v>98</v>
      </c>
      <c r="Q3472" s="2" t="s">
        <v>99</v>
      </c>
      <c r="R3472" s="2" t="s">
        <v>100</v>
      </c>
      <c r="S3472" s="2" t="s">
        <v>10844</v>
      </c>
      <c r="T3472" s="2" t="s">
        <v>100</v>
      </c>
      <c r="U3472" s="2" t="s">
        <v>894</v>
      </c>
      <c r="V3472" s="2" t="s">
        <v>461</v>
      </c>
      <c r="W3472" s="2" t="s">
        <v>142</v>
      </c>
      <c r="X3472" s="2" t="s">
        <v>11172</v>
      </c>
      <c r="Y3472" s="2" t="s">
        <v>11173</v>
      </c>
      <c r="Z3472" s="4">
        <v>422</v>
      </c>
      <c r="AA3472" s="4">
        <f>=ROUNDDOWN(43.0612244897959,0)</f>
      </c>
      <c r="AB3472" s="5">
        <v>9.8</v>
      </c>
      <c r="AC3472" s="2" t="s">
        <v>1142</v>
      </c>
      <c r="AD3472" s="4">
        <v>100</v>
      </c>
      <c r="AE3472" s="4">
        <v>100</v>
      </c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/>
      <c r="BD3472" s="8"/>
      <c r="BE3472" s="4"/>
      <c r="BF3472" s="8"/>
      <c r="BG3472" s="7"/>
      <c r="BH3472" s="7"/>
      <c r="BI3472" s="7"/>
      <c r="BJ3472" s="4">
        <v>5</v>
      </c>
      <c r="BK3472" s="8">
        <v>163.4</v>
      </c>
      <c r="BL3472" s="2" t="s">
        <v>11174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171</v>
      </c>
      <c r="BV3472" s="2" t="s">
        <v>97</v>
      </c>
      <c r="BW3472" s="2" t="s">
        <v>100</v>
      </c>
      <c r="BX3472" s="2" t="s">
        <v>100</v>
      </c>
      <c r="BY3472" s="2" t="s">
        <v>112</v>
      </c>
      <c r="BZ3472" s="2" t="s">
        <v>149</v>
      </c>
    </row>
    <row r="3473">
      <c r="A3473" s="2" t="s">
        <v>11175</v>
      </c>
      <c r="B3473" s="2" t="s">
        <v>10807</v>
      </c>
      <c r="C3473" s="2" t="s">
        <v>88</v>
      </c>
      <c r="D3473" s="2" t="s">
        <v>2572</v>
      </c>
      <c r="E3473" s="2" t="s">
        <v>11165</v>
      </c>
      <c r="F3473" s="2" t="s">
        <v>11176</v>
      </c>
      <c r="G3473" s="2" t="s">
        <v>11177</v>
      </c>
      <c r="H3473" s="2" t="s">
        <v>11178</v>
      </c>
      <c r="I3473" s="2" t="s">
        <v>11179</v>
      </c>
      <c r="J3473" s="2" t="s">
        <v>11180</v>
      </c>
      <c r="K3473" s="2" t="s">
        <v>179</v>
      </c>
      <c r="L3473" s="3">
        <v>19</v>
      </c>
      <c r="M3473" s="3">
        <v>19.95</v>
      </c>
      <c r="N3473" s="3">
        <v>39.99</v>
      </c>
      <c r="O3473" s="2" t="s">
        <v>97</v>
      </c>
      <c r="P3473" s="2" t="s">
        <v>98</v>
      </c>
      <c r="Q3473" s="2" t="s">
        <v>99</v>
      </c>
      <c r="R3473" s="2" t="s">
        <v>100</v>
      </c>
      <c r="S3473" s="2" t="s">
        <v>11181</v>
      </c>
      <c r="T3473" s="2" t="s">
        <v>100</v>
      </c>
      <c r="U3473" s="2" t="s">
        <v>894</v>
      </c>
      <c r="V3473" s="2" t="s">
        <v>461</v>
      </c>
      <c r="W3473" s="2" t="s">
        <v>609</v>
      </c>
      <c r="X3473" s="2" t="s">
        <v>11172</v>
      </c>
      <c r="Y3473" s="2" t="s">
        <v>6204</v>
      </c>
      <c r="Z3473" s="4">
        <v>246</v>
      </c>
      <c r="AA3473" s="4">
        <f>=ROUNDDOWN(41,0)</f>
      </c>
      <c r="AB3473" s="5">
        <v>6</v>
      </c>
      <c r="AC3473" s="2" t="s">
        <v>100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/>
      <c r="BJ3473" s="4">
        <v>35</v>
      </c>
      <c r="BK3473" s="8">
        <v>740.23</v>
      </c>
      <c r="BL3473" s="2" t="s">
        <v>11182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171</v>
      </c>
      <c r="BV3473" s="2" t="s">
        <v>97</v>
      </c>
      <c r="BW3473" s="2" t="s">
        <v>100</v>
      </c>
      <c r="BX3473" s="2" t="s">
        <v>100</v>
      </c>
      <c r="BY3473" s="2" t="s">
        <v>112</v>
      </c>
      <c r="BZ3473" s="2" t="s">
        <v>149</v>
      </c>
    </row>
    <row r="3474">
      <c r="A3474" s="2" t="s">
        <v>11183</v>
      </c>
      <c r="B3474" s="2" t="s">
        <v>10807</v>
      </c>
      <c r="C3474" s="2" t="s">
        <v>88</v>
      </c>
      <c r="D3474" s="2" t="s">
        <v>2572</v>
      </c>
      <c r="E3474" s="2" t="s">
        <v>11165</v>
      </c>
      <c r="F3474" s="2" t="s">
        <v>11176</v>
      </c>
      <c r="G3474" s="2" t="s">
        <v>11177</v>
      </c>
      <c r="H3474" s="2" t="s">
        <v>11178</v>
      </c>
      <c r="I3474" s="2" t="s">
        <v>11179</v>
      </c>
      <c r="J3474" s="2" t="s">
        <v>11180</v>
      </c>
      <c r="K3474" s="2" t="s">
        <v>1373</v>
      </c>
      <c r="L3474" s="3">
        <v>19</v>
      </c>
      <c r="M3474" s="3">
        <v>19.95</v>
      </c>
      <c r="N3474" s="3">
        <v>39.99</v>
      </c>
      <c r="O3474" s="2" t="s">
        <v>97</v>
      </c>
      <c r="P3474" s="2" t="s">
        <v>98</v>
      </c>
      <c r="Q3474" s="2" t="s">
        <v>99</v>
      </c>
      <c r="R3474" s="2" t="s">
        <v>100</v>
      </c>
      <c r="S3474" s="2" t="s">
        <v>11184</v>
      </c>
      <c r="T3474" s="2" t="s">
        <v>100</v>
      </c>
      <c r="U3474" s="2" t="s">
        <v>894</v>
      </c>
      <c r="V3474" s="2" t="s">
        <v>461</v>
      </c>
      <c r="W3474" s="2" t="s">
        <v>609</v>
      </c>
      <c r="X3474" s="2" t="s">
        <v>11172</v>
      </c>
      <c r="Y3474" s="2" t="s">
        <v>6198</v>
      </c>
      <c r="Z3474" s="4">
        <v>105</v>
      </c>
      <c r="AA3474" s="4">
        <f>=ROUNDDOWN(13.125,0)</f>
      </c>
      <c r="AB3474" s="5">
        <v>8</v>
      </c>
      <c r="AC3474" s="2" t="s">
        <v>3082</v>
      </c>
      <c r="AD3474" s="4">
        <v>124</v>
      </c>
      <c r="AE3474" s="4">
        <v>124</v>
      </c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/>
      <c r="BJ3474" s="4">
        <v>37</v>
      </c>
      <c r="BK3474" s="8">
        <v>794.08</v>
      </c>
      <c r="BL3474" s="2" t="s">
        <v>11185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171</v>
      </c>
      <c r="BV3474" s="2" t="s">
        <v>97</v>
      </c>
      <c r="BW3474" s="2" t="s">
        <v>100</v>
      </c>
      <c r="BX3474" s="2" t="s">
        <v>100</v>
      </c>
      <c r="BY3474" s="2" t="s">
        <v>112</v>
      </c>
      <c r="BZ3474" s="2" t="s">
        <v>149</v>
      </c>
    </row>
    <row r="3475">
      <c r="A3475" s="2" t="s">
        <v>11186</v>
      </c>
      <c r="B3475" s="2" t="s">
        <v>10807</v>
      </c>
      <c r="C3475" s="2" t="s">
        <v>88</v>
      </c>
      <c r="D3475" s="2" t="s">
        <v>2572</v>
      </c>
      <c r="E3475" s="2" t="s">
        <v>11165</v>
      </c>
      <c r="F3475" s="2" t="s">
        <v>11176</v>
      </c>
      <c r="G3475" s="2" t="s">
        <v>11177</v>
      </c>
      <c r="H3475" s="2" t="s">
        <v>11178</v>
      </c>
      <c r="I3475" s="2" t="s">
        <v>11179</v>
      </c>
      <c r="J3475" s="2" t="s">
        <v>11180</v>
      </c>
      <c r="K3475" s="2" t="s">
        <v>458</v>
      </c>
      <c r="L3475" s="3">
        <v>19</v>
      </c>
      <c r="M3475" s="3">
        <v>19.95</v>
      </c>
      <c r="N3475" s="3">
        <v>39.99</v>
      </c>
      <c r="O3475" s="2" t="s">
        <v>97</v>
      </c>
      <c r="P3475" s="2" t="s">
        <v>98</v>
      </c>
      <c r="Q3475" s="2" t="s">
        <v>99</v>
      </c>
      <c r="R3475" s="2" t="s">
        <v>100</v>
      </c>
      <c r="S3475" s="2" t="s">
        <v>11187</v>
      </c>
      <c r="T3475" s="2" t="s">
        <v>100</v>
      </c>
      <c r="U3475" s="2" t="s">
        <v>894</v>
      </c>
      <c r="V3475" s="2" t="s">
        <v>461</v>
      </c>
      <c r="W3475" s="2" t="s">
        <v>609</v>
      </c>
      <c r="X3475" s="2" t="s">
        <v>11172</v>
      </c>
      <c r="Y3475" s="2" t="s">
        <v>3324</v>
      </c>
      <c r="Z3475" s="4">
        <v>119</v>
      </c>
      <c r="AA3475" s="4">
        <f>=ROUNDDOWN(23.8,0)</f>
      </c>
      <c r="AB3475" s="5">
        <v>5</v>
      </c>
      <c r="AC3475" s="2" t="s">
        <v>100</v>
      </c>
      <c r="AD3475" s="4"/>
      <c r="AE3475" s="4"/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/>
      <c r="BJ3475" s="4">
        <v>25</v>
      </c>
      <c r="BK3475" s="8">
        <v>521.11</v>
      </c>
      <c r="BL3475" s="2" t="s">
        <v>11188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171</v>
      </c>
      <c r="BV3475" s="2" t="s">
        <v>97</v>
      </c>
      <c r="BW3475" s="2" t="s">
        <v>100</v>
      </c>
      <c r="BX3475" s="2" t="s">
        <v>100</v>
      </c>
      <c r="BY3475" s="2" t="s">
        <v>112</v>
      </c>
      <c r="BZ3475" s="2" t="s">
        <v>149</v>
      </c>
    </row>
    <row r="3476">
      <c r="A3476" s="2" t="s">
        <v>11189</v>
      </c>
      <c r="B3476" s="2" t="s">
        <v>10807</v>
      </c>
      <c r="C3476" s="2" t="s">
        <v>88</v>
      </c>
      <c r="D3476" s="2" t="s">
        <v>2572</v>
      </c>
      <c r="E3476" s="2" t="s">
        <v>11165</v>
      </c>
      <c r="F3476" s="2" t="s">
        <v>11190</v>
      </c>
      <c r="G3476" s="2" t="s">
        <v>11191</v>
      </c>
      <c r="H3476" s="2" t="s">
        <v>11192</v>
      </c>
      <c r="I3476" s="2" t="s">
        <v>11193</v>
      </c>
      <c r="J3476" s="2" t="s">
        <v>11194</v>
      </c>
      <c r="K3476" s="2" t="s">
        <v>446</v>
      </c>
      <c r="L3476" s="3">
        <v>22.75</v>
      </c>
      <c r="M3476" s="3">
        <v>23.89</v>
      </c>
      <c r="N3476" s="3">
        <v>47.99</v>
      </c>
      <c r="O3476" s="2" t="s">
        <v>97</v>
      </c>
      <c r="P3476" s="2" t="s">
        <v>98</v>
      </c>
      <c r="Q3476" s="2" t="s">
        <v>99</v>
      </c>
      <c r="R3476" s="2" t="s">
        <v>100</v>
      </c>
      <c r="S3476" s="2" t="s">
        <v>11195</v>
      </c>
      <c r="T3476" s="2" t="s">
        <v>100</v>
      </c>
      <c r="U3476" s="2" t="s">
        <v>894</v>
      </c>
      <c r="V3476" s="2" t="s">
        <v>461</v>
      </c>
      <c r="W3476" s="2" t="s">
        <v>609</v>
      </c>
      <c r="X3476" s="2" t="s">
        <v>10813</v>
      </c>
      <c r="Y3476" s="2" t="s">
        <v>11196</v>
      </c>
      <c r="Z3476" s="4">
        <v>331</v>
      </c>
      <c r="AA3476" s="4">
        <f>=ROUNDDOWN(41.375,0)</f>
      </c>
      <c r="AB3476" s="5">
        <v>8</v>
      </c>
      <c r="AC3476" s="2" t="s">
        <v>100</v>
      </c>
      <c r="AD3476" s="4"/>
      <c r="AE3476" s="4"/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/>
      <c r="BJ3476" s="4">
        <v>27</v>
      </c>
      <c r="BK3476" s="8">
        <v>717.82</v>
      </c>
      <c r="BL3476" s="2" t="s">
        <v>11197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171</v>
      </c>
      <c r="BV3476" s="2" t="s">
        <v>97</v>
      </c>
      <c r="BW3476" s="2" t="s">
        <v>100</v>
      </c>
      <c r="BX3476" s="2" t="s">
        <v>100</v>
      </c>
      <c r="BY3476" s="2" t="s">
        <v>112</v>
      </c>
      <c r="BZ3476" s="2" t="s">
        <v>149</v>
      </c>
    </row>
    <row r="3477">
      <c r="A3477" s="2" t="s">
        <v>11198</v>
      </c>
      <c r="B3477" s="2" t="s">
        <v>10807</v>
      </c>
      <c r="C3477" s="2" t="s">
        <v>88</v>
      </c>
      <c r="D3477" s="2" t="s">
        <v>2572</v>
      </c>
      <c r="E3477" s="2" t="s">
        <v>11165</v>
      </c>
      <c r="F3477" s="2" t="s">
        <v>11190</v>
      </c>
      <c r="G3477" s="2" t="s">
        <v>11191</v>
      </c>
      <c r="H3477" s="2" t="s">
        <v>11192</v>
      </c>
      <c r="I3477" s="2" t="s">
        <v>11193</v>
      </c>
      <c r="J3477" s="2" t="s">
        <v>11194</v>
      </c>
      <c r="K3477" s="2" t="s">
        <v>458</v>
      </c>
      <c r="L3477" s="3">
        <v>22.75</v>
      </c>
      <c r="M3477" s="3">
        <v>23.89</v>
      </c>
      <c r="N3477" s="3">
        <v>47.99</v>
      </c>
      <c r="O3477" s="2" t="s">
        <v>97</v>
      </c>
      <c r="P3477" s="2" t="s">
        <v>98</v>
      </c>
      <c r="Q3477" s="2" t="s">
        <v>99</v>
      </c>
      <c r="R3477" s="2" t="s">
        <v>100</v>
      </c>
      <c r="S3477" s="2" t="s">
        <v>11199</v>
      </c>
      <c r="T3477" s="2" t="s">
        <v>100</v>
      </c>
      <c r="U3477" s="2" t="s">
        <v>894</v>
      </c>
      <c r="V3477" s="2" t="s">
        <v>461</v>
      </c>
      <c r="W3477" s="2" t="s">
        <v>609</v>
      </c>
      <c r="X3477" s="2" t="s">
        <v>10813</v>
      </c>
      <c r="Y3477" s="2" t="s">
        <v>11196</v>
      </c>
      <c r="Z3477" s="4">
        <v>260</v>
      </c>
      <c r="AA3477" s="4">
        <f>=ROUNDDOWN(52,0)</f>
      </c>
      <c r="AB3477" s="5">
        <v>5</v>
      </c>
      <c r="AC3477" s="2" t="s">
        <v>2772</v>
      </c>
      <c r="AD3477" s="4">
        <v>676</v>
      </c>
      <c r="AE3477" s="4">
        <v>676</v>
      </c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/>
      <c r="BJ3477" s="4">
        <v>19</v>
      </c>
      <c r="BK3477" s="8">
        <v>502.84</v>
      </c>
      <c r="BL3477" s="2" t="s">
        <v>11197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171</v>
      </c>
      <c r="BV3477" s="2" t="s">
        <v>97</v>
      </c>
      <c r="BW3477" s="2" t="s">
        <v>100</v>
      </c>
      <c r="BX3477" s="2" t="s">
        <v>100</v>
      </c>
      <c r="BY3477" s="2" t="s">
        <v>112</v>
      </c>
      <c r="BZ3477" s="2" t="s">
        <v>149</v>
      </c>
    </row>
    <row r="3478">
      <c r="A3478" s="2" t="s">
        <v>11200</v>
      </c>
      <c r="B3478" s="2" t="s">
        <v>10807</v>
      </c>
      <c r="C3478" s="2" t="s">
        <v>88</v>
      </c>
      <c r="D3478" s="2" t="s">
        <v>2572</v>
      </c>
      <c r="E3478" s="2" t="s">
        <v>11201</v>
      </c>
      <c r="F3478" s="2" t="s">
        <v>11202</v>
      </c>
      <c r="G3478" s="2" t="s">
        <v>11203</v>
      </c>
      <c r="H3478" s="2" t="s">
        <v>8390</v>
      </c>
      <c r="I3478" s="2" t="s">
        <v>11204</v>
      </c>
      <c r="J3478" s="2" t="s">
        <v>11205</v>
      </c>
      <c r="K3478" s="2" t="s">
        <v>1373</v>
      </c>
      <c r="L3478" s="3">
        <v>27</v>
      </c>
      <c r="M3478" s="3">
        <v>28.35</v>
      </c>
      <c r="N3478" s="3">
        <v>59.99</v>
      </c>
      <c r="O3478" s="2" t="s">
        <v>97</v>
      </c>
      <c r="P3478" s="2" t="s">
        <v>98</v>
      </c>
      <c r="Q3478" s="2" t="s">
        <v>99</v>
      </c>
      <c r="R3478" s="2" t="s">
        <v>100</v>
      </c>
      <c r="S3478" s="2" t="s">
        <v>11206</v>
      </c>
      <c r="T3478" s="2" t="s">
        <v>438</v>
      </c>
      <c r="U3478" s="2" t="s">
        <v>1776</v>
      </c>
      <c r="V3478" s="2" t="s">
        <v>461</v>
      </c>
      <c r="W3478" s="2" t="s">
        <v>493</v>
      </c>
      <c r="X3478" s="2" t="s">
        <v>100</v>
      </c>
      <c r="Y3478" s="2" t="s">
        <v>3540</v>
      </c>
      <c r="Z3478" s="4">
        <v>86</v>
      </c>
      <c r="AA3478" s="4">
        <f>=ROUNDDOWN(9.55555555555556,0)</f>
      </c>
      <c r="AB3478" s="5">
        <v>9</v>
      </c>
      <c r="AC3478" s="2" t="s">
        <v>1201</v>
      </c>
      <c r="AD3478" s="4">
        <v>54</v>
      </c>
      <c r="AE3478" s="4">
        <v>420</v>
      </c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/>
      <c r="AQ3478" s="8"/>
      <c r="AR3478" s="4"/>
      <c r="AS3478" s="8"/>
      <c r="AT3478" s="7"/>
      <c r="AU3478" s="7"/>
      <c r="AV3478" s="4" t="s">
        <v>100</v>
      </c>
      <c r="AW3478" s="8" t="s">
        <v>100</v>
      </c>
      <c r="AX3478" s="4" t="s">
        <v>100</v>
      </c>
      <c r="AY3478" s="8" t="s">
        <v>100</v>
      </c>
      <c r="AZ3478" s="7" t="s">
        <v>100</v>
      </c>
      <c r="BA3478" s="7" t="s">
        <v>100</v>
      </c>
      <c r="BB3478" s="7"/>
      <c r="BC3478" s="4" t="s">
        <v>100</v>
      </c>
      <c r="BD3478" s="8" t="s">
        <v>100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/>
      <c r="BJ3478" s="4">
        <v>24</v>
      </c>
      <c r="BK3478" s="8">
        <v>732.59</v>
      </c>
      <c r="BL3478" s="2" t="s">
        <v>11207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171</v>
      </c>
      <c r="BV3478" s="2" t="s">
        <v>97</v>
      </c>
      <c r="BW3478" s="2" t="s">
        <v>100</v>
      </c>
      <c r="BX3478" s="2" t="s">
        <v>100</v>
      </c>
      <c r="BY3478" s="2" t="s">
        <v>112</v>
      </c>
      <c r="BZ3478" s="2" t="s">
        <v>149</v>
      </c>
    </row>
    <row r="3479">
      <c r="A3479" s="2" t="s">
        <v>11208</v>
      </c>
      <c r="B3479" s="2" t="s">
        <v>10807</v>
      </c>
      <c r="C3479" s="2" t="s">
        <v>88</v>
      </c>
      <c r="D3479" s="2" t="s">
        <v>2572</v>
      </c>
      <c r="E3479" s="2" t="s">
        <v>11201</v>
      </c>
      <c r="F3479" s="2" t="s">
        <v>11202</v>
      </c>
      <c r="G3479" s="2" t="s">
        <v>11203</v>
      </c>
      <c r="H3479" s="2" t="s">
        <v>8390</v>
      </c>
      <c r="I3479" s="2" t="s">
        <v>11204</v>
      </c>
      <c r="J3479" s="2" t="s">
        <v>11209</v>
      </c>
      <c r="K3479" s="2" t="s">
        <v>1373</v>
      </c>
      <c r="L3479" s="3">
        <v>29.25</v>
      </c>
      <c r="M3479" s="3">
        <v>30.71</v>
      </c>
      <c r="N3479" s="3">
        <v>64.99</v>
      </c>
      <c r="O3479" s="2" t="s">
        <v>97</v>
      </c>
      <c r="P3479" s="2" t="s">
        <v>98</v>
      </c>
      <c r="Q3479" s="2" t="s">
        <v>99</v>
      </c>
      <c r="R3479" s="2" t="s">
        <v>100</v>
      </c>
      <c r="S3479" s="2" t="s">
        <v>11206</v>
      </c>
      <c r="T3479" s="2" t="s">
        <v>438</v>
      </c>
      <c r="U3479" s="2" t="s">
        <v>1776</v>
      </c>
      <c r="V3479" s="2" t="s">
        <v>461</v>
      </c>
      <c r="W3479" s="2" t="s">
        <v>493</v>
      </c>
      <c r="X3479" s="2" t="s">
        <v>100</v>
      </c>
      <c r="Y3479" s="2" t="s">
        <v>3540</v>
      </c>
      <c r="Z3479" s="4">
        <v>127</v>
      </c>
      <c r="AA3479" s="4">
        <f>=ROUNDDOWN(25.4,0)</f>
      </c>
      <c r="AB3479" s="5">
        <v>5</v>
      </c>
      <c r="AC3479" s="2" t="s">
        <v>1201</v>
      </c>
      <c r="AD3479" s="4">
        <v>54</v>
      </c>
      <c r="AE3479" s="4">
        <v>120</v>
      </c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/>
      <c r="AQ3479" s="8"/>
      <c r="AR3479" s="4"/>
      <c r="AS3479" s="8"/>
      <c r="AT3479" s="7"/>
      <c r="AU3479" s="7"/>
      <c r="AV3479" s="4" t="s">
        <v>100</v>
      </c>
      <c r="AW3479" s="8" t="s">
        <v>100</v>
      </c>
      <c r="AX3479" s="4" t="s">
        <v>100</v>
      </c>
      <c r="AY3479" s="8" t="s">
        <v>100</v>
      </c>
      <c r="AZ3479" s="7" t="s">
        <v>100</v>
      </c>
      <c r="BA3479" s="7" t="s">
        <v>100</v>
      </c>
      <c r="BB3479" s="7"/>
      <c r="BC3479" s="4" t="s">
        <v>100</v>
      </c>
      <c r="BD3479" s="8" t="s">
        <v>100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/>
      <c r="BJ3479" s="4">
        <v>17</v>
      </c>
      <c r="BK3479" s="8">
        <v>562.91</v>
      </c>
      <c r="BL3479" s="2" t="s">
        <v>6686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171</v>
      </c>
      <c r="BV3479" s="2" t="s">
        <v>97</v>
      </c>
      <c r="BW3479" s="2" t="s">
        <v>100</v>
      </c>
      <c r="BX3479" s="2" t="s">
        <v>100</v>
      </c>
      <c r="BY3479" s="2" t="s">
        <v>112</v>
      </c>
      <c r="BZ3479" s="2" t="s">
        <v>149</v>
      </c>
    </row>
    <row r="3480">
      <c r="A3480" s="2" t="s">
        <v>11210</v>
      </c>
      <c r="B3480" s="2" t="s">
        <v>10807</v>
      </c>
      <c r="C3480" s="2" t="s">
        <v>88</v>
      </c>
      <c r="D3480" s="2" t="s">
        <v>2572</v>
      </c>
      <c r="E3480" s="2" t="s">
        <v>11201</v>
      </c>
      <c r="F3480" s="2" t="s">
        <v>11202</v>
      </c>
      <c r="G3480" s="2" t="s">
        <v>11203</v>
      </c>
      <c r="H3480" s="2" t="s">
        <v>8390</v>
      </c>
      <c r="I3480" s="2" t="s">
        <v>11204</v>
      </c>
      <c r="J3480" s="2" t="s">
        <v>11211</v>
      </c>
      <c r="K3480" s="2" t="s">
        <v>1373</v>
      </c>
      <c r="L3480" s="3">
        <v>32.2</v>
      </c>
      <c r="M3480" s="3">
        <v>33.81</v>
      </c>
      <c r="N3480" s="3">
        <v>69.99</v>
      </c>
      <c r="O3480" s="2" t="s">
        <v>97</v>
      </c>
      <c r="P3480" s="2" t="s">
        <v>98</v>
      </c>
      <c r="Q3480" s="2" t="s">
        <v>99</v>
      </c>
      <c r="R3480" s="2" t="s">
        <v>100</v>
      </c>
      <c r="S3480" s="2" t="s">
        <v>11206</v>
      </c>
      <c r="T3480" s="2" t="s">
        <v>438</v>
      </c>
      <c r="U3480" s="2" t="s">
        <v>1776</v>
      </c>
      <c r="V3480" s="2" t="s">
        <v>461</v>
      </c>
      <c r="W3480" s="2" t="s">
        <v>493</v>
      </c>
      <c r="X3480" s="2" t="s">
        <v>100</v>
      </c>
      <c r="Y3480" s="2" t="s">
        <v>3540</v>
      </c>
      <c r="Z3480" s="4">
        <v>203</v>
      </c>
      <c r="AA3480" s="4">
        <f>=ROUNDDOWN(78.0769230769231,0)</f>
      </c>
      <c r="AB3480" s="5">
        <v>2.6</v>
      </c>
      <c r="AC3480" s="2" t="s">
        <v>1201</v>
      </c>
      <c r="AD3480" s="4">
        <v>54</v>
      </c>
      <c r="AE3480" s="4">
        <v>174</v>
      </c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/>
      <c r="AQ3480" s="8"/>
      <c r="AR3480" s="4"/>
      <c r="AS3480" s="8"/>
      <c r="AT3480" s="7"/>
      <c r="AU3480" s="7"/>
      <c r="AV3480" s="4" t="s">
        <v>100</v>
      </c>
      <c r="AW3480" s="8" t="s">
        <v>100</v>
      </c>
      <c r="AX3480" s="4" t="s">
        <v>100</v>
      </c>
      <c r="AY3480" s="8" t="s">
        <v>100</v>
      </c>
      <c r="AZ3480" s="7" t="s">
        <v>100</v>
      </c>
      <c r="BA3480" s="7" t="s">
        <v>100</v>
      </c>
      <c r="BB3480" s="7"/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/>
      <c r="BJ3480" s="4">
        <v>11</v>
      </c>
      <c r="BK3480" s="8">
        <v>400.86</v>
      </c>
      <c r="BL3480" s="2" t="s">
        <v>11212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171</v>
      </c>
      <c r="BV3480" s="2" t="s">
        <v>97</v>
      </c>
      <c r="BW3480" s="2" t="s">
        <v>100</v>
      </c>
      <c r="BX3480" s="2" t="s">
        <v>100</v>
      </c>
      <c r="BY3480" s="2" t="s">
        <v>112</v>
      </c>
      <c r="BZ3480" s="2" t="s">
        <v>149</v>
      </c>
    </row>
    <row r="3481">
      <c r="A3481" s="2" t="s">
        <v>11213</v>
      </c>
      <c r="B3481" s="2" t="s">
        <v>10807</v>
      </c>
      <c r="C3481" s="2" t="s">
        <v>88</v>
      </c>
      <c r="D3481" s="2" t="s">
        <v>2572</v>
      </c>
      <c r="E3481" s="2" t="s">
        <v>11201</v>
      </c>
      <c r="F3481" s="2" t="s">
        <v>11202</v>
      </c>
      <c r="G3481" s="2" t="s">
        <v>11203</v>
      </c>
      <c r="H3481" s="2" t="s">
        <v>8390</v>
      </c>
      <c r="I3481" s="2" t="s">
        <v>11204</v>
      </c>
      <c r="J3481" s="2" t="s">
        <v>11214</v>
      </c>
      <c r="K3481" s="2" t="s">
        <v>1373</v>
      </c>
      <c r="L3481" s="3">
        <v>34.5</v>
      </c>
      <c r="M3481" s="3">
        <v>36.23</v>
      </c>
      <c r="N3481" s="3">
        <v>74.99</v>
      </c>
      <c r="O3481" s="2" t="s">
        <v>97</v>
      </c>
      <c r="P3481" s="2" t="s">
        <v>98</v>
      </c>
      <c r="Q3481" s="2" t="s">
        <v>99</v>
      </c>
      <c r="R3481" s="2" t="s">
        <v>100</v>
      </c>
      <c r="S3481" s="2" t="s">
        <v>11206</v>
      </c>
      <c r="T3481" s="2" t="s">
        <v>438</v>
      </c>
      <c r="U3481" s="2" t="s">
        <v>1776</v>
      </c>
      <c r="V3481" s="2" t="s">
        <v>461</v>
      </c>
      <c r="W3481" s="2" t="s">
        <v>493</v>
      </c>
      <c r="X3481" s="2" t="s">
        <v>100</v>
      </c>
      <c r="Y3481" s="2" t="s">
        <v>3540</v>
      </c>
      <c r="Z3481" s="4">
        <v>27</v>
      </c>
      <c r="AA3481" s="4">
        <f>=ROUNDDOWN(3.375,0)</f>
      </c>
      <c r="AB3481" s="5">
        <v>8</v>
      </c>
      <c r="AC3481" s="2" t="s">
        <v>130</v>
      </c>
      <c r="AD3481" s="4">
        <v>408</v>
      </c>
      <c r="AE3481" s="4">
        <v>408</v>
      </c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/>
      <c r="AQ3481" s="8"/>
      <c r="AR3481" s="4"/>
      <c r="AS3481" s="8"/>
      <c r="AT3481" s="7"/>
      <c r="AU3481" s="7"/>
      <c r="AV3481" s="4" t="s">
        <v>100</v>
      </c>
      <c r="AW3481" s="8" t="s">
        <v>100</v>
      </c>
      <c r="AX3481" s="4" t="s">
        <v>100</v>
      </c>
      <c r="AY3481" s="8" t="s">
        <v>100</v>
      </c>
      <c r="AZ3481" s="7" t="s">
        <v>100</v>
      </c>
      <c r="BA3481" s="7" t="s">
        <v>100</v>
      </c>
      <c r="BB3481" s="7"/>
      <c r="BC3481" s="4" t="s">
        <v>100</v>
      </c>
      <c r="BD3481" s="8" t="s">
        <v>100</v>
      </c>
      <c r="BE3481" s="4" t="s">
        <v>100</v>
      </c>
      <c r="BF3481" s="8" t="s">
        <v>100</v>
      </c>
      <c r="BG3481" s="7" t="s">
        <v>100</v>
      </c>
      <c r="BH3481" s="7" t="s">
        <v>100</v>
      </c>
      <c r="BI3481" s="7"/>
      <c r="BJ3481" s="4">
        <v>30</v>
      </c>
      <c r="BK3481" s="8">
        <v>1186.97</v>
      </c>
      <c r="BL3481" s="2" t="s">
        <v>11215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171</v>
      </c>
      <c r="BV3481" s="2" t="s">
        <v>97</v>
      </c>
      <c r="BW3481" s="2" t="s">
        <v>100</v>
      </c>
      <c r="BX3481" s="2" t="s">
        <v>100</v>
      </c>
      <c r="BY3481" s="2" t="s">
        <v>112</v>
      </c>
      <c r="BZ3481" s="2" t="s">
        <v>149</v>
      </c>
    </row>
    <row r="3482">
      <c r="A3482" s="2" t="s">
        <v>11216</v>
      </c>
      <c r="B3482" s="2" t="s">
        <v>10807</v>
      </c>
      <c r="C3482" s="2" t="s">
        <v>88</v>
      </c>
      <c r="D3482" s="2" t="s">
        <v>2572</v>
      </c>
      <c r="E3482" s="2" t="s">
        <v>11201</v>
      </c>
      <c r="F3482" s="2" t="s">
        <v>11202</v>
      </c>
      <c r="G3482" s="2" t="s">
        <v>11203</v>
      </c>
      <c r="H3482" s="2" t="s">
        <v>8390</v>
      </c>
      <c r="I3482" s="2" t="s">
        <v>11204</v>
      </c>
      <c r="J3482" s="2" t="s">
        <v>11217</v>
      </c>
      <c r="K3482" s="2" t="s">
        <v>1373</v>
      </c>
      <c r="L3482" s="3">
        <v>38.4</v>
      </c>
      <c r="M3482" s="3">
        <v>40.32</v>
      </c>
      <c r="N3482" s="3">
        <v>79.99</v>
      </c>
      <c r="O3482" s="2" t="s">
        <v>97</v>
      </c>
      <c r="P3482" s="2" t="s">
        <v>98</v>
      </c>
      <c r="Q3482" s="2" t="s">
        <v>99</v>
      </c>
      <c r="R3482" s="2" t="s">
        <v>100</v>
      </c>
      <c r="S3482" s="2" t="s">
        <v>11206</v>
      </c>
      <c r="T3482" s="2" t="s">
        <v>438</v>
      </c>
      <c r="U3482" s="2" t="s">
        <v>1776</v>
      </c>
      <c r="V3482" s="2" t="s">
        <v>461</v>
      </c>
      <c r="W3482" s="2" t="s">
        <v>493</v>
      </c>
      <c r="X3482" s="2" t="s">
        <v>100</v>
      </c>
      <c r="Y3482" s="2" t="s">
        <v>3540</v>
      </c>
      <c r="Z3482" s="4">
        <v>68</v>
      </c>
      <c r="AA3482" s="4">
        <f>=ROUNDDOWN(15.8139534883721,0)</f>
      </c>
      <c r="AB3482" s="5">
        <v>4.3</v>
      </c>
      <c r="AC3482" s="2" t="s">
        <v>1201</v>
      </c>
      <c r="AD3482" s="4">
        <v>42</v>
      </c>
      <c r="AE3482" s="4">
        <v>408</v>
      </c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/>
      <c r="AQ3482" s="8"/>
      <c r="AR3482" s="4"/>
      <c r="AS3482" s="8"/>
      <c r="AT3482" s="7"/>
      <c r="AU3482" s="7"/>
      <c r="AV3482" s="4" t="s">
        <v>100</v>
      </c>
      <c r="AW3482" s="8" t="s">
        <v>100</v>
      </c>
      <c r="AX3482" s="4" t="s">
        <v>100</v>
      </c>
      <c r="AY3482" s="8" t="s">
        <v>100</v>
      </c>
      <c r="AZ3482" s="7" t="s">
        <v>100</v>
      </c>
      <c r="BA3482" s="7" t="s">
        <v>100</v>
      </c>
      <c r="BB3482" s="7"/>
      <c r="BC3482" s="4" t="s">
        <v>100</v>
      </c>
      <c r="BD3482" s="8" t="s">
        <v>100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/>
      <c r="BJ3482" s="4">
        <v>32</v>
      </c>
      <c r="BK3482" s="8">
        <v>1406.72</v>
      </c>
      <c r="BL3482" s="2" t="s">
        <v>11207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171</v>
      </c>
      <c r="BV3482" s="2" t="s">
        <v>97</v>
      </c>
      <c r="BW3482" s="2" t="s">
        <v>100</v>
      </c>
      <c r="BX3482" s="2" t="s">
        <v>100</v>
      </c>
      <c r="BY3482" s="2" t="s">
        <v>112</v>
      </c>
      <c r="BZ3482" s="2" t="s">
        <v>149</v>
      </c>
    </row>
    <row r="3483">
      <c r="A3483" s="2" t="s">
        <v>11218</v>
      </c>
      <c r="B3483" s="2" t="s">
        <v>10807</v>
      </c>
      <c r="C3483" s="2" t="s">
        <v>88</v>
      </c>
      <c r="D3483" s="2" t="s">
        <v>2572</v>
      </c>
      <c r="E3483" s="2" t="s">
        <v>11201</v>
      </c>
      <c r="F3483" s="2" t="s">
        <v>11202</v>
      </c>
      <c r="G3483" s="2" t="s">
        <v>11203</v>
      </c>
      <c r="H3483" s="2" t="s">
        <v>8390</v>
      </c>
      <c r="I3483" s="2" t="s">
        <v>11204</v>
      </c>
      <c r="J3483" s="2" t="s">
        <v>11205</v>
      </c>
      <c r="K3483" s="2" t="s">
        <v>673</v>
      </c>
      <c r="L3483" s="3">
        <v>27</v>
      </c>
      <c r="M3483" s="3">
        <v>28.35</v>
      </c>
      <c r="N3483" s="3">
        <v>59.99</v>
      </c>
      <c r="O3483" s="2" t="s">
        <v>97</v>
      </c>
      <c r="P3483" s="2" t="s">
        <v>98</v>
      </c>
      <c r="Q3483" s="2" t="s">
        <v>99</v>
      </c>
      <c r="R3483" s="2" t="s">
        <v>100</v>
      </c>
      <c r="S3483" s="2" t="s">
        <v>11219</v>
      </c>
      <c r="T3483" s="2" t="s">
        <v>438</v>
      </c>
      <c r="U3483" s="2" t="s">
        <v>1776</v>
      </c>
      <c r="V3483" s="2" t="s">
        <v>461</v>
      </c>
      <c r="W3483" s="2" t="s">
        <v>493</v>
      </c>
      <c r="X3483" s="2" t="s">
        <v>100</v>
      </c>
      <c r="Y3483" s="2" t="s">
        <v>3540</v>
      </c>
      <c r="Z3483" s="4">
        <v>141</v>
      </c>
      <c r="AA3483" s="4">
        <f>=ROUNDDOWN(70.5,0)</f>
      </c>
      <c r="AB3483" s="5">
        <v>2</v>
      </c>
      <c r="AC3483" s="2" t="s">
        <v>262</v>
      </c>
      <c r="AD3483" s="4">
        <v>72</v>
      </c>
      <c r="AE3483" s="4">
        <v>204</v>
      </c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/>
      <c r="AQ3483" s="8"/>
      <c r="AR3483" s="4"/>
      <c r="AS3483" s="8"/>
      <c r="AT3483" s="7"/>
      <c r="AU3483" s="7"/>
      <c r="AV3483" s="4" t="s">
        <v>100</v>
      </c>
      <c r="AW3483" s="8" t="s">
        <v>100</v>
      </c>
      <c r="AX3483" s="4" t="s">
        <v>100</v>
      </c>
      <c r="AY3483" s="8" t="s">
        <v>100</v>
      </c>
      <c r="AZ3483" s="7" t="s">
        <v>100</v>
      </c>
      <c r="BA3483" s="7" t="s">
        <v>100</v>
      </c>
      <c r="BB3483" s="7"/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/>
      <c r="BJ3483" s="4">
        <v>3</v>
      </c>
      <c r="BK3483" s="8">
        <v>91.14</v>
      </c>
      <c r="BL3483" s="2" t="s">
        <v>11220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171</v>
      </c>
      <c r="BV3483" s="2" t="s">
        <v>97</v>
      </c>
      <c r="BW3483" s="2" t="s">
        <v>100</v>
      </c>
      <c r="BX3483" s="2" t="s">
        <v>100</v>
      </c>
      <c r="BY3483" s="2" t="s">
        <v>112</v>
      </c>
      <c r="BZ3483" s="2" t="s">
        <v>149</v>
      </c>
    </row>
    <row r="3484">
      <c r="A3484" s="2" t="s">
        <v>11221</v>
      </c>
      <c r="B3484" s="2" t="s">
        <v>10807</v>
      </c>
      <c r="C3484" s="2" t="s">
        <v>88</v>
      </c>
      <c r="D3484" s="2" t="s">
        <v>2572</v>
      </c>
      <c r="E3484" s="2" t="s">
        <v>11201</v>
      </c>
      <c r="F3484" s="2" t="s">
        <v>11202</v>
      </c>
      <c r="G3484" s="2" t="s">
        <v>11203</v>
      </c>
      <c r="H3484" s="2" t="s">
        <v>8390</v>
      </c>
      <c r="I3484" s="2" t="s">
        <v>11204</v>
      </c>
      <c r="J3484" s="2" t="s">
        <v>11209</v>
      </c>
      <c r="K3484" s="2" t="s">
        <v>673</v>
      </c>
      <c r="L3484" s="3">
        <v>29.25</v>
      </c>
      <c r="M3484" s="3">
        <v>30.71</v>
      </c>
      <c r="N3484" s="3">
        <v>64.99</v>
      </c>
      <c r="O3484" s="2" t="s">
        <v>97</v>
      </c>
      <c r="P3484" s="2" t="s">
        <v>98</v>
      </c>
      <c r="Q3484" s="2" t="s">
        <v>99</v>
      </c>
      <c r="R3484" s="2" t="s">
        <v>100</v>
      </c>
      <c r="S3484" s="2" t="s">
        <v>11219</v>
      </c>
      <c r="T3484" s="2" t="s">
        <v>438</v>
      </c>
      <c r="U3484" s="2" t="s">
        <v>1776</v>
      </c>
      <c r="V3484" s="2" t="s">
        <v>461</v>
      </c>
      <c r="W3484" s="2" t="s">
        <v>493</v>
      </c>
      <c r="X3484" s="2" t="s">
        <v>100</v>
      </c>
      <c r="Y3484" s="2" t="s">
        <v>3540</v>
      </c>
      <c r="Z3484" s="4">
        <v>91</v>
      </c>
      <c r="AA3484" s="4">
        <f>=ROUNDDOWN(22.75,0)</f>
      </c>
      <c r="AB3484" s="5">
        <v>4</v>
      </c>
      <c r="AC3484" s="2" t="s">
        <v>1201</v>
      </c>
      <c r="AD3484" s="4">
        <v>60</v>
      </c>
      <c r="AE3484" s="4">
        <v>150</v>
      </c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/>
      <c r="AQ3484" s="8"/>
      <c r="AR3484" s="4"/>
      <c r="AS3484" s="8"/>
      <c r="AT3484" s="7"/>
      <c r="AU3484" s="7"/>
      <c r="AV3484" s="4" t="s">
        <v>100</v>
      </c>
      <c r="AW3484" s="8" t="s">
        <v>100</v>
      </c>
      <c r="AX3484" s="4" t="s">
        <v>100</v>
      </c>
      <c r="AY3484" s="8" t="s">
        <v>100</v>
      </c>
      <c r="AZ3484" s="7" t="s">
        <v>100</v>
      </c>
      <c r="BA3484" s="7" t="s">
        <v>100</v>
      </c>
      <c r="BB3484" s="7"/>
      <c r="BC3484" s="4" t="s">
        <v>100</v>
      </c>
      <c r="BD3484" s="8" t="s">
        <v>100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/>
      <c r="BJ3484" s="4">
        <v>18</v>
      </c>
      <c r="BK3484" s="8">
        <v>587.58</v>
      </c>
      <c r="BL3484" s="2" t="s">
        <v>6590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171</v>
      </c>
      <c r="BV3484" s="2" t="s">
        <v>97</v>
      </c>
      <c r="BW3484" s="2" t="s">
        <v>100</v>
      </c>
      <c r="BX3484" s="2" t="s">
        <v>100</v>
      </c>
      <c r="BY3484" s="2" t="s">
        <v>112</v>
      </c>
      <c r="BZ3484" s="2" t="s">
        <v>149</v>
      </c>
    </row>
    <row r="3485">
      <c r="A3485" s="2" t="s">
        <v>11222</v>
      </c>
      <c r="B3485" s="2" t="s">
        <v>10807</v>
      </c>
      <c r="C3485" s="2" t="s">
        <v>88</v>
      </c>
      <c r="D3485" s="2" t="s">
        <v>2572</v>
      </c>
      <c r="E3485" s="2" t="s">
        <v>11201</v>
      </c>
      <c r="F3485" s="2" t="s">
        <v>11202</v>
      </c>
      <c r="G3485" s="2" t="s">
        <v>11203</v>
      </c>
      <c r="H3485" s="2" t="s">
        <v>8390</v>
      </c>
      <c r="I3485" s="2" t="s">
        <v>11204</v>
      </c>
      <c r="J3485" s="2" t="s">
        <v>11211</v>
      </c>
      <c r="K3485" s="2" t="s">
        <v>673</v>
      </c>
      <c r="L3485" s="3">
        <v>32.2</v>
      </c>
      <c r="M3485" s="3">
        <v>33.81</v>
      </c>
      <c r="N3485" s="3">
        <v>69.99</v>
      </c>
      <c r="O3485" s="2" t="s">
        <v>97</v>
      </c>
      <c r="P3485" s="2" t="s">
        <v>98</v>
      </c>
      <c r="Q3485" s="2" t="s">
        <v>99</v>
      </c>
      <c r="R3485" s="2" t="s">
        <v>100</v>
      </c>
      <c r="S3485" s="2" t="s">
        <v>11219</v>
      </c>
      <c r="T3485" s="2" t="s">
        <v>438</v>
      </c>
      <c r="U3485" s="2" t="s">
        <v>1776</v>
      </c>
      <c r="V3485" s="2" t="s">
        <v>461</v>
      </c>
      <c r="W3485" s="2" t="s">
        <v>493</v>
      </c>
      <c r="X3485" s="2" t="s">
        <v>100</v>
      </c>
      <c r="Y3485" s="2" t="s">
        <v>3540</v>
      </c>
      <c r="Z3485" s="4">
        <v>15</v>
      </c>
      <c r="AA3485" s="4">
        <f>=ROUNDDOWN(7.5,0)</f>
      </c>
      <c r="AB3485" s="5">
        <v>2</v>
      </c>
      <c r="AC3485" s="2" t="s">
        <v>1201</v>
      </c>
      <c r="AD3485" s="4">
        <v>42</v>
      </c>
      <c r="AE3485" s="4">
        <v>174</v>
      </c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/>
      <c r="AQ3485" s="8"/>
      <c r="AR3485" s="4"/>
      <c r="AS3485" s="8"/>
      <c r="AT3485" s="7"/>
      <c r="AU3485" s="7"/>
      <c r="AV3485" s="4" t="s">
        <v>100</v>
      </c>
      <c r="AW3485" s="8" t="s">
        <v>100</v>
      </c>
      <c r="AX3485" s="4" t="s">
        <v>100</v>
      </c>
      <c r="AY3485" s="8" t="s">
        <v>100</v>
      </c>
      <c r="AZ3485" s="7" t="s">
        <v>100</v>
      </c>
      <c r="BA3485" s="7" t="s">
        <v>100</v>
      </c>
      <c r="BB3485" s="7"/>
      <c r="BC3485" s="4" t="s">
        <v>100</v>
      </c>
      <c r="BD3485" s="8" t="s">
        <v>100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/>
      <c r="BJ3485" s="4">
        <v>10</v>
      </c>
      <c r="BK3485" s="8">
        <v>363.54</v>
      </c>
      <c r="BL3485" s="2" t="s">
        <v>9811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171</v>
      </c>
      <c r="BV3485" s="2" t="s">
        <v>97</v>
      </c>
      <c r="BW3485" s="2" t="s">
        <v>100</v>
      </c>
      <c r="BX3485" s="2" t="s">
        <v>100</v>
      </c>
      <c r="BY3485" s="2" t="s">
        <v>112</v>
      </c>
      <c r="BZ3485" s="2" t="s">
        <v>149</v>
      </c>
    </row>
    <row r="3486">
      <c r="A3486" s="2" t="s">
        <v>11223</v>
      </c>
      <c r="B3486" s="2" t="s">
        <v>10807</v>
      </c>
      <c r="C3486" s="2" t="s">
        <v>88</v>
      </c>
      <c r="D3486" s="2" t="s">
        <v>2572</v>
      </c>
      <c r="E3486" s="2" t="s">
        <v>11201</v>
      </c>
      <c r="F3486" s="2" t="s">
        <v>11202</v>
      </c>
      <c r="G3486" s="2" t="s">
        <v>11203</v>
      </c>
      <c r="H3486" s="2" t="s">
        <v>8390</v>
      </c>
      <c r="I3486" s="2" t="s">
        <v>11204</v>
      </c>
      <c r="J3486" s="2" t="s">
        <v>11214</v>
      </c>
      <c r="K3486" s="2" t="s">
        <v>673</v>
      </c>
      <c r="L3486" s="3">
        <v>34.5</v>
      </c>
      <c r="M3486" s="3">
        <v>36.23</v>
      </c>
      <c r="N3486" s="3">
        <v>74.99</v>
      </c>
      <c r="O3486" s="2" t="s">
        <v>97</v>
      </c>
      <c r="P3486" s="2" t="s">
        <v>98</v>
      </c>
      <c r="Q3486" s="2" t="s">
        <v>99</v>
      </c>
      <c r="R3486" s="2" t="s">
        <v>100</v>
      </c>
      <c r="S3486" s="2" t="s">
        <v>11219</v>
      </c>
      <c r="T3486" s="2" t="s">
        <v>438</v>
      </c>
      <c r="U3486" s="2" t="s">
        <v>1776</v>
      </c>
      <c r="V3486" s="2" t="s">
        <v>461</v>
      </c>
      <c r="W3486" s="2" t="s">
        <v>493</v>
      </c>
      <c r="X3486" s="2" t="s">
        <v>100</v>
      </c>
      <c r="Y3486" s="2" t="s">
        <v>3540</v>
      </c>
      <c r="Z3486" s="4">
        <v>8</v>
      </c>
      <c r="AA3486" s="4">
        <f>=ROUNDDOWN(2.66666666666667,0)</f>
      </c>
      <c r="AB3486" s="5">
        <v>3</v>
      </c>
      <c r="AC3486" s="2" t="s">
        <v>1201</v>
      </c>
      <c r="AD3486" s="4">
        <v>60</v>
      </c>
      <c r="AE3486" s="4">
        <v>300</v>
      </c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/>
      <c r="AQ3486" s="8"/>
      <c r="AR3486" s="4"/>
      <c r="AS3486" s="8"/>
      <c r="AT3486" s="7"/>
      <c r="AU3486" s="7"/>
      <c r="AV3486" s="4" t="s">
        <v>100</v>
      </c>
      <c r="AW3486" s="8" t="s">
        <v>100</v>
      </c>
      <c r="AX3486" s="4" t="s">
        <v>100</v>
      </c>
      <c r="AY3486" s="8" t="s">
        <v>100</v>
      </c>
      <c r="AZ3486" s="7" t="s">
        <v>100</v>
      </c>
      <c r="BA3486" s="7" t="s">
        <v>100</v>
      </c>
      <c r="BB3486" s="7"/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/>
      <c r="BJ3486" s="4">
        <v>7</v>
      </c>
      <c r="BK3486" s="8">
        <v>262.26</v>
      </c>
      <c r="BL3486" s="2" t="s">
        <v>6686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171</v>
      </c>
      <c r="BV3486" s="2" t="s">
        <v>97</v>
      </c>
      <c r="BW3486" s="2" t="s">
        <v>100</v>
      </c>
      <c r="BX3486" s="2" t="s">
        <v>100</v>
      </c>
      <c r="BY3486" s="2" t="s">
        <v>112</v>
      </c>
      <c r="BZ3486" s="2" t="s">
        <v>149</v>
      </c>
    </row>
    <row r="3487">
      <c r="A3487" s="2" t="s">
        <v>11224</v>
      </c>
      <c r="B3487" s="2" t="s">
        <v>10807</v>
      </c>
      <c r="C3487" s="2" t="s">
        <v>88</v>
      </c>
      <c r="D3487" s="2" t="s">
        <v>2572</v>
      </c>
      <c r="E3487" s="2" t="s">
        <v>11201</v>
      </c>
      <c r="F3487" s="2" t="s">
        <v>11202</v>
      </c>
      <c r="G3487" s="2" t="s">
        <v>11203</v>
      </c>
      <c r="H3487" s="2" t="s">
        <v>8390</v>
      </c>
      <c r="I3487" s="2" t="s">
        <v>11204</v>
      </c>
      <c r="J3487" s="2" t="s">
        <v>11217</v>
      </c>
      <c r="K3487" s="2" t="s">
        <v>673</v>
      </c>
      <c r="L3487" s="3">
        <v>38.4</v>
      </c>
      <c r="M3487" s="3">
        <v>40.32</v>
      </c>
      <c r="N3487" s="3">
        <v>79.99</v>
      </c>
      <c r="O3487" s="2" t="s">
        <v>97</v>
      </c>
      <c r="P3487" s="2" t="s">
        <v>98</v>
      </c>
      <c r="Q3487" s="2" t="s">
        <v>99</v>
      </c>
      <c r="R3487" s="2" t="s">
        <v>100</v>
      </c>
      <c r="S3487" s="2" t="s">
        <v>11219</v>
      </c>
      <c r="T3487" s="2" t="s">
        <v>438</v>
      </c>
      <c r="U3487" s="2" t="s">
        <v>1776</v>
      </c>
      <c r="V3487" s="2" t="s">
        <v>461</v>
      </c>
      <c r="W3487" s="2" t="s">
        <v>493</v>
      </c>
      <c r="X3487" s="2" t="s">
        <v>100</v>
      </c>
      <c r="Y3487" s="2" t="s">
        <v>3540</v>
      </c>
      <c r="Z3487" s="4">
        <v>21</v>
      </c>
      <c r="AA3487" s="4">
        <f>=ROUNDDOWN(5.25,0)</f>
      </c>
      <c r="AB3487" s="5">
        <v>4</v>
      </c>
      <c r="AC3487" s="2" t="s">
        <v>1201</v>
      </c>
      <c r="AD3487" s="4">
        <v>42</v>
      </c>
      <c r="AE3487" s="4">
        <v>108</v>
      </c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/>
      <c r="AQ3487" s="8"/>
      <c r="AR3487" s="4"/>
      <c r="AS3487" s="8"/>
      <c r="AT3487" s="7"/>
      <c r="AU3487" s="7"/>
      <c r="AV3487" s="4" t="s">
        <v>100</v>
      </c>
      <c r="AW3487" s="8" t="s">
        <v>100</v>
      </c>
      <c r="AX3487" s="4" t="s">
        <v>100</v>
      </c>
      <c r="AY3487" s="8" t="s">
        <v>100</v>
      </c>
      <c r="AZ3487" s="7" t="s">
        <v>100</v>
      </c>
      <c r="BA3487" s="7" t="s">
        <v>100</v>
      </c>
      <c r="BB3487" s="7"/>
      <c r="BC3487" s="4" t="s">
        <v>100</v>
      </c>
      <c r="BD3487" s="8" t="s">
        <v>100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/>
      <c r="BJ3487" s="4">
        <v>14</v>
      </c>
      <c r="BK3487" s="8">
        <v>602.34</v>
      </c>
      <c r="BL3487" s="2" t="s">
        <v>11225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171</v>
      </c>
      <c r="BV3487" s="2" t="s">
        <v>97</v>
      </c>
      <c r="BW3487" s="2" t="s">
        <v>100</v>
      </c>
      <c r="BX3487" s="2" t="s">
        <v>100</v>
      </c>
      <c r="BY3487" s="2" t="s">
        <v>112</v>
      </c>
      <c r="BZ3487" s="2" t="s">
        <v>149</v>
      </c>
    </row>
    <row r="3488">
      <c r="A3488" s="2" t="s">
        <v>11226</v>
      </c>
      <c r="B3488" s="2" t="s">
        <v>10807</v>
      </c>
      <c r="C3488" s="2" t="s">
        <v>88</v>
      </c>
      <c r="D3488" s="2" t="s">
        <v>2572</v>
      </c>
      <c r="E3488" s="2" t="s">
        <v>11201</v>
      </c>
      <c r="F3488" s="2" t="s">
        <v>11227</v>
      </c>
      <c r="G3488" s="2" t="s">
        <v>11228</v>
      </c>
      <c r="H3488" s="2" t="s">
        <v>11229</v>
      </c>
      <c r="I3488" s="2" t="s">
        <v>11230</v>
      </c>
      <c r="J3488" s="2" t="s">
        <v>11205</v>
      </c>
      <c r="K3488" s="2" t="s">
        <v>11231</v>
      </c>
      <c r="L3488" s="3">
        <v>23.2</v>
      </c>
      <c r="M3488" s="3">
        <v>24.36</v>
      </c>
      <c r="N3488" s="3">
        <v>54.99</v>
      </c>
      <c r="O3488" s="2" t="s">
        <v>97</v>
      </c>
      <c r="P3488" s="2" t="s">
        <v>98</v>
      </c>
      <c r="Q3488" s="2" t="s">
        <v>99</v>
      </c>
      <c r="R3488" s="2" t="s">
        <v>100</v>
      </c>
      <c r="S3488" s="2" t="s">
        <v>11232</v>
      </c>
      <c r="T3488" s="2" t="s">
        <v>11233</v>
      </c>
      <c r="U3488" s="2" t="s">
        <v>1776</v>
      </c>
      <c r="V3488" s="2" t="s">
        <v>461</v>
      </c>
      <c r="W3488" s="2" t="s">
        <v>609</v>
      </c>
      <c r="X3488" s="2" t="s">
        <v>100</v>
      </c>
      <c r="Y3488" s="2" t="s">
        <v>11234</v>
      </c>
      <c r="Z3488" s="4">
        <v>175</v>
      </c>
      <c r="AA3488" s="4">
        <f>=ROUNDDOWN(19.4444444444444,0)</f>
      </c>
      <c r="AB3488" s="5">
        <v>9</v>
      </c>
      <c r="AC3488" s="2" t="s">
        <v>100</v>
      </c>
      <c r="AD3488" s="4"/>
      <c r="AE3488" s="4"/>
      <c r="AF3488" s="6">
        <v>75</v>
      </c>
      <c r="AG3488" s="6"/>
      <c r="AH3488" s="7">
        <v>1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/>
      <c r="AQ3488" s="8"/>
      <c r="AR3488" s="4"/>
      <c r="AS3488" s="8"/>
      <c r="AT3488" s="7"/>
      <c r="AU3488" s="7"/>
      <c r="AV3488" s="4" t="s">
        <v>100</v>
      </c>
      <c r="AW3488" s="8" t="s">
        <v>100</v>
      </c>
      <c r="AX3488" s="4" t="s">
        <v>100</v>
      </c>
      <c r="AY3488" s="8" t="s">
        <v>100</v>
      </c>
      <c r="AZ3488" s="7" t="s">
        <v>100</v>
      </c>
      <c r="BA3488" s="7" t="s">
        <v>100</v>
      </c>
      <c r="BB3488" s="7"/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/>
      <c r="BJ3488" s="4">
        <v>41</v>
      </c>
      <c r="BK3488" s="8">
        <v>1084.33</v>
      </c>
      <c r="BL3488" s="2" t="s">
        <v>11235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171</v>
      </c>
      <c r="BV3488" s="2" t="s">
        <v>97</v>
      </c>
      <c r="BW3488" s="2" t="s">
        <v>100</v>
      </c>
      <c r="BX3488" s="2" t="s">
        <v>100</v>
      </c>
      <c r="BY3488" s="2" t="s">
        <v>112</v>
      </c>
      <c r="BZ3488" s="2" t="s">
        <v>149</v>
      </c>
    </row>
    <row r="3489">
      <c r="A3489" s="2" t="s">
        <v>11236</v>
      </c>
      <c r="B3489" s="2" t="s">
        <v>10807</v>
      </c>
      <c r="C3489" s="2" t="s">
        <v>88</v>
      </c>
      <c r="D3489" s="2" t="s">
        <v>2572</v>
      </c>
      <c r="E3489" s="2" t="s">
        <v>11201</v>
      </c>
      <c r="F3489" s="2" t="s">
        <v>11227</v>
      </c>
      <c r="G3489" s="2" t="s">
        <v>11228</v>
      </c>
      <c r="H3489" s="2" t="s">
        <v>11229</v>
      </c>
      <c r="I3489" s="2" t="s">
        <v>11230</v>
      </c>
      <c r="J3489" s="2" t="s">
        <v>11237</v>
      </c>
      <c r="K3489" s="2" t="s">
        <v>11231</v>
      </c>
      <c r="L3489" s="3">
        <v>25.75</v>
      </c>
      <c r="M3489" s="3">
        <v>27.04</v>
      </c>
      <c r="N3489" s="3">
        <v>57.99</v>
      </c>
      <c r="O3489" s="2" t="s">
        <v>97</v>
      </c>
      <c r="P3489" s="2" t="s">
        <v>98</v>
      </c>
      <c r="Q3489" s="2" t="s">
        <v>99</v>
      </c>
      <c r="R3489" s="2" t="s">
        <v>100</v>
      </c>
      <c r="S3489" s="2" t="s">
        <v>11232</v>
      </c>
      <c r="T3489" s="2" t="s">
        <v>11233</v>
      </c>
      <c r="U3489" s="2" t="s">
        <v>1776</v>
      </c>
      <c r="V3489" s="2" t="s">
        <v>461</v>
      </c>
      <c r="W3489" s="2" t="s">
        <v>609</v>
      </c>
      <c r="X3489" s="2" t="s">
        <v>100</v>
      </c>
      <c r="Y3489" s="2" t="s">
        <v>11234</v>
      </c>
      <c r="Z3489" s="4">
        <v>415</v>
      </c>
      <c r="AA3489" s="4">
        <f>=ROUNDDOWN(69.1666666666667,0)</f>
      </c>
      <c r="AB3489" s="5">
        <v>6</v>
      </c>
      <c r="AC3489" s="2" t="s">
        <v>100</v>
      </c>
      <c r="AD3489" s="4"/>
      <c r="AE3489" s="4"/>
      <c r="AF3489" s="6">
        <v>75</v>
      </c>
      <c r="AG3489" s="6"/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/>
      <c r="AQ3489" s="8"/>
      <c r="AR3489" s="4"/>
      <c r="AS3489" s="8"/>
      <c r="AT3489" s="7"/>
      <c r="AU3489" s="7"/>
      <c r="AV3489" s="4" t="s">
        <v>100</v>
      </c>
      <c r="AW3489" s="8" t="s">
        <v>100</v>
      </c>
      <c r="AX3489" s="4" t="s">
        <v>100</v>
      </c>
      <c r="AY3489" s="8" t="s">
        <v>100</v>
      </c>
      <c r="AZ3489" s="7" t="s">
        <v>100</v>
      </c>
      <c r="BA3489" s="7" t="s">
        <v>100</v>
      </c>
      <c r="BB3489" s="7"/>
      <c r="BC3489" s="4" t="s">
        <v>100</v>
      </c>
      <c r="BD3489" s="8" t="s">
        <v>100</v>
      </c>
      <c r="BE3489" s="4" t="s">
        <v>100</v>
      </c>
      <c r="BF3489" s="8" t="s">
        <v>100</v>
      </c>
      <c r="BG3489" s="7" t="s">
        <v>100</v>
      </c>
      <c r="BH3489" s="7" t="s">
        <v>100</v>
      </c>
      <c r="BI3489" s="7"/>
      <c r="BJ3489" s="4">
        <v>20</v>
      </c>
      <c r="BK3489" s="8">
        <v>592.93</v>
      </c>
      <c r="BL3489" s="2" t="s">
        <v>11238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171</v>
      </c>
      <c r="BV3489" s="2" t="s">
        <v>97</v>
      </c>
      <c r="BW3489" s="2" t="s">
        <v>100</v>
      </c>
      <c r="BX3489" s="2" t="s">
        <v>100</v>
      </c>
      <c r="BY3489" s="2" t="s">
        <v>112</v>
      </c>
      <c r="BZ3489" s="2" t="s">
        <v>149</v>
      </c>
    </row>
    <row r="3490">
      <c r="A3490" s="2" t="s">
        <v>11239</v>
      </c>
      <c r="B3490" s="2" t="s">
        <v>10807</v>
      </c>
      <c r="C3490" s="2" t="s">
        <v>88</v>
      </c>
      <c r="D3490" s="2" t="s">
        <v>2572</v>
      </c>
      <c r="E3490" s="2" t="s">
        <v>11201</v>
      </c>
      <c r="F3490" s="2" t="s">
        <v>11227</v>
      </c>
      <c r="G3490" s="2" t="s">
        <v>11228</v>
      </c>
      <c r="H3490" s="2" t="s">
        <v>11229</v>
      </c>
      <c r="I3490" s="2" t="s">
        <v>11230</v>
      </c>
      <c r="J3490" s="2" t="s">
        <v>11209</v>
      </c>
      <c r="K3490" s="2" t="s">
        <v>11231</v>
      </c>
      <c r="L3490" s="3">
        <v>26.35</v>
      </c>
      <c r="M3490" s="3">
        <v>27.67</v>
      </c>
      <c r="N3490" s="3">
        <v>59.99</v>
      </c>
      <c r="O3490" s="2" t="s">
        <v>97</v>
      </c>
      <c r="P3490" s="2" t="s">
        <v>156</v>
      </c>
      <c r="Q3490" s="2" t="s">
        <v>99</v>
      </c>
      <c r="R3490" s="2" t="s">
        <v>100</v>
      </c>
      <c r="S3490" s="2" t="s">
        <v>11232</v>
      </c>
      <c r="T3490" s="2" t="s">
        <v>11233</v>
      </c>
      <c r="U3490" s="2" t="s">
        <v>1776</v>
      </c>
      <c r="V3490" s="2" t="s">
        <v>461</v>
      </c>
      <c r="W3490" s="2" t="s">
        <v>609</v>
      </c>
      <c r="X3490" s="2" t="s">
        <v>100</v>
      </c>
      <c r="Y3490" s="2" t="s">
        <v>11234</v>
      </c>
      <c r="Z3490" s="4">
        <v>244</v>
      </c>
      <c r="AA3490" s="4">
        <f>=ROUNDDOWN(24.4,0)</f>
      </c>
      <c r="AB3490" s="5">
        <v>10</v>
      </c>
      <c r="AC3490" s="2" t="s">
        <v>100</v>
      </c>
      <c r="AD3490" s="4"/>
      <c r="AE3490" s="4"/>
      <c r="AF3490" s="6">
        <v>75</v>
      </c>
      <c r="AG3490" s="6"/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/>
      <c r="AQ3490" s="8"/>
      <c r="AR3490" s="4"/>
      <c r="AS3490" s="8"/>
      <c r="AT3490" s="7"/>
      <c r="AU3490" s="7"/>
      <c r="AV3490" s="4" t="s">
        <v>100</v>
      </c>
      <c r="AW3490" s="8" t="s">
        <v>100</v>
      </c>
      <c r="AX3490" s="4" t="s">
        <v>100</v>
      </c>
      <c r="AY3490" s="8" t="s">
        <v>100</v>
      </c>
      <c r="AZ3490" s="7" t="s">
        <v>100</v>
      </c>
      <c r="BA3490" s="7" t="s">
        <v>100</v>
      </c>
      <c r="BB3490" s="7"/>
      <c r="BC3490" s="4" t="s">
        <v>100</v>
      </c>
      <c r="BD3490" s="8" t="s">
        <v>100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/>
      <c r="BJ3490" s="4">
        <v>79</v>
      </c>
      <c r="BK3490" s="8">
        <v>2343.69</v>
      </c>
      <c r="BL3490" s="2" t="s">
        <v>11240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171</v>
      </c>
      <c r="BV3490" s="2" t="s">
        <v>97</v>
      </c>
      <c r="BW3490" s="2" t="s">
        <v>100</v>
      </c>
      <c r="BX3490" s="2" t="s">
        <v>100</v>
      </c>
      <c r="BY3490" s="2" t="s">
        <v>112</v>
      </c>
      <c r="BZ3490" s="2" t="s">
        <v>149</v>
      </c>
    </row>
    <row r="3491">
      <c r="A3491" s="2" t="s">
        <v>11241</v>
      </c>
      <c r="B3491" s="2" t="s">
        <v>10807</v>
      </c>
      <c r="C3491" s="2" t="s">
        <v>88</v>
      </c>
      <c r="D3491" s="2" t="s">
        <v>2572</v>
      </c>
      <c r="E3491" s="2" t="s">
        <v>11201</v>
      </c>
      <c r="F3491" s="2" t="s">
        <v>11227</v>
      </c>
      <c r="G3491" s="2" t="s">
        <v>11228</v>
      </c>
      <c r="H3491" s="2" t="s">
        <v>11229</v>
      </c>
      <c r="I3491" s="2" t="s">
        <v>11230</v>
      </c>
      <c r="J3491" s="2" t="s">
        <v>11211</v>
      </c>
      <c r="K3491" s="2" t="s">
        <v>11231</v>
      </c>
      <c r="L3491" s="3">
        <v>27.95</v>
      </c>
      <c r="M3491" s="3">
        <v>29.35</v>
      </c>
      <c r="N3491" s="3">
        <v>64.99</v>
      </c>
      <c r="O3491" s="2" t="s">
        <v>97</v>
      </c>
      <c r="P3491" s="2" t="s">
        <v>156</v>
      </c>
      <c r="Q3491" s="2" t="s">
        <v>99</v>
      </c>
      <c r="R3491" s="2" t="s">
        <v>100</v>
      </c>
      <c r="S3491" s="2" t="s">
        <v>11232</v>
      </c>
      <c r="T3491" s="2" t="s">
        <v>11233</v>
      </c>
      <c r="U3491" s="2" t="s">
        <v>1776</v>
      </c>
      <c r="V3491" s="2" t="s">
        <v>461</v>
      </c>
      <c r="W3491" s="2" t="s">
        <v>609</v>
      </c>
      <c r="X3491" s="2" t="s">
        <v>100</v>
      </c>
      <c r="Y3491" s="2" t="s">
        <v>11234</v>
      </c>
      <c r="Z3491" s="4">
        <v>299</v>
      </c>
      <c r="AA3491" s="4">
        <f>=ROUNDDOWN(37.375,0)</f>
      </c>
      <c r="AB3491" s="5">
        <v>8</v>
      </c>
      <c r="AC3491" s="2" t="s">
        <v>2581</v>
      </c>
      <c r="AD3491" s="4">
        <v>300</v>
      </c>
      <c r="AE3491" s="4">
        <v>300</v>
      </c>
      <c r="AF3491" s="6">
        <v>75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/>
      <c r="AQ3491" s="8"/>
      <c r="AR3491" s="4"/>
      <c r="AS3491" s="8"/>
      <c r="AT3491" s="7"/>
      <c r="AU3491" s="7"/>
      <c r="AV3491" s="4" t="s">
        <v>100</v>
      </c>
      <c r="AW3491" s="8" t="s">
        <v>100</v>
      </c>
      <c r="AX3491" s="4" t="s">
        <v>100</v>
      </c>
      <c r="AY3491" s="8" t="s">
        <v>100</v>
      </c>
      <c r="AZ3491" s="7" t="s">
        <v>100</v>
      </c>
      <c r="BA3491" s="7" t="s">
        <v>100</v>
      </c>
      <c r="BB3491" s="7"/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/>
      <c r="BJ3491" s="4">
        <v>19</v>
      </c>
      <c r="BK3491" s="8">
        <v>619.93</v>
      </c>
      <c r="BL3491" s="2" t="s">
        <v>11242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171</v>
      </c>
      <c r="BV3491" s="2" t="s">
        <v>97</v>
      </c>
      <c r="BW3491" s="2" t="s">
        <v>100</v>
      </c>
      <c r="BX3491" s="2" t="s">
        <v>100</v>
      </c>
      <c r="BY3491" s="2" t="s">
        <v>112</v>
      </c>
      <c r="BZ3491" s="2" t="s">
        <v>149</v>
      </c>
    </row>
    <row r="3492">
      <c r="A3492" s="2" t="s">
        <v>11243</v>
      </c>
      <c r="B3492" s="2" t="s">
        <v>10807</v>
      </c>
      <c r="C3492" s="2" t="s">
        <v>88</v>
      </c>
      <c r="D3492" s="2" t="s">
        <v>2572</v>
      </c>
      <c r="E3492" s="2" t="s">
        <v>11201</v>
      </c>
      <c r="F3492" s="2" t="s">
        <v>11227</v>
      </c>
      <c r="G3492" s="2" t="s">
        <v>11228</v>
      </c>
      <c r="H3492" s="2" t="s">
        <v>11229</v>
      </c>
      <c r="I3492" s="2" t="s">
        <v>11230</v>
      </c>
      <c r="J3492" s="2" t="s">
        <v>11214</v>
      </c>
      <c r="K3492" s="2" t="s">
        <v>11231</v>
      </c>
      <c r="L3492" s="3">
        <v>29.3</v>
      </c>
      <c r="M3492" s="3">
        <v>30.77</v>
      </c>
      <c r="N3492" s="3">
        <v>69.99</v>
      </c>
      <c r="O3492" s="2" t="s">
        <v>97</v>
      </c>
      <c r="P3492" s="2" t="s">
        <v>98</v>
      </c>
      <c r="Q3492" s="2" t="s">
        <v>99</v>
      </c>
      <c r="R3492" s="2" t="s">
        <v>100</v>
      </c>
      <c r="S3492" s="2" t="s">
        <v>11232</v>
      </c>
      <c r="T3492" s="2" t="s">
        <v>11233</v>
      </c>
      <c r="U3492" s="2" t="s">
        <v>1776</v>
      </c>
      <c r="V3492" s="2" t="s">
        <v>461</v>
      </c>
      <c r="W3492" s="2" t="s">
        <v>609</v>
      </c>
      <c r="X3492" s="2" t="s">
        <v>100</v>
      </c>
      <c r="Y3492" s="2" t="s">
        <v>11234</v>
      </c>
      <c r="Z3492" s="4">
        <v>170</v>
      </c>
      <c r="AA3492" s="4">
        <f>=ROUNDDOWN(14.1666666666667,0)</f>
      </c>
      <c r="AB3492" s="5">
        <v>12</v>
      </c>
      <c r="AC3492" s="2" t="s">
        <v>2581</v>
      </c>
      <c r="AD3492" s="4">
        <v>156</v>
      </c>
      <c r="AE3492" s="4">
        <v>156</v>
      </c>
      <c r="AF3492" s="6">
        <v>75</v>
      </c>
      <c r="AG3492" s="6"/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/>
      <c r="AQ3492" s="8"/>
      <c r="AR3492" s="4"/>
      <c r="AS3492" s="8"/>
      <c r="AT3492" s="7"/>
      <c r="AU3492" s="7"/>
      <c r="AV3492" s="4" t="s">
        <v>100</v>
      </c>
      <c r="AW3492" s="8" t="s">
        <v>100</v>
      </c>
      <c r="AX3492" s="4" t="s">
        <v>100</v>
      </c>
      <c r="AY3492" s="8" t="s">
        <v>100</v>
      </c>
      <c r="AZ3492" s="7" t="s">
        <v>100</v>
      </c>
      <c r="BA3492" s="7" t="s">
        <v>100</v>
      </c>
      <c r="BB3492" s="7"/>
      <c r="BC3492" s="4" t="s">
        <v>100</v>
      </c>
      <c r="BD3492" s="8" t="s">
        <v>100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/>
      <c r="BJ3492" s="4">
        <v>129</v>
      </c>
      <c r="BK3492" s="8">
        <v>4573.64</v>
      </c>
      <c r="BL3492" s="2" t="s">
        <v>11242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171</v>
      </c>
      <c r="BV3492" s="2" t="s">
        <v>97</v>
      </c>
      <c r="BW3492" s="2" t="s">
        <v>100</v>
      </c>
      <c r="BX3492" s="2" t="s">
        <v>100</v>
      </c>
      <c r="BY3492" s="2" t="s">
        <v>112</v>
      </c>
      <c r="BZ3492" s="2" t="s">
        <v>149</v>
      </c>
    </row>
    <row r="3493">
      <c r="A3493" s="2" t="s">
        <v>11244</v>
      </c>
      <c r="B3493" s="2" t="s">
        <v>10807</v>
      </c>
      <c r="C3493" s="2" t="s">
        <v>88</v>
      </c>
      <c r="D3493" s="2" t="s">
        <v>2572</v>
      </c>
      <c r="E3493" s="2" t="s">
        <v>11201</v>
      </c>
      <c r="F3493" s="2" t="s">
        <v>11227</v>
      </c>
      <c r="G3493" s="2" t="s">
        <v>11228</v>
      </c>
      <c r="H3493" s="2" t="s">
        <v>11229</v>
      </c>
      <c r="I3493" s="2" t="s">
        <v>11230</v>
      </c>
      <c r="J3493" s="2" t="s">
        <v>11205</v>
      </c>
      <c r="K3493" s="2" t="s">
        <v>11245</v>
      </c>
      <c r="L3493" s="3">
        <v>23.2</v>
      </c>
      <c r="M3493" s="3">
        <v>24.36</v>
      </c>
      <c r="N3493" s="3">
        <v>54.99</v>
      </c>
      <c r="O3493" s="2" t="s">
        <v>97</v>
      </c>
      <c r="P3493" s="2" t="s">
        <v>156</v>
      </c>
      <c r="Q3493" s="2" t="s">
        <v>99</v>
      </c>
      <c r="R3493" s="2" t="s">
        <v>100</v>
      </c>
      <c r="S3493" s="2" t="s">
        <v>11246</v>
      </c>
      <c r="T3493" s="2" t="s">
        <v>11233</v>
      </c>
      <c r="U3493" s="2" t="s">
        <v>1776</v>
      </c>
      <c r="V3493" s="2" t="s">
        <v>461</v>
      </c>
      <c r="W3493" s="2" t="s">
        <v>609</v>
      </c>
      <c r="X3493" s="2" t="s">
        <v>100</v>
      </c>
      <c r="Y3493" s="2" t="s">
        <v>11234</v>
      </c>
      <c r="Z3493" s="4">
        <v>198</v>
      </c>
      <c r="AA3493" s="4">
        <f>=ROUNDDOWN(24.75,0)</f>
      </c>
      <c r="AB3493" s="5">
        <v>8</v>
      </c>
      <c r="AC3493" s="2" t="s">
        <v>2581</v>
      </c>
      <c r="AD3493" s="4">
        <v>56</v>
      </c>
      <c r="AE3493" s="4">
        <v>56</v>
      </c>
      <c r="AF3493" s="6">
        <v>75</v>
      </c>
      <c r="AG3493" s="6"/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/>
      <c r="AQ3493" s="8"/>
      <c r="AR3493" s="4"/>
      <c r="AS3493" s="8"/>
      <c r="AT3493" s="7"/>
      <c r="AU3493" s="7"/>
      <c r="AV3493" s="4" t="s">
        <v>100</v>
      </c>
      <c r="AW3493" s="8" t="s">
        <v>100</v>
      </c>
      <c r="AX3493" s="4" t="s">
        <v>100</v>
      </c>
      <c r="AY3493" s="8" t="s">
        <v>100</v>
      </c>
      <c r="AZ3493" s="7" t="s">
        <v>100</v>
      </c>
      <c r="BA3493" s="7" t="s">
        <v>100</v>
      </c>
      <c r="BB3493" s="7"/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/>
      <c r="BJ3493" s="4">
        <v>26</v>
      </c>
      <c r="BK3493" s="8">
        <v>705.7</v>
      </c>
      <c r="BL3493" s="2" t="s">
        <v>11247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171</v>
      </c>
      <c r="BV3493" s="2" t="s">
        <v>97</v>
      </c>
      <c r="BW3493" s="2" t="s">
        <v>100</v>
      </c>
      <c r="BX3493" s="2" t="s">
        <v>100</v>
      </c>
      <c r="BY3493" s="2" t="s">
        <v>112</v>
      </c>
      <c r="BZ3493" s="2" t="s">
        <v>149</v>
      </c>
    </row>
    <row r="3494">
      <c r="A3494" s="2" t="s">
        <v>11248</v>
      </c>
      <c r="B3494" s="2" t="s">
        <v>10807</v>
      </c>
      <c r="C3494" s="2" t="s">
        <v>88</v>
      </c>
      <c r="D3494" s="2" t="s">
        <v>2572</v>
      </c>
      <c r="E3494" s="2" t="s">
        <v>11201</v>
      </c>
      <c r="F3494" s="2" t="s">
        <v>11227</v>
      </c>
      <c r="G3494" s="2" t="s">
        <v>11228</v>
      </c>
      <c r="H3494" s="2" t="s">
        <v>11229</v>
      </c>
      <c r="I3494" s="2" t="s">
        <v>11230</v>
      </c>
      <c r="J3494" s="2" t="s">
        <v>11237</v>
      </c>
      <c r="K3494" s="2" t="s">
        <v>11245</v>
      </c>
      <c r="L3494" s="3">
        <v>25.75</v>
      </c>
      <c r="M3494" s="3">
        <v>27.04</v>
      </c>
      <c r="N3494" s="3">
        <v>57.99</v>
      </c>
      <c r="O3494" s="2" t="s">
        <v>97</v>
      </c>
      <c r="P3494" s="2" t="s">
        <v>123</v>
      </c>
      <c r="Q3494" s="2" t="s">
        <v>99</v>
      </c>
      <c r="R3494" s="2" t="s">
        <v>100</v>
      </c>
      <c r="S3494" s="2" t="s">
        <v>11246</v>
      </c>
      <c r="T3494" s="2" t="s">
        <v>11233</v>
      </c>
      <c r="U3494" s="2" t="s">
        <v>1776</v>
      </c>
      <c r="V3494" s="2" t="s">
        <v>461</v>
      </c>
      <c r="W3494" s="2" t="s">
        <v>609</v>
      </c>
      <c r="X3494" s="2" t="s">
        <v>100</v>
      </c>
      <c r="Y3494" s="2" t="s">
        <v>11234</v>
      </c>
      <c r="Z3494" s="4">
        <v>432</v>
      </c>
      <c r="AA3494" s="4">
        <f>=ROUNDDOWN(74.4827586206897,0)</f>
      </c>
      <c r="AB3494" s="5">
        <v>5.8</v>
      </c>
      <c r="AC3494" s="2" t="s">
        <v>100</v>
      </c>
      <c r="AD3494" s="4"/>
      <c r="AE3494" s="4"/>
      <c r="AF3494" s="6">
        <v>75</v>
      </c>
      <c r="AG3494" s="6"/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>
        <v>0</v>
      </c>
      <c r="AP3494" s="4"/>
      <c r="AQ3494" s="8"/>
      <c r="AR3494" s="4"/>
      <c r="AS3494" s="8"/>
      <c r="AT3494" s="7"/>
      <c r="AU3494" s="7"/>
      <c r="AV3494" s="4" t="s">
        <v>100</v>
      </c>
      <c r="AW3494" s="8" t="s">
        <v>100</v>
      </c>
      <c r="AX3494" s="4" t="s">
        <v>100</v>
      </c>
      <c r="AY3494" s="8" t="s">
        <v>100</v>
      </c>
      <c r="AZ3494" s="7" t="s">
        <v>100</v>
      </c>
      <c r="BA3494" s="7" t="s">
        <v>100</v>
      </c>
      <c r="BB3494" s="7"/>
      <c r="BC3494" s="4" t="s">
        <v>100</v>
      </c>
      <c r="BD3494" s="8" t="s">
        <v>100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/>
      <c r="BJ3494" s="4">
        <v>48</v>
      </c>
      <c r="BK3494" s="8">
        <v>1428.62</v>
      </c>
      <c r="BL3494" s="2" t="s">
        <v>11249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171</v>
      </c>
      <c r="BV3494" s="2" t="s">
        <v>97</v>
      </c>
      <c r="BW3494" s="2" t="s">
        <v>100</v>
      </c>
      <c r="BX3494" s="2" t="s">
        <v>100</v>
      </c>
      <c r="BY3494" s="2" t="s">
        <v>112</v>
      </c>
      <c r="BZ3494" s="2" t="s">
        <v>149</v>
      </c>
    </row>
    <row r="3495">
      <c r="A3495" s="2" t="s">
        <v>11250</v>
      </c>
      <c r="B3495" s="2" t="s">
        <v>10807</v>
      </c>
      <c r="C3495" s="2" t="s">
        <v>88</v>
      </c>
      <c r="D3495" s="2" t="s">
        <v>2572</v>
      </c>
      <c r="E3495" s="2" t="s">
        <v>11201</v>
      </c>
      <c r="F3495" s="2" t="s">
        <v>11227</v>
      </c>
      <c r="G3495" s="2" t="s">
        <v>11228</v>
      </c>
      <c r="H3495" s="2" t="s">
        <v>11229</v>
      </c>
      <c r="I3495" s="2" t="s">
        <v>11230</v>
      </c>
      <c r="J3495" s="2" t="s">
        <v>11209</v>
      </c>
      <c r="K3495" s="2" t="s">
        <v>11245</v>
      </c>
      <c r="L3495" s="3">
        <v>26.35</v>
      </c>
      <c r="M3495" s="3">
        <v>27.67</v>
      </c>
      <c r="N3495" s="3">
        <v>59.99</v>
      </c>
      <c r="O3495" s="2" t="s">
        <v>97</v>
      </c>
      <c r="P3495" s="2" t="s">
        <v>156</v>
      </c>
      <c r="Q3495" s="2" t="s">
        <v>99</v>
      </c>
      <c r="R3495" s="2" t="s">
        <v>100</v>
      </c>
      <c r="S3495" s="2" t="s">
        <v>11246</v>
      </c>
      <c r="T3495" s="2" t="s">
        <v>11233</v>
      </c>
      <c r="U3495" s="2" t="s">
        <v>1776</v>
      </c>
      <c r="V3495" s="2" t="s">
        <v>461</v>
      </c>
      <c r="W3495" s="2" t="s">
        <v>609</v>
      </c>
      <c r="X3495" s="2" t="s">
        <v>100</v>
      </c>
      <c r="Y3495" s="2" t="s">
        <v>11234</v>
      </c>
      <c r="Z3495" s="4">
        <v>193</v>
      </c>
      <c r="AA3495" s="4">
        <f>=ROUNDDOWN(33.2758620689655,0)</f>
      </c>
      <c r="AB3495" s="5">
        <v>5.8</v>
      </c>
      <c r="AC3495" s="2" t="s">
        <v>2581</v>
      </c>
      <c r="AD3495" s="4">
        <v>408</v>
      </c>
      <c r="AE3495" s="4">
        <v>408</v>
      </c>
      <c r="AF3495" s="6">
        <v>75</v>
      </c>
      <c r="AG3495" s="6"/>
      <c r="AH3495" s="7">
        <v>1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/>
      <c r="AQ3495" s="8"/>
      <c r="AR3495" s="4"/>
      <c r="AS3495" s="8"/>
      <c r="AT3495" s="7"/>
      <c r="AU3495" s="7"/>
      <c r="AV3495" s="4" t="s">
        <v>100</v>
      </c>
      <c r="AW3495" s="8" t="s">
        <v>100</v>
      </c>
      <c r="AX3495" s="4" t="s">
        <v>100</v>
      </c>
      <c r="AY3495" s="8" t="s">
        <v>100</v>
      </c>
      <c r="AZ3495" s="7" t="s">
        <v>100</v>
      </c>
      <c r="BA3495" s="7" t="s">
        <v>100</v>
      </c>
      <c r="BB3495" s="7"/>
      <c r="BC3495" s="4" t="s">
        <v>100</v>
      </c>
      <c r="BD3495" s="8" t="s">
        <v>100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/>
      <c r="BJ3495" s="4">
        <v>27</v>
      </c>
      <c r="BK3495" s="8">
        <v>818.61</v>
      </c>
      <c r="BL3495" s="2" t="s">
        <v>11249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171</v>
      </c>
      <c r="BV3495" s="2" t="s">
        <v>97</v>
      </c>
      <c r="BW3495" s="2" t="s">
        <v>100</v>
      </c>
      <c r="BX3495" s="2" t="s">
        <v>100</v>
      </c>
      <c r="BY3495" s="2" t="s">
        <v>112</v>
      </c>
      <c r="BZ3495" s="2" t="s">
        <v>149</v>
      </c>
    </row>
    <row r="3496">
      <c r="A3496" s="2" t="s">
        <v>11251</v>
      </c>
      <c r="B3496" s="2" t="s">
        <v>10807</v>
      </c>
      <c r="C3496" s="2" t="s">
        <v>88</v>
      </c>
      <c r="D3496" s="2" t="s">
        <v>2572</v>
      </c>
      <c r="E3496" s="2" t="s">
        <v>11201</v>
      </c>
      <c r="F3496" s="2" t="s">
        <v>11227</v>
      </c>
      <c r="G3496" s="2" t="s">
        <v>11228</v>
      </c>
      <c r="H3496" s="2" t="s">
        <v>11229</v>
      </c>
      <c r="I3496" s="2" t="s">
        <v>11230</v>
      </c>
      <c r="J3496" s="2" t="s">
        <v>11211</v>
      </c>
      <c r="K3496" s="2" t="s">
        <v>11245</v>
      </c>
      <c r="L3496" s="3">
        <v>27.95</v>
      </c>
      <c r="M3496" s="3">
        <v>29.35</v>
      </c>
      <c r="N3496" s="3">
        <v>64.99</v>
      </c>
      <c r="O3496" s="2" t="s">
        <v>97</v>
      </c>
      <c r="P3496" s="2" t="s">
        <v>123</v>
      </c>
      <c r="Q3496" s="2" t="s">
        <v>99</v>
      </c>
      <c r="R3496" s="2" t="s">
        <v>100</v>
      </c>
      <c r="S3496" s="2" t="s">
        <v>11246</v>
      </c>
      <c r="T3496" s="2" t="s">
        <v>11233</v>
      </c>
      <c r="U3496" s="2" t="s">
        <v>1776</v>
      </c>
      <c r="V3496" s="2" t="s">
        <v>461</v>
      </c>
      <c r="W3496" s="2" t="s">
        <v>609</v>
      </c>
      <c r="X3496" s="2" t="s">
        <v>100</v>
      </c>
      <c r="Y3496" s="2" t="s">
        <v>11234</v>
      </c>
      <c r="Z3496" s="4">
        <v>383</v>
      </c>
      <c r="AA3496" s="4">
        <f>=ROUNDDOWN(46.7073170731707,0)</f>
      </c>
      <c r="AB3496" s="5">
        <v>8.2</v>
      </c>
      <c r="AC3496" s="2" t="s">
        <v>2581</v>
      </c>
      <c r="AD3496" s="4">
        <v>624</v>
      </c>
      <c r="AE3496" s="4">
        <v>624</v>
      </c>
      <c r="AF3496" s="6">
        <v>75</v>
      </c>
      <c r="AG3496" s="6"/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/>
      <c r="AQ3496" s="8"/>
      <c r="AR3496" s="4"/>
      <c r="AS3496" s="8"/>
      <c r="AT3496" s="7"/>
      <c r="AU3496" s="7"/>
      <c r="AV3496" s="4" t="s">
        <v>100</v>
      </c>
      <c r="AW3496" s="8" t="s">
        <v>100</v>
      </c>
      <c r="AX3496" s="4" t="s">
        <v>100</v>
      </c>
      <c r="AY3496" s="8" t="s">
        <v>100</v>
      </c>
      <c r="AZ3496" s="7" t="s">
        <v>100</v>
      </c>
      <c r="BA3496" s="7" t="s">
        <v>100</v>
      </c>
      <c r="BB3496" s="7"/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/>
      <c r="BJ3496" s="4">
        <v>37</v>
      </c>
      <c r="BK3496" s="8">
        <v>1199.38</v>
      </c>
      <c r="BL3496" s="2" t="s">
        <v>11247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171</v>
      </c>
      <c r="BV3496" s="2" t="s">
        <v>97</v>
      </c>
      <c r="BW3496" s="2" t="s">
        <v>100</v>
      </c>
      <c r="BX3496" s="2" t="s">
        <v>100</v>
      </c>
      <c r="BY3496" s="2" t="s">
        <v>112</v>
      </c>
      <c r="BZ3496" s="2" t="s">
        <v>149</v>
      </c>
    </row>
    <row r="3497">
      <c r="A3497" s="2" t="s">
        <v>11252</v>
      </c>
      <c r="B3497" s="2" t="s">
        <v>10807</v>
      </c>
      <c r="C3497" s="2" t="s">
        <v>88</v>
      </c>
      <c r="D3497" s="2" t="s">
        <v>2572</v>
      </c>
      <c r="E3497" s="2" t="s">
        <v>11201</v>
      </c>
      <c r="F3497" s="2" t="s">
        <v>11227</v>
      </c>
      <c r="G3497" s="2" t="s">
        <v>11228</v>
      </c>
      <c r="H3497" s="2" t="s">
        <v>11229</v>
      </c>
      <c r="I3497" s="2" t="s">
        <v>11230</v>
      </c>
      <c r="J3497" s="2" t="s">
        <v>11214</v>
      </c>
      <c r="K3497" s="2" t="s">
        <v>11245</v>
      </c>
      <c r="L3497" s="3">
        <v>29.3</v>
      </c>
      <c r="M3497" s="3">
        <v>30.77</v>
      </c>
      <c r="N3497" s="3">
        <v>69.99</v>
      </c>
      <c r="O3497" s="2" t="s">
        <v>97</v>
      </c>
      <c r="P3497" s="2" t="s">
        <v>123</v>
      </c>
      <c r="Q3497" s="2" t="s">
        <v>99</v>
      </c>
      <c r="R3497" s="2" t="s">
        <v>100</v>
      </c>
      <c r="S3497" s="2" t="s">
        <v>11246</v>
      </c>
      <c r="T3497" s="2" t="s">
        <v>11233</v>
      </c>
      <c r="U3497" s="2" t="s">
        <v>1776</v>
      </c>
      <c r="V3497" s="2" t="s">
        <v>461</v>
      </c>
      <c r="W3497" s="2" t="s">
        <v>609</v>
      </c>
      <c r="X3497" s="2" t="s">
        <v>100</v>
      </c>
      <c r="Y3497" s="2" t="s">
        <v>11234</v>
      </c>
      <c r="Z3497" s="4">
        <v>396</v>
      </c>
      <c r="AA3497" s="4">
        <f>=ROUNDDOWN(24.75,0)</f>
      </c>
      <c r="AB3497" s="5">
        <v>16</v>
      </c>
      <c r="AC3497" s="2" t="s">
        <v>2581</v>
      </c>
      <c r="AD3497" s="4">
        <v>300</v>
      </c>
      <c r="AE3497" s="4">
        <v>300</v>
      </c>
      <c r="AF3497" s="6">
        <v>75</v>
      </c>
      <c r="AG3497" s="6"/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/>
      <c r="AQ3497" s="8"/>
      <c r="AR3497" s="4"/>
      <c r="AS3497" s="8"/>
      <c r="AT3497" s="7"/>
      <c r="AU3497" s="7"/>
      <c r="AV3497" s="4" t="s">
        <v>100</v>
      </c>
      <c r="AW3497" s="8" t="s">
        <v>100</v>
      </c>
      <c r="AX3497" s="4" t="s">
        <v>100</v>
      </c>
      <c r="AY3497" s="8" t="s">
        <v>100</v>
      </c>
      <c r="AZ3497" s="7" t="s">
        <v>100</v>
      </c>
      <c r="BA3497" s="7" t="s">
        <v>100</v>
      </c>
      <c r="BB3497" s="7"/>
      <c r="BC3497" s="4" t="s">
        <v>100</v>
      </c>
      <c r="BD3497" s="8" t="s">
        <v>100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/>
      <c r="BJ3497" s="4">
        <v>62</v>
      </c>
      <c r="BK3497" s="8">
        <v>2112.12</v>
      </c>
      <c r="BL3497" s="2" t="s">
        <v>11247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171</v>
      </c>
      <c r="BV3497" s="2" t="s">
        <v>97</v>
      </c>
      <c r="BW3497" s="2" t="s">
        <v>100</v>
      </c>
      <c r="BX3497" s="2" t="s">
        <v>100</v>
      </c>
      <c r="BY3497" s="2" t="s">
        <v>112</v>
      </c>
      <c r="BZ3497" s="2" t="s">
        <v>149</v>
      </c>
    </row>
    <row r="3498">
      <c r="A3498" s="2" t="s">
        <v>11253</v>
      </c>
      <c r="B3498" s="2" t="s">
        <v>10807</v>
      </c>
      <c r="C3498" s="2" t="s">
        <v>88</v>
      </c>
      <c r="D3498" s="2" t="s">
        <v>2572</v>
      </c>
      <c r="E3498" s="2" t="s">
        <v>11201</v>
      </c>
      <c r="F3498" s="2" t="s">
        <v>11176</v>
      </c>
      <c r="G3498" s="2" t="s">
        <v>11177</v>
      </c>
      <c r="H3498" s="2" t="s">
        <v>11178</v>
      </c>
      <c r="I3498" s="2" t="s">
        <v>11254</v>
      </c>
      <c r="J3498" s="2" t="s">
        <v>11255</v>
      </c>
      <c r="K3498" s="2" t="s">
        <v>179</v>
      </c>
      <c r="L3498" s="3">
        <v>23.75</v>
      </c>
      <c r="M3498" s="3">
        <v>24.94</v>
      </c>
      <c r="N3498" s="3">
        <v>53.99</v>
      </c>
      <c r="O3498" s="2" t="s">
        <v>97</v>
      </c>
      <c r="P3498" s="2" t="s">
        <v>98</v>
      </c>
      <c r="Q3498" s="2" t="s">
        <v>99</v>
      </c>
      <c r="R3498" s="2" t="s">
        <v>100</v>
      </c>
      <c r="S3498" s="2" t="s">
        <v>11181</v>
      </c>
      <c r="T3498" s="2" t="s">
        <v>438</v>
      </c>
      <c r="U3498" s="2" t="s">
        <v>1776</v>
      </c>
      <c r="V3498" s="2" t="s">
        <v>461</v>
      </c>
      <c r="W3498" s="2" t="s">
        <v>609</v>
      </c>
      <c r="X3498" s="2" t="s">
        <v>100</v>
      </c>
      <c r="Y3498" s="2" t="s">
        <v>6432</v>
      </c>
      <c r="Z3498" s="4">
        <v>8</v>
      </c>
      <c r="AA3498" s="4">
        <f>=ROUNDDOWN(1.6,0)</f>
      </c>
      <c r="AB3498" s="5">
        <v>5</v>
      </c>
      <c r="AC3498" s="2" t="s">
        <v>1468</v>
      </c>
      <c r="AD3498" s="4">
        <v>84</v>
      </c>
      <c r="AE3498" s="4">
        <v>132</v>
      </c>
      <c r="AF3498" s="6">
        <v>65</v>
      </c>
      <c r="AG3498" s="6"/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/>
      <c r="AQ3498" s="8"/>
      <c r="AR3498" s="4"/>
      <c r="AS3498" s="8"/>
      <c r="AT3498" s="7"/>
      <c r="AU3498" s="7"/>
      <c r="AV3498" s="4" t="s">
        <v>100</v>
      </c>
      <c r="AW3498" s="8" t="s">
        <v>100</v>
      </c>
      <c r="AX3498" s="4" t="s">
        <v>100</v>
      </c>
      <c r="AY3498" s="8" t="s">
        <v>100</v>
      </c>
      <c r="AZ3498" s="7" t="s">
        <v>100</v>
      </c>
      <c r="BA3498" s="7" t="s">
        <v>100</v>
      </c>
      <c r="BB3498" s="7"/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/>
      <c r="BJ3498" s="4">
        <v>17</v>
      </c>
      <c r="BK3498" s="8">
        <v>476.34</v>
      </c>
      <c r="BL3498" s="2" t="s">
        <v>11256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171</v>
      </c>
      <c r="BV3498" s="2" t="s">
        <v>97</v>
      </c>
      <c r="BW3498" s="2" t="s">
        <v>100</v>
      </c>
      <c r="BX3498" s="2" t="s">
        <v>100</v>
      </c>
      <c r="BY3498" s="2" t="s">
        <v>112</v>
      </c>
      <c r="BZ3498" s="2" t="s">
        <v>149</v>
      </c>
    </row>
    <row r="3499">
      <c r="A3499" s="2" t="s">
        <v>11257</v>
      </c>
      <c r="B3499" s="2" t="s">
        <v>10807</v>
      </c>
      <c r="C3499" s="2" t="s">
        <v>88</v>
      </c>
      <c r="D3499" s="2" t="s">
        <v>2572</v>
      </c>
      <c r="E3499" s="2" t="s">
        <v>11201</v>
      </c>
      <c r="F3499" s="2" t="s">
        <v>11176</v>
      </c>
      <c r="G3499" s="2" t="s">
        <v>11177</v>
      </c>
      <c r="H3499" s="2" t="s">
        <v>11178</v>
      </c>
      <c r="I3499" s="2" t="s">
        <v>11254</v>
      </c>
      <c r="J3499" s="2" t="s">
        <v>11205</v>
      </c>
      <c r="K3499" s="2" t="s">
        <v>179</v>
      </c>
      <c r="L3499" s="3">
        <v>27</v>
      </c>
      <c r="M3499" s="3">
        <v>28.35</v>
      </c>
      <c r="N3499" s="3">
        <v>59.99</v>
      </c>
      <c r="O3499" s="2" t="s">
        <v>97</v>
      </c>
      <c r="P3499" s="2" t="s">
        <v>98</v>
      </c>
      <c r="Q3499" s="2" t="s">
        <v>99</v>
      </c>
      <c r="R3499" s="2" t="s">
        <v>100</v>
      </c>
      <c r="S3499" s="2" t="s">
        <v>11181</v>
      </c>
      <c r="T3499" s="2" t="s">
        <v>438</v>
      </c>
      <c r="U3499" s="2" t="s">
        <v>1776</v>
      </c>
      <c r="V3499" s="2" t="s">
        <v>461</v>
      </c>
      <c r="W3499" s="2" t="s">
        <v>609</v>
      </c>
      <c r="X3499" s="2" t="s">
        <v>100</v>
      </c>
      <c r="Y3499" s="2" t="s">
        <v>11258</v>
      </c>
      <c r="Z3499" s="4">
        <v>158</v>
      </c>
      <c r="AA3499" s="4">
        <f>=ROUNDDOWN(21.3513513513514,0)</f>
      </c>
      <c r="AB3499" s="5">
        <v>7.4</v>
      </c>
      <c r="AC3499" s="2" t="s">
        <v>646</v>
      </c>
      <c r="AD3499" s="4">
        <v>184</v>
      </c>
      <c r="AE3499" s="4">
        <v>184</v>
      </c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/>
      <c r="AQ3499" s="8"/>
      <c r="AR3499" s="4"/>
      <c r="AS3499" s="8"/>
      <c r="AT3499" s="7"/>
      <c r="AU3499" s="7"/>
      <c r="AV3499" s="4" t="s">
        <v>100</v>
      </c>
      <c r="AW3499" s="8" t="s">
        <v>100</v>
      </c>
      <c r="AX3499" s="4" t="s">
        <v>100</v>
      </c>
      <c r="AY3499" s="8" t="s">
        <v>100</v>
      </c>
      <c r="AZ3499" s="7" t="s">
        <v>100</v>
      </c>
      <c r="BA3499" s="7" t="s">
        <v>100</v>
      </c>
      <c r="BB3499" s="7"/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/>
      <c r="BJ3499" s="4">
        <v>21</v>
      </c>
      <c r="BK3499" s="8">
        <v>636.07</v>
      </c>
      <c r="BL3499" s="2" t="s">
        <v>11259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171</v>
      </c>
      <c r="BV3499" s="2" t="s">
        <v>97</v>
      </c>
      <c r="BW3499" s="2" t="s">
        <v>100</v>
      </c>
      <c r="BX3499" s="2" t="s">
        <v>100</v>
      </c>
      <c r="BY3499" s="2" t="s">
        <v>112</v>
      </c>
      <c r="BZ3499" s="2" t="s">
        <v>149</v>
      </c>
    </row>
    <row r="3500">
      <c r="A3500" s="2" t="s">
        <v>11260</v>
      </c>
      <c r="B3500" s="2" t="s">
        <v>10807</v>
      </c>
      <c r="C3500" s="2" t="s">
        <v>88</v>
      </c>
      <c r="D3500" s="2" t="s">
        <v>2572</v>
      </c>
      <c r="E3500" s="2" t="s">
        <v>11201</v>
      </c>
      <c r="F3500" s="2" t="s">
        <v>11176</v>
      </c>
      <c r="G3500" s="2" t="s">
        <v>11177</v>
      </c>
      <c r="H3500" s="2" t="s">
        <v>11178</v>
      </c>
      <c r="I3500" s="2" t="s">
        <v>11254</v>
      </c>
      <c r="J3500" s="2" t="s">
        <v>11237</v>
      </c>
      <c r="K3500" s="2" t="s">
        <v>179</v>
      </c>
      <c r="L3500" s="3">
        <v>28.5</v>
      </c>
      <c r="M3500" s="3">
        <v>29.93</v>
      </c>
      <c r="N3500" s="3">
        <v>62.99</v>
      </c>
      <c r="O3500" s="2" t="s">
        <v>97</v>
      </c>
      <c r="P3500" s="2" t="s">
        <v>98</v>
      </c>
      <c r="Q3500" s="2" t="s">
        <v>99</v>
      </c>
      <c r="R3500" s="2" t="s">
        <v>100</v>
      </c>
      <c r="S3500" s="2" t="s">
        <v>11181</v>
      </c>
      <c r="T3500" s="2" t="s">
        <v>438</v>
      </c>
      <c r="U3500" s="2" t="s">
        <v>1776</v>
      </c>
      <c r="V3500" s="2" t="s">
        <v>461</v>
      </c>
      <c r="W3500" s="2" t="s">
        <v>609</v>
      </c>
      <c r="X3500" s="2" t="s">
        <v>100</v>
      </c>
      <c r="Y3500" s="2" t="s">
        <v>6432</v>
      </c>
      <c r="Z3500" s="4">
        <v>50</v>
      </c>
      <c r="AA3500" s="4">
        <f>=ROUNDDOWN(9.43396226415094,0)</f>
      </c>
      <c r="AB3500" s="5">
        <v>5.3</v>
      </c>
      <c r="AC3500" s="2" t="s">
        <v>1468</v>
      </c>
      <c r="AD3500" s="4">
        <v>60</v>
      </c>
      <c r="AE3500" s="4">
        <v>108</v>
      </c>
      <c r="AF3500" s="6">
        <v>65</v>
      </c>
      <c r="AG3500" s="6"/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/>
      <c r="AQ3500" s="8"/>
      <c r="AR3500" s="4"/>
      <c r="AS3500" s="8"/>
      <c r="AT3500" s="7"/>
      <c r="AU3500" s="7"/>
      <c r="AV3500" s="4" t="s">
        <v>100</v>
      </c>
      <c r="AW3500" s="8" t="s">
        <v>100</v>
      </c>
      <c r="AX3500" s="4" t="s">
        <v>100</v>
      </c>
      <c r="AY3500" s="8" t="s">
        <v>100</v>
      </c>
      <c r="AZ3500" s="7" t="s">
        <v>100</v>
      </c>
      <c r="BA3500" s="7" t="s">
        <v>100</v>
      </c>
      <c r="BB3500" s="7"/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/>
      <c r="BJ3500" s="4">
        <v>42</v>
      </c>
      <c r="BK3500" s="8">
        <v>1377.3</v>
      </c>
      <c r="BL3500" s="2" t="s">
        <v>11261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171</v>
      </c>
      <c r="BV3500" s="2" t="s">
        <v>97</v>
      </c>
      <c r="BW3500" s="2" t="s">
        <v>100</v>
      </c>
      <c r="BX3500" s="2" t="s">
        <v>100</v>
      </c>
      <c r="BY3500" s="2" t="s">
        <v>112</v>
      </c>
      <c r="BZ3500" s="2" t="s">
        <v>149</v>
      </c>
    </row>
    <row r="3501">
      <c r="A3501" s="2" t="s">
        <v>11262</v>
      </c>
      <c r="B3501" s="2" t="s">
        <v>10807</v>
      </c>
      <c r="C3501" s="2" t="s">
        <v>88</v>
      </c>
      <c r="D3501" s="2" t="s">
        <v>2572</v>
      </c>
      <c r="E3501" s="2" t="s">
        <v>11201</v>
      </c>
      <c r="F3501" s="2" t="s">
        <v>11176</v>
      </c>
      <c r="G3501" s="2" t="s">
        <v>11177</v>
      </c>
      <c r="H3501" s="2" t="s">
        <v>11178</v>
      </c>
      <c r="I3501" s="2" t="s">
        <v>11254</v>
      </c>
      <c r="J3501" s="2" t="s">
        <v>11209</v>
      </c>
      <c r="K3501" s="2" t="s">
        <v>179</v>
      </c>
      <c r="L3501" s="3">
        <v>29.25</v>
      </c>
      <c r="M3501" s="3">
        <v>30.71</v>
      </c>
      <c r="N3501" s="3">
        <v>64.99</v>
      </c>
      <c r="O3501" s="2" t="s">
        <v>97</v>
      </c>
      <c r="P3501" s="2" t="s">
        <v>98</v>
      </c>
      <c r="Q3501" s="2" t="s">
        <v>99</v>
      </c>
      <c r="R3501" s="2" t="s">
        <v>100</v>
      </c>
      <c r="S3501" s="2" t="s">
        <v>11181</v>
      </c>
      <c r="T3501" s="2" t="s">
        <v>438</v>
      </c>
      <c r="U3501" s="2" t="s">
        <v>1776</v>
      </c>
      <c r="V3501" s="2" t="s">
        <v>461</v>
      </c>
      <c r="W3501" s="2" t="s">
        <v>609</v>
      </c>
      <c r="X3501" s="2" t="s">
        <v>100</v>
      </c>
      <c r="Y3501" s="2" t="s">
        <v>11258</v>
      </c>
      <c r="Z3501" s="4">
        <v>152</v>
      </c>
      <c r="AA3501" s="4">
        <f>=ROUNDDOWN(25.3333333333333,0)</f>
      </c>
      <c r="AB3501" s="5">
        <v>6</v>
      </c>
      <c r="AC3501" s="2" t="s">
        <v>1468</v>
      </c>
      <c r="AD3501" s="4">
        <v>72</v>
      </c>
      <c r="AE3501" s="4">
        <v>136</v>
      </c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/>
      <c r="AQ3501" s="8"/>
      <c r="AR3501" s="4"/>
      <c r="AS3501" s="8"/>
      <c r="AT3501" s="7"/>
      <c r="AU3501" s="7"/>
      <c r="AV3501" s="4" t="s">
        <v>100</v>
      </c>
      <c r="AW3501" s="8" t="s">
        <v>100</v>
      </c>
      <c r="AX3501" s="4" t="s">
        <v>100</v>
      </c>
      <c r="AY3501" s="8" t="s">
        <v>100</v>
      </c>
      <c r="AZ3501" s="7" t="s">
        <v>100</v>
      </c>
      <c r="BA3501" s="7" t="s">
        <v>100</v>
      </c>
      <c r="BB3501" s="7"/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/>
      <c r="BJ3501" s="4">
        <v>15</v>
      </c>
      <c r="BK3501" s="8">
        <v>492.77</v>
      </c>
      <c r="BL3501" s="2" t="s">
        <v>11263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171</v>
      </c>
      <c r="BV3501" s="2" t="s">
        <v>97</v>
      </c>
      <c r="BW3501" s="2" t="s">
        <v>100</v>
      </c>
      <c r="BX3501" s="2" t="s">
        <v>100</v>
      </c>
      <c r="BY3501" s="2" t="s">
        <v>112</v>
      </c>
      <c r="BZ3501" s="2" t="s">
        <v>149</v>
      </c>
    </row>
    <row r="3502">
      <c r="A3502" s="2" t="s">
        <v>11264</v>
      </c>
      <c r="B3502" s="2" t="s">
        <v>10807</v>
      </c>
      <c r="C3502" s="2" t="s">
        <v>88</v>
      </c>
      <c r="D3502" s="2" t="s">
        <v>2572</v>
      </c>
      <c r="E3502" s="2" t="s">
        <v>11201</v>
      </c>
      <c r="F3502" s="2" t="s">
        <v>11176</v>
      </c>
      <c r="G3502" s="2" t="s">
        <v>11177</v>
      </c>
      <c r="H3502" s="2" t="s">
        <v>11178</v>
      </c>
      <c r="I3502" s="2" t="s">
        <v>11254</v>
      </c>
      <c r="J3502" s="2" t="s">
        <v>11211</v>
      </c>
      <c r="K3502" s="2" t="s">
        <v>179</v>
      </c>
      <c r="L3502" s="3">
        <v>32.2</v>
      </c>
      <c r="M3502" s="3">
        <v>33.81</v>
      </c>
      <c r="N3502" s="3">
        <v>69.99</v>
      </c>
      <c r="O3502" s="2" t="s">
        <v>97</v>
      </c>
      <c r="P3502" s="2" t="s">
        <v>98</v>
      </c>
      <c r="Q3502" s="2" t="s">
        <v>99</v>
      </c>
      <c r="R3502" s="2" t="s">
        <v>100</v>
      </c>
      <c r="S3502" s="2" t="s">
        <v>11181</v>
      </c>
      <c r="T3502" s="2" t="s">
        <v>438</v>
      </c>
      <c r="U3502" s="2" t="s">
        <v>1776</v>
      </c>
      <c r="V3502" s="2" t="s">
        <v>461</v>
      </c>
      <c r="W3502" s="2" t="s">
        <v>609</v>
      </c>
      <c r="X3502" s="2" t="s">
        <v>100</v>
      </c>
      <c r="Y3502" s="2" t="s">
        <v>11258</v>
      </c>
      <c r="Z3502" s="4">
        <v>69</v>
      </c>
      <c r="AA3502" s="4">
        <f>=ROUNDDOWN(13.8,0)</f>
      </c>
      <c r="AB3502" s="5">
        <v>5</v>
      </c>
      <c r="AC3502" s="2" t="s">
        <v>1468</v>
      </c>
      <c r="AD3502" s="4">
        <v>60</v>
      </c>
      <c r="AE3502" s="4">
        <v>124</v>
      </c>
      <c r="AF3502" s="6">
        <v>65</v>
      </c>
      <c r="AG3502" s="6"/>
      <c r="AH3502" s="7">
        <v>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/>
      <c r="AQ3502" s="8"/>
      <c r="AR3502" s="4"/>
      <c r="AS3502" s="8"/>
      <c r="AT3502" s="7"/>
      <c r="AU3502" s="7"/>
      <c r="AV3502" s="4" t="s">
        <v>100</v>
      </c>
      <c r="AW3502" s="8" t="s">
        <v>100</v>
      </c>
      <c r="AX3502" s="4" t="s">
        <v>100</v>
      </c>
      <c r="AY3502" s="8" t="s">
        <v>100</v>
      </c>
      <c r="AZ3502" s="7" t="s">
        <v>100</v>
      </c>
      <c r="BA3502" s="7" t="s">
        <v>100</v>
      </c>
      <c r="BB3502" s="7"/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/>
      <c r="BJ3502" s="4">
        <v>16</v>
      </c>
      <c r="BK3502" s="8">
        <v>585.2</v>
      </c>
      <c r="BL3502" s="2" t="s">
        <v>11265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171</v>
      </c>
      <c r="BV3502" s="2" t="s">
        <v>97</v>
      </c>
      <c r="BW3502" s="2" t="s">
        <v>100</v>
      </c>
      <c r="BX3502" s="2" t="s">
        <v>100</v>
      </c>
      <c r="BY3502" s="2" t="s">
        <v>112</v>
      </c>
      <c r="BZ3502" s="2" t="s">
        <v>149</v>
      </c>
    </row>
    <row r="3503">
      <c r="A3503" s="2" t="s">
        <v>11266</v>
      </c>
      <c r="B3503" s="2" t="s">
        <v>10807</v>
      </c>
      <c r="C3503" s="2" t="s">
        <v>88</v>
      </c>
      <c r="D3503" s="2" t="s">
        <v>2572</v>
      </c>
      <c r="E3503" s="2" t="s">
        <v>11201</v>
      </c>
      <c r="F3503" s="2" t="s">
        <v>11176</v>
      </c>
      <c r="G3503" s="2" t="s">
        <v>11177</v>
      </c>
      <c r="H3503" s="2" t="s">
        <v>11178</v>
      </c>
      <c r="I3503" s="2" t="s">
        <v>11254</v>
      </c>
      <c r="J3503" s="2" t="s">
        <v>11267</v>
      </c>
      <c r="K3503" s="2" t="s">
        <v>179</v>
      </c>
      <c r="L3503" s="3">
        <v>33.5</v>
      </c>
      <c r="M3503" s="3">
        <v>35.18</v>
      </c>
      <c r="N3503" s="3">
        <v>74.99</v>
      </c>
      <c r="O3503" s="2" t="s">
        <v>97</v>
      </c>
      <c r="P3503" s="2" t="s">
        <v>98</v>
      </c>
      <c r="Q3503" s="2" t="s">
        <v>99</v>
      </c>
      <c r="R3503" s="2" t="s">
        <v>100</v>
      </c>
      <c r="S3503" s="2" t="s">
        <v>11181</v>
      </c>
      <c r="T3503" s="2" t="s">
        <v>438</v>
      </c>
      <c r="U3503" s="2" t="s">
        <v>1776</v>
      </c>
      <c r="V3503" s="2" t="s">
        <v>461</v>
      </c>
      <c r="W3503" s="2" t="s">
        <v>609</v>
      </c>
      <c r="X3503" s="2" t="s">
        <v>100</v>
      </c>
      <c r="Y3503" s="2" t="s">
        <v>6432</v>
      </c>
      <c r="Z3503" s="4">
        <v>135</v>
      </c>
      <c r="AA3503" s="4">
        <f>=ROUNDDOWN(56.25,0)</f>
      </c>
      <c r="AB3503" s="5">
        <v>2.4</v>
      </c>
      <c r="AC3503" s="2" t="s">
        <v>646</v>
      </c>
      <c r="AD3503" s="4">
        <v>52</v>
      </c>
      <c r="AE3503" s="4">
        <v>52</v>
      </c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/>
      <c r="AQ3503" s="8"/>
      <c r="AR3503" s="4"/>
      <c r="AS3503" s="8"/>
      <c r="AT3503" s="7"/>
      <c r="AU3503" s="7"/>
      <c r="AV3503" s="4" t="s">
        <v>100</v>
      </c>
      <c r="AW3503" s="8" t="s">
        <v>100</v>
      </c>
      <c r="AX3503" s="4" t="s">
        <v>100</v>
      </c>
      <c r="AY3503" s="8" t="s">
        <v>100</v>
      </c>
      <c r="AZ3503" s="7" t="s">
        <v>100</v>
      </c>
      <c r="BA3503" s="7" t="s">
        <v>100</v>
      </c>
      <c r="BB3503" s="7"/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/>
      <c r="BJ3503" s="4">
        <v>19</v>
      </c>
      <c r="BK3503" s="8">
        <v>763.67</v>
      </c>
      <c r="BL3503" s="2" t="s">
        <v>11268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171</v>
      </c>
      <c r="BV3503" s="2" t="s">
        <v>97</v>
      </c>
      <c r="BW3503" s="2" t="s">
        <v>100</v>
      </c>
      <c r="BX3503" s="2" t="s">
        <v>100</v>
      </c>
      <c r="BY3503" s="2" t="s">
        <v>112</v>
      </c>
      <c r="BZ3503" s="2" t="s">
        <v>149</v>
      </c>
    </row>
    <row r="3504">
      <c r="A3504" s="2" t="s">
        <v>11269</v>
      </c>
      <c r="B3504" s="2" t="s">
        <v>10807</v>
      </c>
      <c r="C3504" s="2" t="s">
        <v>88</v>
      </c>
      <c r="D3504" s="2" t="s">
        <v>2572</v>
      </c>
      <c r="E3504" s="2" t="s">
        <v>11201</v>
      </c>
      <c r="F3504" s="2" t="s">
        <v>11176</v>
      </c>
      <c r="G3504" s="2" t="s">
        <v>11177</v>
      </c>
      <c r="H3504" s="2" t="s">
        <v>11178</v>
      </c>
      <c r="I3504" s="2" t="s">
        <v>11254</v>
      </c>
      <c r="J3504" s="2" t="s">
        <v>11214</v>
      </c>
      <c r="K3504" s="2" t="s">
        <v>179</v>
      </c>
      <c r="L3504" s="3">
        <v>34.5</v>
      </c>
      <c r="M3504" s="3">
        <v>36.22</v>
      </c>
      <c r="N3504" s="3">
        <v>74.99</v>
      </c>
      <c r="O3504" s="2" t="s">
        <v>97</v>
      </c>
      <c r="P3504" s="2" t="s">
        <v>98</v>
      </c>
      <c r="Q3504" s="2" t="s">
        <v>99</v>
      </c>
      <c r="R3504" s="2" t="s">
        <v>100</v>
      </c>
      <c r="S3504" s="2" t="s">
        <v>11181</v>
      </c>
      <c r="T3504" s="2" t="s">
        <v>438</v>
      </c>
      <c r="U3504" s="2" t="s">
        <v>1776</v>
      </c>
      <c r="V3504" s="2" t="s">
        <v>461</v>
      </c>
      <c r="W3504" s="2" t="s">
        <v>609</v>
      </c>
      <c r="X3504" s="2" t="s">
        <v>100</v>
      </c>
      <c r="Y3504" s="2" t="s">
        <v>11258</v>
      </c>
      <c r="Z3504" s="4">
        <v>63</v>
      </c>
      <c r="AA3504" s="4">
        <f>=ROUNDDOWN(4.2,0)</f>
      </c>
      <c r="AB3504" s="5">
        <v>15</v>
      </c>
      <c r="AC3504" s="2" t="s">
        <v>1468</v>
      </c>
      <c r="AD3504" s="4">
        <v>54</v>
      </c>
      <c r="AE3504" s="4">
        <v>210</v>
      </c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/>
      <c r="AQ3504" s="8"/>
      <c r="AR3504" s="4"/>
      <c r="AS3504" s="8"/>
      <c r="AT3504" s="7"/>
      <c r="AU3504" s="7"/>
      <c r="AV3504" s="4" t="s">
        <v>100</v>
      </c>
      <c r="AW3504" s="8" t="s">
        <v>100</v>
      </c>
      <c r="AX3504" s="4" t="s">
        <v>100</v>
      </c>
      <c r="AY3504" s="8" t="s">
        <v>100</v>
      </c>
      <c r="AZ3504" s="7" t="s">
        <v>100</v>
      </c>
      <c r="BA3504" s="7" t="s">
        <v>100</v>
      </c>
      <c r="BB3504" s="7"/>
      <c r="BC3504" s="4" t="s">
        <v>100</v>
      </c>
      <c r="BD3504" s="8" t="s">
        <v>100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/>
      <c r="BJ3504" s="4">
        <v>65</v>
      </c>
      <c r="BK3504" s="8">
        <v>2548.84</v>
      </c>
      <c r="BL3504" s="2" t="s">
        <v>11270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171</v>
      </c>
      <c r="BV3504" s="2" t="s">
        <v>97</v>
      </c>
      <c r="BW3504" s="2" t="s">
        <v>100</v>
      </c>
      <c r="BX3504" s="2" t="s">
        <v>100</v>
      </c>
      <c r="BY3504" s="2" t="s">
        <v>112</v>
      </c>
      <c r="BZ3504" s="2" t="s">
        <v>149</v>
      </c>
    </row>
    <row r="3505">
      <c r="A3505" s="2" t="s">
        <v>11271</v>
      </c>
      <c r="B3505" s="2" t="s">
        <v>10807</v>
      </c>
      <c r="C3505" s="2" t="s">
        <v>88</v>
      </c>
      <c r="D3505" s="2" t="s">
        <v>2572</v>
      </c>
      <c r="E3505" s="2" t="s">
        <v>11201</v>
      </c>
      <c r="F3505" s="2" t="s">
        <v>11176</v>
      </c>
      <c r="G3505" s="2" t="s">
        <v>11177</v>
      </c>
      <c r="H3505" s="2" t="s">
        <v>11178</v>
      </c>
      <c r="I3505" s="2" t="s">
        <v>11254</v>
      </c>
      <c r="J3505" s="2" t="s">
        <v>11217</v>
      </c>
      <c r="K3505" s="2" t="s">
        <v>179</v>
      </c>
      <c r="L3505" s="3">
        <v>38.4</v>
      </c>
      <c r="M3505" s="3">
        <v>40.32</v>
      </c>
      <c r="N3505" s="3">
        <v>79.99</v>
      </c>
      <c r="O3505" s="2" t="s">
        <v>97</v>
      </c>
      <c r="P3505" s="2" t="s">
        <v>98</v>
      </c>
      <c r="Q3505" s="2" t="s">
        <v>99</v>
      </c>
      <c r="R3505" s="2" t="s">
        <v>100</v>
      </c>
      <c r="S3505" s="2" t="s">
        <v>11181</v>
      </c>
      <c r="T3505" s="2" t="s">
        <v>438</v>
      </c>
      <c r="U3505" s="2" t="s">
        <v>1776</v>
      </c>
      <c r="V3505" s="2" t="s">
        <v>461</v>
      </c>
      <c r="W3505" s="2" t="s">
        <v>609</v>
      </c>
      <c r="X3505" s="2" t="s">
        <v>100</v>
      </c>
      <c r="Y3505" s="2" t="s">
        <v>11258</v>
      </c>
      <c r="Z3505" s="4">
        <v>15</v>
      </c>
      <c r="AA3505" s="4">
        <f>=ROUNDDOWN(1.875,0)</f>
      </c>
      <c r="AB3505" s="5">
        <v>8</v>
      </c>
      <c r="AC3505" s="2" t="s">
        <v>1468</v>
      </c>
      <c r="AD3505" s="4">
        <v>54</v>
      </c>
      <c r="AE3505" s="4">
        <v>154</v>
      </c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>
        <v>0</v>
      </c>
      <c r="AP3505" s="4"/>
      <c r="AQ3505" s="8"/>
      <c r="AR3505" s="4"/>
      <c r="AS3505" s="8"/>
      <c r="AT3505" s="7"/>
      <c r="AU3505" s="7"/>
      <c r="AV3505" s="4" t="s">
        <v>100</v>
      </c>
      <c r="AW3505" s="8" t="s">
        <v>100</v>
      </c>
      <c r="AX3505" s="4" t="s">
        <v>100</v>
      </c>
      <c r="AY3505" s="8" t="s">
        <v>100</v>
      </c>
      <c r="AZ3505" s="7" t="s">
        <v>100</v>
      </c>
      <c r="BA3505" s="7" t="s">
        <v>100</v>
      </c>
      <c r="BB3505" s="7"/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/>
      <c r="BJ3505" s="4">
        <v>26</v>
      </c>
      <c r="BK3505" s="8">
        <v>1113.32</v>
      </c>
      <c r="BL3505" s="2" t="s">
        <v>11207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171</v>
      </c>
      <c r="BV3505" s="2" t="s">
        <v>97</v>
      </c>
      <c r="BW3505" s="2" t="s">
        <v>100</v>
      </c>
      <c r="BX3505" s="2" t="s">
        <v>100</v>
      </c>
      <c r="BY3505" s="2" t="s">
        <v>112</v>
      </c>
      <c r="BZ3505" s="2" t="s">
        <v>149</v>
      </c>
    </row>
    <row r="3506">
      <c r="A3506" s="2" t="s">
        <v>11272</v>
      </c>
      <c r="B3506" s="2" t="s">
        <v>10807</v>
      </c>
      <c r="C3506" s="2" t="s">
        <v>88</v>
      </c>
      <c r="D3506" s="2" t="s">
        <v>2572</v>
      </c>
      <c r="E3506" s="2" t="s">
        <v>11201</v>
      </c>
      <c r="F3506" s="2" t="s">
        <v>11176</v>
      </c>
      <c r="G3506" s="2" t="s">
        <v>11177</v>
      </c>
      <c r="H3506" s="2" t="s">
        <v>11178</v>
      </c>
      <c r="I3506" s="2" t="s">
        <v>11254</v>
      </c>
      <c r="J3506" s="2" t="s">
        <v>11255</v>
      </c>
      <c r="K3506" s="2" t="s">
        <v>96</v>
      </c>
      <c r="L3506" s="3">
        <v>23.75</v>
      </c>
      <c r="M3506" s="3">
        <v>24.94</v>
      </c>
      <c r="N3506" s="3">
        <v>53.99</v>
      </c>
      <c r="O3506" s="2" t="s">
        <v>97</v>
      </c>
      <c r="P3506" s="2" t="s">
        <v>98</v>
      </c>
      <c r="Q3506" s="2" t="s">
        <v>99</v>
      </c>
      <c r="R3506" s="2" t="s">
        <v>100</v>
      </c>
      <c r="S3506" s="2" t="s">
        <v>11273</v>
      </c>
      <c r="T3506" s="2" t="s">
        <v>438</v>
      </c>
      <c r="U3506" s="2" t="s">
        <v>1776</v>
      </c>
      <c r="V3506" s="2" t="s">
        <v>461</v>
      </c>
      <c r="W3506" s="2" t="s">
        <v>609</v>
      </c>
      <c r="X3506" s="2" t="s">
        <v>100</v>
      </c>
      <c r="Y3506" s="2" t="s">
        <v>2365</v>
      </c>
      <c r="Z3506" s="4">
        <v>343</v>
      </c>
      <c r="AA3506" s="4">
        <f>=ROUNDDOWN(57.1666666666667,0)</f>
      </c>
      <c r="AB3506" s="5">
        <v>6</v>
      </c>
      <c r="AC3506" s="2" t="s">
        <v>262</v>
      </c>
      <c r="AD3506" s="4">
        <v>30</v>
      </c>
      <c r="AE3506" s="4">
        <v>30</v>
      </c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/>
      <c r="AQ3506" s="8"/>
      <c r="AR3506" s="4"/>
      <c r="AS3506" s="8"/>
      <c r="AT3506" s="7"/>
      <c r="AU3506" s="7"/>
      <c r="AV3506" s="4" t="s">
        <v>100</v>
      </c>
      <c r="AW3506" s="8" t="s">
        <v>100</v>
      </c>
      <c r="AX3506" s="4" t="s">
        <v>100</v>
      </c>
      <c r="AY3506" s="8" t="s">
        <v>100</v>
      </c>
      <c r="AZ3506" s="7" t="s">
        <v>100</v>
      </c>
      <c r="BA3506" s="7" t="s">
        <v>100</v>
      </c>
      <c r="BB3506" s="7"/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/>
      <c r="BJ3506" s="4">
        <v>30</v>
      </c>
      <c r="BK3506" s="8">
        <v>798.33</v>
      </c>
      <c r="BL3506" s="2" t="s">
        <v>11274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171</v>
      </c>
      <c r="BV3506" s="2" t="s">
        <v>97</v>
      </c>
      <c r="BW3506" s="2" t="s">
        <v>100</v>
      </c>
      <c r="BX3506" s="2" t="s">
        <v>100</v>
      </c>
      <c r="BY3506" s="2" t="s">
        <v>112</v>
      </c>
      <c r="BZ3506" s="2" t="s">
        <v>149</v>
      </c>
    </row>
    <row r="3507">
      <c r="A3507" s="2" t="s">
        <v>11275</v>
      </c>
      <c r="B3507" s="2" t="s">
        <v>10807</v>
      </c>
      <c r="C3507" s="2" t="s">
        <v>88</v>
      </c>
      <c r="D3507" s="2" t="s">
        <v>2572</v>
      </c>
      <c r="E3507" s="2" t="s">
        <v>11201</v>
      </c>
      <c r="F3507" s="2" t="s">
        <v>11176</v>
      </c>
      <c r="G3507" s="2" t="s">
        <v>11177</v>
      </c>
      <c r="H3507" s="2" t="s">
        <v>11178</v>
      </c>
      <c r="I3507" s="2" t="s">
        <v>11254</v>
      </c>
      <c r="J3507" s="2" t="s">
        <v>11237</v>
      </c>
      <c r="K3507" s="2" t="s">
        <v>96</v>
      </c>
      <c r="L3507" s="3">
        <v>28.5</v>
      </c>
      <c r="M3507" s="3">
        <v>29.93</v>
      </c>
      <c r="N3507" s="3">
        <v>62.99</v>
      </c>
      <c r="O3507" s="2" t="s">
        <v>97</v>
      </c>
      <c r="P3507" s="2" t="s">
        <v>98</v>
      </c>
      <c r="Q3507" s="2" t="s">
        <v>99</v>
      </c>
      <c r="R3507" s="2" t="s">
        <v>100</v>
      </c>
      <c r="S3507" s="2" t="s">
        <v>11273</v>
      </c>
      <c r="T3507" s="2" t="s">
        <v>438</v>
      </c>
      <c r="U3507" s="2" t="s">
        <v>1776</v>
      </c>
      <c r="V3507" s="2" t="s">
        <v>461</v>
      </c>
      <c r="W3507" s="2" t="s">
        <v>609</v>
      </c>
      <c r="X3507" s="2" t="s">
        <v>100</v>
      </c>
      <c r="Y3507" s="2" t="s">
        <v>2365</v>
      </c>
      <c r="Z3507" s="4">
        <v>410</v>
      </c>
      <c r="AA3507" s="4">
        <f>=ROUNDDOWN(68.3333333333333,0)</f>
      </c>
      <c r="AB3507" s="5">
        <v>6</v>
      </c>
      <c r="AC3507" s="2" t="s">
        <v>1201</v>
      </c>
      <c r="AD3507" s="4">
        <v>210</v>
      </c>
      <c r="AE3507" s="4">
        <v>210</v>
      </c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/>
      <c r="AQ3507" s="8"/>
      <c r="AR3507" s="4"/>
      <c r="AS3507" s="8"/>
      <c r="AT3507" s="7"/>
      <c r="AU3507" s="7"/>
      <c r="AV3507" s="4" t="s">
        <v>100</v>
      </c>
      <c r="AW3507" s="8" t="s">
        <v>100</v>
      </c>
      <c r="AX3507" s="4" t="s">
        <v>100</v>
      </c>
      <c r="AY3507" s="8" t="s">
        <v>100</v>
      </c>
      <c r="AZ3507" s="7" t="s">
        <v>100</v>
      </c>
      <c r="BA3507" s="7" t="s">
        <v>100</v>
      </c>
      <c r="BB3507" s="7"/>
      <c r="BC3507" s="4" t="s">
        <v>100</v>
      </c>
      <c r="BD3507" s="8" t="s">
        <v>100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/>
      <c r="BJ3507" s="4">
        <v>17</v>
      </c>
      <c r="BK3507" s="8">
        <v>533.09</v>
      </c>
      <c r="BL3507" s="2" t="s">
        <v>11276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171</v>
      </c>
      <c r="BV3507" s="2" t="s">
        <v>97</v>
      </c>
      <c r="BW3507" s="2" t="s">
        <v>100</v>
      </c>
      <c r="BX3507" s="2" t="s">
        <v>100</v>
      </c>
      <c r="BY3507" s="2" t="s">
        <v>112</v>
      </c>
      <c r="BZ3507" s="2" t="s">
        <v>149</v>
      </c>
    </row>
    <row r="3508">
      <c r="A3508" s="2" t="s">
        <v>11277</v>
      </c>
      <c r="B3508" s="2" t="s">
        <v>10807</v>
      </c>
      <c r="C3508" s="2" t="s">
        <v>88</v>
      </c>
      <c r="D3508" s="2" t="s">
        <v>2572</v>
      </c>
      <c r="E3508" s="2" t="s">
        <v>11201</v>
      </c>
      <c r="F3508" s="2" t="s">
        <v>11176</v>
      </c>
      <c r="G3508" s="2" t="s">
        <v>11177</v>
      </c>
      <c r="H3508" s="2" t="s">
        <v>11178</v>
      </c>
      <c r="I3508" s="2" t="s">
        <v>11254</v>
      </c>
      <c r="J3508" s="2" t="s">
        <v>11209</v>
      </c>
      <c r="K3508" s="2" t="s">
        <v>96</v>
      </c>
      <c r="L3508" s="3">
        <v>29.25</v>
      </c>
      <c r="M3508" s="3">
        <v>30.71</v>
      </c>
      <c r="N3508" s="3">
        <v>64.99</v>
      </c>
      <c r="O3508" s="2" t="s">
        <v>97</v>
      </c>
      <c r="P3508" s="2" t="s">
        <v>139</v>
      </c>
      <c r="Q3508" s="2" t="s">
        <v>99</v>
      </c>
      <c r="R3508" s="2" t="s">
        <v>100</v>
      </c>
      <c r="S3508" s="2" t="s">
        <v>11273</v>
      </c>
      <c r="T3508" s="2" t="s">
        <v>438</v>
      </c>
      <c r="U3508" s="2" t="s">
        <v>1776</v>
      </c>
      <c r="V3508" s="2" t="s">
        <v>461</v>
      </c>
      <c r="W3508" s="2" t="s">
        <v>609</v>
      </c>
      <c r="X3508" s="2" t="s">
        <v>100</v>
      </c>
      <c r="Y3508" s="2" t="s">
        <v>494</v>
      </c>
      <c r="Z3508" s="4">
        <v>484</v>
      </c>
      <c r="AA3508" s="4">
        <f>=ROUNDDOWN(53.7777777777778,0)</f>
      </c>
      <c r="AB3508" s="5">
        <v>9</v>
      </c>
      <c r="AC3508" s="2" t="s">
        <v>1201</v>
      </c>
      <c r="AD3508" s="4">
        <v>480</v>
      </c>
      <c r="AE3508" s="4">
        <v>696</v>
      </c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/>
      <c r="AQ3508" s="8"/>
      <c r="AR3508" s="4"/>
      <c r="AS3508" s="8"/>
      <c r="AT3508" s="7"/>
      <c r="AU3508" s="7"/>
      <c r="AV3508" s="4" t="s">
        <v>100</v>
      </c>
      <c r="AW3508" s="8" t="s">
        <v>100</v>
      </c>
      <c r="AX3508" s="4" t="s">
        <v>100</v>
      </c>
      <c r="AY3508" s="8" t="s">
        <v>100</v>
      </c>
      <c r="AZ3508" s="7" t="s">
        <v>100</v>
      </c>
      <c r="BA3508" s="7" t="s">
        <v>100</v>
      </c>
      <c r="BB3508" s="7"/>
      <c r="BC3508" s="4" t="s">
        <v>100</v>
      </c>
      <c r="BD3508" s="8" t="s">
        <v>100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/>
      <c r="BJ3508" s="4">
        <v>26</v>
      </c>
      <c r="BK3508" s="8">
        <v>841.33</v>
      </c>
      <c r="BL3508" s="2" t="s">
        <v>11278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109</v>
      </c>
      <c r="BV3508" s="2" t="s">
        <v>97</v>
      </c>
      <c r="BW3508" s="2" t="s">
        <v>11279</v>
      </c>
      <c r="BX3508" s="2" t="s">
        <v>3805</v>
      </c>
      <c r="BY3508" s="2" t="s">
        <v>112</v>
      </c>
      <c r="BZ3508" s="2" t="s">
        <v>149</v>
      </c>
    </row>
    <row r="3509">
      <c r="A3509" s="2" t="s">
        <v>11280</v>
      </c>
      <c r="B3509" s="2" t="s">
        <v>10807</v>
      </c>
      <c r="C3509" s="2" t="s">
        <v>88</v>
      </c>
      <c r="D3509" s="2" t="s">
        <v>2572</v>
      </c>
      <c r="E3509" s="2" t="s">
        <v>11201</v>
      </c>
      <c r="F3509" s="2" t="s">
        <v>11176</v>
      </c>
      <c r="G3509" s="2" t="s">
        <v>11177</v>
      </c>
      <c r="H3509" s="2" t="s">
        <v>11178</v>
      </c>
      <c r="I3509" s="2" t="s">
        <v>11254</v>
      </c>
      <c r="J3509" s="2" t="s">
        <v>11267</v>
      </c>
      <c r="K3509" s="2" t="s">
        <v>96</v>
      </c>
      <c r="L3509" s="3">
        <v>33.5</v>
      </c>
      <c r="M3509" s="3">
        <v>35.18</v>
      </c>
      <c r="N3509" s="3">
        <v>74.99</v>
      </c>
      <c r="O3509" s="2" t="s">
        <v>97</v>
      </c>
      <c r="P3509" s="2" t="s">
        <v>123</v>
      </c>
      <c r="Q3509" s="2" t="s">
        <v>99</v>
      </c>
      <c r="R3509" s="2" t="s">
        <v>100</v>
      </c>
      <c r="S3509" s="2" t="s">
        <v>11273</v>
      </c>
      <c r="T3509" s="2" t="s">
        <v>438</v>
      </c>
      <c r="U3509" s="2" t="s">
        <v>1776</v>
      </c>
      <c r="V3509" s="2" t="s">
        <v>461</v>
      </c>
      <c r="W3509" s="2" t="s">
        <v>609</v>
      </c>
      <c r="X3509" s="2" t="s">
        <v>100</v>
      </c>
      <c r="Y3509" s="2" t="s">
        <v>2365</v>
      </c>
      <c r="Z3509" s="4">
        <v>782</v>
      </c>
      <c r="AA3509" s="4">
        <f>=ROUNDDOWN(65.1666666666667,0)</f>
      </c>
      <c r="AB3509" s="5">
        <v>12</v>
      </c>
      <c r="AC3509" s="2" t="s">
        <v>1201</v>
      </c>
      <c r="AD3509" s="4">
        <v>114</v>
      </c>
      <c r="AE3509" s="4">
        <v>114</v>
      </c>
      <c r="AF3509" s="6">
        <v>65</v>
      </c>
      <c r="AG3509" s="6"/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/>
      <c r="AQ3509" s="8"/>
      <c r="AR3509" s="4"/>
      <c r="AS3509" s="8"/>
      <c r="AT3509" s="7"/>
      <c r="AU3509" s="7"/>
      <c r="AV3509" s="4" t="s">
        <v>100</v>
      </c>
      <c r="AW3509" s="8" t="s">
        <v>100</v>
      </c>
      <c r="AX3509" s="4" t="s">
        <v>100</v>
      </c>
      <c r="AY3509" s="8" t="s">
        <v>100</v>
      </c>
      <c r="AZ3509" s="7" t="s">
        <v>100</v>
      </c>
      <c r="BA3509" s="7" t="s">
        <v>100</v>
      </c>
      <c r="BB3509" s="7"/>
      <c r="BC3509" s="4" t="s">
        <v>100</v>
      </c>
      <c r="BD3509" s="8" t="s">
        <v>100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/>
      <c r="BJ3509" s="4">
        <v>29</v>
      </c>
      <c r="BK3509" s="8">
        <v>1073.99</v>
      </c>
      <c r="BL3509" s="2" t="s">
        <v>11281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171</v>
      </c>
      <c r="BV3509" s="2" t="s">
        <v>97</v>
      </c>
      <c r="BW3509" s="2" t="s">
        <v>100</v>
      </c>
      <c r="BX3509" s="2" t="s">
        <v>100</v>
      </c>
      <c r="BY3509" s="2" t="s">
        <v>112</v>
      </c>
      <c r="BZ3509" s="2" t="s">
        <v>149</v>
      </c>
    </row>
    <row r="3510">
      <c r="A3510" s="2" t="s">
        <v>11282</v>
      </c>
      <c r="B3510" s="2" t="s">
        <v>10807</v>
      </c>
      <c r="C3510" s="2" t="s">
        <v>88</v>
      </c>
      <c r="D3510" s="2" t="s">
        <v>2572</v>
      </c>
      <c r="E3510" s="2" t="s">
        <v>11201</v>
      </c>
      <c r="F3510" s="2" t="s">
        <v>11176</v>
      </c>
      <c r="G3510" s="2" t="s">
        <v>11177</v>
      </c>
      <c r="H3510" s="2" t="s">
        <v>11178</v>
      </c>
      <c r="I3510" s="2" t="s">
        <v>11254</v>
      </c>
      <c r="J3510" s="2" t="s">
        <v>11217</v>
      </c>
      <c r="K3510" s="2" t="s">
        <v>96</v>
      </c>
      <c r="L3510" s="3">
        <v>38.4</v>
      </c>
      <c r="M3510" s="3">
        <v>40.32</v>
      </c>
      <c r="N3510" s="3">
        <v>79.99</v>
      </c>
      <c r="O3510" s="2" t="s">
        <v>97</v>
      </c>
      <c r="P3510" s="2" t="s">
        <v>98</v>
      </c>
      <c r="Q3510" s="2" t="s">
        <v>99</v>
      </c>
      <c r="R3510" s="2" t="s">
        <v>100</v>
      </c>
      <c r="S3510" s="2" t="s">
        <v>11273</v>
      </c>
      <c r="T3510" s="2" t="s">
        <v>438</v>
      </c>
      <c r="U3510" s="2" t="s">
        <v>1776</v>
      </c>
      <c r="V3510" s="2" t="s">
        <v>461</v>
      </c>
      <c r="W3510" s="2" t="s">
        <v>609</v>
      </c>
      <c r="X3510" s="2" t="s">
        <v>100</v>
      </c>
      <c r="Y3510" s="2" t="s">
        <v>10620</v>
      </c>
      <c r="Z3510" s="4">
        <v>149</v>
      </c>
      <c r="AA3510" s="4">
        <f>=ROUNDDOWN(19.1025641025641,0)</f>
      </c>
      <c r="AB3510" s="5">
        <v>7.8</v>
      </c>
      <c r="AC3510" s="2" t="s">
        <v>1201</v>
      </c>
      <c r="AD3510" s="4">
        <v>42</v>
      </c>
      <c r="AE3510" s="4">
        <v>312</v>
      </c>
      <c r="AF3510" s="6">
        <v>65</v>
      </c>
      <c r="AG3510" s="6"/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/>
      <c r="AQ3510" s="8"/>
      <c r="AR3510" s="4"/>
      <c r="AS3510" s="8"/>
      <c r="AT3510" s="7"/>
      <c r="AU3510" s="7"/>
      <c r="AV3510" s="4" t="s">
        <v>100</v>
      </c>
      <c r="AW3510" s="8" t="s">
        <v>100</v>
      </c>
      <c r="AX3510" s="4" t="s">
        <v>100</v>
      </c>
      <c r="AY3510" s="8" t="s">
        <v>100</v>
      </c>
      <c r="AZ3510" s="7" t="s">
        <v>100</v>
      </c>
      <c r="BA3510" s="7" t="s">
        <v>100</v>
      </c>
      <c r="BB3510" s="7"/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/>
      <c r="BJ3510" s="4">
        <v>17</v>
      </c>
      <c r="BK3510" s="8">
        <v>698.37</v>
      </c>
      <c r="BL3510" s="2" t="s">
        <v>10294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171</v>
      </c>
      <c r="BV3510" s="2" t="s">
        <v>97</v>
      </c>
      <c r="BW3510" s="2" t="s">
        <v>100</v>
      </c>
      <c r="BX3510" s="2" t="s">
        <v>100</v>
      </c>
      <c r="BY3510" s="2" t="s">
        <v>112</v>
      </c>
      <c r="BZ3510" s="2" t="s">
        <v>149</v>
      </c>
    </row>
    <row r="3511">
      <c r="A3511" s="2" t="s">
        <v>11283</v>
      </c>
      <c r="B3511" s="2" t="s">
        <v>10807</v>
      </c>
      <c r="C3511" s="2" t="s">
        <v>88</v>
      </c>
      <c r="D3511" s="2" t="s">
        <v>2572</v>
      </c>
      <c r="E3511" s="2" t="s">
        <v>11201</v>
      </c>
      <c r="F3511" s="2" t="s">
        <v>11176</v>
      </c>
      <c r="G3511" s="2" t="s">
        <v>11177</v>
      </c>
      <c r="H3511" s="2" t="s">
        <v>11178</v>
      </c>
      <c r="I3511" s="2" t="s">
        <v>11254</v>
      </c>
      <c r="J3511" s="2" t="s">
        <v>11255</v>
      </c>
      <c r="K3511" s="2" t="s">
        <v>1373</v>
      </c>
      <c r="L3511" s="3">
        <v>23.75</v>
      </c>
      <c r="M3511" s="3">
        <v>24.94</v>
      </c>
      <c r="N3511" s="3">
        <v>53.99</v>
      </c>
      <c r="O3511" s="2" t="s">
        <v>97</v>
      </c>
      <c r="P3511" s="2" t="s">
        <v>139</v>
      </c>
      <c r="Q3511" s="2" t="s">
        <v>99</v>
      </c>
      <c r="R3511" s="2" t="s">
        <v>100</v>
      </c>
      <c r="S3511" s="2" t="s">
        <v>11184</v>
      </c>
      <c r="T3511" s="2" t="s">
        <v>438</v>
      </c>
      <c r="U3511" s="2" t="s">
        <v>1776</v>
      </c>
      <c r="V3511" s="2" t="s">
        <v>461</v>
      </c>
      <c r="W3511" s="2" t="s">
        <v>609</v>
      </c>
      <c r="X3511" s="2" t="s">
        <v>100</v>
      </c>
      <c r="Y3511" s="2" t="s">
        <v>2365</v>
      </c>
      <c r="Z3511" s="4">
        <v>419</v>
      </c>
      <c r="AA3511" s="4">
        <f>=ROUNDDOWN(20.95,0)</f>
      </c>
      <c r="AB3511" s="5">
        <v>20</v>
      </c>
      <c r="AC3511" s="2" t="s">
        <v>107</v>
      </c>
      <c r="AD3511" s="4">
        <v>132</v>
      </c>
      <c r="AE3511" s="4">
        <v>468</v>
      </c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/>
      <c r="AQ3511" s="8"/>
      <c r="AR3511" s="4"/>
      <c r="AS3511" s="8"/>
      <c r="AT3511" s="7"/>
      <c r="AU3511" s="7"/>
      <c r="AV3511" s="4" t="s">
        <v>100</v>
      </c>
      <c r="AW3511" s="8" t="s">
        <v>100</v>
      </c>
      <c r="AX3511" s="4" t="s">
        <v>100</v>
      </c>
      <c r="AY3511" s="8" t="s">
        <v>100</v>
      </c>
      <c r="AZ3511" s="7" t="s">
        <v>100</v>
      </c>
      <c r="BA3511" s="7" t="s">
        <v>100</v>
      </c>
      <c r="BB3511" s="7"/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/>
      <c r="BJ3511" s="4">
        <v>56</v>
      </c>
      <c r="BK3511" s="8">
        <v>1482.47</v>
      </c>
      <c r="BL3511" s="2" t="s">
        <v>11274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171</v>
      </c>
      <c r="BV3511" s="2" t="s">
        <v>97</v>
      </c>
      <c r="BW3511" s="2" t="s">
        <v>100</v>
      </c>
      <c r="BX3511" s="2" t="s">
        <v>100</v>
      </c>
      <c r="BY3511" s="2" t="s">
        <v>112</v>
      </c>
      <c r="BZ3511" s="2" t="s">
        <v>149</v>
      </c>
    </row>
    <row r="3512">
      <c r="A3512" s="2" t="s">
        <v>11284</v>
      </c>
      <c r="B3512" s="2" t="s">
        <v>10807</v>
      </c>
      <c r="C3512" s="2" t="s">
        <v>88</v>
      </c>
      <c r="D3512" s="2" t="s">
        <v>2572</v>
      </c>
      <c r="E3512" s="2" t="s">
        <v>11201</v>
      </c>
      <c r="F3512" s="2" t="s">
        <v>11176</v>
      </c>
      <c r="G3512" s="2" t="s">
        <v>11177</v>
      </c>
      <c r="H3512" s="2" t="s">
        <v>11178</v>
      </c>
      <c r="I3512" s="2" t="s">
        <v>11254</v>
      </c>
      <c r="J3512" s="2" t="s">
        <v>11237</v>
      </c>
      <c r="K3512" s="2" t="s">
        <v>1373</v>
      </c>
      <c r="L3512" s="3">
        <v>28.5</v>
      </c>
      <c r="M3512" s="3">
        <v>29.93</v>
      </c>
      <c r="N3512" s="3">
        <v>62.99</v>
      </c>
      <c r="O3512" s="2" t="s">
        <v>97</v>
      </c>
      <c r="P3512" s="2" t="s">
        <v>139</v>
      </c>
      <c r="Q3512" s="2" t="s">
        <v>99</v>
      </c>
      <c r="R3512" s="2" t="s">
        <v>100</v>
      </c>
      <c r="S3512" s="2" t="s">
        <v>11184</v>
      </c>
      <c r="T3512" s="2" t="s">
        <v>438</v>
      </c>
      <c r="U3512" s="2" t="s">
        <v>1776</v>
      </c>
      <c r="V3512" s="2" t="s">
        <v>461</v>
      </c>
      <c r="W3512" s="2" t="s">
        <v>609</v>
      </c>
      <c r="X3512" s="2" t="s">
        <v>100</v>
      </c>
      <c r="Y3512" s="2" t="s">
        <v>2365</v>
      </c>
      <c r="Z3512" s="4">
        <v>1028</v>
      </c>
      <c r="AA3512" s="4">
        <f>=ROUNDDOWN(39.5384615384615,0)</f>
      </c>
      <c r="AB3512" s="5">
        <v>26</v>
      </c>
      <c r="AC3512" s="2" t="s">
        <v>1201</v>
      </c>
      <c r="AD3512" s="4">
        <v>330</v>
      </c>
      <c r="AE3512" s="4">
        <v>828</v>
      </c>
      <c r="AF3512" s="6">
        <v>65</v>
      </c>
      <c r="AG3512" s="6"/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/>
      <c r="AQ3512" s="8"/>
      <c r="AR3512" s="4"/>
      <c r="AS3512" s="8"/>
      <c r="AT3512" s="7"/>
      <c r="AU3512" s="7"/>
      <c r="AV3512" s="4" t="s">
        <v>100</v>
      </c>
      <c r="AW3512" s="8" t="s">
        <v>100</v>
      </c>
      <c r="AX3512" s="4" t="s">
        <v>100</v>
      </c>
      <c r="AY3512" s="8" t="s">
        <v>100</v>
      </c>
      <c r="AZ3512" s="7" t="s">
        <v>100</v>
      </c>
      <c r="BA3512" s="7" t="s">
        <v>100</v>
      </c>
      <c r="BB3512" s="7"/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/>
      <c r="BJ3512" s="4">
        <v>115</v>
      </c>
      <c r="BK3512" s="8">
        <v>3631.18</v>
      </c>
      <c r="BL3512" s="2" t="s">
        <v>11285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171</v>
      </c>
      <c r="BV3512" s="2" t="s">
        <v>97</v>
      </c>
      <c r="BW3512" s="2" t="s">
        <v>100</v>
      </c>
      <c r="BX3512" s="2" t="s">
        <v>100</v>
      </c>
      <c r="BY3512" s="2" t="s">
        <v>112</v>
      </c>
      <c r="BZ3512" s="2" t="s">
        <v>149</v>
      </c>
    </row>
    <row r="3513">
      <c r="A3513" s="2" t="s">
        <v>11286</v>
      </c>
      <c r="B3513" s="2" t="s">
        <v>10807</v>
      </c>
      <c r="C3513" s="2" t="s">
        <v>88</v>
      </c>
      <c r="D3513" s="2" t="s">
        <v>2572</v>
      </c>
      <c r="E3513" s="2" t="s">
        <v>11201</v>
      </c>
      <c r="F3513" s="2" t="s">
        <v>11176</v>
      </c>
      <c r="G3513" s="2" t="s">
        <v>11177</v>
      </c>
      <c r="H3513" s="2" t="s">
        <v>11178</v>
      </c>
      <c r="I3513" s="2" t="s">
        <v>11254</v>
      </c>
      <c r="J3513" s="2" t="s">
        <v>11267</v>
      </c>
      <c r="K3513" s="2" t="s">
        <v>1373</v>
      </c>
      <c r="L3513" s="3">
        <v>33.5</v>
      </c>
      <c r="M3513" s="3">
        <v>35.18</v>
      </c>
      <c r="N3513" s="3">
        <v>74.99</v>
      </c>
      <c r="O3513" s="2" t="s">
        <v>97</v>
      </c>
      <c r="P3513" s="2" t="s">
        <v>317</v>
      </c>
      <c r="Q3513" s="2" t="s">
        <v>99</v>
      </c>
      <c r="R3513" s="2" t="s">
        <v>100</v>
      </c>
      <c r="S3513" s="2" t="s">
        <v>11184</v>
      </c>
      <c r="T3513" s="2" t="s">
        <v>438</v>
      </c>
      <c r="U3513" s="2" t="s">
        <v>1776</v>
      </c>
      <c r="V3513" s="2" t="s">
        <v>461</v>
      </c>
      <c r="W3513" s="2" t="s">
        <v>609</v>
      </c>
      <c r="X3513" s="2" t="s">
        <v>100</v>
      </c>
      <c r="Y3513" s="2" t="s">
        <v>2365</v>
      </c>
      <c r="Z3513" s="4">
        <v>427</v>
      </c>
      <c r="AA3513" s="4">
        <f>=ROUNDDOWN(9.70454545454545,0)</f>
      </c>
      <c r="AB3513" s="5">
        <v>44</v>
      </c>
      <c r="AC3513" s="2" t="s">
        <v>145</v>
      </c>
      <c r="AD3513" s="4">
        <v>402</v>
      </c>
      <c r="AE3513" s="4">
        <v>1370</v>
      </c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/>
      <c r="AQ3513" s="8"/>
      <c r="AR3513" s="4"/>
      <c r="AS3513" s="8"/>
      <c r="AT3513" s="7"/>
      <c r="AU3513" s="7"/>
      <c r="AV3513" s="4" t="s">
        <v>100</v>
      </c>
      <c r="AW3513" s="8" t="s">
        <v>100</v>
      </c>
      <c r="AX3513" s="4" t="s">
        <v>100</v>
      </c>
      <c r="AY3513" s="8" t="s">
        <v>100</v>
      </c>
      <c r="AZ3513" s="7" t="s">
        <v>100</v>
      </c>
      <c r="BA3513" s="7" t="s">
        <v>100</v>
      </c>
      <c r="BB3513" s="7"/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/>
      <c r="BJ3513" s="4">
        <v>119</v>
      </c>
      <c r="BK3513" s="8">
        <v>4463.92</v>
      </c>
      <c r="BL3513" s="2" t="s">
        <v>11117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171</v>
      </c>
      <c r="BV3513" s="2" t="s">
        <v>97</v>
      </c>
      <c r="BW3513" s="2" t="s">
        <v>100</v>
      </c>
      <c r="BX3513" s="2" t="s">
        <v>100</v>
      </c>
      <c r="BY3513" s="2" t="s">
        <v>112</v>
      </c>
      <c r="BZ3513" s="2" t="s">
        <v>149</v>
      </c>
    </row>
    <row r="3514">
      <c r="A3514" s="2" t="s">
        <v>11287</v>
      </c>
      <c r="B3514" s="2" t="s">
        <v>10807</v>
      </c>
      <c r="C3514" s="2" t="s">
        <v>88</v>
      </c>
      <c r="D3514" s="2" t="s">
        <v>2572</v>
      </c>
      <c r="E3514" s="2" t="s">
        <v>11201</v>
      </c>
      <c r="F3514" s="2" t="s">
        <v>11176</v>
      </c>
      <c r="G3514" s="2" t="s">
        <v>11177</v>
      </c>
      <c r="H3514" s="2" t="s">
        <v>11178</v>
      </c>
      <c r="I3514" s="2" t="s">
        <v>11254</v>
      </c>
      <c r="J3514" s="2" t="s">
        <v>11217</v>
      </c>
      <c r="K3514" s="2" t="s">
        <v>1373</v>
      </c>
      <c r="L3514" s="3">
        <v>38.4</v>
      </c>
      <c r="M3514" s="3">
        <v>40.32</v>
      </c>
      <c r="N3514" s="3">
        <v>79.99</v>
      </c>
      <c r="O3514" s="2" t="s">
        <v>97</v>
      </c>
      <c r="P3514" s="2" t="s">
        <v>139</v>
      </c>
      <c r="Q3514" s="2" t="s">
        <v>99</v>
      </c>
      <c r="R3514" s="2" t="s">
        <v>100</v>
      </c>
      <c r="S3514" s="2" t="s">
        <v>11184</v>
      </c>
      <c r="T3514" s="2" t="s">
        <v>438</v>
      </c>
      <c r="U3514" s="2" t="s">
        <v>1776</v>
      </c>
      <c r="V3514" s="2" t="s">
        <v>461</v>
      </c>
      <c r="W3514" s="2" t="s">
        <v>609</v>
      </c>
      <c r="X3514" s="2" t="s">
        <v>100</v>
      </c>
      <c r="Y3514" s="2" t="s">
        <v>10620</v>
      </c>
      <c r="Z3514" s="4">
        <v>325</v>
      </c>
      <c r="AA3514" s="4">
        <f>=ROUNDDOWN(12.5,0)</f>
      </c>
      <c r="AB3514" s="5">
        <v>26</v>
      </c>
      <c r="AC3514" s="2" t="s">
        <v>107</v>
      </c>
      <c r="AD3514" s="4">
        <v>138</v>
      </c>
      <c r="AE3514" s="4">
        <v>820</v>
      </c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/>
      <c r="AQ3514" s="8"/>
      <c r="AR3514" s="4"/>
      <c r="AS3514" s="8"/>
      <c r="AT3514" s="7"/>
      <c r="AU3514" s="7"/>
      <c r="AV3514" s="4" t="s">
        <v>100</v>
      </c>
      <c r="AW3514" s="8" t="s">
        <v>100</v>
      </c>
      <c r="AX3514" s="4" t="s">
        <v>100</v>
      </c>
      <c r="AY3514" s="8" t="s">
        <v>100</v>
      </c>
      <c r="AZ3514" s="7" t="s">
        <v>100</v>
      </c>
      <c r="BA3514" s="7" t="s">
        <v>100</v>
      </c>
      <c r="BB3514" s="7"/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/>
      <c r="BJ3514" s="4">
        <v>141</v>
      </c>
      <c r="BK3514" s="8">
        <v>5950.49</v>
      </c>
      <c r="BL3514" s="2" t="s">
        <v>880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171</v>
      </c>
      <c r="BV3514" s="2" t="s">
        <v>97</v>
      </c>
      <c r="BW3514" s="2" t="s">
        <v>100</v>
      </c>
      <c r="BX3514" s="2" t="s">
        <v>100</v>
      </c>
      <c r="BY3514" s="2" t="s">
        <v>112</v>
      </c>
      <c r="BZ3514" s="2" t="s">
        <v>149</v>
      </c>
    </row>
    <row r="3515">
      <c r="A3515" s="2" t="s">
        <v>11288</v>
      </c>
      <c r="B3515" s="2" t="s">
        <v>10807</v>
      </c>
      <c r="C3515" s="2" t="s">
        <v>88</v>
      </c>
      <c r="D3515" s="2" t="s">
        <v>2572</v>
      </c>
      <c r="E3515" s="2" t="s">
        <v>11201</v>
      </c>
      <c r="F3515" s="2" t="s">
        <v>11176</v>
      </c>
      <c r="G3515" s="2" t="s">
        <v>11177</v>
      </c>
      <c r="H3515" s="2" t="s">
        <v>11178</v>
      </c>
      <c r="I3515" s="2" t="s">
        <v>11254</v>
      </c>
      <c r="J3515" s="2" t="s">
        <v>11255</v>
      </c>
      <c r="K3515" s="2" t="s">
        <v>673</v>
      </c>
      <c r="L3515" s="3">
        <v>23.75</v>
      </c>
      <c r="M3515" s="3">
        <v>24.94</v>
      </c>
      <c r="N3515" s="3">
        <v>53.99</v>
      </c>
      <c r="O3515" s="2" t="s">
        <v>97</v>
      </c>
      <c r="P3515" s="2" t="s">
        <v>98</v>
      </c>
      <c r="Q3515" s="2" t="s">
        <v>99</v>
      </c>
      <c r="R3515" s="2" t="s">
        <v>100</v>
      </c>
      <c r="S3515" s="2" t="s">
        <v>11289</v>
      </c>
      <c r="T3515" s="2" t="s">
        <v>438</v>
      </c>
      <c r="U3515" s="2" t="s">
        <v>1776</v>
      </c>
      <c r="V3515" s="2" t="s">
        <v>461</v>
      </c>
      <c r="W3515" s="2" t="s">
        <v>609</v>
      </c>
      <c r="X3515" s="2" t="s">
        <v>100</v>
      </c>
      <c r="Y3515" s="2" t="s">
        <v>6432</v>
      </c>
      <c r="Z3515" s="4">
        <v>258</v>
      </c>
      <c r="AA3515" s="4">
        <f>=ROUNDDOWN(51.6,0)</f>
      </c>
      <c r="AB3515" s="5">
        <v>5</v>
      </c>
      <c r="AC3515" s="2" t="s">
        <v>262</v>
      </c>
      <c r="AD3515" s="4">
        <v>72</v>
      </c>
      <c r="AE3515" s="4">
        <v>270</v>
      </c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/>
      <c r="AQ3515" s="8"/>
      <c r="AR3515" s="4"/>
      <c r="AS3515" s="8"/>
      <c r="AT3515" s="7"/>
      <c r="AU3515" s="7"/>
      <c r="AV3515" s="4" t="s">
        <v>100</v>
      </c>
      <c r="AW3515" s="8" t="s">
        <v>100</v>
      </c>
      <c r="AX3515" s="4" t="s">
        <v>100</v>
      </c>
      <c r="AY3515" s="8" t="s">
        <v>100</v>
      </c>
      <c r="AZ3515" s="7" t="s">
        <v>100</v>
      </c>
      <c r="BA3515" s="7" t="s">
        <v>100</v>
      </c>
      <c r="BB3515" s="7"/>
      <c r="BC3515" s="4" t="s">
        <v>100</v>
      </c>
      <c r="BD3515" s="8" t="s">
        <v>100</v>
      </c>
      <c r="BE3515" s="4" t="s">
        <v>100</v>
      </c>
      <c r="BF3515" s="8" t="s">
        <v>100</v>
      </c>
      <c r="BG3515" s="7" t="s">
        <v>100</v>
      </c>
      <c r="BH3515" s="7" t="s">
        <v>100</v>
      </c>
      <c r="BI3515" s="7"/>
      <c r="BJ3515" s="4">
        <v>40</v>
      </c>
      <c r="BK3515" s="8">
        <v>1100.36</v>
      </c>
      <c r="BL3515" s="2" t="s">
        <v>11290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171</v>
      </c>
      <c r="BV3515" s="2" t="s">
        <v>97</v>
      </c>
      <c r="BW3515" s="2" t="s">
        <v>100</v>
      </c>
      <c r="BX3515" s="2" t="s">
        <v>100</v>
      </c>
      <c r="BY3515" s="2" t="s">
        <v>112</v>
      </c>
      <c r="BZ3515" s="2" t="s">
        <v>149</v>
      </c>
    </row>
    <row r="3516">
      <c r="A3516" s="2" t="s">
        <v>11291</v>
      </c>
      <c r="B3516" s="2" t="s">
        <v>10807</v>
      </c>
      <c r="C3516" s="2" t="s">
        <v>88</v>
      </c>
      <c r="D3516" s="2" t="s">
        <v>2572</v>
      </c>
      <c r="E3516" s="2" t="s">
        <v>11201</v>
      </c>
      <c r="F3516" s="2" t="s">
        <v>11176</v>
      </c>
      <c r="G3516" s="2" t="s">
        <v>11177</v>
      </c>
      <c r="H3516" s="2" t="s">
        <v>11178</v>
      </c>
      <c r="I3516" s="2" t="s">
        <v>11254</v>
      </c>
      <c r="J3516" s="2" t="s">
        <v>11205</v>
      </c>
      <c r="K3516" s="2" t="s">
        <v>673</v>
      </c>
      <c r="L3516" s="3">
        <v>27</v>
      </c>
      <c r="M3516" s="3">
        <v>28.35</v>
      </c>
      <c r="N3516" s="3">
        <v>59.99</v>
      </c>
      <c r="O3516" s="2" t="s">
        <v>97</v>
      </c>
      <c r="P3516" s="2" t="s">
        <v>98</v>
      </c>
      <c r="Q3516" s="2" t="s">
        <v>99</v>
      </c>
      <c r="R3516" s="2" t="s">
        <v>100</v>
      </c>
      <c r="S3516" s="2" t="s">
        <v>11289</v>
      </c>
      <c r="T3516" s="2" t="s">
        <v>438</v>
      </c>
      <c r="U3516" s="2" t="s">
        <v>1776</v>
      </c>
      <c r="V3516" s="2" t="s">
        <v>461</v>
      </c>
      <c r="W3516" s="2" t="s">
        <v>609</v>
      </c>
      <c r="X3516" s="2" t="s">
        <v>100</v>
      </c>
      <c r="Y3516" s="2" t="s">
        <v>11258</v>
      </c>
      <c r="Z3516" s="4">
        <v>376</v>
      </c>
      <c r="AA3516" s="4">
        <f>=ROUNDDOWN(50.1333333333333,0)</f>
      </c>
      <c r="AB3516" s="5">
        <v>7.5</v>
      </c>
      <c r="AC3516" s="2" t="s">
        <v>100</v>
      </c>
      <c r="AD3516" s="4"/>
      <c r="AE3516" s="4"/>
      <c r="AF3516" s="6">
        <v>65</v>
      </c>
      <c r="AG3516" s="6"/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/>
      <c r="AQ3516" s="8"/>
      <c r="AR3516" s="4"/>
      <c r="AS3516" s="8"/>
      <c r="AT3516" s="7"/>
      <c r="AU3516" s="7"/>
      <c r="AV3516" s="4" t="s">
        <v>100</v>
      </c>
      <c r="AW3516" s="8" t="s">
        <v>100</v>
      </c>
      <c r="AX3516" s="4" t="s">
        <v>100</v>
      </c>
      <c r="AY3516" s="8" t="s">
        <v>100</v>
      </c>
      <c r="AZ3516" s="7" t="s">
        <v>100</v>
      </c>
      <c r="BA3516" s="7" t="s">
        <v>100</v>
      </c>
      <c r="BB3516" s="7"/>
      <c r="BC3516" s="4" t="s">
        <v>100</v>
      </c>
      <c r="BD3516" s="8" t="s">
        <v>100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/>
      <c r="BJ3516" s="4">
        <v>24</v>
      </c>
      <c r="BK3516" s="8">
        <v>689.11</v>
      </c>
      <c r="BL3516" s="2" t="s">
        <v>11292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171</v>
      </c>
      <c r="BV3516" s="2" t="s">
        <v>97</v>
      </c>
      <c r="BW3516" s="2" t="s">
        <v>100</v>
      </c>
      <c r="BX3516" s="2" t="s">
        <v>100</v>
      </c>
      <c r="BY3516" s="2" t="s">
        <v>112</v>
      </c>
      <c r="BZ3516" s="2" t="s">
        <v>149</v>
      </c>
    </row>
    <row r="3517">
      <c r="A3517" s="2" t="s">
        <v>11293</v>
      </c>
      <c r="B3517" s="2" t="s">
        <v>10807</v>
      </c>
      <c r="C3517" s="2" t="s">
        <v>88</v>
      </c>
      <c r="D3517" s="2" t="s">
        <v>2572</v>
      </c>
      <c r="E3517" s="2" t="s">
        <v>11201</v>
      </c>
      <c r="F3517" s="2" t="s">
        <v>11176</v>
      </c>
      <c r="G3517" s="2" t="s">
        <v>11177</v>
      </c>
      <c r="H3517" s="2" t="s">
        <v>11178</v>
      </c>
      <c r="I3517" s="2" t="s">
        <v>11254</v>
      </c>
      <c r="J3517" s="2" t="s">
        <v>11237</v>
      </c>
      <c r="K3517" s="2" t="s">
        <v>673</v>
      </c>
      <c r="L3517" s="3">
        <v>28.5</v>
      </c>
      <c r="M3517" s="3">
        <v>29.93</v>
      </c>
      <c r="N3517" s="3">
        <v>62.99</v>
      </c>
      <c r="O3517" s="2" t="s">
        <v>97</v>
      </c>
      <c r="P3517" s="2" t="s">
        <v>98</v>
      </c>
      <c r="Q3517" s="2" t="s">
        <v>99</v>
      </c>
      <c r="R3517" s="2" t="s">
        <v>100</v>
      </c>
      <c r="S3517" s="2" t="s">
        <v>11289</v>
      </c>
      <c r="T3517" s="2" t="s">
        <v>438</v>
      </c>
      <c r="U3517" s="2" t="s">
        <v>1776</v>
      </c>
      <c r="V3517" s="2" t="s">
        <v>461</v>
      </c>
      <c r="W3517" s="2" t="s">
        <v>609</v>
      </c>
      <c r="X3517" s="2" t="s">
        <v>100</v>
      </c>
      <c r="Y3517" s="2" t="s">
        <v>6432</v>
      </c>
      <c r="Z3517" s="4">
        <v>183</v>
      </c>
      <c r="AA3517" s="4">
        <f>=ROUNDDOWN(22.875,0)</f>
      </c>
      <c r="AB3517" s="5">
        <v>8</v>
      </c>
      <c r="AC3517" s="2" t="s">
        <v>1201</v>
      </c>
      <c r="AD3517" s="4">
        <v>162</v>
      </c>
      <c r="AE3517" s="4">
        <v>498</v>
      </c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/>
      <c r="AQ3517" s="8"/>
      <c r="AR3517" s="4"/>
      <c r="AS3517" s="8"/>
      <c r="AT3517" s="7"/>
      <c r="AU3517" s="7"/>
      <c r="AV3517" s="4" t="s">
        <v>100</v>
      </c>
      <c r="AW3517" s="8" t="s">
        <v>100</v>
      </c>
      <c r="AX3517" s="4" t="s">
        <v>100</v>
      </c>
      <c r="AY3517" s="8" t="s">
        <v>100</v>
      </c>
      <c r="AZ3517" s="7" t="s">
        <v>100</v>
      </c>
      <c r="BA3517" s="7" t="s">
        <v>100</v>
      </c>
      <c r="BB3517" s="7"/>
      <c r="BC3517" s="4" t="s">
        <v>100</v>
      </c>
      <c r="BD3517" s="8" t="s">
        <v>100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/>
      <c r="BJ3517" s="4">
        <v>72</v>
      </c>
      <c r="BK3517" s="8">
        <v>2348.78</v>
      </c>
      <c r="BL3517" s="2" t="s">
        <v>11294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171</v>
      </c>
      <c r="BV3517" s="2" t="s">
        <v>97</v>
      </c>
      <c r="BW3517" s="2" t="s">
        <v>100</v>
      </c>
      <c r="BX3517" s="2" t="s">
        <v>100</v>
      </c>
      <c r="BY3517" s="2" t="s">
        <v>112</v>
      </c>
      <c r="BZ3517" s="2" t="s">
        <v>149</v>
      </c>
    </row>
    <row r="3518">
      <c r="A3518" s="2" t="s">
        <v>11295</v>
      </c>
      <c r="B3518" s="2" t="s">
        <v>10807</v>
      </c>
      <c r="C3518" s="2" t="s">
        <v>88</v>
      </c>
      <c r="D3518" s="2" t="s">
        <v>2572</v>
      </c>
      <c r="E3518" s="2" t="s">
        <v>11201</v>
      </c>
      <c r="F3518" s="2" t="s">
        <v>11176</v>
      </c>
      <c r="G3518" s="2" t="s">
        <v>11177</v>
      </c>
      <c r="H3518" s="2" t="s">
        <v>11178</v>
      </c>
      <c r="I3518" s="2" t="s">
        <v>11254</v>
      </c>
      <c r="J3518" s="2" t="s">
        <v>11209</v>
      </c>
      <c r="K3518" s="2" t="s">
        <v>673</v>
      </c>
      <c r="L3518" s="3">
        <v>29.25</v>
      </c>
      <c r="M3518" s="3">
        <v>30.71</v>
      </c>
      <c r="N3518" s="3">
        <v>64.99</v>
      </c>
      <c r="O3518" s="2" t="s">
        <v>97</v>
      </c>
      <c r="P3518" s="2" t="s">
        <v>98</v>
      </c>
      <c r="Q3518" s="2" t="s">
        <v>99</v>
      </c>
      <c r="R3518" s="2" t="s">
        <v>100</v>
      </c>
      <c r="S3518" s="2" t="s">
        <v>11289</v>
      </c>
      <c r="T3518" s="2" t="s">
        <v>438</v>
      </c>
      <c r="U3518" s="2" t="s">
        <v>1776</v>
      </c>
      <c r="V3518" s="2" t="s">
        <v>461</v>
      </c>
      <c r="W3518" s="2" t="s">
        <v>609</v>
      </c>
      <c r="X3518" s="2" t="s">
        <v>100</v>
      </c>
      <c r="Y3518" s="2" t="s">
        <v>11258</v>
      </c>
      <c r="Z3518" s="4">
        <v>386</v>
      </c>
      <c r="AA3518" s="4">
        <f>=ROUNDDOWN(27.5714285714286,0)</f>
      </c>
      <c r="AB3518" s="5">
        <v>14</v>
      </c>
      <c r="AC3518" s="2" t="s">
        <v>1201</v>
      </c>
      <c r="AD3518" s="4">
        <v>72</v>
      </c>
      <c r="AE3518" s="4">
        <v>390</v>
      </c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/>
      <c r="AQ3518" s="8"/>
      <c r="AR3518" s="4"/>
      <c r="AS3518" s="8"/>
      <c r="AT3518" s="7"/>
      <c r="AU3518" s="7"/>
      <c r="AV3518" s="4" t="s">
        <v>100</v>
      </c>
      <c r="AW3518" s="8" t="s">
        <v>100</v>
      </c>
      <c r="AX3518" s="4" t="s">
        <v>100</v>
      </c>
      <c r="AY3518" s="8" t="s">
        <v>100</v>
      </c>
      <c r="AZ3518" s="7" t="s">
        <v>100</v>
      </c>
      <c r="BA3518" s="7" t="s">
        <v>100</v>
      </c>
      <c r="BB3518" s="7"/>
      <c r="BC3518" s="4" t="s">
        <v>100</v>
      </c>
      <c r="BD3518" s="8" t="s">
        <v>100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/>
      <c r="BJ3518" s="4">
        <v>41</v>
      </c>
      <c r="BK3518" s="8">
        <v>1333.88</v>
      </c>
      <c r="BL3518" s="2" t="s">
        <v>1541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171</v>
      </c>
      <c r="BV3518" s="2" t="s">
        <v>97</v>
      </c>
      <c r="BW3518" s="2" t="s">
        <v>100</v>
      </c>
      <c r="BX3518" s="2" t="s">
        <v>100</v>
      </c>
      <c r="BY3518" s="2" t="s">
        <v>112</v>
      </c>
      <c r="BZ3518" s="2" t="s">
        <v>149</v>
      </c>
    </row>
    <row r="3519">
      <c r="A3519" s="2" t="s">
        <v>11296</v>
      </c>
      <c r="B3519" s="2" t="s">
        <v>10807</v>
      </c>
      <c r="C3519" s="2" t="s">
        <v>88</v>
      </c>
      <c r="D3519" s="2" t="s">
        <v>2572</v>
      </c>
      <c r="E3519" s="2" t="s">
        <v>11201</v>
      </c>
      <c r="F3519" s="2" t="s">
        <v>11176</v>
      </c>
      <c r="G3519" s="2" t="s">
        <v>11177</v>
      </c>
      <c r="H3519" s="2" t="s">
        <v>11178</v>
      </c>
      <c r="I3519" s="2" t="s">
        <v>11254</v>
      </c>
      <c r="J3519" s="2" t="s">
        <v>11211</v>
      </c>
      <c r="K3519" s="2" t="s">
        <v>673</v>
      </c>
      <c r="L3519" s="3">
        <v>32.2</v>
      </c>
      <c r="M3519" s="3">
        <v>33.81</v>
      </c>
      <c r="N3519" s="3">
        <v>69.99</v>
      </c>
      <c r="O3519" s="2" t="s">
        <v>97</v>
      </c>
      <c r="P3519" s="2" t="s">
        <v>98</v>
      </c>
      <c r="Q3519" s="2" t="s">
        <v>99</v>
      </c>
      <c r="R3519" s="2" t="s">
        <v>100</v>
      </c>
      <c r="S3519" s="2" t="s">
        <v>11289</v>
      </c>
      <c r="T3519" s="2" t="s">
        <v>438</v>
      </c>
      <c r="U3519" s="2" t="s">
        <v>1776</v>
      </c>
      <c r="V3519" s="2" t="s">
        <v>461</v>
      </c>
      <c r="W3519" s="2" t="s">
        <v>609</v>
      </c>
      <c r="X3519" s="2" t="s">
        <v>100</v>
      </c>
      <c r="Y3519" s="2" t="s">
        <v>11258</v>
      </c>
      <c r="Z3519" s="4">
        <v>221</v>
      </c>
      <c r="AA3519" s="4">
        <f>=ROUNDDOWN(27.625,0)</f>
      </c>
      <c r="AB3519" s="5">
        <v>8</v>
      </c>
      <c r="AC3519" s="2" t="s">
        <v>1201</v>
      </c>
      <c r="AD3519" s="4">
        <v>114</v>
      </c>
      <c r="AE3519" s="4">
        <v>360</v>
      </c>
      <c r="AF3519" s="6">
        <v>65</v>
      </c>
      <c r="AG3519" s="6"/>
      <c r="AH3519" s="7">
        <v>1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/>
      <c r="AQ3519" s="8"/>
      <c r="AR3519" s="4"/>
      <c r="AS3519" s="8"/>
      <c r="AT3519" s="7"/>
      <c r="AU3519" s="7"/>
      <c r="AV3519" s="4" t="s">
        <v>100</v>
      </c>
      <c r="AW3519" s="8" t="s">
        <v>100</v>
      </c>
      <c r="AX3519" s="4" t="s">
        <v>100</v>
      </c>
      <c r="AY3519" s="8" t="s">
        <v>100</v>
      </c>
      <c r="AZ3519" s="7" t="s">
        <v>100</v>
      </c>
      <c r="BA3519" s="7" t="s">
        <v>100</v>
      </c>
      <c r="BB3519" s="7"/>
      <c r="BC3519" s="4" t="s">
        <v>100</v>
      </c>
      <c r="BD3519" s="8" t="s">
        <v>100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/>
      <c r="BJ3519" s="4">
        <v>17</v>
      </c>
      <c r="BK3519" s="8">
        <v>599.61</v>
      </c>
      <c r="BL3519" s="2" t="s">
        <v>10335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171</v>
      </c>
      <c r="BV3519" s="2" t="s">
        <v>97</v>
      </c>
      <c r="BW3519" s="2" t="s">
        <v>100</v>
      </c>
      <c r="BX3519" s="2" t="s">
        <v>100</v>
      </c>
      <c r="BY3519" s="2" t="s">
        <v>112</v>
      </c>
      <c r="BZ3519" s="2" t="s">
        <v>149</v>
      </c>
    </row>
    <row r="3520">
      <c r="A3520" s="2" t="s">
        <v>11297</v>
      </c>
      <c r="B3520" s="2" t="s">
        <v>10807</v>
      </c>
      <c r="C3520" s="2" t="s">
        <v>88</v>
      </c>
      <c r="D3520" s="2" t="s">
        <v>2572</v>
      </c>
      <c r="E3520" s="2" t="s">
        <v>11201</v>
      </c>
      <c r="F3520" s="2" t="s">
        <v>11176</v>
      </c>
      <c r="G3520" s="2" t="s">
        <v>11177</v>
      </c>
      <c r="H3520" s="2" t="s">
        <v>11178</v>
      </c>
      <c r="I3520" s="2" t="s">
        <v>11254</v>
      </c>
      <c r="J3520" s="2" t="s">
        <v>11267</v>
      </c>
      <c r="K3520" s="2" t="s">
        <v>673</v>
      </c>
      <c r="L3520" s="3">
        <v>33.5</v>
      </c>
      <c r="M3520" s="3">
        <v>35.18</v>
      </c>
      <c r="N3520" s="3">
        <v>74.99</v>
      </c>
      <c r="O3520" s="2" t="s">
        <v>97</v>
      </c>
      <c r="P3520" s="2" t="s">
        <v>98</v>
      </c>
      <c r="Q3520" s="2" t="s">
        <v>99</v>
      </c>
      <c r="R3520" s="2" t="s">
        <v>100</v>
      </c>
      <c r="S3520" s="2" t="s">
        <v>11289</v>
      </c>
      <c r="T3520" s="2" t="s">
        <v>438</v>
      </c>
      <c r="U3520" s="2" t="s">
        <v>1776</v>
      </c>
      <c r="V3520" s="2" t="s">
        <v>461</v>
      </c>
      <c r="W3520" s="2" t="s">
        <v>609</v>
      </c>
      <c r="X3520" s="2" t="s">
        <v>100</v>
      </c>
      <c r="Y3520" s="2" t="s">
        <v>6432</v>
      </c>
      <c r="Z3520" s="4">
        <v>231</v>
      </c>
      <c r="AA3520" s="4">
        <f>=ROUNDDOWN(28.875,0)</f>
      </c>
      <c r="AB3520" s="5">
        <v>8</v>
      </c>
      <c r="AC3520" s="2" t="s">
        <v>1201</v>
      </c>
      <c r="AD3520" s="4">
        <v>60</v>
      </c>
      <c r="AE3520" s="4">
        <v>228</v>
      </c>
      <c r="AF3520" s="6">
        <v>65</v>
      </c>
      <c r="AG3520" s="6"/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/>
      <c r="AQ3520" s="8"/>
      <c r="AR3520" s="4"/>
      <c r="AS3520" s="8"/>
      <c r="AT3520" s="7"/>
      <c r="AU3520" s="7"/>
      <c r="AV3520" s="4" t="s">
        <v>100</v>
      </c>
      <c r="AW3520" s="8" t="s">
        <v>100</v>
      </c>
      <c r="AX3520" s="4" t="s">
        <v>100</v>
      </c>
      <c r="AY3520" s="8" t="s">
        <v>100</v>
      </c>
      <c r="AZ3520" s="7" t="s">
        <v>100</v>
      </c>
      <c r="BA3520" s="7" t="s">
        <v>100</v>
      </c>
      <c r="BB3520" s="7"/>
      <c r="BC3520" s="4" t="s">
        <v>100</v>
      </c>
      <c r="BD3520" s="8" t="s">
        <v>100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/>
      <c r="BJ3520" s="4">
        <v>63</v>
      </c>
      <c r="BK3520" s="8">
        <v>2432.8</v>
      </c>
      <c r="BL3520" s="2" t="s">
        <v>11285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171</v>
      </c>
      <c r="BV3520" s="2" t="s">
        <v>97</v>
      </c>
      <c r="BW3520" s="2" t="s">
        <v>100</v>
      </c>
      <c r="BX3520" s="2" t="s">
        <v>100</v>
      </c>
      <c r="BY3520" s="2" t="s">
        <v>112</v>
      </c>
      <c r="BZ3520" s="2" t="s">
        <v>149</v>
      </c>
    </row>
    <row r="3521">
      <c r="A3521" s="2" t="s">
        <v>11298</v>
      </c>
      <c r="B3521" s="2" t="s">
        <v>10807</v>
      </c>
      <c r="C3521" s="2" t="s">
        <v>88</v>
      </c>
      <c r="D3521" s="2" t="s">
        <v>2572</v>
      </c>
      <c r="E3521" s="2" t="s">
        <v>11201</v>
      </c>
      <c r="F3521" s="2" t="s">
        <v>11176</v>
      </c>
      <c r="G3521" s="2" t="s">
        <v>11177</v>
      </c>
      <c r="H3521" s="2" t="s">
        <v>11178</v>
      </c>
      <c r="I3521" s="2" t="s">
        <v>11254</v>
      </c>
      <c r="J3521" s="2" t="s">
        <v>11214</v>
      </c>
      <c r="K3521" s="2" t="s">
        <v>673</v>
      </c>
      <c r="L3521" s="3">
        <v>34.5</v>
      </c>
      <c r="M3521" s="3">
        <v>36.22</v>
      </c>
      <c r="N3521" s="3">
        <v>74.99</v>
      </c>
      <c r="O3521" s="2" t="s">
        <v>97</v>
      </c>
      <c r="P3521" s="2" t="s">
        <v>139</v>
      </c>
      <c r="Q3521" s="2" t="s">
        <v>99</v>
      </c>
      <c r="R3521" s="2" t="s">
        <v>100</v>
      </c>
      <c r="S3521" s="2" t="s">
        <v>11289</v>
      </c>
      <c r="T3521" s="2" t="s">
        <v>438</v>
      </c>
      <c r="U3521" s="2" t="s">
        <v>1776</v>
      </c>
      <c r="V3521" s="2" t="s">
        <v>461</v>
      </c>
      <c r="W3521" s="2" t="s">
        <v>609</v>
      </c>
      <c r="X3521" s="2" t="s">
        <v>100</v>
      </c>
      <c r="Y3521" s="2" t="s">
        <v>11258</v>
      </c>
      <c r="Z3521" s="4">
        <v>201</v>
      </c>
      <c r="AA3521" s="4">
        <f>=ROUNDDOWN(7.44444444444445,0)</f>
      </c>
      <c r="AB3521" s="5">
        <v>27</v>
      </c>
      <c r="AC3521" s="2" t="s">
        <v>1201</v>
      </c>
      <c r="AD3521" s="4">
        <v>420</v>
      </c>
      <c r="AE3521" s="4">
        <v>1176</v>
      </c>
      <c r="AF3521" s="6">
        <v>65</v>
      </c>
      <c r="AG3521" s="6"/>
      <c r="AH3521" s="7">
        <v>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/>
      <c r="AQ3521" s="8"/>
      <c r="AR3521" s="4"/>
      <c r="AS3521" s="8"/>
      <c r="AT3521" s="7"/>
      <c r="AU3521" s="7"/>
      <c r="AV3521" s="4" t="s">
        <v>100</v>
      </c>
      <c r="AW3521" s="8" t="s">
        <v>100</v>
      </c>
      <c r="AX3521" s="4" t="s">
        <v>100</v>
      </c>
      <c r="AY3521" s="8" t="s">
        <v>100</v>
      </c>
      <c r="AZ3521" s="7" t="s">
        <v>100</v>
      </c>
      <c r="BA3521" s="7" t="s">
        <v>100</v>
      </c>
      <c r="BB3521" s="7"/>
      <c r="BC3521" s="4" t="s">
        <v>100</v>
      </c>
      <c r="BD3521" s="8" t="s">
        <v>100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/>
      <c r="BJ3521" s="4">
        <v>47</v>
      </c>
      <c r="BK3521" s="8">
        <v>1743.28</v>
      </c>
      <c r="BL3521" s="2" t="s">
        <v>11299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171</v>
      </c>
      <c r="BV3521" s="2" t="s">
        <v>97</v>
      </c>
      <c r="BW3521" s="2" t="s">
        <v>100</v>
      </c>
      <c r="BX3521" s="2" t="s">
        <v>100</v>
      </c>
      <c r="BY3521" s="2" t="s">
        <v>112</v>
      </c>
      <c r="BZ3521" s="2" t="s">
        <v>149</v>
      </c>
    </row>
    <row r="3522">
      <c r="A3522" s="2" t="s">
        <v>11300</v>
      </c>
      <c r="B3522" s="2" t="s">
        <v>10807</v>
      </c>
      <c r="C3522" s="2" t="s">
        <v>88</v>
      </c>
      <c r="D3522" s="2" t="s">
        <v>2572</v>
      </c>
      <c r="E3522" s="2" t="s">
        <v>11201</v>
      </c>
      <c r="F3522" s="2" t="s">
        <v>11176</v>
      </c>
      <c r="G3522" s="2" t="s">
        <v>11177</v>
      </c>
      <c r="H3522" s="2" t="s">
        <v>11178</v>
      </c>
      <c r="I3522" s="2" t="s">
        <v>11254</v>
      </c>
      <c r="J3522" s="2" t="s">
        <v>11217</v>
      </c>
      <c r="K3522" s="2" t="s">
        <v>673</v>
      </c>
      <c r="L3522" s="3">
        <v>38.4</v>
      </c>
      <c r="M3522" s="3">
        <v>40.32</v>
      </c>
      <c r="N3522" s="3">
        <v>79.99</v>
      </c>
      <c r="O3522" s="2" t="s">
        <v>97</v>
      </c>
      <c r="P3522" s="2" t="s">
        <v>123</v>
      </c>
      <c r="Q3522" s="2" t="s">
        <v>99</v>
      </c>
      <c r="R3522" s="2" t="s">
        <v>100</v>
      </c>
      <c r="S3522" s="2" t="s">
        <v>11289</v>
      </c>
      <c r="T3522" s="2" t="s">
        <v>438</v>
      </c>
      <c r="U3522" s="2" t="s">
        <v>1776</v>
      </c>
      <c r="V3522" s="2" t="s">
        <v>461</v>
      </c>
      <c r="W3522" s="2" t="s">
        <v>609</v>
      </c>
      <c r="X3522" s="2" t="s">
        <v>100</v>
      </c>
      <c r="Y3522" s="2" t="s">
        <v>11258</v>
      </c>
      <c r="Z3522" s="4">
        <v>290</v>
      </c>
      <c r="AA3522" s="4">
        <f>=ROUNDDOWN(40.8450704225352,0)</f>
      </c>
      <c r="AB3522" s="5">
        <v>7.1</v>
      </c>
      <c r="AC3522" s="2" t="s">
        <v>1201</v>
      </c>
      <c r="AD3522" s="4">
        <v>108</v>
      </c>
      <c r="AE3522" s="4">
        <v>276</v>
      </c>
      <c r="AF3522" s="6">
        <v>65</v>
      </c>
      <c r="AG3522" s="6"/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/>
      <c r="AQ3522" s="8"/>
      <c r="AR3522" s="4"/>
      <c r="AS3522" s="8"/>
      <c r="AT3522" s="7"/>
      <c r="AU3522" s="7"/>
      <c r="AV3522" s="4" t="s">
        <v>100</v>
      </c>
      <c r="AW3522" s="8" t="s">
        <v>100</v>
      </c>
      <c r="AX3522" s="4" t="s">
        <v>100</v>
      </c>
      <c r="AY3522" s="8" t="s">
        <v>100</v>
      </c>
      <c r="AZ3522" s="7" t="s">
        <v>100</v>
      </c>
      <c r="BA3522" s="7" t="s">
        <v>100</v>
      </c>
      <c r="BB3522" s="7"/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/>
      <c r="BJ3522" s="4">
        <v>15</v>
      </c>
      <c r="BK3522" s="8">
        <v>604.21</v>
      </c>
      <c r="BL3522" s="2" t="s">
        <v>11301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171</v>
      </c>
      <c r="BV3522" s="2" t="s">
        <v>97</v>
      </c>
      <c r="BW3522" s="2" t="s">
        <v>100</v>
      </c>
      <c r="BX3522" s="2" t="s">
        <v>100</v>
      </c>
      <c r="BY3522" s="2" t="s">
        <v>112</v>
      </c>
      <c r="BZ3522" s="2" t="s">
        <v>100</v>
      </c>
    </row>
    <row r="3523">
      <c r="A3523" s="2" t="s">
        <v>11302</v>
      </c>
      <c r="B3523" s="2" t="s">
        <v>10807</v>
      </c>
      <c r="C3523" s="2" t="s">
        <v>88</v>
      </c>
      <c r="D3523" s="2" t="s">
        <v>2572</v>
      </c>
      <c r="E3523" s="2" t="s">
        <v>11201</v>
      </c>
      <c r="F3523" s="2" t="s">
        <v>11176</v>
      </c>
      <c r="G3523" s="2" t="s">
        <v>11177</v>
      </c>
      <c r="H3523" s="2" t="s">
        <v>11178</v>
      </c>
      <c r="I3523" s="2" t="s">
        <v>11254</v>
      </c>
      <c r="J3523" s="2" t="s">
        <v>11255</v>
      </c>
      <c r="K3523" s="2" t="s">
        <v>458</v>
      </c>
      <c r="L3523" s="3">
        <v>23.75</v>
      </c>
      <c r="M3523" s="3">
        <v>24.94</v>
      </c>
      <c r="N3523" s="3">
        <v>53.99</v>
      </c>
      <c r="O3523" s="2" t="s">
        <v>97</v>
      </c>
      <c r="P3523" s="2" t="s">
        <v>123</v>
      </c>
      <c r="Q3523" s="2" t="s">
        <v>99</v>
      </c>
      <c r="R3523" s="2" t="s">
        <v>100</v>
      </c>
      <c r="S3523" s="2" t="s">
        <v>11187</v>
      </c>
      <c r="T3523" s="2" t="s">
        <v>438</v>
      </c>
      <c r="U3523" s="2" t="s">
        <v>1776</v>
      </c>
      <c r="V3523" s="2" t="s">
        <v>461</v>
      </c>
      <c r="W3523" s="2" t="s">
        <v>609</v>
      </c>
      <c r="X3523" s="2" t="s">
        <v>100</v>
      </c>
      <c r="Y3523" s="2" t="s">
        <v>6432</v>
      </c>
      <c r="Z3523" s="4">
        <v>526</v>
      </c>
      <c r="AA3523" s="4">
        <f>=ROUNDDOWN(65.75,0)</f>
      </c>
      <c r="AB3523" s="5">
        <v>8</v>
      </c>
      <c r="AC3523" s="2" t="s">
        <v>262</v>
      </c>
      <c r="AD3523" s="4">
        <v>120</v>
      </c>
      <c r="AE3523" s="4">
        <v>390</v>
      </c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/>
      <c r="AQ3523" s="8"/>
      <c r="AR3523" s="4"/>
      <c r="AS3523" s="8"/>
      <c r="AT3523" s="7"/>
      <c r="AU3523" s="7"/>
      <c r="AV3523" s="4" t="s">
        <v>100</v>
      </c>
      <c r="AW3523" s="8" t="s">
        <v>100</v>
      </c>
      <c r="AX3523" s="4" t="s">
        <v>100</v>
      </c>
      <c r="AY3523" s="8" t="s">
        <v>100</v>
      </c>
      <c r="AZ3523" s="7" t="s">
        <v>100</v>
      </c>
      <c r="BA3523" s="7" t="s">
        <v>100</v>
      </c>
      <c r="BB3523" s="7"/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/>
      <c r="BJ3523" s="4">
        <v>86</v>
      </c>
      <c r="BK3523" s="8">
        <v>2334.33</v>
      </c>
      <c r="BL3523" s="2" t="s">
        <v>11303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171</v>
      </c>
      <c r="BV3523" s="2" t="s">
        <v>97</v>
      </c>
      <c r="BW3523" s="2" t="s">
        <v>100</v>
      </c>
      <c r="BX3523" s="2" t="s">
        <v>100</v>
      </c>
      <c r="BY3523" s="2" t="s">
        <v>112</v>
      </c>
      <c r="BZ3523" s="2" t="s">
        <v>149</v>
      </c>
    </row>
    <row r="3524">
      <c r="A3524" s="2" t="s">
        <v>11304</v>
      </c>
      <c r="B3524" s="2" t="s">
        <v>10807</v>
      </c>
      <c r="C3524" s="2" t="s">
        <v>88</v>
      </c>
      <c r="D3524" s="2" t="s">
        <v>2572</v>
      </c>
      <c r="E3524" s="2" t="s">
        <v>11201</v>
      </c>
      <c r="F3524" s="2" t="s">
        <v>11176</v>
      </c>
      <c r="G3524" s="2" t="s">
        <v>11177</v>
      </c>
      <c r="H3524" s="2" t="s">
        <v>11178</v>
      </c>
      <c r="I3524" s="2" t="s">
        <v>11254</v>
      </c>
      <c r="J3524" s="2" t="s">
        <v>11205</v>
      </c>
      <c r="K3524" s="2" t="s">
        <v>458</v>
      </c>
      <c r="L3524" s="3">
        <v>27</v>
      </c>
      <c r="M3524" s="3">
        <v>28.35</v>
      </c>
      <c r="N3524" s="3">
        <v>59.99</v>
      </c>
      <c r="O3524" s="2" t="s">
        <v>97</v>
      </c>
      <c r="P3524" s="2" t="s">
        <v>139</v>
      </c>
      <c r="Q3524" s="2" t="s">
        <v>99</v>
      </c>
      <c r="R3524" s="2" t="s">
        <v>100</v>
      </c>
      <c r="S3524" s="2" t="s">
        <v>11187</v>
      </c>
      <c r="T3524" s="2" t="s">
        <v>438</v>
      </c>
      <c r="U3524" s="2" t="s">
        <v>1776</v>
      </c>
      <c r="V3524" s="2" t="s">
        <v>461</v>
      </c>
      <c r="W3524" s="2" t="s">
        <v>609</v>
      </c>
      <c r="X3524" s="2" t="s">
        <v>100</v>
      </c>
      <c r="Y3524" s="2" t="s">
        <v>4646</v>
      </c>
      <c r="Z3524" s="4">
        <v>937</v>
      </c>
      <c r="AA3524" s="4">
        <f>=ROUNDDOWN(34.7037037037037,0)</f>
      </c>
      <c r="AB3524" s="5">
        <v>27</v>
      </c>
      <c r="AC3524" s="2" t="s">
        <v>1201</v>
      </c>
      <c r="AD3524" s="4">
        <v>546</v>
      </c>
      <c r="AE3524" s="4">
        <v>1548</v>
      </c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/>
      <c r="AQ3524" s="8"/>
      <c r="AR3524" s="4"/>
      <c r="AS3524" s="8"/>
      <c r="AT3524" s="7"/>
      <c r="AU3524" s="7"/>
      <c r="AV3524" s="4" t="s">
        <v>100</v>
      </c>
      <c r="AW3524" s="8" t="s">
        <v>100</v>
      </c>
      <c r="AX3524" s="4" t="s">
        <v>100</v>
      </c>
      <c r="AY3524" s="8" t="s">
        <v>100</v>
      </c>
      <c r="AZ3524" s="7" t="s">
        <v>100</v>
      </c>
      <c r="BA3524" s="7" t="s">
        <v>100</v>
      </c>
      <c r="BB3524" s="7"/>
      <c r="BC3524" s="4" t="s">
        <v>100</v>
      </c>
      <c r="BD3524" s="8" t="s">
        <v>100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/>
      <c r="BJ3524" s="4">
        <v>113</v>
      </c>
      <c r="BK3524" s="8">
        <v>3410.71</v>
      </c>
      <c r="BL3524" s="2" t="s">
        <v>11305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171</v>
      </c>
      <c r="BV3524" s="2" t="s">
        <v>97</v>
      </c>
      <c r="BW3524" s="2" t="s">
        <v>100</v>
      </c>
      <c r="BX3524" s="2" t="s">
        <v>100</v>
      </c>
      <c r="BY3524" s="2" t="s">
        <v>112</v>
      </c>
      <c r="BZ3524" s="2" t="s">
        <v>149</v>
      </c>
    </row>
    <row r="3525">
      <c r="A3525" s="2" t="s">
        <v>11306</v>
      </c>
      <c r="B3525" s="2" t="s">
        <v>10807</v>
      </c>
      <c r="C3525" s="2" t="s">
        <v>88</v>
      </c>
      <c r="D3525" s="2" t="s">
        <v>2572</v>
      </c>
      <c r="E3525" s="2" t="s">
        <v>11201</v>
      </c>
      <c r="F3525" s="2" t="s">
        <v>11176</v>
      </c>
      <c r="G3525" s="2" t="s">
        <v>11177</v>
      </c>
      <c r="H3525" s="2" t="s">
        <v>11178</v>
      </c>
      <c r="I3525" s="2" t="s">
        <v>11254</v>
      </c>
      <c r="J3525" s="2" t="s">
        <v>11237</v>
      </c>
      <c r="K3525" s="2" t="s">
        <v>458</v>
      </c>
      <c r="L3525" s="3">
        <v>28.5</v>
      </c>
      <c r="M3525" s="3">
        <v>29.93</v>
      </c>
      <c r="N3525" s="3">
        <v>62.99</v>
      </c>
      <c r="O3525" s="2" t="s">
        <v>97</v>
      </c>
      <c r="P3525" s="2" t="s">
        <v>123</v>
      </c>
      <c r="Q3525" s="2" t="s">
        <v>99</v>
      </c>
      <c r="R3525" s="2" t="s">
        <v>100</v>
      </c>
      <c r="S3525" s="2" t="s">
        <v>11187</v>
      </c>
      <c r="T3525" s="2" t="s">
        <v>438</v>
      </c>
      <c r="U3525" s="2" t="s">
        <v>1776</v>
      </c>
      <c r="V3525" s="2" t="s">
        <v>461</v>
      </c>
      <c r="W3525" s="2" t="s">
        <v>609</v>
      </c>
      <c r="X3525" s="2" t="s">
        <v>100</v>
      </c>
      <c r="Y3525" s="2" t="s">
        <v>6432</v>
      </c>
      <c r="Z3525" s="4">
        <v>656</v>
      </c>
      <c r="AA3525" s="4">
        <f>=ROUNDDOWN(59.6363636363636,0)</f>
      </c>
      <c r="AB3525" s="5">
        <v>11</v>
      </c>
      <c r="AC3525" s="2" t="s">
        <v>1201</v>
      </c>
      <c r="AD3525" s="4">
        <v>138</v>
      </c>
      <c r="AE3525" s="4">
        <v>240</v>
      </c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/>
      <c r="AQ3525" s="8"/>
      <c r="AR3525" s="4"/>
      <c r="AS3525" s="8"/>
      <c r="AT3525" s="7"/>
      <c r="AU3525" s="7"/>
      <c r="AV3525" s="4" t="s">
        <v>100</v>
      </c>
      <c r="AW3525" s="8" t="s">
        <v>100</v>
      </c>
      <c r="AX3525" s="4" t="s">
        <v>100</v>
      </c>
      <c r="AY3525" s="8" t="s">
        <v>100</v>
      </c>
      <c r="AZ3525" s="7" t="s">
        <v>100</v>
      </c>
      <c r="BA3525" s="7" t="s">
        <v>100</v>
      </c>
      <c r="BB3525" s="7"/>
      <c r="BC3525" s="4" t="s">
        <v>100</v>
      </c>
      <c r="BD3525" s="8" t="s">
        <v>100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/>
      <c r="BJ3525" s="4">
        <v>103</v>
      </c>
      <c r="BK3525" s="8">
        <v>3363.7</v>
      </c>
      <c r="BL3525" s="2" t="s">
        <v>11307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171</v>
      </c>
      <c r="BV3525" s="2" t="s">
        <v>97</v>
      </c>
      <c r="BW3525" s="2" t="s">
        <v>100</v>
      </c>
      <c r="BX3525" s="2" t="s">
        <v>100</v>
      </c>
      <c r="BY3525" s="2" t="s">
        <v>112</v>
      </c>
      <c r="BZ3525" s="2" t="s">
        <v>149</v>
      </c>
    </row>
    <row r="3526">
      <c r="A3526" s="2" t="s">
        <v>11308</v>
      </c>
      <c r="B3526" s="2" t="s">
        <v>10807</v>
      </c>
      <c r="C3526" s="2" t="s">
        <v>88</v>
      </c>
      <c r="D3526" s="2" t="s">
        <v>2572</v>
      </c>
      <c r="E3526" s="2" t="s">
        <v>11201</v>
      </c>
      <c r="F3526" s="2" t="s">
        <v>11176</v>
      </c>
      <c r="G3526" s="2" t="s">
        <v>11177</v>
      </c>
      <c r="H3526" s="2" t="s">
        <v>11178</v>
      </c>
      <c r="I3526" s="2" t="s">
        <v>11254</v>
      </c>
      <c r="J3526" s="2" t="s">
        <v>11209</v>
      </c>
      <c r="K3526" s="2" t="s">
        <v>458</v>
      </c>
      <c r="L3526" s="3">
        <v>29.25</v>
      </c>
      <c r="M3526" s="3">
        <v>30.71</v>
      </c>
      <c r="N3526" s="3">
        <v>64.99</v>
      </c>
      <c r="O3526" s="2" t="s">
        <v>97</v>
      </c>
      <c r="P3526" s="2" t="s">
        <v>139</v>
      </c>
      <c r="Q3526" s="2" t="s">
        <v>99</v>
      </c>
      <c r="R3526" s="2" t="s">
        <v>100</v>
      </c>
      <c r="S3526" s="2" t="s">
        <v>11187</v>
      </c>
      <c r="T3526" s="2" t="s">
        <v>438</v>
      </c>
      <c r="U3526" s="2" t="s">
        <v>1776</v>
      </c>
      <c r="V3526" s="2" t="s">
        <v>461</v>
      </c>
      <c r="W3526" s="2" t="s">
        <v>609</v>
      </c>
      <c r="X3526" s="2" t="s">
        <v>100</v>
      </c>
      <c r="Y3526" s="2" t="s">
        <v>4646</v>
      </c>
      <c r="Z3526" s="4">
        <v>712</v>
      </c>
      <c r="AA3526" s="4">
        <f>=ROUNDDOWN(37.4736842105263,0)</f>
      </c>
      <c r="AB3526" s="5">
        <v>19</v>
      </c>
      <c r="AC3526" s="2" t="s">
        <v>1201</v>
      </c>
      <c r="AD3526" s="4">
        <v>384</v>
      </c>
      <c r="AE3526" s="4">
        <v>516</v>
      </c>
      <c r="AF3526" s="6">
        <v>65</v>
      </c>
      <c r="AG3526" s="6"/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/>
      <c r="AQ3526" s="8"/>
      <c r="AR3526" s="4"/>
      <c r="AS3526" s="8"/>
      <c r="AT3526" s="7"/>
      <c r="AU3526" s="7"/>
      <c r="AV3526" s="4" t="s">
        <v>100</v>
      </c>
      <c r="AW3526" s="8" t="s">
        <v>100</v>
      </c>
      <c r="AX3526" s="4" t="s">
        <v>100</v>
      </c>
      <c r="AY3526" s="8" t="s">
        <v>100</v>
      </c>
      <c r="AZ3526" s="7" t="s">
        <v>100</v>
      </c>
      <c r="BA3526" s="7" t="s">
        <v>100</v>
      </c>
      <c r="BB3526" s="7"/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/>
      <c r="BJ3526" s="4">
        <v>57</v>
      </c>
      <c r="BK3526" s="8">
        <v>1872.78</v>
      </c>
      <c r="BL3526" s="2" t="s">
        <v>11299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171</v>
      </c>
      <c r="BV3526" s="2" t="s">
        <v>97</v>
      </c>
      <c r="BW3526" s="2" t="s">
        <v>100</v>
      </c>
      <c r="BX3526" s="2" t="s">
        <v>100</v>
      </c>
      <c r="BY3526" s="2" t="s">
        <v>112</v>
      </c>
      <c r="BZ3526" s="2" t="s">
        <v>149</v>
      </c>
    </row>
    <row r="3527">
      <c r="A3527" s="2" t="s">
        <v>11309</v>
      </c>
      <c r="B3527" s="2" t="s">
        <v>10807</v>
      </c>
      <c r="C3527" s="2" t="s">
        <v>88</v>
      </c>
      <c r="D3527" s="2" t="s">
        <v>2572</v>
      </c>
      <c r="E3527" s="2" t="s">
        <v>11201</v>
      </c>
      <c r="F3527" s="2" t="s">
        <v>11176</v>
      </c>
      <c r="G3527" s="2" t="s">
        <v>11177</v>
      </c>
      <c r="H3527" s="2" t="s">
        <v>11178</v>
      </c>
      <c r="I3527" s="2" t="s">
        <v>11254</v>
      </c>
      <c r="J3527" s="2" t="s">
        <v>11211</v>
      </c>
      <c r="K3527" s="2" t="s">
        <v>458</v>
      </c>
      <c r="L3527" s="3">
        <v>32.2</v>
      </c>
      <c r="M3527" s="3">
        <v>33.81</v>
      </c>
      <c r="N3527" s="3">
        <v>69.99</v>
      </c>
      <c r="O3527" s="2" t="s">
        <v>97</v>
      </c>
      <c r="P3527" s="2" t="s">
        <v>139</v>
      </c>
      <c r="Q3527" s="2" t="s">
        <v>99</v>
      </c>
      <c r="R3527" s="2" t="s">
        <v>100</v>
      </c>
      <c r="S3527" s="2" t="s">
        <v>11187</v>
      </c>
      <c r="T3527" s="2" t="s">
        <v>438</v>
      </c>
      <c r="U3527" s="2" t="s">
        <v>1776</v>
      </c>
      <c r="V3527" s="2" t="s">
        <v>461</v>
      </c>
      <c r="W3527" s="2" t="s">
        <v>609</v>
      </c>
      <c r="X3527" s="2" t="s">
        <v>100</v>
      </c>
      <c r="Y3527" s="2" t="s">
        <v>4646</v>
      </c>
      <c r="Z3527" s="4">
        <v>427</v>
      </c>
      <c r="AA3527" s="4">
        <f>=ROUNDDOWN(28.4666666666667,0)</f>
      </c>
      <c r="AB3527" s="5">
        <v>15</v>
      </c>
      <c r="AC3527" s="2" t="s">
        <v>1142</v>
      </c>
      <c r="AD3527" s="4">
        <v>132</v>
      </c>
      <c r="AE3527" s="4">
        <v>258</v>
      </c>
      <c r="AF3527" s="6">
        <v>65</v>
      </c>
      <c r="AG3527" s="6"/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/>
      <c r="AQ3527" s="8"/>
      <c r="AR3527" s="4"/>
      <c r="AS3527" s="8"/>
      <c r="AT3527" s="7"/>
      <c r="AU3527" s="7"/>
      <c r="AV3527" s="4" t="s">
        <v>100</v>
      </c>
      <c r="AW3527" s="8" t="s">
        <v>100</v>
      </c>
      <c r="AX3527" s="4" t="s">
        <v>100</v>
      </c>
      <c r="AY3527" s="8" t="s">
        <v>100</v>
      </c>
      <c r="AZ3527" s="7" t="s">
        <v>100</v>
      </c>
      <c r="BA3527" s="7" t="s">
        <v>100</v>
      </c>
      <c r="BB3527" s="7"/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/>
      <c r="BJ3527" s="4">
        <v>73</v>
      </c>
      <c r="BK3527" s="8">
        <v>2588.71</v>
      </c>
      <c r="BL3527" s="2" t="s">
        <v>11310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171</v>
      </c>
      <c r="BV3527" s="2" t="s">
        <v>97</v>
      </c>
      <c r="BW3527" s="2" t="s">
        <v>100</v>
      </c>
      <c r="BX3527" s="2" t="s">
        <v>100</v>
      </c>
      <c r="BY3527" s="2" t="s">
        <v>112</v>
      </c>
      <c r="BZ3527" s="2" t="s">
        <v>149</v>
      </c>
    </row>
    <row r="3528">
      <c r="A3528" s="2" t="s">
        <v>11311</v>
      </c>
      <c r="B3528" s="2" t="s">
        <v>10807</v>
      </c>
      <c r="C3528" s="2" t="s">
        <v>88</v>
      </c>
      <c r="D3528" s="2" t="s">
        <v>2572</v>
      </c>
      <c r="E3528" s="2" t="s">
        <v>11201</v>
      </c>
      <c r="F3528" s="2" t="s">
        <v>11176</v>
      </c>
      <c r="G3528" s="2" t="s">
        <v>11177</v>
      </c>
      <c r="H3528" s="2" t="s">
        <v>11178</v>
      </c>
      <c r="I3528" s="2" t="s">
        <v>11254</v>
      </c>
      <c r="J3528" s="2" t="s">
        <v>11267</v>
      </c>
      <c r="K3528" s="2" t="s">
        <v>458</v>
      </c>
      <c r="L3528" s="3">
        <v>33.5</v>
      </c>
      <c r="M3528" s="3">
        <v>35.18</v>
      </c>
      <c r="N3528" s="3">
        <v>74.99</v>
      </c>
      <c r="O3528" s="2" t="s">
        <v>97</v>
      </c>
      <c r="P3528" s="2" t="s">
        <v>123</v>
      </c>
      <c r="Q3528" s="2" t="s">
        <v>99</v>
      </c>
      <c r="R3528" s="2" t="s">
        <v>100</v>
      </c>
      <c r="S3528" s="2" t="s">
        <v>11187</v>
      </c>
      <c r="T3528" s="2" t="s">
        <v>438</v>
      </c>
      <c r="U3528" s="2" t="s">
        <v>1776</v>
      </c>
      <c r="V3528" s="2" t="s">
        <v>461</v>
      </c>
      <c r="W3528" s="2" t="s">
        <v>609</v>
      </c>
      <c r="X3528" s="2" t="s">
        <v>100</v>
      </c>
      <c r="Y3528" s="2" t="s">
        <v>6432</v>
      </c>
      <c r="Z3528" s="4">
        <v>228</v>
      </c>
      <c r="AA3528" s="4">
        <f>=ROUNDDOWN(16.2857142857143,0)</f>
      </c>
      <c r="AB3528" s="5">
        <v>14</v>
      </c>
      <c r="AC3528" s="2" t="s">
        <v>1201</v>
      </c>
      <c r="AD3528" s="4">
        <v>114</v>
      </c>
      <c r="AE3528" s="4">
        <v>636</v>
      </c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/>
      <c r="AQ3528" s="8"/>
      <c r="AR3528" s="4"/>
      <c r="AS3528" s="8"/>
      <c r="AT3528" s="7"/>
      <c r="AU3528" s="7"/>
      <c r="AV3528" s="4" t="s">
        <v>100</v>
      </c>
      <c r="AW3528" s="8" t="s">
        <v>100</v>
      </c>
      <c r="AX3528" s="4" t="s">
        <v>100</v>
      </c>
      <c r="AY3528" s="8" t="s">
        <v>100</v>
      </c>
      <c r="AZ3528" s="7" t="s">
        <v>100</v>
      </c>
      <c r="BA3528" s="7" t="s">
        <v>100</v>
      </c>
      <c r="BB3528" s="7"/>
      <c r="BC3528" s="4" t="s">
        <v>100</v>
      </c>
      <c r="BD3528" s="8" t="s">
        <v>100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/>
      <c r="BJ3528" s="4">
        <v>108</v>
      </c>
      <c r="BK3528" s="8">
        <v>4123.71</v>
      </c>
      <c r="BL3528" s="2" t="s">
        <v>11312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171</v>
      </c>
      <c r="BV3528" s="2" t="s">
        <v>97</v>
      </c>
      <c r="BW3528" s="2" t="s">
        <v>100</v>
      </c>
      <c r="BX3528" s="2" t="s">
        <v>100</v>
      </c>
      <c r="BY3528" s="2" t="s">
        <v>112</v>
      </c>
      <c r="BZ3528" s="2" t="s">
        <v>149</v>
      </c>
    </row>
    <row r="3529">
      <c r="A3529" s="2" t="s">
        <v>11313</v>
      </c>
      <c r="B3529" s="2" t="s">
        <v>10807</v>
      </c>
      <c r="C3529" s="2" t="s">
        <v>88</v>
      </c>
      <c r="D3529" s="2" t="s">
        <v>2572</v>
      </c>
      <c r="E3529" s="2" t="s">
        <v>11201</v>
      </c>
      <c r="F3529" s="2" t="s">
        <v>11176</v>
      </c>
      <c r="G3529" s="2" t="s">
        <v>11177</v>
      </c>
      <c r="H3529" s="2" t="s">
        <v>11178</v>
      </c>
      <c r="I3529" s="2" t="s">
        <v>11254</v>
      </c>
      <c r="J3529" s="2" t="s">
        <v>11214</v>
      </c>
      <c r="K3529" s="2" t="s">
        <v>458</v>
      </c>
      <c r="L3529" s="3">
        <v>34.5</v>
      </c>
      <c r="M3529" s="3">
        <v>36.22</v>
      </c>
      <c r="N3529" s="3">
        <v>74.99</v>
      </c>
      <c r="O3529" s="2" t="s">
        <v>97</v>
      </c>
      <c r="P3529" s="2" t="s">
        <v>317</v>
      </c>
      <c r="Q3529" s="2" t="s">
        <v>99</v>
      </c>
      <c r="R3529" s="2" t="s">
        <v>100</v>
      </c>
      <c r="S3529" s="2" t="s">
        <v>11187</v>
      </c>
      <c r="T3529" s="2" t="s">
        <v>438</v>
      </c>
      <c r="U3529" s="2" t="s">
        <v>1776</v>
      </c>
      <c r="V3529" s="2" t="s">
        <v>461</v>
      </c>
      <c r="W3529" s="2" t="s">
        <v>609</v>
      </c>
      <c r="X3529" s="2" t="s">
        <v>100</v>
      </c>
      <c r="Y3529" s="2" t="s">
        <v>4646</v>
      </c>
      <c r="Z3529" s="4">
        <v>380</v>
      </c>
      <c r="AA3529" s="4">
        <f>=ROUNDDOWN(20,0)</f>
      </c>
      <c r="AB3529" s="5">
        <v>19</v>
      </c>
      <c r="AC3529" s="2" t="s">
        <v>1201</v>
      </c>
      <c r="AD3529" s="4">
        <v>330</v>
      </c>
      <c r="AE3529" s="4">
        <v>888</v>
      </c>
      <c r="AF3529" s="6">
        <v>65</v>
      </c>
      <c r="AG3529" s="6"/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/>
      <c r="AQ3529" s="8"/>
      <c r="AR3529" s="4"/>
      <c r="AS3529" s="8"/>
      <c r="AT3529" s="7"/>
      <c r="AU3529" s="7"/>
      <c r="AV3529" s="4" t="s">
        <v>100</v>
      </c>
      <c r="AW3529" s="8" t="s">
        <v>100</v>
      </c>
      <c r="AX3529" s="4" t="s">
        <v>100</v>
      </c>
      <c r="AY3529" s="8" t="s">
        <v>100</v>
      </c>
      <c r="AZ3529" s="7" t="s">
        <v>100</v>
      </c>
      <c r="BA3529" s="7" t="s">
        <v>100</v>
      </c>
      <c r="BB3529" s="7"/>
      <c r="BC3529" s="4" t="s">
        <v>100</v>
      </c>
      <c r="BD3529" s="8" t="s">
        <v>100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/>
      <c r="BJ3529" s="4">
        <v>76</v>
      </c>
      <c r="BK3529" s="8">
        <v>3041.64</v>
      </c>
      <c r="BL3529" s="2" t="s">
        <v>11314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171</v>
      </c>
      <c r="BV3529" s="2" t="s">
        <v>97</v>
      </c>
      <c r="BW3529" s="2" t="s">
        <v>100</v>
      </c>
      <c r="BX3529" s="2" t="s">
        <v>100</v>
      </c>
      <c r="BY3529" s="2" t="s">
        <v>112</v>
      </c>
      <c r="BZ3529" s="2" t="s">
        <v>149</v>
      </c>
    </row>
    <row r="3530">
      <c r="A3530" s="2" t="s">
        <v>11315</v>
      </c>
      <c r="B3530" s="2" t="s">
        <v>10807</v>
      </c>
      <c r="C3530" s="2" t="s">
        <v>88</v>
      </c>
      <c r="D3530" s="2" t="s">
        <v>2572</v>
      </c>
      <c r="E3530" s="2" t="s">
        <v>11201</v>
      </c>
      <c r="F3530" s="2" t="s">
        <v>11176</v>
      </c>
      <c r="G3530" s="2" t="s">
        <v>11177</v>
      </c>
      <c r="H3530" s="2" t="s">
        <v>11178</v>
      </c>
      <c r="I3530" s="2" t="s">
        <v>11254</v>
      </c>
      <c r="J3530" s="2" t="s">
        <v>11217</v>
      </c>
      <c r="K3530" s="2" t="s">
        <v>458</v>
      </c>
      <c r="L3530" s="3">
        <v>38.4</v>
      </c>
      <c r="M3530" s="3">
        <v>40.32</v>
      </c>
      <c r="N3530" s="3">
        <v>79.99</v>
      </c>
      <c r="O3530" s="2" t="s">
        <v>97</v>
      </c>
      <c r="P3530" s="2" t="s">
        <v>139</v>
      </c>
      <c r="Q3530" s="2" t="s">
        <v>99</v>
      </c>
      <c r="R3530" s="2" t="s">
        <v>100</v>
      </c>
      <c r="S3530" s="2" t="s">
        <v>11187</v>
      </c>
      <c r="T3530" s="2" t="s">
        <v>438</v>
      </c>
      <c r="U3530" s="2" t="s">
        <v>1776</v>
      </c>
      <c r="V3530" s="2" t="s">
        <v>461</v>
      </c>
      <c r="W3530" s="2" t="s">
        <v>609</v>
      </c>
      <c r="X3530" s="2" t="s">
        <v>100</v>
      </c>
      <c r="Y3530" s="2" t="s">
        <v>4646</v>
      </c>
      <c r="Z3530" s="4">
        <v>382</v>
      </c>
      <c r="AA3530" s="4">
        <f>=ROUNDDOWN(33.2173913043478,0)</f>
      </c>
      <c r="AB3530" s="5">
        <v>11.5</v>
      </c>
      <c r="AC3530" s="2" t="s">
        <v>1201</v>
      </c>
      <c r="AD3530" s="4">
        <v>54</v>
      </c>
      <c r="AE3530" s="4">
        <v>330</v>
      </c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/>
      <c r="AQ3530" s="8"/>
      <c r="AR3530" s="4"/>
      <c r="AS3530" s="8"/>
      <c r="AT3530" s="7"/>
      <c r="AU3530" s="7"/>
      <c r="AV3530" s="4" t="s">
        <v>100</v>
      </c>
      <c r="AW3530" s="8" t="s">
        <v>100</v>
      </c>
      <c r="AX3530" s="4" t="s">
        <v>100</v>
      </c>
      <c r="AY3530" s="8" t="s">
        <v>100</v>
      </c>
      <c r="AZ3530" s="7" t="s">
        <v>100</v>
      </c>
      <c r="BA3530" s="7" t="s">
        <v>100</v>
      </c>
      <c r="BB3530" s="7"/>
      <c r="BC3530" s="4" t="s">
        <v>100</v>
      </c>
      <c r="BD3530" s="8" t="s">
        <v>100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/>
      <c r="BJ3530" s="4">
        <v>38</v>
      </c>
      <c r="BK3530" s="8">
        <v>1631.31</v>
      </c>
      <c r="BL3530" s="2" t="s">
        <v>4617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171</v>
      </c>
      <c r="BV3530" s="2" t="s">
        <v>97</v>
      </c>
      <c r="BW3530" s="2" t="s">
        <v>100</v>
      </c>
      <c r="BX3530" s="2" t="s">
        <v>100</v>
      </c>
      <c r="BY3530" s="2" t="s">
        <v>112</v>
      </c>
      <c r="BZ3530" s="2" t="s">
        <v>149</v>
      </c>
    </row>
    <row r="3531">
      <c r="A3531" s="2" t="s">
        <v>11316</v>
      </c>
      <c r="B3531" s="2" t="s">
        <v>10807</v>
      </c>
      <c r="C3531" s="2" t="s">
        <v>88</v>
      </c>
      <c r="D3531" s="2" t="s">
        <v>2572</v>
      </c>
      <c r="E3531" s="2" t="s">
        <v>11201</v>
      </c>
      <c r="F3531" s="2" t="s">
        <v>11190</v>
      </c>
      <c r="G3531" s="2" t="s">
        <v>11191</v>
      </c>
      <c r="H3531" s="2" t="s">
        <v>11192</v>
      </c>
      <c r="I3531" s="2" t="s">
        <v>11317</v>
      </c>
      <c r="J3531" s="2" t="s">
        <v>11205</v>
      </c>
      <c r="K3531" s="2" t="s">
        <v>446</v>
      </c>
      <c r="L3531" s="3">
        <v>31.05</v>
      </c>
      <c r="M3531" s="3">
        <v>32.6</v>
      </c>
      <c r="N3531" s="3">
        <v>66.99</v>
      </c>
      <c r="O3531" s="2" t="s">
        <v>97</v>
      </c>
      <c r="P3531" s="2" t="s">
        <v>707</v>
      </c>
      <c r="Q3531" s="2" t="s">
        <v>99</v>
      </c>
      <c r="R3531" s="2" t="s">
        <v>100</v>
      </c>
      <c r="S3531" s="2" t="s">
        <v>11195</v>
      </c>
      <c r="T3531" s="2" t="s">
        <v>438</v>
      </c>
      <c r="U3531" s="2" t="s">
        <v>1776</v>
      </c>
      <c r="V3531" s="2" t="s">
        <v>461</v>
      </c>
      <c r="W3531" s="2" t="s">
        <v>609</v>
      </c>
      <c r="X3531" s="2" t="s">
        <v>100</v>
      </c>
      <c r="Y3531" s="2" t="s">
        <v>6234</v>
      </c>
      <c r="Z3531" s="4">
        <v>165</v>
      </c>
      <c r="AA3531" s="4">
        <f>=ROUNDDOWN(25.78125,0)</f>
      </c>
      <c r="AB3531" s="5">
        <v>6.4</v>
      </c>
      <c r="AC3531" s="2" t="s">
        <v>100</v>
      </c>
      <c r="AD3531" s="4"/>
      <c r="AE3531" s="4"/>
      <c r="AF3531" s="6">
        <v>65</v>
      </c>
      <c r="AG3531" s="6"/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/>
      <c r="AQ3531" s="8"/>
      <c r="AR3531" s="4"/>
      <c r="AS3531" s="8"/>
      <c r="AT3531" s="7"/>
      <c r="AU3531" s="7"/>
      <c r="AV3531" s="4" t="s">
        <v>100</v>
      </c>
      <c r="AW3531" s="8" t="s">
        <v>100</v>
      </c>
      <c r="AX3531" s="4" t="s">
        <v>100</v>
      </c>
      <c r="AY3531" s="8" t="s">
        <v>100</v>
      </c>
      <c r="AZ3531" s="7" t="s">
        <v>100</v>
      </c>
      <c r="BA3531" s="7" t="s">
        <v>100</v>
      </c>
      <c r="BB3531" s="7"/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/>
      <c r="BJ3531" s="4">
        <v>16</v>
      </c>
      <c r="BK3531" s="8">
        <v>543.52</v>
      </c>
      <c r="BL3531" s="2" t="s">
        <v>1847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171</v>
      </c>
      <c r="BV3531" s="2" t="s">
        <v>97</v>
      </c>
      <c r="BW3531" s="2" t="s">
        <v>100</v>
      </c>
      <c r="BX3531" s="2" t="s">
        <v>100</v>
      </c>
      <c r="BY3531" s="2" t="s">
        <v>112</v>
      </c>
      <c r="BZ3531" s="2" t="s">
        <v>149</v>
      </c>
    </row>
    <row r="3532">
      <c r="A3532" s="2" t="s">
        <v>11318</v>
      </c>
      <c r="B3532" s="2" t="s">
        <v>10807</v>
      </c>
      <c r="C3532" s="2" t="s">
        <v>88</v>
      </c>
      <c r="D3532" s="2" t="s">
        <v>2572</v>
      </c>
      <c r="E3532" s="2" t="s">
        <v>11201</v>
      </c>
      <c r="F3532" s="2" t="s">
        <v>11190</v>
      </c>
      <c r="G3532" s="2" t="s">
        <v>11191</v>
      </c>
      <c r="H3532" s="2" t="s">
        <v>11192</v>
      </c>
      <c r="I3532" s="2" t="s">
        <v>11317</v>
      </c>
      <c r="J3532" s="2" t="s">
        <v>11237</v>
      </c>
      <c r="K3532" s="2" t="s">
        <v>446</v>
      </c>
      <c r="L3532" s="3">
        <v>32.75</v>
      </c>
      <c r="M3532" s="3">
        <v>34.39</v>
      </c>
      <c r="N3532" s="3">
        <v>69.99</v>
      </c>
      <c r="O3532" s="2" t="s">
        <v>97</v>
      </c>
      <c r="P3532" s="2" t="s">
        <v>707</v>
      </c>
      <c r="Q3532" s="2" t="s">
        <v>99</v>
      </c>
      <c r="R3532" s="2" t="s">
        <v>100</v>
      </c>
      <c r="S3532" s="2" t="s">
        <v>11195</v>
      </c>
      <c r="T3532" s="2" t="s">
        <v>438</v>
      </c>
      <c r="U3532" s="2" t="s">
        <v>1776</v>
      </c>
      <c r="V3532" s="2" t="s">
        <v>461</v>
      </c>
      <c r="W3532" s="2" t="s">
        <v>609</v>
      </c>
      <c r="X3532" s="2" t="s">
        <v>100</v>
      </c>
      <c r="Y3532" s="2" t="s">
        <v>6234</v>
      </c>
      <c r="Z3532" s="4">
        <v>79</v>
      </c>
      <c r="AA3532" s="4">
        <f>=ROUNDDOWN(13.1666666666667,0)</f>
      </c>
      <c r="AB3532" s="5">
        <v>6</v>
      </c>
      <c r="AC3532" s="2" t="s">
        <v>100</v>
      </c>
      <c r="AD3532" s="4"/>
      <c r="AE3532" s="4"/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0</v>
      </c>
      <c r="AP3532" s="4"/>
      <c r="AQ3532" s="8"/>
      <c r="AR3532" s="4"/>
      <c r="AS3532" s="8"/>
      <c r="AT3532" s="7"/>
      <c r="AU3532" s="7"/>
      <c r="AV3532" s="4" t="s">
        <v>100</v>
      </c>
      <c r="AW3532" s="8" t="s">
        <v>100</v>
      </c>
      <c r="AX3532" s="4" t="s">
        <v>100</v>
      </c>
      <c r="AY3532" s="8" t="s">
        <v>100</v>
      </c>
      <c r="AZ3532" s="7" t="s">
        <v>100</v>
      </c>
      <c r="BA3532" s="7" t="s">
        <v>100</v>
      </c>
      <c r="BB3532" s="7"/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/>
      <c r="BJ3532" s="4">
        <v>29</v>
      </c>
      <c r="BK3532" s="8">
        <v>1067.69</v>
      </c>
      <c r="BL3532" s="2" t="s">
        <v>11319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171</v>
      </c>
      <c r="BV3532" s="2" t="s">
        <v>97</v>
      </c>
      <c r="BW3532" s="2" t="s">
        <v>100</v>
      </c>
      <c r="BX3532" s="2" t="s">
        <v>100</v>
      </c>
      <c r="BY3532" s="2" t="s">
        <v>112</v>
      </c>
      <c r="BZ3532" s="2" t="s">
        <v>149</v>
      </c>
    </row>
    <row r="3533">
      <c r="A3533" s="2" t="s">
        <v>11320</v>
      </c>
      <c r="B3533" s="2" t="s">
        <v>10807</v>
      </c>
      <c r="C3533" s="2" t="s">
        <v>88</v>
      </c>
      <c r="D3533" s="2" t="s">
        <v>2572</v>
      </c>
      <c r="E3533" s="2" t="s">
        <v>11201</v>
      </c>
      <c r="F3533" s="2" t="s">
        <v>11190</v>
      </c>
      <c r="G3533" s="2" t="s">
        <v>11191</v>
      </c>
      <c r="H3533" s="2" t="s">
        <v>11192</v>
      </c>
      <c r="I3533" s="2" t="s">
        <v>11317</v>
      </c>
      <c r="J3533" s="2" t="s">
        <v>11209</v>
      </c>
      <c r="K3533" s="2" t="s">
        <v>446</v>
      </c>
      <c r="L3533" s="3">
        <v>33.65</v>
      </c>
      <c r="M3533" s="3">
        <v>35.33</v>
      </c>
      <c r="N3533" s="3">
        <v>71.99</v>
      </c>
      <c r="O3533" s="2" t="s">
        <v>97</v>
      </c>
      <c r="P3533" s="2" t="s">
        <v>707</v>
      </c>
      <c r="Q3533" s="2" t="s">
        <v>99</v>
      </c>
      <c r="R3533" s="2" t="s">
        <v>100</v>
      </c>
      <c r="S3533" s="2" t="s">
        <v>11195</v>
      </c>
      <c r="T3533" s="2" t="s">
        <v>438</v>
      </c>
      <c r="U3533" s="2" t="s">
        <v>1776</v>
      </c>
      <c r="V3533" s="2" t="s">
        <v>461</v>
      </c>
      <c r="W3533" s="2" t="s">
        <v>609</v>
      </c>
      <c r="X3533" s="2" t="s">
        <v>100</v>
      </c>
      <c r="Y3533" s="2" t="s">
        <v>6234</v>
      </c>
      <c r="Z3533" s="4">
        <v>320</v>
      </c>
      <c r="AA3533" s="4">
        <f>=ROUNDDOWN(53.3333333333333,0)</f>
      </c>
      <c r="AB3533" s="5">
        <v>6</v>
      </c>
      <c r="AC3533" s="2" t="s">
        <v>100</v>
      </c>
      <c r="AD3533" s="4"/>
      <c r="AE3533" s="4"/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/>
      <c r="AQ3533" s="8"/>
      <c r="AR3533" s="4"/>
      <c r="AS3533" s="8"/>
      <c r="AT3533" s="7"/>
      <c r="AU3533" s="7"/>
      <c r="AV3533" s="4" t="s">
        <v>100</v>
      </c>
      <c r="AW3533" s="8" t="s">
        <v>100</v>
      </c>
      <c r="AX3533" s="4" t="s">
        <v>100</v>
      </c>
      <c r="AY3533" s="8" t="s">
        <v>100</v>
      </c>
      <c r="AZ3533" s="7" t="s">
        <v>100</v>
      </c>
      <c r="BA3533" s="7" t="s">
        <v>100</v>
      </c>
      <c r="BB3533" s="7"/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/>
      <c r="BJ3533" s="4">
        <v>16</v>
      </c>
      <c r="BK3533" s="8">
        <v>594.21</v>
      </c>
      <c r="BL3533" s="2" t="s">
        <v>11182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171</v>
      </c>
      <c r="BV3533" s="2" t="s">
        <v>97</v>
      </c>
      <c r="BW3533" s="2" t="s">
        <v>100</v>
      </c>
      <c r="BX3533" s="2" t="s">
        <v>100</v>
      </c>
      <c r="BY3533" s="2" t="s">
        <v>112</v>
      </c>
      <c r="BZ3533" s="2" t="s">
        <v>149</v>
      </c>
    </row>
    <row r="3534">
      <c r="A3534" s="2" t="s">
        <v>11321</v>
      </c>
      <c r="B3534" s="2" t="s">
        <v>10807</v>
      </c>
      <c r="C3534" s="2" t="s">
        <v>88</v>
      </c>
      <c r="D3534" s="2" t="s">
        <v>2572</v>
      </c>
      <c r="E3534" s="2" t="s">
        <v>11201</v>
      </c>
      <c r="F3534" s="2" t="s">
        <v>11190</v>
      </c>
      <c r="G3534" s="2" t="s">
        <v>11191</v>
      </c>
      <c r="H3534" s="2" t="s">
        <v>11192</v>
      </c>
      <c r="I3534" s="2" t="s">
        <v>11317</v>
      </c>
      <c r="J3534" s="2" t="s">
        <v>11267</v>
      </c>
      <c r="K3534" s="2" t="s">
        <v>446</v>
      </c>
      <c r="L3534" s="3">
        <v>38.5</v>
      </c>
      <c r="M3534" s="3">
        <v>40.43</v>
      </c>
      <c r="N3534" s="3">
        <v>81.99</v>
      </c>
      <c r="O3534" s="2" t="s">
        <v>97</v>
      </c>
      <c r="P3534" s="2" t="s">
        <v>707</v>
      </c>
      <c r="Q3534" s="2" t="s">
        <v>99</v>
      </c>
      <c r="R3534" s="2" t="s">
        <v>100</v>
      </c>
      <c r="S3534" s="2" t="s">
        <v>11195</v>
      </c>
      <c r="T3534" s="2" t="s">
        <v>438</v>
      </c>
      <c r="U3534" s="2" t="s">
        <v>1776</v>
      </c>
      <c r="V3534" s="2" t="s">
        <v>461</v>
      </c>
      <c r="W3534" s="2" t="s">
        <v>609</v>
      </c>
      <c r="X3534" s="2" t="s">
        <v>100</v>
      </c>
      <c r="Y3534" s="2" t="s">
        <v>6234</v>
      </c>
      <c r="Z3534" s="4">
        <v>114</v>
      </c>
      <c r="AA3534" s="4">
        <f>=ROUNDDOWN(14.25,0)</f>
      </c>
      <c r="AB3534" s="5">
        <v>8</v>
      </c>
      <c r="AC3534" s="2" t="s">
        <v>100</v>
      </c>
      <c r="AD3534" s="4"/>
      <c r="AE3534" s="4"/>
      <c r="AF3534" s="6">
        <v>65</v>
      </c>
      <c r="AG3534" s="6"/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/>
      <c r="AQ3534" s="8"/>
      <c r="AR3534" s="4"/>
      <c r="AS3534" s="8"/>
      <c r="AT3534" s="7"/>
      <c r="AU3534" s="7"/>
      <c r="AV3534" s="4" t="s">
        <v>100</v>
      </c>
      <c r="AW3534" s="8" t="s">
        <v>100</v>
      </c>
      <c r="AX3534" s="4" t="s">
        <v>100</v>
      </c>
      <c r="AY3534" s="8" t="s">
        <v>100</v>
      </c>
      <c r="AZ3534" s="7" t="s">
        <v>100</v>
      </c>
      <c r="BA3534" s="7" t="s">
        <v>100</v>
      </c>
      <c r="BB3534" s="7"/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/>
      <c r="BJ3534" s="4">
        <v>28</v>
      </c>
      <c r="BK3534" s="8">
        <v>1234.53</v>
      </c>
      <c r="BL3534" s="2" t="s">
        <v>11012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171</v>
      </c>
      <c r="BV3534" s="2" t="s">
        <v>97</v>
      </c>
      <c r="BW3534" s="2" t="s">
        <v>100</v>
      </c>
      <c r="BX3534" s="2" t="s">
        <v>100</v>
      </c>
      <c r="BY3534" s="2" t="s">
        <v>112</v>
      </c>
      <c r="BZ3534" s="2" t="s">
        <v>149</v>
      </c>
    </row>
    <row r="3535">
      <c r="A3535" s="2" t="s">
        <v>11322</v>
      </c>
      <c r="B3535" s="2" t="s">
        <v>10807</v>
      </c>
      <c r="C3535" s="2" t="s">
        <v>88</v>
      </c>
      <c r="D3535" s="2" t="s">
        <v>2572</v>
      </c>
      <c r="E3535" s="2" t="s">
        <v>11201</v>
      </c>
      <c r="F3535" s="2" t="s">
        <v>11190</v>
      </c>
      <c r="G3535" s="2" t="s">
        <v>11191</v>
      </c>
      <c r="H3535" s="2" t="s">
        <v>11192</v>
      </c>
      <c r="I3535" s="2" t="s">
        <v>11317</v>
      </c>
      <c r="J3535" s="2" t="s">
        <v>11214</v>
      </c>
      <c r="K3535" s="2" t="s">
        <v>446</v>
      </c>
      <c r="L3535" s="3">
        <v>39.65</v>
      </c>
      <c r="M3535" s="3">
        <v>41.63</v>
      </c>
      <c r="N3535" s="3">
        <v>83.99</v>
      </c>
      <c r="O3535" s="2" t="s">
        <v>97</v>
      </c>
      <c r="P3535" s="2" t="s">
        <v>707</v>
      </c>
      <c r="Q3535" s="2" t="s">
        <v>99</v>
      </c>
      <c r="R3535" s="2" t="s">
        <v>100</v>
      </c>
      <c r="S3535" s="2" t="s">
        <v>11195</v>
      </c>
      <c r="T3535" s="2" t="s">
        <v>438</v>
      </c>
      <c r="U3535" s="2" t="s">
        <v>1776</v>
      </c>
      <c r="V3535" s="2" t="s">
        <v>461</v>
      </c>
      <c r="W3535" s="2" t="s">
        <v>609</v>
      </c>
      <c r="X3535" s="2" t="s">
        <v>100</v>
      </c>
      <c r="Y3535" s="2" t="s">
        <v>6234</v>
      </c>
      <c r="Z3535" s="4">
        <v>155</v>
      </c>
      <c r="AA3535" s="4">
        <f>=ROUNDDOWN(22.463768115942,0)</f>
      </c>
      <c r="AB3535" s="5">
        <v>6.9</v>
      </c>
      <c r="AC3535" s="2" t="s">
        <v>100</v>
      </c>
      <c r="AD3535" s="4"/>
      <c r="AE3535" s="4"/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/>
      <c r="AQ3535" s="8"/>
      <c r="AR3535" s="4"/>
      <c r="AS3535" s="8"/>
      <c r="AT3535" s="7"/>
      <c r="AU3535" s="7"/>
      <c r="AV3535" s="4" t="s">
        <v>100</v>
      </c>
      <c r="AW3535" s="8" t="s">
        <v>100</v>
      </c>
      <c r="AX3535" s="4" t="s">
        <v>100</v>
      </c>
      <c r="AY3535" s="8" t="s">
        <v>100</v>
      </c>
      <c r="AZ3535" s="7" t="s">
        <v>100</v>
      </c>
      <c r="BA3535" s="7" t="s">
        <v>100</v>
      </c>
      <c r="BB3535" s="7"/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/>
      <c r="BJ3535" s="4">
        <v>20</v>
      </c>
      <c r="BK3535" s="8">
        <v>874.43</v>
      </c>
      <c r="BL3535" s="2" t="s">
        <v>2744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171</v>
      </c>
      <c r="BV3535" s="2" t="s">
        <v>97</v>
      </c>
      <c r="BW3535" s="2" t="s">
        <v>100</v>
      </c>
      <c r="BX3535" s="2" t="s">
        <v>100</v>
      </c>
      <c r="BY3535" s="2" t="s">
        <v>112</v>
      </c>
      <c r="BZ3535" s="2" t="s">
        <v>149</v>
      </c>
    </row>
    <row r="3536">
      <c r="A3536" s="2" t="s">
        <v>11323</v>
      </c>
      <c r="B3536" s="2" t="s">
        <v>10807</v>
      </c>
      <c r="C3536" s="2" t="s">
        <v>88</v>
      </c>
      <c r="D3536" s="2" t="s">
        <v>2572</v>
      </c>
      <c r="E3536" s="2" t="s">
        <v>11201</v>
      </c>
      <c r="F3536" s="2" t="s">
        <v>11190</v>
      </c>
      <c r="G3536" s="2" t="s">
        <v>11191</v>
      </c>
      <c r="H3536" s="2" t="s">
        <v>11192</v>
      </c>
      <c r="I3536" s="2" t="s">
        <v>11317</v>
      </c>
      <c r="J3536" s="2" t="s">
        <v>11205</v>
      </c>
      <c r="K3536" s="2" t="s">
        <v>458</v>
      </c>
      <c r="L3536" s="3">
        <v>31.05</v>
      </c>
      <c r="M3536" s="3">
        <v>32.6</v>
      </c>
      <c r="N3536" s="3">
        <v>66.99</v>
      </c>
      <c r="O3536" s="2" t="s">
        <v>97</v>
      </c>
      <c r="P3536" s="2" t="s">
        <v>707</v>
      </c>
      <c r="Q3536" s="2" t="s">
        <v>99</v>
      </c>
      <c r="R3536" s="2" t="s">
        <v>100</v>
      </c>
      <c r="S3536" s="2" t="s">
        <v>11199</v>
      </c>
      <c r="T3536" s="2" t="s">
        <v>438</v>
      </c>
      <c r="U3536" s="2" t="s">
        <v>1776</v>
      </c>
      <c r="V3536" s="2" t="s">
        <v>461</v>
      </c>
      <c r="W3536" s="2" t="s">
        <v>609</v>
      </c>
      <c r="X3536" s="2" t="s">
        <v>100</v>
      </c>
      <c r="Y3536" s="2" t="s">
        <v>6234</v>
      </c>
      <c r="Z3536" s="4">
        <v>631</v>
      </c>
      <c r="AA3536" s="4">
        <f>=ROUNDDOWN(157.75,0)</f>
      </c>
      <c r="AB3536" s="5">
        <v>4</v>
      </c>
      <c r="AC3536" s="2" t="s">
        <v>100</v>
      </c>
      <c r="AD3536" s="4"/>
      <c r="AE3536" s="4"/>
      <c r="AF3536" s="6">
        <v>65</v>
      </c>
      <c r="AG3536" s="6"/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/>
      <c r="AQ3536" s="8"/>
      <c r="AR3536" s="4"/>
      <c r="AS3536" s="8"/>
      <c r="AT3536" s="7"/>
      <c r="AU3536" s="7"/>
      <c r="AV3536" s="4" t="s">
        <v>100</v>
      </c>
      <c r="AW3536" s="8" t="s">
        <v>100</v>
      </c>
      <c r="AX3536" s="4" t="s">
        <v>100</v>
      </c>
      <c r="AY3536" s="8" t="s">
        <v>100</v>
      </c>
      <c r="AZ3536" s="7" t="s">
        <v>100</v>
      </c>
      <c r="BA3536" s="7" t="s">
        <v>100</v>
      </c>
      <c r="BB3536" s="7"/>
      <c r="BC3536" s="4" t="s">
        <v>100</v>
      </c>
      <c r="BD3536" s="8" t="s">
        <v>100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/>
      <c r="BJ3536" s="4">
        <v>3</v>
      </c>
      <c r="BK3536" s="8">
        <v>105.62</v>
      </c>
      <c r="BL3536" s="2" t="s">
        <v>11324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171</v>
      </c>
      <c r="BV3536" s="2" t="s">
        <v>97</v>
      </c>
      <c r="BW3536" s="2" t="s">
        <v>100</v>
      </c>
      <c r="BX3536" s="2" t="s">
        <v>100</v>
      </c>
      <c r="BY3536" s="2" t="s">
        <v>112</v>
      </c>
      <c r="BZ3536" s="2" t="s">
        <v>149</v>
      </c>
    </row>
    <row r="3537">
      <c r="A3537" s="2" t="s">
        <v>11325</v>
      </c>
      <c r="B3537" s="2" t="s">
        <v>10807</v>
      </c>
      <c r="C3537" s="2" t="s">
        <v>88</v>
      </c>
      <c r="D3537" s="2" t="s">
        <v>2572</v>
      </c>
      <c r="E3537" s="2" t="s">
        <v>11201</v>
      </c>
      <c r="F3537" s="2" t="s">
        <v>11190</v>
      </c>
      <c r="G3537" s="2" t="s">
        <v>11191</v>
      </c>
      <c r="H3537" s="2" t="s">
        <v>11192</v>
      </c>
      <c r="I3537" s="2" t="s">
        <v>11317</v>
      </c>
      <c r="J3537" s="2" t="s">
        <v>11237</v>
      </c>
      <c r="K3537" s="2" t="s">
        <v>458</v>
      </c>
      <c r="L3537" s="3">
        <v>32.75</v>
      </c>
      <c r="M3537" s="3">
        <v>34.39</v>
      </c>
      <c r="N3537" s="3">
        <v>69.99</v>
      </c>
      <c r="O3537" s="2" t="s">
        <v>97</v>
      </c>
      <c r="P3537" s="2" t="s">
        <v>707</v>
      </c>
      <c r="Q3537" s="2" t="s">
        <v>99</v>
      </c>
      <c r="R3537" s="2" t="s">
        <v>100</v>
      </c>
      <c r="S3537" s="2" t="s">
        <v>11199</v>
      </c>
      <c r="T3537" s="2" t="s">
        <v>438</v>
      </c>
      <c r="U3537" s="2" t="s">
        <v>1776</v>
      </c>
      <c r="V3537" s="2" t="s">
        <v>461</v>
      </c>
      <c r="W3537" s="2" t="s">
        <v>609</v>
      </c>
      <c r="X3537" s="2" t="s">
        <v>100</v>
      </c>
      <c r="Y3537" s="2" t="s">
        <v>6234</v>
      </c>
      <c r="Z3537" s="4">
        <v>885</v>
      </c>
      <c r="AA3537" s="4">
        <f>=ROUNDDOWN(221.25,0)</f>
      </c>
      <c r="AB3537" s="5">
        <v>4</v>
      </c>
      <c r="AC3537" s="2" t="s">
        <v>100</v>
      </c>
      <c r="AD3537" s="4"/>
      <c r="AE3537" s="4"/>
      <c r="AF3537" s="6">
        <v>65</v>
      </c>
      <c r="AG3537" s="6"/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/>
      <c r="AQ3537" s="8"/>
      <c r="AR3537" s="4"/>
      <c r="AS3537" s="8"/>
      <c r="AT3537" s="7"/>
      <c r="AU3537" s="7"/>
      <c r="AV3537" s="4" t="s">
        <v>100</v>
      </c>
      <c r="AW3537" s="8" t="s">
        <v>100</v>
      </c>
      <c r="AX3537" s="4" t="s">
        <v>100</v>
      </c>
      <c r="AY3537" s="8" t="s">
        <v>100</v>
      </c>
      <c r="AZ3537" s="7" t="s">
        <v>100</v>
      </c>
      <c r="BA3537" s="7" t="s">
        <v>100</v>
      </c>
      <c r="BB3537" s="7"/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/>
      <c r="BJ3537" s="4">
        <v>23</v>
      </c>
      <c r="BK3537" s="8">
        <v>820.05</v>
      </c>
      <c r="BL3537" s="2" t="s">
        <v>11326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171</v>
      </c>
      <c r="BV3537" s="2" t="s">
        <v>97</v>
      </c>
      <c r="BW3537" s="2" t="s">
        <v>100</v>
      </c>
      <c r="BX3537" s="2" t="s">
        <v>100</v>
      </c>
      <c r="BY3537" s="2" t="s">
        <v>112</v>
      </c>
      <c r="BZ3537" s="2" t="s">
        <v>149</v>
      </c>
    </row>
    <row r="3538">
      <c r="A3538" s="2" t="s">
        <v>11327</v>
      </c>
      <c r="B3538" s="2" t="s">
        <v>10807</v>
      </c>
      <c r="C3538" s="2" t="s">
        <v>88</v>
      </c>
      <c r="D3538" s="2" t="s">
        <v>2572</v>
      </c>
      <c r="E3538" s="2" t="s">
        <v>11201</v>
      </c>
      <c r="F3538" s="2" t="s">
        <v>11190</v>
      </c>
      <c r="G3538" s="2" t="s">
        <v>11191</v>
      </c>
      <c r="H3538" s="2" t="s">
        <v>11192</v>
      </c>
      <c r="I3538" s="2" t="s">
        <v>11317</v>
      </c>
      <c r="J3538" s="2" t="s">
        <v>11209</v>
      </c>
      <c r="K3538" s="2" t="s">
        <v>458</v>
      </c>
      <c r="L3538" s="3">
        <v>33.65</v>
      </c>
      <c r="M3538" s="3">
        <v>35.33</v>
      </c>
      <c r="N3538" s="3">
        <v>71.99</v>
      </c>
      <c r="O3538" s="2" t="s">
        <v>97</v>
      </c>
      <c r="P3538" s="2" t="s">
        <v>707</v>
      </c>
      <c r="Q3538" s="2" t="s">
        <v>99</v>
      </c>
      <c r="R3538" s="2" t="s">
        <v>100</v>
      </c>
      <c r="S3538" s="2" t="s">
        <v>11199</v>
      </c>
      <c r="T3538" s="2" t="s">
        <v>438</v>
      </c>
      <c r="U3538" s="2" t="s">
        <v>1776</v>
      </c>
      <c r="V3538" s="2" t="s">
        <v>461</v>
      </c>
      <c r="W3538" s="2" t="s">
        <v>609</v>
      </c>
      <c r="X3538" s="2" t="s">
        <v>100</v>
      </c>
      <c r="Y3538" s="2" t="s">
        <v>6234</v>
      </c>
      <c r="Z3538" s="4">
        <v>444</v>
      </c>
      <c r="AA3538" s="4">
        <f>=ROUNDDOWN(74,0)</f>
      </c>
      <c r="AB3538" s="5">
        <v>6</v>
      </c>
      <c r="AC3538" s="2" t="s">
        <v>100</v>
      </c>
      <c r="AD3538" s="4"/>
      <c r="AE3538" s="4"/>
      <c r="AF3538" s="6">
        <v>65</v>
      </c>
      <c r="AG3538" s="6"/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/>
      <c r="AQ3538" s="8"/>
      <c r="AR3538" s="4"/>
      <c r="AS3538" s="8"/>
      <c r="AT3538" s="7"/>
      <c r="AU3538" s="7"/>
      <c r="AV3538" s="4" t="s">
        <v>100</v>
      </c>
      <c r="AW3538" s="8" t="s">
        <v>100</v>
      </c>
      <c r="AX3538" s="4" t="s">
        <v>100</v>
      </c>
      <c r="AY3538" s="8" t="s">
        <v>100</v>
      </c>
      <c r="AZ3538" s="7" t="s">
        <v>100</v>
      </c>
      <c r="BA3538" s="7" t="s">
        <v>100</v>
      </c>
      <c r="BB3538" s="7"/>
      <c r="BC3538" s="4" t="s">
        <v>100</v>
      </c>
      <c r="BD3538" s="8" t="s">
        <v>100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/>
      <c r="BJ3538" s="4">
        <v>23</v>
      </c>
      <c r="BK3538" s="8">
        <v>845.82</v>
      </c>
      <c r="BL3538" s="2" t="s">
        <v>11328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171</v>
      </c>
      <c r="BV3538" s="2" t="s">
        <v>97</v>
      </c>
      <c r="BW3538" s="2" t="s">
        <v>100</v>
      </c>
      <c r="BX3538" s="2" t="s">
        <v>100</v>
      </c>
      <c r="BY3538" s="2" t="s">
        <v>112</v>
      </c>
      <c r="BZ3538" s="2" t="s">
        <v>149</v>
      </c>
    </row>
    <row r="3539">
      <c r="A3539" s="2" t="s">
        <v>11329</v>
      </c>
      <c r="B3539" s="2" t="s">
        <v>10807</v>
      </c>
      <c r="C3539" s="2" t="s">
        <v>88</v>
      </c>
      <c r="D3539" s="2" t="s">
        <v>2572</v>
      </c>
      <c r="E3539" s="2" t="s">
        <v>11201</v>
      </c>
      <c r="F3539" s="2" t="s">
        <v>11190</v>
      </c>
      <c r="G3539" s="2" t="s">
        <v>11191</v>
      </c>
      <c r="H3539" s="2" t="s">
        <v>11192</v>
      </c>
      <c r="I3539" s="2" t="s">
        <v>11317</v>
      </c>
      <c r="J3539" s="2" t="s">
        <v>11267</v>
      </c>
      <c r="K3539" s="2" t="s">
        <v>458</v>
      </c>
      <c r="L3539" s="3">
        <v>38.5</v>
      </c>
      <c r="M3539" s="3">
        <v>40.43</v>
      </c>
      <c r="N3539" s="3">
        <v>81.99</v>
      </c>
      <c r="O3539" s="2" t="s">
        <v>97</v>
      </c>
      <c r="P3539" s="2" t="s">
        <v>707</v>
      </c>
      <c r="Q3539" s="2" t="s">
        <v>99</v>
      </c>
      <c r="R3539" s="2" t="s">
        <v>100</v>
      </c>
      <c r="S3539" s="2" t="s">
        <v>11199</v>
      </c>
      <c r="T3539" s="2" t="s">
        <v>438</v>
      </c>
      <c r="U3539" s="2" t="s">
        <v>1776</v>
      </c>
      <c r="V3539" s="2" t="s">
        <v>461</v>
      </c>
      <c r="W3539" s="2" t="s">
        <v>609</v>
      </c>
      <c r="X3539" s="2" t="s">
        <v>100</v>
      </c>
      <c r="Y3539" s="2" t="s">
        <v>6234</v>
      </c>
      <c r="Z3539" s="4">
        <v>826</v>
      </c>
      <c r="AA3539" s="4">
        <f>=ROUNDDOWN(275.333333333333,0)</f>
      </c>
      <c r="AB3539" s="5">
        <v>3</v>
      </c>
      <c r="AC3539" s="2" t="s">
        <v>100</v>
      </c>
      <c r="AD3539" s="4"/>
      <c r="AE3539" s="4"/>
      <c r="AF3539" s="6">
        <v>65</v>
      </c>
      <c r="AG3539" s="6"/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/>
      <c r="AQ3539" s="8"/>
      <c r="AR3539" s="4"/>
      <c r="AS3539" s="8"/>
      <c r="AT3539" s="7"/>
      <c r="AU3539" s="7"/>
      <c r="AV3539" s="4" t="s">
        <v>100</v>
      </c>
      <c r="AW3539" s="8" t="s">
        <v>100</v>
      </c>
      <c r="AX3539" s="4" t="s">
        <v>100</v>
      </c>
      <c r="AY3539" s="8" t="s">
        <v>100</v>
      </c>
      <c r="AZ3539" s="7" t="s">
        <v>100</v>
      </c>
      <c r="BA3539" s="7" t="s">
        <v>100</v>
      </c>
      <c r="BB3539" s="7"/>
      <c r="BC3539" s="4" t="s">
        <v>100</v>
      </c>
      <c r="BD3539" s="8" t="s">
        <v>100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/>
      <c r="BJ3539" s="4">
        <v>12</v>
      </c>
      <c r="BK3539" s="8">
        <v>605.6</v>
      </c>
      <c r="BL3539" s="2" t="s">
        <v>11330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171</v>
      </c>
      <c r="BV3539" s="2" t="s">
        <v>97</v>
      </c>
      <c r="BW3539" s="2" t="s">
        <v>100</v>
      </c>
      <c r="BX3539" s="2" t="s">
        <v>100</v>
      </c>
      <c r="BY3539" s="2" t="s">
        <v>112</v>
      </c>
      <c r="BZ3539" s="2" t="s">
        <v>149</v>
      </c>
    </row>
    <row r="3540">
      <c r="A3540" s="2" t="s">
        <v>11331</v>
      </c>
      <c r="B3540" s="2" t="s">
        <v>10807</v>
      </c>
      <c r="C3540" s="2" t="s">
        <v>88</v>
      </c>
      <c r="D3540" s="2" t="s">
        <v>2572</v>
      </c>
      <c r="E3540" s="2" t="s">
        <v>11201</v>
      </c>
      <c r="F3540" s="2" t="s">
        <v>11190</v>
      </c>
      <c r="G3540" s="2" t="s">
        <v>11191</v>
      </c>
      <c r="H3540" s="2" t="s">
        <v>11192</v>
      </c>
      <c r="I3540" s="2" t="s">
        <v>11317</v>
      </c>
      <c r="J3540" s="2" t="s">
        <v>11214</v>
      </c>
      <c r="K3540" s="2" t="s">
        <v>458</v>
      </c>
      <c r="L3540" s="3">
        <v>39.65</v>
      </c>
      <c r="M3540" s="3">
        <v>41.63</v>
      </c>
      <c r="N3540" s="3">
        <v>83.99</v>
      </c>
      <c r="O3540" s="2" t="s">
        <v>97</v>
      </c>
      <c r="P3540" s="2" t="s">
        <v>707</v>
      </c>
      <c r="Q3540" s="2" t="s">
        <v>99</v>
      </c>
      <c r="R3540" s="2" t="s">
        <v>100</v>
      </c>
      <c r="S3540" s="2" t="s">
        <v>11199</v>
      </c>
      <c r="T3540" s="2" t="s">
        <v>438</v>
      </c>
      <c r="U3540" s="2" t="s">
        <v>1776</v>
      </c>
      <c r="V3540" s="2" t="s">
        <v>461</v>
      </c>
      <c r="W3540" s="2" t="s">
        <v>609</v>
      </c>
      <c r="X3540" s="2" t="s">
        <v>100</v>
      </c>
      <c r="Y3540" s="2" t="s">
        <v>6234</v>
      </c>
      <c r="Z3540" s="4">
        <v>169</v>
      </c>
      <c r="AA3540" s="4">
        <f>=ROUNDDOWN(56.3333333333333,0)</f>
      </c>
      <c r="AB3540" s="5">
        <v>3</v>
      </c>
      <c r="AC3540" s="2" t="s">
        <v>100</v>
      </c>
      <c r="AD3540" s="4"/>
      <c r="AE3540" s="4"/>
      <c r="AF3540" s="6">
        <v>65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/>
      <c r="AQ3540" s="8"/>
      <c r="AR3540" s="4"/>
      <c r="AS3540" s="8"/>
      <c r="AT3540" s="7"/>
      <c r="AU3540" s="7"/>
      <c r="AV3540" s="4" t="s">
        <v>100</v>
      </c>
      <c r="AW3540" s="8" t="s">
        <v>100</v>
      </c>
      <c r="AX3540" s="4" t="s">
        <v>100</v>
      </c>
      <c r="AY3540" s="8" t="s">
        <v>100</v>
      </c>
      <c r="AZ3540" s="7" t="s">
        <v>100</v>
      </c>
      <c r="BA3540" s="7" t="s">
        <v>100</v>
      </c>
      <c r="BB3540" s="7"/>
      <c r="BC3540" s="4" t="s">
        <v>100</v>
      </c>
      <c r="BD3540" s="8" t="s">
        <v>100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/>
      <c r="BJ3540" s="4">
        <v>6</v>
      </c>
      <c r="BK3540" s="8">
        <v>248.12</v>
      </c>
      <c r="BL3540" s="2" t="s">
        <v>2230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171</v>
      </c>
      <c r="BV3540" s="2" t="s">
        <v>97</v>
      </c>
      <c r="BW3540" s="2" t="s">
        <v>100</v>
      </c>
      <c r="BX3540" s="2" t="s">
        <v>100</v>
      </c>
      <c r="BY3540" s="2" t="s">
        <v>112</v>
      </c>
      <c r="BZ3540" s="2" t="s">
        <v>149</v>
      </c>
    </row>
    <row r="3541">
      <c r="A3541" s="2" t="s">
        <v>11332</v>
      </c>
      <c r="B3541" s="2" t="s">
        <v>10807</v>
      </c>
      <c r="C3541" s="2" t="s">
        <v>88</v>
      </c>
      <c r="D3541" s="2" t="s">
        <v>2566</v>
      </c>
      <c r="E3541" s="2" t="s">
        <v>2567</v>
      </c>
      <c r="F3541" s="2" t="s">
        <v>812</v>
      </c>
      <c r="G3541" s="2" t="s">
        <v>813</v>
      </c>
      <c r="H3541" s="2" t="s">
        <v>814</v>
      </c>
      <c r="I3541" s="2" t="s">
        <v>11333</v>
      </c>
      <c r="J3541" s="2" t="s">
        <v>11334</v>
      </c>
      <c r="K3541" s="2" t="s">
        <v>1460</v>
      </c>
      <c r="L3541" s="3">
        <v>12.6</v>
      </c>
      <c r="M3541" s="3">
        <v>13.23</v>
      </c>
      <c r="N3541" s="3">
        <v>29.99</v>
      </c>
      <c r="O3541" s="2" t="s">
        <v>97</v>
      </c>
      <c r="P3541" s="2" t="s">
        <v>98</v>
      </c>
      <c r="Q3541" s="2" t="s">
        <v>99</v>
      </c>
      <c r="R3541" s="2" t="s">
        <v>100</v>
      </c>
      <c r="S3541" s="2" t="s">
        <v>100</v>
      </c>
      <c r="T3541" s="2" t="s">
        <v>100</v>
      </c>
      <c r="U3541" s="2" t="s">
        <v>1776</v>
      </c>
      <c r="V3541" s="2" t="s">
        <v>401</v>
      </c>
      <c r="W3541" s="2" t="s">
        <v>104</v>
      </c>
      <c r="X3541" s="2" t="s">
        <v>100</v>
      </c>
      <c r="Y3541" s="2" t="s">
        <v>4903</v>
      </c>
      <c r="Z3541" s="4">
        <v>721</v>
      </c>
      <c r="AA3541" s="4">
        <f>=ROUNDDOWN(60.0833333333333,0)</f>
      </c>
      <c r="AB3541" s="5">
        <v>12</v>
      </c>
      <c r="AC3541" s="2" t="s">
        <v>990</v>
      </c>
      <c r="AD3541" s="4">
        <v>392</v>
      </c>
      <c r="AE3541" s="4">
        <v>440</v>
      </c>
      <c r="AF3541" s="6">
        <v>66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5</v>
      </c>
      <c r="AQ3541" s="8">
        <v>59.05</v>
      </c>
      <c r="AR3541" s="4"/>
      <c r="AS3541" s="8"/>
      <c r="AT3541" s="7"/>
      <c r="AU3541" s="7"/>
      <c r="AV3541" s="4">
        <v>5</v>
      </c>
      <c r="AW3541" s="8">
        <v>59.05</v>
      </c>
      <c r="AX3541" s="4"/>
      <c r="AY3541" s="8"/>
      <c r="AZ3541" s="7"/>
      <c r="BA3541" s="7"/>
      <c r="BB3541" s="7">
        <v>1</v>
      </c>
      <c r="BC3541" s="4">
        <v>5</v>
      </c>
      <c r="BD3541" s="8">
        <v>59.05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>
        <v>1</v>
      </c>
      <c r="BJ3541" s="4">
        <v>53</v>
      </c>
      <c r="BK3541" s="8">
        <v>719.89</v>
      </c>
      <c r="BL3541" s="2" t="s">
        <v>11335</v>
      </c>
      <c r="BM3541" s="7">
        <v>0.0943</v>
      </c>
      <c r="BN3541" s="7">
        <v>0.082</v>
      </c>
      <c r="BO3541" s="4">
        <v>5</v>
      </c>
      <c r="BP3541" s="8">
        <v>59.05</v>
      </c>
      <c r="BQ3541" s="4"/>
      <c r="BR3541" s="8"/>
      <c r="BS3541" s="7"/>
      <c r="BT3541" s="7"/>
      <c r="BU3541" s="2" t="s">
        <v>109</v>
      </c>
      <c r="BV3541" s="2" t="s">
        <v>97</v>
      </c>
      <c r="BW3541" s="2" t="s">
        <v>5476</v>
      </c>
      <c r="BX3541" s="2" t="s">
        <v>4838</v>
      </c>
      <c r="BY3541" s="2" t="s">
        <v>112</v>
      </c>
      <c r="BZ3541" s="2" t="s">
        <v>149</v>
      </c>
    </row>
    <row r="3542">
      <c r="A3542" s="2" t="s">
        <v>11336</v>
      </c>
      <c r="B3542" s="2" t="s">
        <v>10807</v>
      </c>
      <c r="C3542" s="2" t="s">
        <v>88</v>
      </c>
      <c r="D3542" s="2" t="s">
        <v>2566</v>
      </c>
      <c r="E3542" s="2" t="s">
        <v>2567</v>
      </c>
      <c r="F3542" s="2" t="s">
        <v>812</v>
      </c>
      <c r="G3542" s="2" t="s">
        <v>813</v>
      </c>
      <c r="H3542" s="2" t="s">
        <v>814</v>
      </c>
      <c r="I3542" s="2" t="s">
        <v>11333</v>
      </c>
      <c r="J3542" s="2" t="s">
        <v>11334</v>
      </c>
      <c r="K3542" s="2" t="s">
        <v>223</v>
      </c>
      <c r="L3542" s="3">
        <v>12.6</v>
      </c>
      <c r="M3542" s="3">
        <v>13.23</v>
      </c>
      <c r="N3542" s="3">
        <v>26.99</v>
      </c>
      <c r="O3542" s="2" t="s">
        <v>97</v>
      </c>
      <c r="P3542" s="2" t="s">
        <v>123</v>
      </c>
      <c r="Q3542" s="2" t="s">
        <v>99</v>
      </c>
      <c r="R3542" s="2" t="s">
        <v>100</v>
      </c>
      <c r="S3542" s="2" t="s">
        <v>11337</v>
      </c>
      <c r="T3542" s="2" t="s">
        <v>438</v>
      </c>
      <c r="U3542" s="2" t="s">
        <v>1776</v>
      </c>
      <c r="V3542" s="2" t="s">
        <v>401</v>
      </c>
      <c r="W3542" s="2" t="s">
        <v>104</v>
      </c>
      <c r="X3542" s="2" t="s">
        <v>100</v>
      </c>
      <c r="Y3542" s="2" t="s">
        <v>11008</v>
      </c>
      <c r="Z3542" s="4">
        <v>229</v>
      </c>
      <c r="AA3542" s="4">
        <f>=ROUNDDOWN(8.48148148148148,0)</f>
      </c>
      <c r="AB3542" s="5">
        <v>27</v>
      </c>
      <c r="AC3542" s="2" t="s">
        <v>3277</v>
      </c>
      <c r="AD3542" s="4">
        <v>128</v>
      </c>
      <c r="AE3542" s="4">
        <v>560</v>
      </c>
      <c r="AF3542" s="6">
        <v>66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 t="s">
        <v>100</v>
      </c>
      <c r="BD3542" s="8" t="s">
        <v>100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/>
      <c r="BJ3542" s="4">
        <v>73</v>
      </c>
      <c r="BK3542" s="8">
        <v>983.38</v>
      </c>
      <c r="BL3542" s="2" t="s">
        <v>480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171</v>
      </c>
      <c r="BV3542" s="2" t="s">
        <v>97</v>
      </c>
      <c r="BW3542" s="2" t="s">
        <v>100</v>
      </c>
      <c r="BX3542" s="2" t="s">
        <v>100</v>
      </c>
      <c r="BY3542" s="2" t="s">
        <v>112</v>
      </c>
      <c r="BZ3542" s="2" t="s">
        <v>149</v>
      </c>
    </row>
    <row r="3543">
      <c r="A3543" s="2" t="s">
        <v>11338</v>
      </c>
      <c r="B3543" s="2" t="s">
        <v>10807</v>
      </c>
      <c r="C3543" s="2" t="s">
        <v>88</v>
      </c>
      <c r="D3543" s="2" t="s">
        <v>2566</v>
      </c>
      <c r="E3543" s="2" t="s">
        <v>2567</v>
      </c>
      <c r="F3543" s="2" t="s">
        <v>10875</v>
      </c>
      <c r="G3543" s="2" t="s">
        <v>10876</v>
      </c>
      <c r="H3543" s="2" t="s">
        <v>10877</v>
      </c>
      <c r="I3543" s="2" t="s">
        <v>11339</v>
      </c>
      <c r="J3543" s="2" t="s">
        <v>11334</v>
      </c>
      <c r="K3543" s="2" t="s">
        <v>223</v>
      </c>
      <c r="L3543" s="3">
        <v>11.76</v>
      </c>
      <c r="M3543" s="3">
        <v>12.35</v>
      </c>
      <c r="N3543" s="3">
        <v>27.99</v>
      </c>
      <c r="O3543" s="2" t="s">
        <v>97</v>
      </c>
      <c r="P3543" s="2" t="s">
        <v>98</v>
      </c>
      <c r="Q3543" s="2" t="s">
        <v>99</v>
      </c>
      <c r="R3543" s="2" t="s">
        <v>100</v>
      </c>
      <c r="S3543" s="2" t="s">
        <v>10885</v>
      </c>
      <c r="T3543" s="2" t="s">
        <v>100</v>
      </c>
      <c r="U3543" s="2" t="s">
        <v>100</v>
      </c>
      <c r="V3543" s="2" t="s">
        <v>733</v>
      </c>
      <c r="W3543" s="2" t="s">
        <v>142</v>
      </c>
      <c r="X3543" s="2" t="s">
        <v>100</v>
      </c>
      <c r="Y3543" s="2" t="s">
        <v>11340</v>
      </c>
      <c r="Z3543" s="4">
        <v>534</v>
      </c>
      <c r="AA3543" s="4">
        <f>=ROUNDDOWN(31.4117647058824,0)</f>
      </c>
      <c r="AB3543" s="5">
        <v>17</v>
      </c>
      <c r="AC3543" s="2" t="s">
        <v>100</v>
      </c>
      <c r="AD3543" s="4"/>
      <c r="AE3543" s="4"/>
      <c r="AF3543" s="6">
        <v>65</v>
      </c>
      <c r="AG3543" s="6"/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5</v>
      </c>
      <c r="AQ3543" s="8">
        <v>55.15</v>
      </c>
      <c r="AR3543" s="4"/>
      <c r="AS3543" s="8"/>
      <c r="AT3543" s="7"/>
      <c r="AU3543" s="7"/>
      <c r="AV3543" s="4">
        <v>5</v>
      </c>
      <c r="AW3543" s="8">
        <v>55.15</v>
      </c>
      <c r="AX3543" s="4"/>
      <c r="AY3543" s="8"/>
      <c r="AZ3543" s="7"/>
      <c r="BA3543" s="7"/>
      <c r="BB3543" s="7">
        <v>1</v>
      </c>
      <c r="BC3543" s="4">
        <v>5</v>
      </c>
      <c r="BD3543" s="8">
        <v>55.15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>
        <v>1</v>
      </c>
      <c r="BJ3543" s="4">
        <v>39</v>
      </c>
      <c r="BK3543" s="8">
        <v>480.47</v>
      </c>
      <c r="BL3543" s="2" t="s">
        <v>11341</v>
      </c>
      <c r="BM3543" s="7">
        <v>0.1282</v>
      </c>
      <c r="BN3543" s="7">
        <v>0.1148</v>
      </c>
      <c r="BO3543" s="4">
        <v>5</v>
      </c>
      <c r="BP3543" s="8">
        <v>55.15</v>
      </c>
      <c r="BQ3543" s="4"/>
      <c r="BR3543" s="8"/>
      <c r="BS3543" s="7"/>
      <c r="BT3543" s="7"/>
      <c r="BU3543" s="2" t="s">
        <v>109</v>
      </c>
      <c r="BV3543" s="2" t="s">
        <v>97</v>
      </c>
      <c r="BW3543" s="2" t="s">
        <v>153</v>
      </c>
      <c r="BX3543" s="2" t="s">
        <v>3926</v>
      </c>
      <c r="BY3543" s="2" t="s">
        <v>112</v>
      </c>
      <c r="BZ3543" s="2" t="s">
        <v>149</v>
      </c>
    </row>
    <row r="3544">
      <c r="A3544" s="2" t="s">
        <v>11342</v>
      </c>
      <c r="B3544" s="2" t="s">
        <v>10807</v>
      </c>
      <c r="C3544" s="2" t="s">
        <v>88</v>
      </c>
      <c r="D3544" s="2" t="s">
        <v>2566</v>
      </c>
      <c r="E3544" s="2" t="s">
        <v>2567</v>
      </c>
      <c r="F3544" s="2" t="s">
        <v>10875</v>
      </c>
      <c r="G3544" s="2" t="s">
        <v>10876</v>
      </c>
      <c r="H3544" s="2" t="s">
        <v>10877</v>
      </c>
      <c r="I3544" s="2" t="s">
        <v>11339</v>
      </c>
      <c r="J3544" s="2" t="s">
        <v>11334</v>
      </c>
      <c r="K3544" s="2" t="s">
        <v>179</v>
      </c>
      <c r="L3544" s="3">
        <v>11.76</v>
      </c>
      <c r="M3544" s="3">
        <v>12.35</v>
      </c>
      <c r="N3544" s="3">
        <v>27.99</v>
      </c>
      <c r="O3544" s="2" t="s">
        <v>97</v>
      </c>
      <c r="P3544" s="2" t="s">
        <v>98</v>
      </c>
      <c r="Q3544" s="2" t="s">
        <v>99</v>
      </c>
      <c r="R3544" s="2" t="s">
        <v>100</v>
      </c>
      <c r="S3544" s="2" t="s">
        <v>10890</v>
      </c>
      <c r="T3544" s="2" t="s">
        <v>100</v>
      </c>
      <c r="U3544" s="2" t="s">
        <v>100</v>
      </c>
      <c r="V3544" s="2" t="s">
        <v>733</v>
      </c>
      <c r="W3544" s="2" t="s">
        <v>142</v>
      </c>
      <c r="X3544" s="2" t="s">
        <v>100</v>
      </c>
      <c r="Y3544" s="2" t="s">
        <v>11340</v>
      </c>
      <c r="Z3544" s="4">
        <v>205</v>
      </c>
      <c r="AA3544" s="4">
        <f>=ROUNDDOWN(12.8125,0)</f>
      </c>
      <c r="AB3544" s="5">
        <v>16</v>
      </c>
      <c r="AC3544" s="2" t="s">
        <v>2690</v>
      </c>
      <c r="AD3544" s="4">
        <v>96</v>
      </c>
      <c r="AE3544" s="4">
        <v>296</v>
      </c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 t="s">
        <v>100</v>
      </c>
      <c r="BD3544" s="8" t="s">
        <v>100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/>
      <c r="BJ3544" s="4">
        <v>66</v>
      </c>
      <c r="BK3544" s="8">
        <v>821.64</v>
      </c>
      <c r="BL3544" s="2" t="s">
        <v>11343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109</v>
      </c>
      <c r="BV3544" s="2" t="s">
        <v>97</v>
      </c>
      <c r="BW3544" s="2" t="s">
        <v>153</v>
      </c>
      <c r="BX3544" s="2" t="s">
        <v>1565</v>
      </c>
      <c r="BY3544" s="2" t="s">
        <v>112</v>
      </c>
      <c r="BZ3544" s="2" t="s">
        <v>149</v>
      </c>
    </row>
    <row r="3545">
      <c r="A3545" s="2" t="s">
        <v>11344</v>
      </c>
      <c r="B3545" s="2" t="s">
        <v>10807</v>
      </c>
      <c r="C3545" s="2" t="s">
        <v>88</v>
      </c>
      <c r="D3545" s="2" t="s">
        <v>2566</v>
      </c>
      <c r="E3545" s="2" t="s">
        <v>2567</v>
      </c>
      <c r="F3545" s="2" t="s">
        <v>11049</v>
      </c>
      <c r="G3545" s="2" t="s">
        <v>11050</v>
      </c>
      <c r="H3545" s="2" t="s">
        <v>11051</v>
      </c>
      <c r="I3545" s="2" t="s">
        <v>11345</v>
      </c>
      <c r="J3545" s="2" t="s">
        <v>11346</v>
      </c>
      <c r="K3545" s="2" t="s">
        <v>96</v>
      </c>
      <c r="L3545" s="3">
        <v>12.42</v>
      </c>
      <c r="M3545" s="3">
        <v>13.04</v>
      </c>
      <c r="N3545" s="3">
        <v>26.99</v>
      </c>
      <c r="O3545" s="2" t="s">
        <v>97</v>
      </c>
      <c r="P3545" s="2" t="s">
        <v>98</v>
      </c>
      <c r="Q3545" s="2" t="s">
        <v>99</v>
      </c>
      <c r="R3545" s="2" t="s">
        <v>100</v>
      </c>
      <c r="S3545" s="2" t="s">
        <v>11062</v>
      </c>
      <c r="T3545" s="2" t="s">
        <v>100</v>
      </c>
      <c r="U3545" s="2" t="s">
        <v>100</v>
      </c>
      <c r="V3545" s="2" t="s">
        <v>473</v>
      </c>
      <c r="W3545" s="2" t="s">
        <v>142</v>
      </c>
      <c r="X3545" s="2" t="s">
        <v>100</v>
      </c>
      <c r="Y3545" s="2" t="s">
        <v>5595</v>
      </c>
      <c r="Z3545" s="4">
        <v>230</v>
      </c>
      <c r="AA3545" s="4">
        <f>=ROUNDDOWN(20.9090909090909,0)</f>
      </c>
      <c r="AB3545" s="5">
        <v>11</v>
      </c>
      <c r="AC3545" s="2" t="s">
        <v>389</v>
      </c>
      <c r="AD3545" s="4">
        <v>183</v>
      </c>
      <c r="AE3545" s="4">
        <v>183</v>
      </c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2</v>
      </c>
      <c r="AQ3545" s="8">
        <v>23.62</v>
      </c>
      <c r="AR3545" s="4"/>
      <c r="AS3545" s="8"/>
      <c r="AT3545" s="7"/>
      <c r="AU3545" s="7"/>
      <c r="AV3545" s="4">
        <v>2</v>
      </c>
      <c r="AW3545" s="8">
        <v>23.62</v>
      </c>
      <c r="AX3545" s="4"/>
      <c r="AY3545" s="8"/>
      <c r="AZ3545" s="7"/>
      <c r="BA3545" s="7"/>
      <c r="BB3545" s="7">
        <v>1</v>
      </c>
      <c r="BC3545" s="4">
        <v>2</v>
      </c>
      <c r="BD3545" s="8">
        <v>23.62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>
        <v>1</v>
      </c>
      <c r="BJ3545" s="4">
        <v>51</v>
      </c>
      <c r="BK3545" s="8">
        <v>671.26</v>
      </c>
      <c r="BL3545" s="2" t="s">
        <v>11347</v>
      </c>
      <c r="BM3545" s="7">
        <v>0.0392</v>
      </c>
      <c r="BN3545" s="7">
        <v>0.0352</v>
      </c>
      <c r="BO3545" s="4">
        <v>2</v>
      </c>
      <c r="BP3545" s="8">
        <v>23.62</v>
      </c>
      <c r="BQ3545" s="4"/>
      <c r="BR3545" s="8"/>
      <c r="BS3545" s="7"/>
      <c r="BT3545" s="7"/>
      <c r="BU3545" s="2" t="s">
        <v>109</v>
      </c>
      <c r="BV3545" s="2" t="s">
        <v>97</v>
      </c>
      <c r="BW3545" s="2" t="s">
        <v>11056</v>
      </c>
      <c r="BX3545" s="2" t="s">
        <v>11348</v>
      </c>
      <c r="BY3545" s="2" t="s">
        <v>112</v>
      </c>
      <c r="BZ3545" s="2" t="s">
        <v>149</v>
      </c>
    </row>
    <row r="3546">
      <c r="A3546" s="2" t="s">
        <v>11349</v>
      </c>
      <c r="B3546" s="2" t="s">
        <v>10807</v>
      </c>
      <c r="C3546" s="2" t="s">
        <v>88</v>
      </c>
      <c r="D3546" s="2" t="s">
        <v>2566</v>
      </c>
      <c r="E3546" s="2" t="s">
        <v>2567</v>
      </c>
      <c r="F3546" s="2" t="s">
        <v>11049</v>
      </c>
      <c r="G3546" s="2" t="s">
        <v>11050</v>
      </c>
      <c r="H3546" s="2" t="s">
        <v>11051</v>
      </c>
      <c r="I3546" s="2" t="s">
        <v>11345</v>
      </c>
      <c r="J3546" s="2" t="s">
        <v>11346</v>
      </c>
      <c r="K3546" s="2" t="s">
        <v>1373</v>
      </c>
      <c r="L3546" s="3">
        <v>12.42</v>
      </c>
      <c r="M3546" s="3">
        <v>13.04</v>
      </c>
      <c r="N3546" s="3">
        <v>26.99</v>
      </c>
      <c r="O3546" s="2" t="s">
        <v>97</v>
      </c>
      <c r="P3546" s="2" t="s">
        <v>98</v>
      </c>
      <c r="Q3546" s="2" t="s">
        <v>99</v>
      </c>
      <c r="R3546" s="2" t="s">
        <v>100</v>
      </c>
      <c r="S3546" s="2" t="s">
        <v>11054</v>
      </c>
      <c r="T3546" s="2" t="s">
        <v>100</v>
      </c>
      <c r="U3546" s="2" t="s">
        <v>100</v>
      </c>
      <c r="V3546" s="2" t="s">
        <v>473</v>
      </c>
      <c r="W3546" s="2" t="s">
        <v>142</v>
      </c>
      <c r="X3546" s="2" t="s">
        <v>100</v>
      </c>
      <c r="Y3546" s="2" t="s">
        <v>5595</v>
      </c>
      <c r="Z3546" s="4">
        <v>408</v>
      </c>
      <c r="AA3546" s="4">
        <f>=ROUNDDOWN(40.8,0)</f>
      </c>
      <c r="AB3546" s="5">
        <v>10</v>
      </c>
      <c r="AC3546" s="2" t="s">
        <v>100</v>
      </c>
      <c r="AD3546" s="4"/>
      <c r="AE3546" s="4"/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 t="s">
        <v>100</v>
      </c>
      <c r="BD3546" s="8" t="s">
        <v>100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/>
      <c r="BJ3546" s="4">
        <v>41</v>
      </c>
      <c r="BK3546" s="8">
        <v>534.1</v>
      </c>
      <c r="BL3546" s="2" t="s">
        <v>11350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109</v>
      </c>
      <c r="BV3546" s="2" t="s">
        <v>97</v>
      </c>
      <c r="BW3546" s="2" t="s">
        <v>11056</v>
      </c>
      <c r="BX3546" s="2" t="s">
        <v>11351</v>
      </c>
      <c r="BY3546" s="2" t="s">
        <v>112</v>
      </c>
      <c r="BZ3546" s="2" t="s">
        <v>149</v>
      </c>
    </row>
    <row r="3547">
      <c r="A3547" s="2" t="s">
        <v>11352</v>
      </c>
      <c r="B3547" s="2" t="s">
        <v>10807</v>
      </c>
      <c r="C3547" s="2" t="s">
        <v>88</v>
      </c>
      <c r="D3547" s="2" t="s">
        <v>2566</v>
      </c>
      <c r="E3547" s="2" t="s">
        <v>2567</v>
      </c>
      <c r="F3547" s="2" t="s">
        <v>11049</v>
      </c>
      <c r="G3547" s="2" t="s">
        <v>11050</v>
      </c>
      <c r="H3547" s="2" t="s">
        <v>11051</v>
      </c>
      <c r="I3547" s="2" t="s">
        <v>11345</v>
      </c>
      <c r="J3547" s="2" t="s">
        <v>11346</v>
      </c>
      <c r="K3547" s="2" t="s">
        <v>458</v>
      </c>
      <c r="L3547" s="3">
        <v>12.42</v>
      </c>
      <c r="M3547" s="3">
        <v>13.04</v>
      </c>
      <c r="N3547" s="3">
        <v>26.99</v>
      </c>
      <c r="O3547" s="2" t="s">
        <v>97</v>
      </c>
      <c r="P3547" s="2" t="s">
        <v>98</v>
      </c>
      <c r="Q3547" s="2" t="s">
        <v>99</v>
      </c>
      <c r="R3547" s="2" t="s">
        <v>100</v>
      </c>
      <c r="S3547" s="2" t="s">
        <v>11064</v>
      </c>
      <c r="T3547" s="2" t="s">
        <v>100</v>
      </c>
      <c r="U3547" s="2" t="s">
        <v>100</v>
      </c>
      <c r="V3547" s="2" t="s">
        <v>473</v>
      </c>
      <c r="W3547" s="2" t="s">
        <v>142</v>
      </c>
      <c r="X3547" s="2" t="s">
        <v>100</v>
      </c>
      <c r="Y3547" s="2" t="s">
        <v>5595</v>
      </c>
      <c r="Z3547" s="4">
        <v>329</v>
      </c>
      <c r="AA3547" s="4">
        <f>=ROUNDDOWN(74.7727272727273,0)</f>
      </c>
      <c r="AB3547" s="5">
        <v>4.4</v>
      </c>
      <c r="AC3547" s="2" t="s">
        <v>100</v>
      </c>
      <c r="AD3547" s="4"/>
      <c r="AE3547" s="4"/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 t="s">
        <v>100</v>
      </c>
      <c r="BD3547" s="8" t="s">
        <v>100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/>
      <c r="BJ3547" s="4">
        <v>29</v>
      </c>
      <c r="BK3547" s="8">
        <v>387.1</v>
      </c>
      <c r="BL3547" s="2" t="s">
        <v>9816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109</v>
      </c>
      <c r="BV3547" s="2" t="s">
        <v>97</v>
      </c>
      <c r="BW3547" s="2" t="s">
        <v>11056</v>
      </c>
      <c r="BX3547" s="2" t="s">
        <v>1030</v>
      </c>
      <c r="BY3547" s="2" t="s">
        <v>112</v>
      </c>
      <c r="BZ3547" s="2" t="s">
        <v>149</v>
      </c>
    </row>
    <row r="3548">
      <c r="A3548" s="2" t="s">
        <v>11353</v>
      </c>
      <c r="B3548" s="2" t="s">
        <v>10807</v>
      </c>
      <c r="C3548" s="2" t="s">
        <v>88</v>
      </c>
      <c r="D3548" s="2" t="s">
        <v>2566</v>
      </c>
      <c r="E3548" s="2" t="s">
        <v>2567</v>
      </c>
      <c r="F3548" s="2" t="s">
        <v>11049</v>
      </c>
      <c r="G3548" s="2" t="s">
        <v>11050</v>
      </c>
      <c r="H3548" s="2" t="s">
        <v>11051</v>
      </c>
      <c r="I3548" s="2" t="s">
        <v>11345</v>
      </c>
      <c r="J3548" s="2" t="s">
        <v>11346</v>
      </c>
      <c r="K3548" s="2" t="s">
        <v>2686</v>
      </c>
      <c r="L3548" s="3">
        <v>12.42</v>
      </c>
      <c r="M3548" s="3">
        <v>13.04</v>
      </c>
      <c r="N3548" s="3">
        <v>26.99</v>
      </c>
      <c r="O3548" s="2" t="s">
        <v>97</v>
      </c>
      <c r="P3548" s="2" t="s">
        <v>98</v>
      </c>
      <c r="Q3548" s="2" t="s">
        <v>99</v>
      </c>
      <c r="R3548" s="2" t="s">
        <v>100</v>
      </c>
      <c r="S3548" s="2" t="s">
        <v>11068</v>
      </c>
      <c r="T3548" s="2" t="s">
        <v>100</v>
      </c>
      <c r="U3548" s="2" t="s">
        <v>100</v>
      </c>
      <c r="V3548" s="2" t="s">
        <v>473</v>
      </c>
      <c r="W3548" s="2" t="s">
        <v>142</v>
      </c>
      <c r="X3548" s="2" t="s">
        <v>100</v>
      </c>
      <c r="Y3548" s="2" t="s">
        <v>5595</v>
      </c>
      <c r="Z3548" s="4">
        <v>84</v>
      </c>
      <c r="AA3548" s="4">
        <f>=ROUNDDOWN(9.33333333333333,0)</f>
      </c>
      <c r="AB3548" s="5">
        <v>9</v>
      </c>
      <c r="AC3548" s="2" t="s">
        <v>4620</v>
      </c>
      <c r="AD3548" s="4">
        <v>176</v>
      </c>
      <c r="AE3548" s="4">
        <v>176</v>
      </c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 t="s">
        <v>100</v>
      </c>
      <c r="BD3548" s="8" t="s">
        <v>100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/>
      <c r="BJ3548" s="4">
        <v>39</v>
      </c>
      <c r="BK3548" s="8">
        <v>526.94</v>
      </c>
      <c r="BL3548" s="2" t="s">
        <v>10969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109</v>
      </c>
      <c r="BV3548" s="2" t="s">
        <v>97</v>
      </c>
      <c r="BW3548" s="2" t="s">
        <v>11056</v>
      </c>
      <c r="BX3548" s="2" t="s">
        <v>11348</v>
      </c>
      <c r="BY3548" s="2" t="s">
        <v>112</v>
      </c>
      <c r="BZ3548" s="2" t="s">
        <v>149</v>
      </c>
    </row>
    <row r="3549">
      <c r="A3549" s="2" t="s">
        <v>11354</v>
      </c>
      <c r="B3549" s="2" t="s">
        <v>10807</v>
      </c>
      <c r="C3549" s="2" t="s">
        <v>88</v>
      </c>
      <c r="D3549" s="2" t="s">
        <v>2566</v>
      </c>
      <c r="E3549" s="2" t="s">
        <v>2567</v>
      </c>
      <c r="F3549" s="2" t="s">
        <v>4576</v>
      </c>
      <c r="G3549" s="2" t="s">
        <v>4577</v>
      </c>
      <c r="H3549" s="2" t="s">
        <v>4578</v>
      </c>
      <c r="I3549" s="2" t="s">
        <v>11355</v>
      </c>
      <c r="J3549" s="2" t="s">
        <v>11334</v>
      </c>
      <c r="K3549" s="2" t="s">
        <v>165</v>
      </c>
      <c r="L3549" s="3">
        <v>10</v>
      </c>
      <c r="M3549" s="3">
        <v>10.5</v>
      </c>
      <c r="N3549" s="3">
        <v>24.99</v>
      </c>
      <c r="O3549" s="2" t="s">
        <v>97</v>
      </c>
      <c r="P3549" s="2" t="s">
        <v>98</v>
      </c>
      <c r="Q3549" s="2" t="s">
        <v>99</v>
      </c>
      <c r="R3549" s="2" t="s">
        <v>100</v>
      </c>
      <c r="S3549" s="2" t="s">
        <v>11356</v>
      </c>
      <c r="T3549" s="2" t="s">
        <v>100</v>
      </c>
      <c r="U3549" s="2" t="s">
        <v>100</v>
      </c>
      <c r="V3549" s="2" t="s">
        <v>141</v>
      </c>
      <c r="W3549" s="2" t="s">
        <v>142</v>
      </c>
      <c r="X3549" s="2" t="s">
        <v>100</v>
      </c>
      <c r="Y3549" s="2" t="s">
        <v>144</v>
      </c>
      <c r="Z3549" s="4">
        <v>726</v>
      </c>
      <c r="AA3549" s="4">
        <f>=ROUNDDOWN(20.1666666666667,0)</f>
      </c>
      <c r="AB3549" s="5">
        <v>36</v>
      </c>
      <c r="AC3549" s="2" t="s">
        <v>145</v>
      </c>
      <c r="AD3549" s="4">
        <v>240</v>
      </c>
      <c r="AE3549" s="4">
        <v>492</v>
      </c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1</v>
      </c>
      <c r="AQ3549" s="8">
        <v>9.45</v>
      </c>
      <c r="AR3549" s="4"/>
      <c r="AS3549" s="8"/>
      <c r="AT3549" s="7"/>
      <c r="AU3549" s="7"/>
      <c r="AV3549" s="4">
        <v>1</v>
      </c>
      <c r="AW3549" s="8">
        <v>9.45</v>
      </c>
      <c r="AX3549" s="4"/>
      <c r="AY3549" s="8"/>
      <c r="AZ3549" s="7"/>
      <c r="BA3549" s="7"/>
      <c r="BB3549" s="7">
        <v>1</v>
      </c>
      <c r="BC3549" s="4">
        <v>1</v>
      </c>
      <c r="BD3549" s="8">
        <v>9.45</v>
      </c>
      <c r="BE3549" s="4" t="s">
        <v>100</v>
      </c>
      <c r="BF3549" s="8" t="s">
        <v>100</v>
      </c>
      <c r="BG3549" s="7" t="s">
        <v>100</v>
      </c>
      <c r="BH3549" s="7" t="s">
        <v>100</v>
      </c>
      <c r="BI3549" s="7">
        <v>1</v>
      </c>
      <c r="BJ3549" s="4">
        <v>107</v>
      </c>
      <c r="BK3549" s="8">
        <v>1075.93</v>
      </c>
      <c r="BL3549" s="2" t="s">
        <v>11357</v>
      </c>
      <c r="BM3549" s="7">
        <v>0.0093</v>
      </c>
      <c r="BN3549" s="7">
        <v>0.0088</v>
      </c>
      <c r="BO3549" s="4">
        <v>1</v>
      </c>
      <c r="BP3549" s="8">
        <v>9.45</v>
      </c>
      <c r="BQ3549" s="4"/>
      <c r="BR3549" s="8"/>
      <c r="BS3549" s="7"/>
      <c r="BT3549" s="7"/>
      <c r="BU3549" s="2" t="s">
        <v>109</v>
      </c>
      <c r="BV3549" s="2" t="s">
        <v>97</v>
      </c>
      <c r="BW3549" s="2" t="s">
        <v>159</v>
      </c>
      <c r="BX3549" s="2" t="s">
        <v>10903</v>
      </c>
      <c r="BY3549" s="2" t="s">
        <v>112</v>
      </c>
      <c r="BZ3549" s="2" t="s">
        <v>149</v>
      </c>
    </row>
    <row r="3550">
      <c r="A3550" s="2" t="s">
        <v>11358</v>
      </c>
      <c r="B3550" s="2" t="s">
        <v>10807</v>
      </c>
      <c r="C3550" s="2" t="s">
        <v>88</v>
      </c>
      <c r="D3550" s="2" t="s">
        <v>2566</v>
      </c>
      <c r="E3550" s="2" t="s">
        <v>2567</v>
      </c>
      <c r="F3550" s="2" t="s">
        <v>4576</v>
      </c>
      <c r="G3550" s="2" t="s">
        <v>4577</v>
      </c>
      <c r="H3550" s="2" t="s">
        <v>4578</v>
      </c>
      <c r="I3550" s="2" t="s">
        <v>11355</v>
      </c>
      <c r="J3550" s="2" t="s">
        <v>11334</v>
      </c>
      <c r="K3550" s="2" t="s">
        <v>446</v>
      </c>
      <c r="L3550" s="3">
        <v>10</v>
      </c>
      <c r="M3550" s="3">
        <v>10.5</v>
      </c>
      <c r="N3550" s="3">
        <v>24.99</v>
      </c>
      <c r="O3550" s="2" t="s">
        <v>97</v>
      </c>
      <c r="P3550" s="2" t="s">
        <v>98</v>
      </c>
      <c r="Q3550" s="2" t="s">
        <v>99</v>
      </c>
      <c r="R3550" s="2" t="s">
        <v>100</v>
      </c>
      <c r="S3550" s="2" t="s">
        <v>11359</v>
      </c>
      <c r="T3550" s="2" t="s">
        <v>100</v>
      </c>
      <c r="U3550" s="2" t="s">
        <v>100</v>
      </c>
      <c r="V3550" s="2" t="s">
        <v>141</v>
      </c>
      <c r="W3550" s="2" t="s">
        <v>142</v>
      </c>
      <c r="X3550" s="2" t="s">
        <v>100</v>
      </c>
      <c r="Y3550" s="2" t="s">
        <v>144</v>
      </c>
      <c r="Z3550" s="4">
        <v>365</v>
      </c>
      <c r="AA3550" s="4">
        <f>=ROUNDDOWN(15.2083333333333,0)</f>
      </c>
      <c r="AB3550" s="5">
        <v>24</v>
      </c>
      <c r="AC3550" s="2" t="s">
        <v>875</v>
      </c>
      <c r="AD3550" s="4">
        <v>412</v>
      </c>
      <c r="AE3550" s="4">
        <v>412</v>
      </c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 t="s">
        <v>100</v>
      </c>
      <c r="BD3550" s="8" t="s">
        <v>100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/>
      <c r="BJ3550" s="4">
        <v>72</v>
      </c>
      <c r="BK3550" s="8">
        <v>750.85</v>
      </c>
      <c r="BL3550" s="2" t="s">
        <v>480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159</v>
      </c>
      <c r="BX3550" s="2" t="s">
        <v>10903</v>
      </c>
      <c r="BY3550" s="2" t="s">
        <v>112</v>
      </c>
      <c r="BZ3550" s="2" t="s">
        <v>149</v>
      </c>
    </row>
    <row r="3551">
      <c r="A3551" s="2" t="s">
        <v>11360</v>
      </c>
      <c r="B3551" s="2" t="s">
        <v>10807</v>
      </c>
      <c r="C3551" s="2" t="s">
        <v>88</v>
      </c>
      <c r="D3551" s="2" t="s">
        <v>2566</v>
      </c>
      <c r="E3551" s="2" t="s">
        <v>2567</v>
      </c>
      <c r="F3551" s="2" t="s">
        <v>4576</v>
      </c>
      <c r="G3551" s="2" t="s">
        <v>4577</v>
      </c>
      <c r="H3551" s="2" t="s">
        <v>4578</v>
      </c>
      <c r="I3551" s="2" t="s">
        <v>11355</v>
      </c>
      <c r="J3551" s="2" t="s">
        <v>11334</v>
      </c>
      <c r="K3551" s="2" t="s">
        <v>236</v>
      </c>
      <c r="L3551" s="3">
        <v>10</v>
      </c>
      <c r="M3551" s="3">
        <v>10.5</v>
      </c>
      <c r="N3551" s="3">
        <v>24.99</v>
      </c>
      <c r="O3551" s="2" t="s">
        <v>97</v>
      </c>
      <c r="P3551" s="2" t="s">
        <v>98</v>
      </c>
      <c r="Q3551" s="2" t="s">
        <v>99</v>
      </c>
      <c r="R3551" s="2" t="s">
        <v>100</v>
      </c>
      <c r="S3551" s="2" t="s">
        <v>4583</v>
      </c>
      <c r="T3551" s="2" t="s">
        <v>100</v>
      </c>
      <c r="U3551" s="2" t="s">
        <v>100</v>
      </c>
      <c r="V3551" s="2" t="s">
        <v>141</v>
      </c>
      <c r="W3551" s="2" t="s">
        <v>142</v>
      </c>
      <c r="X3551" s="2" t="s">
        <v>100</v>
      </c>
      <c r="Y3551" s="2" t="s">
        <v>144</v>
      </c>
      <c r="Z3551" s="4">
        <v>335</v>
      </c>
      <c r="AA3551" s="4">
        <f>=ROUNDDOWN(16.75,0)</f>
      </c>
      <c r="AB3551" s="5">
        <v>20</v>
      </c>
      <c r="AC3551" s="2" t="s">
        <v>107</v>
      </c>
      <c r="AD3551" s="4">
        <v>200</v>
      </c>
      <c r="AE3551" s="4">
        <v>200</v>
      </c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/>
      <c r="BJ3551" s="4">
        <v>32</v>
      </c>
      <c r="BK3551" s="8">
        <v>323.63</v>
      </c>
      <c r="BL3551" s="2" t="s">
        <v>11361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109</v>
      </c>
      <c r="BV3551" s="2" t="s">
        <v>97</v>
      </c>
      <c r="BW3551" s="2" t="s">
        <v>159</v>
      </c>
      <c r="BX3551" s="2" t="s">
        <v>11362</v>
      </c>
      <c r="BY3551" s="2" t="s">
        <v>112</v>
      </c>
      <c r="BZ3551" s="2" t="s">
        <v>149</v>
      </c>
    </row>
    <row r="3552">
      <c r="A3552" s="2" t="s">
        <v>11363</v>
      </c>
      <c r="B3552" s="2" t="s">
        <v>10807</v>
      </c>
      <c r="C3552" s="2" t="s">
        <v>88</v>
      </c>
      <c r="D3552" s="2" t="s">
        <v>2566</v>
      </c>
      <c r="E3552" s="2" t="s">
        <v>2567</v>
      </c>
      <c r="F3552" s="2" t="s">
        <v>11364</v>
      </c>
      <c r="G3552" s="2" t="s">
        <v>11365</v>
      </c>
      <c r="H3552" s="2" t="s">
        <v>11366</v>
      </c>
      <c r="I3552" s="2" t="s">
        <v>11367</v>
      </c>
      <c r="J3552" s="2" t="s">
        <v>11346</v>
      </c>
      <c r="K3552" s="2" t="s">
        <v>8260</v>
      </c>
      <c r="L3552" s="3">
        <v>12.42</v>
      </c>
      <c r="M3552" s="3">
        <v>13.04</v>
      </c>
      <c r="N3552" s="3">
        <v>26.99</v>
      </c>
      <c r="O3552" s="2" t="s">
        <v>97</v>
      </c>
      <c r="P3552" s="2" t="s">
        <v>98</v>
      </c>
      <c r="Q3552" s="2" t="s">
        <v>99</v>
      </c>
      <c r="R3552" s="2" t="s">
        <v>100</v>
      </c>
      <c r="S3552" s="2" t="s">
        <v>11368</v>
      </c>
      <c r="T3552" s="2" t="s">
        <v>100</v>
      </c>
      <c r="U3552" s="2" t="s">
        <v>100</v>
      </c>
      <c r="V3552" s="2" t="s">
        <v>461</v>
      </c>
      <c r="W3552" s="2" t="s">
        <v>104</v>
      </c>
      <c r="X3552" s="2" t="s">
        <v>100</v>
      </c>
      <c r="Y3552" s="2" t="s">
        <v>7019</v>
      </c>
      <c r="Z3552" s="4">
        <v>478</v>
      </c>
      <c r="AA3552" s="4">
        <f>=ROUNDDOWN(19.9166666666667,0)</f>
      </c>
      <c r="AB3552" s="5">
        <v>24</v>
      </c>
      <c r="AC3552" s="2" t="s">
        <v>875</v>
      </c>
      <c r="AD3552" s="4">
        <v>512</v>
      </c>
      <c r="AE3552" s="4">
        <v>512</v>
      </c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 t="s">
        <v>100</v>
      </c>
      <c r="BD3552" s="8" t="s">
        <v>100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/>
      <c r="BJ3552" s="4">
        <v>70</v>
      </c>
      <c r="BK3552" s="8">
        <v>910.02</v>
      </c>
      <c r="BL3552" s="2" t="s">
        <v>11369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11056</v>
      </c>
      <c r="BX3552" s="2" t="s">
        <v>10084</v>
      </c>
      <c r="BY3552" s="2" t="s">
        <v>112</v>
      </c>
      <c r="BZ3552" s="2" t="s">
        <v>149</v>
      </c>
    </row>
    <row r="3553">
      <c r="A3553" s="2" t="s">
        <v>11370</v>
      </c>
      <c r="B3553" s="2" t="s">
        <v>10807</v>
      </c>
      <c r="C3553" s="2" t="s">
        <v>88</v>
      </c>
      <c r="D3553" s="2" t="s">
        <v>2566</v>
      </c>
      <c r="E3553" s="2" t="s">
        <v>2567</v>
      </c>
      <c r="F3553" s="2" t="s">
        <v>11364</v>
      </c>
      <c r="G3553" s="2" t="s">
        <v>11365</v>
      </c>
      <c r="H3553" s="2" t="s">
        <v>11366</v>
      </c>
      <c r="I3553" s="2" t="s">
        <v>11367</v>
      </c>
      <c r="J3553" s="2" t="s">
        <v>11346</v>
      </c>
      <c r="K3553" s="2" t="s">
        <v>223</v>
      </c>
      <c r="L3553" s="3">
        <v>12.42</v>
      </c>
      <c r="M3553" s="3">
        <v>13.04</v>
      </c>
      <c r="N3553" s="3">
        <v>26.99</v>
      </c>
      <c r="O3553" s="2" t="s">
        <v>97</v>
      </c>
      <c r="P3553" s="2" t="s">
        <v>98</v>
      </c>
      <c r="Q3553" s="2" t="s">
        <v>99</v>
      </c>
      <c r="R3553" s="2" t="s">
        <v>100</v>
      </c>
      <c r="S3553" s="2" t="s">
        <v>11371</v>
      </c>
      <c r="T3553" s="2" t="s">
        <v>844</v>
      </c>
      <c r="U3553" s="2" t="s">
        <v>1776</v>
      </c>
      <c r="V3553" s="2" t="s">
        <v>461</v>
      </c>
      <c r="W3553" s="2" t="s">
        <v>104</v>
      </c>
      <c r="X3553" s="2" t="s">
        <v>100</v>
      </c>
      <c r="Y3553" s="2" t="s">
        <v>11372</v>
      </c>
      <c r="Z3553" s="4">
        <v>529</v>
      </c>
      <c r="AA3553" s="4">
        <f>=ROUNDDOWN(48.0909090909091,0)</f>
      </c>
      <c r="AB3553" s="5">
        <v>11</v>
      </c>
      <c r="AC3553" s="2" t="s">
        <v>100</v>
      </c>
      <c r="AD3553" s="4"/>
      <c r="AE3553" s="4"/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/>
      <c r="BJ3553" s="4">
        <v>37</v>
      </c>
      <c r="BK3553" s="8">
        <v>455</v>
      </c>
      <c r="BL3553" s="2" t="s">
        <v>11373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171</v>
      </c>
      <c r="BV3553" s="2" t="s">
        <v>97</v>
      </c>
      <c r="BW3553" s="2" t="s">
        <v>100</v>
      </c>
      <c r="BX3553" s="2" t="s">
        <v>100</v>
      </c>
      <c r="BY3553" s="2" t="s">
        <v>112</v>
      </c>
      <c r="BZ3553" s="2" t="s">
        <v>149</v>
      </c>
    </row>
    <row r="3554">
      <c r="A3554" s="2" t="s">
        <v>11374</v>
      </c>
      <c r="B3554" s="2" t="s">
        <v>10807</v>
      </c>
      <c r="C3554" s="2" t="s">
        <v>88</v>
      </c>
      <c r="D3554" s="2" t="s">
        <v>2566</v>
      </c>
      <c r="E3554" s="2" t="s">
        <v>2567</v>
      </c>
      <c r="F3554" s="2" t="s">
        <v>11364</v>
      </c>
      <c r="G3554" s="2" t="s">
        <v>11365</v>
      </c>
      <c r="H3554" s="2" t="s">
        <v>11366</v>
      </c>
      <c r="I3554" s="2" t="s">
        <v>11367</v>
      </c>
      <c r="J3554" s="2" t="s">
        <v>11346</v>
      </c>
      <c r="K3554" s="2" t="s">
        <v>10859</v>
      </c>
      <c r="L3554" s="3">
        <v>12.42</v>
      </c>
      <c r="M3554" s="3">
        <v>13.04</v>
      </c>
      <c r="N3554" s="3">
        <v>26.99</v>
      </c>
      <c r="O3554" s="2" t="s">
        <v>97</v>
      </c>
      <c r="P3554" s="2" t="s">
        <v>98</v>
      </c>
      <c r="Q3554" s="2" t="s">
        <v>99</v>
      </c>
      <c r="R3554" s="2" t="s">
        <v>100</v>
      </c>
      <c r="S3554" s="2" t="s">
        <v>11375</v>
      </c>
      <c r="T3554" s="2" t="s">
        <v>100</v>
      </c>
      <c r="U3554" s="2" t="s">
        <v>100</v>
      </c>
      <c r="V3554" s="2" t="s">
        <v>461</v>
      </c>
      <c r="W3554" s="2" t="s">
        <v>104</v>
      </c>
      <c r="X3554" s="2" t="s">
        <v>100</v>
      </c>
      <c r="Y3554" s="2" t="s">
        <v>7019</v>
      </c>
      <c r="Z3554" s="4">
        <v>412</v>
      </c>
      <c r="AA3554" s="4">
        <f>=ROUNDDOWN(52.8205128205128,0)</f>
      </c>
      <c r="AB3554" s="5">
        <v>7.8</v>
      </c>
      <c r="AC3554" s="2" t="s">
        <v>100</v>
      </c>
      <c r="AD3554" s="4"/>
      <c r="AE3554" s="4"/>
      <c r="AF3554" s="6">
        <v>65</v>
      </c>
      <c r="AG3554" s="6"/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/>
      <c r="BJ3554" s="4">
        <v>12</v>
      </c>
      <c r="BK3554" s="8">
        <v>148.48</v>
      </c>
      <c r="BL3554" s="2" t="s">
        <v>2068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109</v>
      </c>
      <c r="BV3554" s="2" t="s">
        <v>97</v>
      </c>
      <c r="BW3554" s="2" t="s">
        <v>11056</v>
      </c>
      <c r="BX3554" s="2" t="s">
        <v>11376</v>
      </c>
      <c r="BY3554" s="2" t="s">
        <v>112</v>
      </c>
      <c r="BZ3554" s="2" t="s">
        <v>149</v>
      </c>
    </row>
    <row r="3555">
      <c r="A3555" s="2" t="s">
        <v>11377</v>
      </c>
      <c r="B3555" s="2" t="s">
        <v>10807</v>
      </c>
      <c r="C3555" s="2" t="s">
        <v>88</v>
      </c>
      <c r="D3555" s="2" t="s">
        <v>2566</v>
      </c>
      <c r="E3555" s="2" t="s">
        <v>2567</v>
      </c>
      <c r="F3555" s="2" t="s">
        <v>11364</v>
      </c>
      <c r="G3555" s="2" t="s">
        <v>11365</v>
      </c>
      <c r="H3555" s="2" t="s">
        <v>11366</v>
      </c>
      <c r="I3555" s="2" t="s">
        <v>11367</v>
      </c>
      <c r="J3555" s="2" t="s">
        <v>11346</v>
      </c>
      <c r="K3555" s="2" t="s">
        <v>878</v>
      </c>
      <c r="L3555" s="3">
        <v>12.42</v>
      </c>
      <c r="M3555" s="3">
        <v>13.04</v>
      </c>
      <c r="N3555" s="3">
        <v>26.99</v>
      </c>
      <c r="O3555" s="2" t="s">
        <v>97</v>
      </c>
      <c r="P3555" s="2" t="s">
        <v>98</v>
      </c>
      <c r="Q3555" s="2" t="s">
        <v>99</v>
      </c>
      <c r="R3555" s="2" t="s">
        <v>100</v>
      </c>
      <c r="S3555" s="2" t="s">
        <v>11378</v>
      </c>
      <c r="T3555" s="2" t="s">
        <v>844</v>
      </c>
      <c r="U3555" s="2" t="s">
        <v>1776</v>
      </c>
      <c r="V3555" s="2" t="s">
        <v>461</v>
      </c>
      <c r="W3555" s="2" t="s">
        <v>104</v>
      </c>
      <c r="X3555" s="2" t="s">
        <v>100</v>
      </c>
      <c r="Y3555" s="2" t="s">
        <v>11372</v>
      </c>
      <c r="Z3555" s="4">
        <v>369</v>
      </c>
      <c r="AA3555" s="4">
        <f>=ROUNDDOWN(18.9230769230769,0)</f>
      </c>
      <c r="AB3555" s="5">
        <v>19.5</v>
      </c>
      <c r="AC3555" s="2" t="s">
        <v>145</v>
      </c>
      <c r="AD3555" s="4">
        <v>200</v>
      </c>
      <c r="AE3555" s="4">
        <v>200</v>
      </c>
      <c r="AF3555" s="6">
        <v>65</v>
      </c>
      <c r="AG3555" s="6"/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/>
      <c r="BJ3555" s="4">
        <v>66</v>
      </c>
      <c r="BK3555" s="8">
        <v>865.86</v>
      </c>
      <c r="BL3555" s="2" t="s">
        <v>10353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171</v>
      </c>
      <c r="BV3555" s="2" t="s">
        <v>97</v>
      </c>
      <c r="BW3555" s="2" t="s">
        <v>100</v>
      </c>
      <c r="BX3555" s="2" t="s">
        <v>100</v>
      </c>
      <c r="BY3555" s="2" t="s">
        <v>112</v>
      </c>
      <c r="BZ3555" s="2" t="s">
        <v>149</v>
      </c>
    </row>
    <row r="3556">
      <c r="A3556" s="2" t="s">
        <v>11379</v>
      </c>
      <c r="B3556" s="2" t="s">
        <v>10807</v>
      </c>
      <c r="C3556" s="2" t="s">
        <v>88</v>
      </c>
      <c r="D3556" s="2" t="s">
        <v>2566</v>
      </c>
      <c r="E3556" s="2" t="s">
        <v>2567</v>
      </c>
      <c r="F3556" s="2" t="s">
        <v>852</v>
      </c>
      <c r="G3556" s="2" t="s">
        <v>977</v>
      </c>
      <c r="H3556" s="2" t="s">
        <v>10841</v>
      </c>
      <c r="I3556" s="2" t="s">
        <v>11380</v>
      </c>
      <c r="J3556" s="2" t="s">
        <v>11381</v>
      </c>
      <c r="K3556" s="2" t="s">
        <v>188</v>
      </c>
      <c r="L3556" s="3">
        <v>12.6</v>
      </c>
      <c r="M3556" s="3">
        <v>13.23</v>
      </c>
      <c r="N3556" s="3">
        <v>29.99</v>
      </c>
      <c r="O3556" s="2" t="s">
        <v>97</v>
      </c>
      <c r="P3556" s="2" t="s">
        <v>98</v>
      </c>
      <c r="Q3556" s="2" t="s">
        <v>99</v>
      </c>
      <c r="R3556" s="2" t="s">
        <v>100</v>
      </c>
      <c r="S3556" s="2" t="s">
        <v>11382</v>
      </c>
      <c r="T3556" s="2" t="s">
        <v>100</v>
      </c>
      <c r="U3556" s="2" t="s">
        <v>1776</v>
      </c>
      <c r="V3556" s="2" t="s">
        <v>461</v>
      </c>
      <c r="W3556" s="2" t="s">
        <v>142</v>
      </c>
      <c r="X3556" s="2" t="s">
        <v>100</v>
      </c>
      <c r="Y3556" s="2" t="s">
        <v>11383</v>
      </c>
      <c r="Z3556" s="4">
        <v>110</v>
      </c>
      <c r="AA3556" s="4">
        <f>=ROUNDDOWN(18.3333333333333,0)</f>
      </c>
      <c r="AB3556" s="5">
        <v>6</v>
      </c>
      <c r="AC3556" s="2" t="s">
        <v>145</v>
      </c>
      <c r="AD3556" s="4">
        <v>104</v>
      </c>
      <c r="AE3556" s="4">
        <v>104</v>
      </c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 t="s">
        <v>100</v>
      </c>
      <c r="BD3556" s="8" t="s">
        <v>100</v>
      </c>
      <c r="BE3556" s="4" t="s">
        <v>100</v>
      </c>
      <c r="BF3556" s="8" t="s">
        <v>100</v>
      </c>
      <c r="BG3556" s="7" t="s">
        <v>100</v>
      </c>
      <c r="BH3556" s="7" t="s">
        <v>100</v>
      </c>
      <c r="BI3556" s="7"/>
      <c r="BJ3556" s="4">
        <v>40</v>
      </c>
      <c r="BK3556" s="8">
        <v>526</v>
      </c>
      <c r="BL3556" s="2" t="s">
        <v>11384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5476</v>
      </c>
      <c r="BX3556" s="2" t="s">
        <v>1052</v>
      </c>
      <c r="BY3556" s="2" t="s">
        <v>112</v>
      </c>
      <c r="BZ3556" s="2" t="s">
        <v>149</v>
      </c>
    </row>
    <row r="3557">
      <c r="A3557" s="2" t="s">
        <v>11385</v>
      </c>
      <c r="B3557" s="2" t="s">
        <v>10807</v>
      </c>
      <c r="C3557" s="2" t="s">
        <v>88</v>
      </c>
      <c r="D3557" s="2" t="s">
        <v>2566</v>
      </c>
      <c r="E3557" s="2" t="s">
        <v>2567</v>
      </c>
      <c r="F3557" s="2" t="s">
        <v>852</v>
      </c>
      <c r="G3557" s="2" t="s">
        <v>977</v>
      </c>
      <c r="H3557" s="2" t="s">
        <v>10841</v>
      </c>
      <c r="I3557" s="2" t="s">
        <v>11380</v>
      </c>
      <c r="J3557" s="2" t="s">
        <v>11381</v>
      </c>
      <c r="K3557" s="2" t="s">
        <v>4362</v>
      </c>
      <c r="L3557" s="3">
        <v>12.6</v>
      </c>
      <c r="M3557" s="3">
        <v>13.23</v>
      </c>
      <c r="N3557" s="3">
        <v>29.99</v>
      </c>
      <c r="O3557" s="2" t="s">
        <v>97</v>
      </c>
      <c r="P3557" s="2" t="s">
        <v>98</v>
      </c>
      <c r="Q3557" s="2" t="s">
        <v>99</v>
      </c>
      <c r="R3557" s="2" t="s">
        <v>100</v>
      </c>
      <c r="S3557" s="2" t="s">
        <v>11386</v>
      </c>
      <c r="T3557" s="2" t="s">
        <v>100</v>
      </c>
      <c r="U3557" s="2" t="s">
        <v>1776</v>
      </c>
      <c r="V3557" s="2" t="s">
        <v>461</v>
      </c>
      <c r="W3557" s="2" t="s">
        <v>142</v>
      </c>
      <c r="X3557" s="2" t="s">
        <v>100</v>
      </c>
      <c r="Y3557" s="2" t="s">
        <v>11387</v>
      </c>
      <c r="Z3557" s="4">
        <v>566</v>
      </c>
      <c r="AA3557" s="4">
        <f>=ROUNDDOWN(62.8888888888889,0)</f>
      </c>
      <c r="AB3557" s="5">
        <v>9</v>
      </c>
      <c r="AC3557" s="2" t="s">
        <v>100</v>
      </c>
      <c r="AD3557" s="4"/>
      <c r="AE3557" s="4"/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 t="s">
        <v>100</v>
      </c>
      <c r="BD3557" s="8" t="s">
        <v>100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/>
      <c r="BJ3557" s="4">
        <v>25</v>
      </c>
      <c r="BK3557" s="8">
        <v>334.98</v>
      </c>
      <c r="BL3557" s="2" t="s">
        <v>2763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4818</v>
      </c>
      <c r="BX3557" s="2" t="s">
        <v>1216</v>
      </c>
      <c r="BY3557" s="2" t="s">
        <v>112</v>
      </c>
      <c r="BZ3557" s="2" t="s">
        <v>149</v>
      </c>
    </row>
    <row r="3558">
      <c r="A3558" s="2" t="s">
        <v>11388</v>
      </c>
      <c r="B3558" s="2" t="s">
        <v>10807</v>
      </c>
      <c r="C3558" s="2" t="s">
        <v>88</v>
      </c>
      <c r="D3558" s="2" t="s">
        <v>2566</v>
      </c>
      <c r="E3558" s="2" t="s">
        <v>2567</v>
      </c>
      <c r="F3558" s="2" t="s">
        <v>852</v>
      </c>
      <c r="G3558" s="2" t="s">
        <v>977</v>
      </c>
      <c r="H3558" s="2" t="s">
        <v>10841</v>
      </c>
      <c r="I3558" s="2" t="s">
        <v>11380</v>
      </c>
      <c r="J3558" s="2" t="s">
        <v>11381</v>
      </c>
      <c r="K3558" s="2" t="s">
        <v>8260</v>
      </c>
      <c r="L3558" s="3">
        <v>12.6</v>
      </c>
      <c r="M3558" s="3">
        <v>13.23</v>
      </c>
      <c r="N3558" s="3">
        <v>29.99</v>
      </c>
      <c r="O3558" s="2" t="s">
        <v>97</v>
      </c>
      <c r="P3558" s="2" t="s">
        <v>98</v>
      </c>
      <c r="Q3558" s="2" t="s">
        <v>99</v>
      </c>
      <c r="R3558" s="2" t="s">
        <v>100</v>
      </c>
      <c r="S3558" s="2" t="s">
        <v>11368</v>
      </c>
      <c r="T3558" s="2" t="s">
        <v>100</v>
      </c>
      <c r="U3558" s="2" t="s">
        <v>100</v>
      </c>
      <c r="V3558" s="2" t="s">
        <v>461</v>
      </c>
      <c r="W3558" s="2" t="s">
        <v>142</v>
      </c>
      <c r="X3558" s="2" t="s">
        <v>100</v>
      </c>
      <c r="Y3558" s="2" t="s">
        <v>225</v>
      </c>
      <c r="Z3558" s="4">
        <v>25</v>
      </c>
      <c r="AA3558" s="4">
        <f>=ROUNDDOWN(3.125,0)</f>
      </c>
      <c r="AB3558" s="5">
        <v>8</v>
      </c>
      <c r="AC3558" s="2" t="s">
        <v>875</v>
      </c>
      <c r="AD3558" s="4">
        <v>176</v>
      </c>
      <c r="AE3558" s="4">
        <v>176</v>
      </c>
      <c r="AF3558" s="6">
        <v>65</v>
      </c>
      <c r="AG3558" s="6"/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/>
      <c r="BJ3558" s="4">
        <v>47</v>
      </c>
      <c r="BK3558" s="8">
        <v>630.18</v>
      </c>
      <c r="BL3558" s="2" t="s">
        <v>1847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109</v>
      </c>
      <c r="BV3558" s="2" t="s">
        <v>97</v>
      </c>
      <c r="BW3558" s="2" t="s">
        <v>153</v>
      </c>
      <c r="BX3558" s="2" t="s">
        <v>11389</v>
      </c>
      <c r="BY3558" s="2" t="s">
        <v>112</v>
      </c>
      <c r="BZ3558" s="2" t="s">
        <v>149</v>
      </c>
    </row>
    <row r="3559">
      <c r="A3559" s="2" t="s">
        <v>11390</v>
      </c>
      <c r="B3559" s="2" t="s">
        <v>10807</v>
      </c>
      <c r="C3559" s="2" t="s">
        <v>88</v>
      </c>
      <c r="D3559" s="2" t="s">
        <v>2566</v>
      </c>
      <c r="E3559" s="2" t="s">
        <v>2567</v>
      </c>
      <c r="F3559" s="2" t="s">
        <v>852</v>
      </c>
      <c r="G3559" s="2" t="s">
        <v>977</v>
      </c>
      <c r="H3559" s="2" t="s">
        <v>10841</v>
      </c>
      <c r="I3559" s="2" t="s">
        <v>11380</v>
      </c>
      <c r="J3559" s="2" t="s">
        <v>11381</v>
      </c>
      <c r="K3559" s="2" t="s">
        <v>223</v>
      </c>
      <c r="L3559" s="3">
        <v>12.6</v>
      </c>
      <c r="M3559" s="3">
        <v>13.23</v>
      </c>
      <c r="N3559" s="3">
        <v>29.99</v>
      </c>
      <c r="O3559" s="2" t="s">
        <v>97</v>
      </c>
      <c r="P3559" s="2" t="s">
        <v>98</v>
      </c>
      <c r="Q3559" s="2" t="s">
        <v>99</v>
      </c>
      <c r="R3559" s="2" t="s">
        <v>100</v>
      </c>
      <c r="S3559" s="2" t="s">
        <v>11371</v>
      </c>
      <c r="T3559" s="2" t="s">
        <v>100</v>
      </c>
      <c r="U3559" s="2" t="s">
        <v>1776</v>
      </c>
      <c r="V3559" s="2" t="s">
        <v>461</v>
      </c>
      <c r="W3559" s="2" t="s">
        <v>142</v>
      </c>
      <c r="X3559" s="2" t="s">
        <v>100</v>
      </c>
      <c r="Y3559" s="2" t="s">
        <v>11383</v>
      </c>
      <c r="Z3559" s="4">
        <v>341</v>
      </c>
      <c r="AA3559" s="4">
        <f>=ROUNDDOWN(85.25,0)</f>
      </c>
      <c r="AB3559" s="5">
        <v>4</v>
      </c>
      <c r="AC3559" s="2" t="s">
        <v>875</v>
      </c>
      <c r="AD3559" s="4">
        <v>64</v>
      </c>
      <c r="AE3559" s="4">
        <v>64</v>
      </c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 t="s">
        <v>100</v>
      </c>
      <c r="BD3559" s="8" t="s">
        <v>100</v>
      </c>
      <c r="BE3559" s="4" t="s">
        <v>100</v>
      </c>
      <c r="BF3559" s="8" t="s">
        <v>100</v>
      </c>
      <c r="BG3559" s="7" t="s">
        <v>100</v>
      </c>
      <c r="BH3559" s="7" t="s">
        <v>100</v>
      </c>
      <c r="BI3559" s="7"/>
      <c r="BJ3559" s="4">
        <v>43</v>
      </c>
      <c r="BK3559" s="8">
        <v>594.03</v>
      </c>
      <c r="BL3559" s="2" t="s">
        <v>11384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5476</v>
      </c>
      <c r="BX3559" s="2" t="s">
        <v>11391</v>
      </c>
      <c r="BY3559" s="2" t="s">
        <v>112</v>
      </c>
      <c r="BZ3559" s="2" t="s">
        <v>149</v>
      </c>
    </row>
    <row r="3560">
      <c r="A3560" s="2" t="s">
        <v>11392</v>
      </c>
      <c r="B3560" s="2" t="s">
        <v>10807</v>
      </c>
      <c r="C3560" s="2" t="s">
        <v>88</v>
      </c>
      <c r="D3560" s="2" t="s">
        <v>2566</v>
      </c>
      <c r="E3560" s="2" t="s">
        <v>2567</v>
      </c>
      <c r="F3560" s="2" t="s">
        <v>852</v>
      </c>
      <c r="G3560" s="2" t="s">
        <v>977</v>
      </c>
      <c r="H3560" s="2" t="s">
        <v>10841</v>
      </c>
      <c r="I3560" s="2" t="s">
        <v>11380</v>
      </c>
      <c r="J3560" s="2" t="s">
        <v>11381</v>
      </c>
      <c r="K3560" s="2" t="s">
        <v>10859</v>
      </c>
      <c r="L3560" s="3">
        <v>12.6</v>
      </c>
      <c r="M3560" s="3">
        <v>13.23</v>
      </c>
      <c r="N3560" s="3">
        <v>29.99</v>
      </c>
      <c r="O3560" s="2" t="s">
        <v>97</v>
      </c>
      <c r="P3560" s="2" t="s">
        <v>98</v>
      </c>
      <c r="Q3560" s="2" t="s">
        <v>99</v>
      </c>
      <c r="R3560" s="2" t="s">
        <v>100</v>
      </c>
      <c r="S3560" s="2" t="s">
        <v>11375</v>
      </c>
      <c r="T3560" s="2" t="s">
        <v>100</v>
      </c>
      <c r="U3560" s="2" t="s">
        <v>100</v>
      </c>
      <c r="V3560" s="2" t="s">
        <v>461</v>
      </c>
      <c r="W3560" s="2" t="s">
        <v>142</v>
      </c>
      <c r="X3560" s="2" t="s">
        <v>100</v>
      </c>
      <c r="Y3560" s="2" t="s">
        <v>225</v>
      </c>
      <c r="Z3560" s="4">
        <v>337</v>
      </c>
      <c r="AA3560" s="4">
        <f>=ROUNDDOWN(25.9230769230769,0)</f>
      </c>
      <c r="AB3560" s="5">
        <v>13</v>
      </c>
      <c r="AC3560" s="2" t="s">
        <v>100</v>
      </c>
      <c r="AD3560" s="4"/>
      <c r="AE3560" s="4"/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100</v>
      </c>
      <c r="BD3560" s="8" t="s">
        <v>100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/>
      <c r="BJ3560" s="4">
        <v>22</v>
      </c>
      <c r="BK3560" s="8">
        <v>331.68</v>
      </c>
      <c r="BL3560" s="2" t="s">
        <v>11393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153</v>
      </c>
      <c r="BX3560" s="2" t="s">
        <v>128</v>
      </c>
      <c r="BY3560" s="2" t="s">
        <v>112</v>
      </c>
      <c r="BZ3560" s="2" t="s">
        <v>149</v>
      </c>
    </row>
    <row r="3561">
      <c r="A3561" s="2" t="s">
        <v>11394</v>
      </c>
      <c r="B3561" s="2" t="s">
        <v>10807</v>
      </c>
      <c r="C3561" s="2" t="s">
        <v>88</v>
      </c>
      <c r="D3561" s="2" t="s">
        <v>2566</v>
      </c>
      <c r="E3561" s="2" t="s">
        <v>2567</v>
      </c>
      <c r="F3561" s="2" t="s">
        <v>852</v>
      </c>
      <c r="G3561" s="2" t="s">
        <v>977</v>
      </c>
      <c r="H3561" s="2" t="s">
        <v>10841</v>
      </c>
      <c r="I3561" s="2" t="s">
        <v>11380</v>
      </c>
      <c r="J3561" s="2" t="s">
        <v>11381</v>
      </c>
      <c r="K3561" s="2" t="s">
        <v>878</v>
      </c>
      <c r="L3561" s="3">
        <v>12.6</v>
      </c>
      <c r="M3561" s="3">
        <v>13.23</v>
      </c>
      <c r="N3561" s="3">
        <v>29.99</v>
      </c>
      <c r="O3561" s="2" t="s">
        <v>97</v>
      </c>
      <c r="P3561" s="2" t="s">
        <v>98</v>
      </c>
      <c r="Q3561" s="2" t="s">
        <v>99</v>
      </c>
      <c r="R3561" s="2" t="s">
        <v>100</v>
      </c>
      <c r="S3561" s="2" t="s">
        <v>11378</v>
      </c>
      <c r="T3561" s="2" t="s">
        <v>100</v>
      </c>
      <c r="U3561" s="2" t="s">
        <v>1776</v>
      </c>
      <c r="V3561" s="2" t="s">
        <v>461</v>
      </c>
      <c r="W3561" s="2" t="s">
        <v>142</v>
      </c>
      <c r="X3561" s="2" t="s">
        <v>100</v>
      </c>
      <c r="Y3561" s="2" t="s">
        <v>11383</v>
      </c>
      <c r="Z3561" s="4">
        <v>173</v>
      </c>
      <c r="AA3561" s="4">
        <f>=ROUNDDOWN(24.7142857142857,0)</f>
      </c>
      <c r="AB3561" s="5">
        <v>7</v>
      </c>
      <c r="AC3561" s="2" t="s">
        <v>100</v>
      </c>
      <c r="AD3561" s="4"/>
      <c r="AE3561" s="4"/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100</v>
      </c>
      <c r="BD3561" s="8" t="s">
        <v>100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/>
      <c r="BJ3561" s="4">
        <v>20</v>
      </c>
      <c r="BK3561" s="8">
        <v>265.54</v>
      </c>
      <c r="BL3561" s="2" t="s">
        <v>11395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5476</v>
      </c>
      <c r="BX3561" s="2" t="s">
        <v>10580</v>
      </c>
      <c r="BY3561" s="2" t="s">
        <v>112</v>
      </c>
      <c r="BZ3561" s="2" t="s">
        <v>149</v>
      </c>
    </row>
    <row r="3562">
      <c r="A3562" s="2" t="s">
        <v>11396</v>
      </c>
      <c r="B3562" s="2" t="s">
        <v>10807</v>
      </c>
      <c r="C3562" s="2" t="s">
        <v>88</v>
      </c>
      <c r="D3562" s="2" t="s">
        <v>2566</v>
      </c>
      <c r="E3562" s="2" t="s">
        <v>2567</v>
      </c>
      <c r="F3562" s="2" t="s">
        <v>852</v>
      </c>
      <c r="G3562" s="2" t="s">
        <v>977</v>
      </c>
      <c r="H3562" s="2" t="s">
        <v>10841</v>
      </c>
      <c r="I3562" s="2" t="s">
        <v>11380</v>
      </c>
      <c r="J3562" s="2" t="s">
        <v>11381</v>
      </c>
      <c r="K3562" s="2" t="s">
        <v>458</v>
      </c>
      <c r="L3562" s="3">
        <v>12.6</v>
      </c>
      <c r="M3562" s="3">
        <v>13.23</v>
      </c>
      <c r="N3562" s="3">
        <v>29.99</v>
      </c>
      <c r="O3562" s="2" t="s">
        <v>97</v>
      </c>
      <c r="P3562" s="2" t="s">
        <v>156</v>
      </c>
      <c r="Q3562" s="2" t="s">
        <v>99</v>
      </c>
      <c r="R3562" s="2" t="s">
        <v>100</v>
      </c>
      <c r="S3562" s="2" t="s">
        <v>10844</v>
      </c>
      <c r="T3562" s="2" t="s">
        <v>100</v>
      </c>
      <c r="U3562" s="2" t="s">
        <v>100</v>
      </c>
      <c r="V3562" s="2" t="s">
        <v>461</v>
      </c>
      <c r="W3562" s="2" t="s">
        <v>142</v>
      </c>
      <c r="X3562" s="2" t="s">
        <v>100</v>
      </c>
      <c r="Y3562" s="2" t="s">
        <v>225</v>
      </c>
      <c r="Z3562" s="4">
        <v>753</v>
      </c>
      <c r="AA3562" s="4">
        <f>=ROUNDDOWN(31.375,0)</f>
      </c>
      <c r="AB3562" s="5">
        <v>24</v>
      </c>
      <c r="AC3562" s="2" t="s">
        <v>100</v>
      </c>
      <c r="AD3562" s="4"/>
      <c r="AE3562" s="4"/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 t="s">
        <v>100</v>
      </c>
      <c r="BD3562" s="8" t="s">
        <v>100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/>
      <c r="BJ3562" s="4">
        <v>105</v>
      </c>
      <c r="BK3562" s="8">
        <v>1364.36</v>
      </c>
      <c r="BL3562" s="2" t="s">
        <v>11397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153</v>
      </c>
      <c r="BX3562" s="2" t="s">
        <v>128</v>
      </c>
      <c r="BY3562" s="2" t="s">
        <v>112</v>
      </c>
      <c r="BZ3562" s="2" t="s">
        <v>149</v>
      </c>
    </row>
    <row r="3563">
      <c r="A3563" s="2" t="s">
        <v>11398</v>
      </c>
      <c r="B3563" s="2" t="s">
        <v>10807</v>
      </c>
      <c r="C3563" s="2" t="s">
        <v>88</v>
      </c>
      <c r="D3563" s="2" t="s">
        <v>2566</v>
      </c>
      <c r="E3563" s="2" t="s">
        <v>2567</v>
      </c>
      <c r="F3563" s="2" t="s">
        <v>252</v>
      </c>
      <c r="G3563" s="2" t="s">
        <v>253</v>
      </c>
      <c r="H3563" s="2" t="s">
        <v>254</v>
      </c>
      <c r="I3563" s="2" t="s">
        <v>11399</v>
      </c>
      <c r="J3563" s="2" t="s">
        <v>11334</v>
      </c>
      <c r="K3563" s="2" t="s">
        <v>223</v>
      </c>
      <c r="L3563" s="3">
        <v>11.25</v>
      </c>
      <c r="M3563" s="3">
        <v>11.81</v>
      </c>
      <c r="N3563" s="3">
        <v>24.99</v>
      </c>
      <c r="O3563" s="2" t="s">
        <v>97</v>
      </c>
      <c r="P3563" s="2" t="s">
        <v>707</v>
      </c>
      <c r="Q3563" s="2" t="s">
        <v>99</v>
      </c>
      <c r="R3563" s="2" t="s">
        <v>100</v>
      </c>
      <c r="S3563" s="2" t="s">
        <v>4570</v>
      </c>
      <c r="T3563" s="2" t="s">
        <v>100</v>
      </c>
      <c r="U3563" s="2" t="s">
        <v>100</v>
      </c>
      <c r="V3563" s="2" t="s">
        <v>141</v>
      </c>
      <c r="W3563" s="2" t="s">
        <v>104</v>
      </c>
      <c r="X3563" s="2" t="s">
        <v>100</v>
      </c>
      <c r="Y3563" s="2" t="s">
        <v>1108</v>
      </c>
      <c r="Z3563" s="4">
        <v>98</v>
      </c>
      <c r="AA3563" s="4">
        <f>=ROUNDDOWN(10.8888888888889,0)</f>
      </c>
      <c r="AB3563" s="5">
        <v>9</v>
      </c>
      <c r="AC3563" s="2" t="s">
        <v>100</v>
      </c>
      <c r="AD3563" s="4"/>
      <c r="AE3563" s="4"/>
      <c r="AF3563" s="6">
        <v>64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 t="s">
        <v>100</v>
      </c>
      <c r="BD3563" s="8" t="s">
        <v>100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/>
      <c r="BJ3563" s="4">
        <v>38</v>
      </c>
      <c r="BK3563" s="8">
        <v>434.25</v>
      </c>
      <c r="BL3563" s="2" t="s">
        <v>9847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10985</v>
      </c>
      <c r="BX3563" s="2" t="s">
        <v>1695</v>
      </c>
      <c r="BY3563" s="2" t="s">
        <v>112</v>
      </c>
      <c r="BZ3563" s="2" t="s">
        <v>149</v>
      </c>
    </row>
    <row r="3564">
      <c r="A3564" s="2" t="s">
        <v>11400</v>
      </c>
      <c r="B3564" s="2" t="s">
        <v>10807</v>
      </c>
      <c r="C3564" s="2" t="s">
        <v>88</v>
      </c>
      <c r="D3564" s="2" t="s">
        <v>2566</v>
      </c>
      <c r="E3564" s="2" t="s">
        <v>2567</v>
      </c>
      <c r="F3564" s="2" t="s">
        <v>252</v>
      </c>
      <c r="G3564" s="2" t="s">
        <v>253</v>
      </c>
      <c r="H3564" s="2" t="s">
        <v>254</v>
      </c>
      <c r="I3564" s="2" t="s">
        <v>11399</v>
      </c>
      <c r="J3564" s="2" t="s">
        <v>11334</v>
      </c>
      <c r="K3564" s="2" t="s">
        <v>626</v>
      </c>
      <c r="L3564" s="3">
        <v>11.25</v>
      </c>
      <c r="M3564" s="3">
        <v>11.81</v>
      </c>
      <c r="N3564" s="3">
        <v>24.99</v>
      </c>
      <c r="O3564" s="2" t="s">
        <v>97</v>
      </c>
      <c r="P3564" s="2" t="s">
        <v>98</v>
      </c>
      <c r="Q3564" s="2" t="s">
        <v>99</v>
      </c>
      <c r="R3564" s="2" t="s">
        <v>100</v>
      </c>
      <c r="S3564" s="2" t="s">
        <v>4573</v>
      </c>
      <c r="T3564" s="2" t="s">
        <v>100</v>
      </c>
      <c r="U3564" s="2" t="s">
        <v>1776</v>
      </c>
      <c r="V3564" s="2" t="s">
        <v>141</v>
      </c>
      <c r="W3564" s="2" t="s">
        <v>104</v>
      </c>
      <c r="X3564" s="2" t="s">
        <v>100</v>
      </c>
      <c r="Y3564" s="2" t="s">
        <v>10988</v>
      </c>
      <c r="Z3564" s="4">
        <v>1</v>
      </c>
      <c r="AA3564" s="4">
        <f>=ROUNDDOWN(0.0833333333333333,0)</f>
      </c>
      <c r="AB3564" s="5">
        <v>12</v>
      </c>
      <c r="AC3564" s="2" t="s">
        <v>312</v>
      </c>
      <c r="AD3564" s="4">
        <v>280</v>
      </c>
      <c r="AE3564" s="4">
        <v>384</v>
      </c>
      <c r="AF3564" s="6">
        <v>64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 t="s">
        <v>100</v>
      </c>
      <c r="BD3564" s="8" t="s">
        <v>100</v>
      </c>
      <c r="BE3564" s="4" t="s">
        <v>100</v>
      </c>
      <c r="BF3564" s="8" t="s">
        <v>100</v>
      </c>
      <c r="BG3564" s="7" t="s">
        <v>100</v>
      </c>
      <c r="BH3564" s="7" t="s">
        <v>100</v>
      </c>
      <c r="BI3564" s="7"/>
      <c r="BJ3564" s="4">
        <v>52</v>
      </c>
      <c r="BK3564" s="8">
        <v>628</v>
      </c>
      <c r="BL3564" s="2" t="s">
        <v>2046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1673</v>
      </c>
      <c r="BX3564" s="2" t="s">
        <v>278</v>
      </c>
      <c r="BY3564" s="2" t="s">
        <v>112</v>
      </c>
      <c r="BZ3564" s="2" t="s">
        <v>149</v>
      </c>
    </row>
    <row r="3565">
      <c r="A3565" s="2" t="s">
        <v>11401</v>
      </c>
      <c r="B3565" s="2" t="s">
        <v>10807</v>
      </c>
      <c r="C3565" s="2" t="s">
        <v>11402</v>
      </c>
      <c r="D3565" s="2" t="s">
        <v>2572</v>
      </c>
      <c r="E3565" s="2" t="s">
        <v>2573</v>
      </c>
      <c r="F3565" s="2" t="s">
        <v>11403</v>
      </c>
      <c r="G3565" s="2" t="s">
        <v>11404</v>
      </c>
      <c r="H3565" s="2" t="s">
        <v>11405</v>
      </c>
      <c r="I3565" s="2" t="s">
        <v>11406</v>
      </c>
      <c r="J3565" s="2" t="s">
        <v>10811</v>
      </c>
      <c r="K3565" s="2" t="s">
        <v>1373</v>
      </c>
      <c r="L3565" s="3">
        <v>16.8</v>
      </c>
      <c r="M3565" s="3">
        <v>17.64</v>
      </c>
      <c r="N3565" s="3">
        <v>39.99</v>
      </c>
      <c r="O3565" s="2" t="s">
        <v>97</v>
      </c>
      <c r="P3565" s="2" t="s">
        <v>156</v>
      </c>
      <c r="Q3565" s="2" t="s">
        <v>99</v>
      </c>
      <c r="R3565" s="2" t="s">
        <v>100</v>
      </c>
      <c r="S3565" s="2" t="s">
        <v>11407</v>
      </c>
      <c r="T3565" s="2" t="s">
        <v>100</v>
      </c>
      <c r="U3565" s="2" t="s">
        <v>100</v>
      </c>
      <c r="V3565" s="2" t="s">
        <v>473</v>
      </c>
      <c r="W3565" s="2" t="s">
        <v>493</v>
      </c>
      <c r="X3565" s="2" t="s">
        <v>10845</v>
      </c>
      <c r="Y3565" s="2" t="s">
        <v>1935</v>
      </c>
      <c r="Z3565" s="4">
        <v>159</v>
      </c>
      <c r="AA3565" s="4">
        <f>=ROUNDDOWN(6.36,0)</f>
      </c>
      <c r="AB3565" s="5">
        <v>25</v>
      </c>
      <c r="AC3565" s="2" t="s">
        <v>312</v>
      </c>
      <c r="AD3565" s="4">
        <v>456</v>
      </c>
      <c r="AE3565" s="4">
        <v>780</v>
      </c>
      <c r="AF3565" s="6">
        <v>68</v>
      </c>
      <c r="AG3565" s="6"/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14</v>
      </c>
      <c r="AQ3565" s="8">
        <v>211.68</v>
      </c>
      <c r="AR3565" s="4"/>
      <c r="AS3565" s="8"/>
      <c r="AT3565" s="7"/>
      <c r="AU3565" s="7"/>
      <c r="AV3565" s="4">
        <v>15</v>
      </c>
      <c r="AW3565" s="8">
        <v>228.95</v>
      </c>
      <c r="AX3565" s="4" t="s">
        <v>100</v>
      </c>
      <c r="AY3565" s="8" t="s">
        <v>100</v>
      </c>
      <c r="AZ3565" s="7" t="s">
        <v>100</v>
      </c>
      <c r="BA3565" s="7" t="s">
        <v>100</v>
      </c>
      <c r="BB3565" s="7">
        <v>0.9246</v>
      </c>
      <c r="BC3565" s="4">
        <v>28</v>
      </c>
      <c r="BD3565" s="8">
        <v>442.78</v>
      </c>
      <c r="BE3565" s="4" t="s">
        <v>100</v>
      </c>
      <c r="BF3565" s="8" t="s">
        <v>100</v>
      </c>
      <c r="BG3565" s="7" t="s">
        <v>100</v>
      </c>
      <c r="BH3565" s="7" t="s">
        <v>100</v>
      </c>
      <c r="BI3565" s="7">
        <v>0.5171</v>
      </c>
      <c r="BJ3565" s="4">
        <v>109</v>
      </c>
      <c r="BK3565" s="8">
        <v>1875.43</v>
      </c>
      <c r="BL3565" s="2" t="s">
        <v>11408</v>
      </c>
      <c r="BM3565" s="7">
        <v>0.1284</v>
      </c>
      <c r="BN3565" s="7">
        <v>0.1129</v>
      </c>
      <c r="BO3565" s="4">
        <v>14</v>
      </c>
      <c r="BP3565" s="8">
        <v>211.68</v>
      </c>
      <c r="BQ3565" s="4"/>
      <c r="BR3565" s="8"/>
      <c r="BS3565" s="7"/>
      <c r="BT3565" s="7"/>
      <c r="BU3565" s="2" t="s">
        <v>109</v>
      </c>
      <c r="BV3565" s="2" t="s">
        <v>97</v>
      </c>
      <c r="BW3565" s="2" t="s">
        <v>4899</v>
      </c>
      <c r="BX3565" s="2" t="s">
        <v>11409</v>
      </c>
      <c r="BY3565" s="2" t="s">
        <v>112</v>
      </c>
      <c r="BZ3565" s="2" t="s">
        <v>149</v>
      </c>
    </row>
    <row r="3566">
      <c r="A3566" s="2" t="s">
        <v>11410</v>
      </c>
      <c r="B3566" s="2" t="s">
        <v>10807</v>
      </c>
      <c r="C3566" s="2" t="s">
        <v>11402</v>
      </c>
      <c r="D3566" s="2" t="s">
        <v>2572</v>
      </c>
      <c r="E3566" s="2" t="s">
        <v>2573</v>
      </c>
      <c r="F3566" s="2" t="s">
        <v>11403</v>
      </c>
      <c r="G3566" s="2" t="s">
        <v>11404</v>
      </c>
      <c r="H3566" s="2" t="s">
        <v>11405</v>
      </c>
      <c r="I3566" s="2" t="s">
        <v>11406</v>
      </c>
      <c r="J3566" s="2" t="s">
        <v>10818</v>
      </c>
      <c r="K3566" s="2" t="s">
        <v>1373</v>
      </c>
      <c r="L3566" s="3">
        <v>18.9</v>
      </c>
      <c r="M3566" s="3">
        <v>19.84</v>
      </c>
      <c r="N3566" s="3">
        <v>44.99</v>
      </c>
      <c r="O3566" s="2" t="s">
        <v>97</v>
      </c>
      <c r="P3566" s="2" t="s">
        <v>156</v>
      </c>
      <c r="Q3566" s="2" t="s">
        <v>99</v>
      </c>
      <c r="R3566" s="2" t="s">
        <v>100</v>
      </c>
      <c r="S3566" s="2" t="s">
        <v>11407</v>
      </c>
      <c r="T3566" s="2" t="s">
        <v>100</v>
      </c>
      <c r="U3566" s="2" t="s">
        <v>100</v>
      </c>
      <c r="V3566" s="2" t="s">
        <v>473</v>
      </c>
      <c r="W3566" s="2" t="s">
        <v>493</v>
      </c>
      <c r="X3566" s="2" t="s">
        <v>10845</v>
      </c>
      <c r="Y3566" s="2" t="s">
        <v>1935</v>
      </c>
      <c r="Z3566" s="4">
        <v>105</v>
      </c>
      <c r="AA3566" s="4">
        <f>=ROUNDDOWN(5.25,0)</f>
      </c>
      <c r="AB3566" s="5">
        <v>20</v>
      </c>
      <c r="AC3566" s="2" t="s">
        <v>312</v>
      </c>
      <c r="AD3566" s="4">
        <v>340</v>
      </c>
      <c r="AE3566" s="4">
        <v>604</v>
      </c>
      <c r="AF3566" s="6">
        <v>68</v>
      </c>
      <c r="AG3566" s="6"/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0</v>
      </c>
      <c r="AP3566" s="4">
        <v>1</v>
      </c>
      <c r="AQ3566" s="8">
        <v>17.27</v>
      </c>
      <c r="AR3566" s="4"/>
      <c r="AS3566" s="8"/>
      <c r="AT3566" s="7"/>
      <c r="AU3566" s="7"/>
      <c r="AV3566" s="4" t="s">
        <v>100</v>
      </c>
      <c r="AW3566" s="8" t="s">
        <v>100</v>
      </c>
      <c r="AX3566" s="4" t="s">
        <v>100</v>
      </c>
      <c r="AY3566" s="8" t="s">
        <v>100</v>
      </c>
      <c r="AZ3566" s="7" t="s">
        <v>100</v>
      </c>
      <c r="BA3566" s="7" t="s">
        <v>100</v>
      </c>
      <c r="BB3566" s="7">
        <v>0.0754</v>
      </c>
      <c r="BC3566" s="4" t="s">
        <v>100</v>
      </c>
      <c r="BD3566" s="8" t="s">
        <v>100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 t="s">
        <v>100</v>
      </c>
      <c r="BJ3566" s="4">
        <v>24</v>
      </c>
      <c r="BK3566" s="8">
        <v>465.25</v>
      </c>
      <c r="BL3566" s="2" t="s">
        <v>11411</v>
      </c>
      <c r="BM3566" s="7">
        <v>0.0417</v>
      </c>
      <c r="BN3566" s="7">
        <v>0.0371</v>
      </c>
      <c r="BO3566" s="4">
        <v>1</v>
      </c>
      <c r="BP3566" s="8">
        <v>17.27</v>
      </c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4899</v>
      </c>
      <c r="BX3566" s="2" t="s">
        <v>4908</v>
      </c>
      <c r="BY3566" s="2" t="s">
        <v>112</v>
      </c>
      <c r="BZ3566" s="2" t="s">
        <v>149</v>
      </c>
    </row>
    <row r="3567">
      <c r="A3567" s="2" t="s">
        <v>11412</v>
      </c>
      <c r="B3567" s="2" t="s">
        <v>10807</v>
      </c>
      <c r="C3567" s="2" t="s">
        <v>11402</v>
      </c>
      <c r="D3567" s="2" t="s">
        <v>2572</v>
      </c>
      <c r="E3567" s="2" t="s">
        <v>2573</v>
      </c>
      <c r="F3567" s="2" t="s">
        <v>11403</v>
      </c>
      <c r="G3567" s="2" t="s">
        <v>11404</v>
      </c>
      <c r="H3567" s="2" t="s">
        <v>11405</v>
      </c>
      <c r="I3567" s="2" t="s">
        <v>11406</v>
      </c>
      <c r="J3567" s="2" t="s">
        <v>10921</v>
      </c>
      <c r="K3567" s="2" t="s">
        <v>1373</v>
      </c>
      <c r="L3567" s="3">
        <v>21</v>
      </c>
      <c r="M3567" s="3">
        <v>22.05</v>
      </c>
      <c r="N3567" s="3">
        <v>49.99</v>
      </c>
      <c r="O3567" s="2" t="s">
        <v>97</v>
      </c>
      <c r="P3567" s="2" t="s">
        <v>156</v>
      </c>
      <c r="Q3567" s="2" t="s">
        <v>99</v>
      </c>
      <c r="R3567" s="2" t="s">
        <v>100</v>
      </c>
      <c r="S3567" s="2" t="s">
        <v>11407</v>
      </c>
      <c r="T3567" s="2" t="s">
        <v>100</v>
      </c>
      <c r="U3567" s="2" t="s">
        <v>100</v>
      </c>
      <c r="V3567" s="2" t="s">
        <v>473</v>
      </c>
      <c r="W3567" s="2" t="s">
        <v>493</v>
      </c>
      <c r="X3567" s="2" t="s">
        <v>10845</v>
      </c>
      <c r="Y3567" s="2" t="s">
        <v>1935</v>
      </c>
      <c r="Z3567" s="4">
        <v>238</v>
      </c>
      <c r="AA3567" s="4">
        <f>=ROUNDDOWN(21.6363636363636,0)</f>
      </c>
      <c r="AB3567" s="5">
        <v>11</v>
      </c>
      <c r="AC3567" s="2" t="s">
        <v>389</v>
      </c>
      <c r="AD3567" s="4">
        <v>120</v>
      </c>
      <c r="AE3567" s="4">
        <v>120</v>
      </c>
      <c r="AF3567" s="6">
        <v>68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/>
      <c r="AQ3567" s="8"/>
      <c r="AR3567" s="4"/>
      <c r="AS3567" s="8"/>
      <c r="AT3567" s="7"/>
      <c r="AU3567" s="7"/>
      <c r="AV3567" s="4" t="s">
        <v>100</v>
      </c>
      <c r="AW3567" s="8" t="s">
        <v>100</v>
      </c>
      <c r="AX3567" s="4" t="s">
        <v>100</v>
      </c>
      <c r="AY3567" s="8" t="s">
        <v>100</v>
      </c>
      <c r="AZ3567" s="7" t="s">
        <v>100</v>
      </c>
      <c r="BA3567" s="7" t="s">
        <v>100</v>
      </c>
      <c r="BB3567" s="7"/>
      <c r="BC3567" s="4" t="s">
        <v>100</v>
      </c>
      <c r="BD3567" s="8" t="s">
        <v>100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 t="s">
        <v>100</v>
      </c>
      <c r="BJ3567" s="4">
        <v>29</v>
      </c>
      <c r="BK3567" s="8">
        <v>594.08</v>
      </c>
      <c r="BL3567" s="2" t="s">
        <v>1576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4899</v>
      </c>
      <c r="BX3567" s="2" t="s">
        <v>4925</v>
      </c>
      <c r="BY3567" s="2" t="s">
        <v>112</v>
      </c>
      <c r="BZ3567" s="2" t="s">
        <v>100</v>
      </c>
    </row>
    <row r="3568">
      <c r="A3568" s="2" t="s">
        <v>11413</v>
      </c>
      <c r="B3568" s="2" t="s">
        <v>10807</v>
      </c>
      <c r="C3568" s="2" t="s">
        <v>11402</v>
      </c>
      <c r="D3568" s="2" t="s">
        <v>2572</v>
      </c>
      <c r="E3568" s="2" t="s">
        <v>2573</v>
      </c>
      <c r="F3568" s="2" t="s">
        <v>11403</v>
      </c>
      <c r="G3568" s="2" t="s">
        <v>11404</v>
      </c>
      <c r="H3568" s="2" t="s">
        <v>11405</v>
      </c>
      <c r="I3568" s="2" t="s">
        <v>11406</v>
      </c>
      <c r="J3568" s="2" t="s">
        <v>10811</v>
      </c>
      <c r="K3568" s="2" t="s">
        <v>4362</v>
      </c>
      <c r="L3568" s="3">
        <v>16.8</v>
      </c>
      <c r="M3568" s="3">
        <v>17.64</v>
      </c>
      <c r="N3568" s="3">
        <v>39.99</v>
      </c>
      <c r="O3568" s="2" t="s">
        <v>97</v>
      </c>
      <c r="P3568" s="2" t="s">
        <v>98</v>
      </c>
      <c r="Q3568" s="2" t="s">
        <v>99</v>
      </c>
      <c r="R3568" s="2" t="s">
        <v>100</v>
      </c>
      <c r="S3568" s="2" t="s">
        <v>11414</v>
      </c>
      <c r="T3568" s="2" t="s">
        <v>100</v>
      </c>
      <c r="U3568" s="2" t="s">
        <v>100</v>
      </c>
      <c r="V3568" s="2" t="s">
        <v>473</v>
      </c>
      <c r="W3568" s="2" t="s">
        <v>493</v>
      </c>
      <c r="X3568" s="2" t="s">
        <v>10845</v>
      </c>
      <c r="Y3568" s="2" t="s">
        <v>1935</v>
      </c>
      <c r="Z3568" s="4">
        <v>536</v>
      </c>
      <c r="AA3568" s="4">
        <f>=ROUNDDOWN(19.8518518518519,0)</f>
      </c>
      <c r="AB3568" s="5">
        <v>27</v>
      </c>
      <c r="AC3568" s="2" t="s">
        <v>676</v>
      </c>
      <c r="AD3568" s="4">
        <v>392</v>
      </c>
      <c r="AE3568" s="4">
        <v>892</v>
      </c>
      <c r="AF3568" s="6">
        <v>68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8</v>
      </c>
      <c r="AQ3568" s="8">
        <v>120.96</v>
      </c>
      <c r="AR3568" s="4"/>
      <c r="AS3568" s="8"/>
      <c r="AT3568" s="7"/>
      <c r="AU3568" s="7"/>
      <c r="AV3568" s="4">
        <v>13</v>
      </c>
      <c r="AW3568" s="8">
        <v>213.83</v>
      </c>
      <c r="AX3568" s="4" t="s">
        <v>100</v>
      </c>
      <c r="AY3568" s="8" t="s">
        <v>100</v>
      </c>
      <c r="AZ3568" s="7" t="s">
        <v>100</v>
      </c>
      <c r="BA3568" s="7" t="s">
        <v>100</v>
      </c>
      <c r="BB3568" s="7">
        <v>0.5657</v>
      </c>
      <c r="BC3568" s="4" t="s">
        <v>100</v>
      </c>
      <c r="BD3568" s="8" t="s">
        <v>100</v>
      </c>
      <c r="BE3568" s="4" t="s">
        <v>100</v>
      </c>
      <c r="BF3568" s="8" t="s">
        <v>100</v>
      </c>
      <c r="BG3568" s="7" t="s">
        <v>100</v>
      </c>
      <c r="BH3568" s="7" t="s">
        <v>100</v>
      </c>
      <c r="BI3568" s="7">
        <v>0.4829</v>
      </c>
      <c r="BJ3568" s="4">
        <v>44</v>
      </c>
      <c r="BK3568" s="8">
        <v>747.56</v>
      </c>
      <c r="BL3568" s="2" t="s">
        <v>1500</v>
      </c>
      <c r="BM3568" s="7">
        <v>0.1818</v>
      </c>
      <c r="BN3568" s="7">
        <v>0.1618</v>
      </c>
      <c r="BO3568" s="4">
        <v>8</v>
      </c>
      <c r="BP3568" s="8">
        <v>120.96</v>
      </c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4899</v>
      </c>
      <c r="BX3568" s="2" t="s">
        <v>4725</v>
      </c>
      <c r="BY3568" s="2" t="s">
        <v>112</v>
      </c>
      <c r="BZ3568" s="2" t="s">
        <v>149</v>
      </c>
    </row>
    <row r="3569">
      <c r="A3569" s="2" t="s">
        <v>11415</v>
      </c>
      <c r="B3569" s="2" t="s">
        <v>10807</v>
      </c>
      <c r="C3569" s="2" t="s">
        <v>11402</v>
      </c>
      <c r="D3569" s="2" t="s">
        <v>2572</v>
      </c>
      <c r="E3569" s="2" t="s">
        <v>2573</v>
      </c>
      <c r="F3569" s="2" t="s">
        <v>11403</v>
      </c>
      <c r="G3569" s="2" t="s">
        <v>11404</v>
      </c>
      <c r="H3569" s="2" t="s">
        <v>11405</v>
      </c>
      <c r="I3569" s="2" t="s">
        <v>11406</v>
      </c>
      <c r="J3569" s="2" t="s">
        <v>10818</v>
      </c>
      <c r="K3569" s="2" t="s">
        <v>4362</v>
      </c>
      <c r="L3569" s="3">
        <v>18.9</v>
      </c>
      <c r="M3569" s="3">
        <v>19.84</v>
      </c>
      <c r="N3569" s="3">
        <v>44.99</v>
      </c>
      <c r="O3569" s="2" t="s">
        <v>97</v>
      </c>
      <c r="P3569" s="2" t="s">
        <v>98</v>
      </c>
      <c r="Q3569" s="2" t="s">
        <v>99</v>
      </c>
      <c r="R3569" s="2" t="s">
        <v>100</v>
      </c>
      <c r="S3569" s="2" t="s">
        <v>11414</v>
      </c>
      <c r="T3569" s="2" t="s">
        <v>100</v>
      </c>
      <c r="U3569" s="2" t="s">
        <v>100</v>
      </c>
      <c r="V3569" s="2" t="s">
        <v>473</v>
      </c>
      <c r="W3569" s="2" t="s">
        <v>493</v>
      </c>
      <c r="X3569" s="2" t="s">
        <v>10845</v>
      </c>
      <c r="Y3569" s="2" t="s">
        <v>1935</v>
      </c>
      <c r="Z3569" s="4">
        <v>304</v>
      </c>
      <c r="AA3569" s="4">
        <f>=ROUNDDOWN(20.2666666666667,0)</f>
      </c>
      <c r="AB3569" s="5">
        <v>15</v>
      </c>
      <c r="AC3569" s="2" t="s">
        <v>676</v>
      </c>
      <c r="AD3569" s="4">
        <v>216</v>
      </c>
      <c r="AE3569" s="4">
        <v>500</v>
      </c>
      <c r="AF3569" s="6">
        <v>68</v>
      </c>
      <c r="AG3569" s="6"/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1</v>
      </c>
      <c r="AQ3569" s="8">
        <v>17.27</v>
      </c>
      <c r="AR3569" s="4"/>
      <c r="AS3569" s="8"/>
      <c r="AT3569" s="7"/>
      <c r="AU3569" s="7"/>
      <c r="AV3569" s="4" t="s">
        <v>100</v>
      </c>
      <c r="AW3569" s="8" t="s">
        <v>100</v>
      </c>
      <c r="AX3569" s="4" t="s">
        <v>100</v>
      </c>
      <c r="AY3569" s="8" t="s">
        <v>100</v>
      </c>
      <c r="AZ3569" s="7" t="s">
        <v>100</v>
      </c>
      <c r="BA3569" s="7" t="s">
        <v>100</v>
      </c>
      <c r="BB3569" s="7">
        <v>0.0808</v>
      </c>
      <c r="BC3569" s="4" t="s">
        <v>100</v>
      </c>
      <c r="BD3569" s="8" t="s">
        <v>100</v>
      </c>
      <c r="BE3569" s="4" t="s">
        <v>100</v>
      </c>
      <c r="BF3569" s="8" t="s">
        <v>100</v>
      </c>
      <c r="BG3569" s="7" t="s">
        <v>100</v>
      </c>
      <c r="BH3569" s="7" t="s">
        <v>100</v>
      </c>
      <c r="BI3569" s="7" t="s">
        <v>100</v>
      </c>
      <c r="BJ3569" s="4">
        <v>21</v>
      </c>
      <c r="BK3569" s="8">
        <v>421.35</v>
      </c>
      <c r="BL3569" s="2" t="s">
        <v>11416</v>
      </c>
      <c r="BM3569" s="7">
        <v>0.0476</v>
      </c>
      <c r="BN3569" s="7">
        <v>0.041</v>
      </c>
      <c r="BO3569" s="4">
        <v>1</v>
      </c>
      <c r="BP3569" s="8">
        <v>17.27</v>
      </c>
      <c r="BQ3569" s="4"/>
      <c r="BR3569" s="8"/>
      <c r="BS3569" s="7"/>
      <c r="BT3569" s="7"/>
      <c r="BU3569" s="2" t="s">
        <v>109</v>
      </c>
      <c r="BV3569" s="2" t="s">
        <v>97</v>
      </c>
      <c r="BW3569" s="2" t="s">
        <v>4899</v>
      </c>
      <c r="BX3569" s="2" t="s">
        <v>11417</v>
      </c>
      <c r="BY3569" s="2" t="s">
        <v>112</v>
      </c>
      <c r="BZ3569" s="2" t="s">
        <v>149</v>
      </c>
    </row>
    <row r="3570">
      <c r="A3570" s="2" t="s">
        <v>11418</v>
      </c>
      <c r="B3570" s="2" t="s">
        <v>10807</v>
      </c>
      <c r="C3570" s="2" t="s">
        <v>11402</v>
      </c>
      <c r="D3570" s="2" t="s">
        <v>2572</v>
      </c>
      <c r="E3570" s="2" t="s">
        <v>2573</v>
      </c>
      <c r="F3570" s="2" t="s">
        <v>11403</v>
      </c>
      <c r="G3570" s="2" t="s">
        <v>11404</v>
      </c>
      <c r="H3570" s="2" t="s">
        <v>11405</v>
      </c>
      <c r="I3570" s="2" t="s">
        <v>11406</v>
      </c>
      <c r="J3570" s="2" t="s">
        <v>10921</v>
      </c>
      <c r="K3570" s="2" t="s">
        <v>4362</v>
      </c>
      <c r="L3570" s="3">
        <v>21</v>
      </c>
      <c r="M3570" s="3">
        <v>22.05</v>
      </c>
      <c r="N3570" s="3">
        <v>49.99</v>
      </c>
      <c r="O3570" s="2" t="s">
        <v>97</v>
      </c>
      <c r="P3570" s="2" t="s">
        <v>98</v>
      </c>
      <c r="Q3570" s="2" t="s">
        <v>99</v>
      </c>
      <c r="R3570" s="2" t="s">
        <v>100</v>
      </c>
      <c r="S3570" s="2" t="s">
        <v>11414</v>
      </c>
      <c r="T3570" s="2" t="s">
        <v>100</v>
      </c>
      <c r="U3570" s="2" t="s">
        <v>100</v>
      </c>
      <c r="V3570" s="2" t="s">
        <v>473</v>
      </c>
      <c r="W3570" s="2" t="s">
        <v>493</v>
      </c>
      <c r="X3570" s="2" t="s">
        <v>10845</v>
      </c>
      <c r="Y3570" s="2" t="s">
        <v>1935</v>
      </c>
      <c r="Z3570" s="4">
        <v>183</v>
      </c>
      <c r="AA3570" s="4">
        <f>=ROUNDDOWN(30.5,0)</f>
      </c>
      <c r="AB3570" s="5">
        <v>6</v>
      </c>
      <c r="AC3570" s="2" t="s">
        <v>3027</v>
      </c>
      <c r="AD3570" s="4">
        <v>128</v>
      </c>
      <c r="AE3570" s="4">
        <v>128</v>
      </c>
      <c r="AF3570" s="6">
        <v>68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4</v>
      </c>
      <c r="AQ3570" s="8">
        <v>75.6</v>
      </c>
      <c r="AR3570" s="4"/>
      <c r="AS3570" s="8"/>
      <c r="AT3570" s="7"/>
      <c r="AU3570" s="7"/>
      <c r="AV3570" s="4" t="s">
        <v>100</v>
      </c>
      <c r="AW3570" s="8" t="s">
        <v>100</v>
      </c>
      <c r="AX3570" s="4" t="s">
        <v>100</v>
      </c>
      <c r="AY3570" s="8" t="s">
        <v>100</v>
      </c>
      <c r="AZ3570" s="7" t="s">
        <v>100</v>
      </c>
      <c r="BA3570" s="7" t="s">
        <v>100</v>
      </c>
      <c r="BB3570" s="7">
        <v>0.3536</v>
      </c>
      <c r="BC3570" s="4" t="s">
        <v>100</v>
      </c>
      <c r="BD3570" s="8" t="s">
        <v>100</v>
      </c>
      <c r="BE3570" s="4" t="s">
        <v>100</v>
      </c>
      <c r="BF3570" s="8" t="s">
        <v>100</v>
      </c>
      <c r="BG3570" s="7" t="s">
        <v>100</v>
      </c>
      <c r="BH3570" s="7" t="s">
        <v>100</v>
      </c>
      <c r="BI3570" s="7" t="s">
        <v>100</v>
      </c>
      <c r="BJ3570" s="4">
        <v>12</v>
      </c>
      <c r="BK3570" s="8">
        <v>249.92</v>
      </c>
      <c r="BL3570" s="2" t="s">
        <v>11419</v>
      </c>
      <c r="BM3570" s="7">
        <v>0.3333</v>
      </c>
      <c r="BN3570" s="7">
        <v>0.3025</v>
      </c>
      <c r="BO3570" s="4">
        <v>4</v>
      </c>
      <c r="BP3570" s="8">
        <v>75.6</v>
      </c>
      <c r="BQ3570" s="4"/>
      <c r="BR3570" s="8"/>
      <c r="BS3570" s="7"/>
      <c r="BT3570" s="7"/>
      <c r="BU3570" s="2" t="s">
        <v>109</v>
      </c>
      <c r="BV3570" s="2" t="s">
        <v>97</v>
      </c>
      <c r="BW3570" s="2" t="s">
        <v>4899</v>
      </c>
      <c r="BX3570" s="2" t="s">
        <v>4925</v>
      </c>
      <c r="BY3570" s="2" t="s">
        <v>112</v>
      </c>
      <c r="BZ3570" s="2" t="s">
        <v>100</v>
      </c>
    </row>
    <row r="3571">
      <c r="A3571" s="2" t="s">
        <v>11420</v>
      </c>
      <c r="B3571" s="2" t="s">
        <v>10807</v>
      </c>
      <c r="C3571" s="2" t="s">
        <v>11402</v>
      </c>
      <c r="D3571" s="2" t="s">
        <v>2572</v>
      </c>
      <c r="E3571" s="2" t="s">
        <v>2573</v>
      </c>
      <c r="F3571" s="2" t="s">
        <v>11403</v>
      </c>
      <c r="G3571" s="2" t="s">
        <v>11404</v>
      </c>
      <c r="H3571" s="2" t="s">
        <v>11405</v>
      </c>
      <c r="I3571" s="2" t="s">
        <v>11406</v>
      </c>
      <c r="J3571" s="2" t="s">
        <v>10811</v>
      </c>
      <c r="K3571" s="2" t="s">
        <v>223</v>
      </c>
      <c r="L3571" s="3">
        <v>16.8</v>
      </c>
      <c r="M3571" s="3">
        <v>17.64</v>
      </c>
      <c r="N3571" s="3">
        <v>39.99</v>
      </c>
      <c r="O3571" s="2" t="s">
        <v>97</v>
      </c>
      <c r="P3571" s="2" t="s">
        <v>98</v>
      </c>
      <c r="Q3571" s="2" t="s">
        <v>99</v>
      </c>
      <c r="R3571" s="2" t="s">
        <v>100</v>
      </c>
      <c r="S3571" s="2" t="s">
        <v>11421</v>
      </c>
      <c r="T3571" s="2" t="s">
        <v>438</v>
      </c>
      <c r="U3571" s="2" t="s">
        <v>1776</v>
      </c>
      <c r="V3571" s="2" t="s">
        <v>473</v>
      </c>
      <c r="W3571" s="2" t="s">
        <v>493</v>
      </c>
      <c r="X3571" s="2" t="s">
        <v>10845</v>
      </c>
      <c r="Y3571" s="2" t="s">
        <v>1921</v>
      </c>
      <c r="Z3571" s="4">
        <v>385</v>
      </c>
      <c r="AA3571" s="4">
        <f>=ROUNDDOWN(27.5,0)</f>
      </c>
      <c r="AB3571" s="5">
        <v>14</v>
      </c>
      <c r="AC3571" s="2" t="s">
        <v>173</v>
      </c>
      <c r="AD3571" s="4">
        <v>268</v>
      </c>
      <c r="AE3571" s="4">
        <v>268</v>
      </c>
      <c r="AF3571" s="6">
        <v>68</v>
      </c>
      <c r="AG3571" s="6"/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/>
      <c r="AQ3571" s="8"/>
      <c r="AR3571" s="4"/>
      <c r="AS3571" s="8"/>
      <c r="AT3571" s="7"/>
      <c r="AU3571" s="7"/>
      <c r="AV3571" s="4" t="s">
        <v>100</v>
      </c>
      <c r="AW3571" s="8" t="s">
        <v>100</v>
      </c>
      <c r="AX3571" s="4" t="s">
        <v>100</v>
      </c>
      <c r="AY3571" s="8" t="s">
        <v>100</v>
      </c>
      <c r="AZ3571" s="7" t="s">
        <v>100</v>
      </c>
      <c r="BA3571" s="7" t="s">
        <v>100</v>
      </c>
      <c r="BB3571" s="7"/>
      <c r="BC3571" s="4" t="s">
        <v>100</v>
      </c>
      <c r="BD3571" s="8" t="s">
        <v>100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 t="s">
        <v>100</v>
      </c>
      <c r="BJ3571" s="4">
        <v>38</v>
      </c>
      <c r="BK3571" s="8">
        <v>802.38</v>
      </c>
      <c r="BL3571" s="2" t="s">
        <v>11422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2526</v>
      </c>
      <c r="BV3571" s="2" t="s">
        <v>97</v>
      </c>
      <c r="BW3571" s="2" t="s">
        <v>100</v>
      </c>
      <c r="BX3571" s="2" t="s">
        <v>100</v>
      </c>
      <c r="BY3571" s="2" t="s">
        <v>112</v>
      </c>
      <c r="BZ3571" s="2" t="s">
        <v>149</v>
      </c>
    </row>
    <row r="3572">
      <c r="A3572" s="2" t="s">
        <v>11423</v>
      </c>
      <c r="B3572" s="2" t="s">
        <v>10807</v>
      </c>
      <c r="C3572" s="2" t="s">
        <v>11402</v>
      </c>
      <c r="D3572" s="2" t="s">
        <v>2572</v>
      </c>
      <c r="E3572" s="2" t="s">
        <v>2573</v>
      </c>
      <c r="F3572" s="2" t="s">
        <v>11403</v>
      </c>
      <c r="G3572" s="2" t="s">
        <v>11404</v>
      </c>
      <c r="H3572" s="2" t="s">
        <v>11405</v>
      </c>
      <c r="I3572" s="2" t="s">
        <v>11406</v>
      </c>
      <c r="J3572" s="2" t="s">
        <v>10818</v>
      </c>
      <c r="K3572" s="2" t="s">
        <v>223</v>
      </c>
      <c r="L3572" s="3">
        <v>18.9</v>
      </c>
      <c r="M3572" s="3">
        <v>19.84</v>
      </c>
      <c r="N3572" s="3">
        <v>44.99</v>
      </c>
      <c r="O3572" s="2" t="s">
        <v>97</v>
      </c>
      <c r="P3572" s="2" t="s">
        <v>98</v>
      </c>
      <c r="Q3572" s="2" t="s">
        <v>99</v>
      </c>
      <c r="R3572" s="2" t="s">
        <v>100</v>
      </c>
      <c r="S3572" s="2" t="s">
        <v>11421</v>
      </c>
      <c r="T3572" s="2" t="s">
        <v>438</v>
      </c>
      <c r="U3572" s="2" t="s">
        <v>1776</v>
      </c>
      <c r="V3572" s="2" t="s">
        <v>473</v>
      </c>
      <c r="W3572" s="2" t="s">
        <v>493</v>
      </c>
      <c r="X3572" s="2" t="s">
        <v>10845</v>
      </c>
      <c r="Y3572" s="2" t="s">
        <v>1921</v>
      </c>
      <c r="Z3572" s="4">
        <v>166</v>
      </c>
      <c r="AA3572" s="4">
        <f>=ROUNDDOWN(20,0)</f>
      </c>
      <c r="AB3572" s="5">
        <v>8.3</v>
      </c>
      <c r="AC3572" s="2" t="s">
        <v>173</v>
      </c>
      <c r="AD3572" s="4">
        <v>224</v>
      </c>
      <c r="AE3572" s="4">
        <v>224</v>
      </c>
      <c r="AF3572" s="6">
        <v>68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/>
      <c r="AQ3572" s="8"/>
      <c r="AR3572" s="4"/>
      <c r="AS3572" s="8"/>
      <c r="AT3572" s="7"/>
      <c r="AU3572" s="7"/>
      <c r="AV3572" s="4" t="s">
        <v>100</v>
      </c>
      <c r="AW3572" s="8" t="s">
        <v>100</v>
      </c>
      <c r="AX3572" s="4" t="s">
        <v>100</v>
      </c>
      <c r="AY3572" s="8" t="s">
        <v>100</v>
      </c>
      <c r="AZ3572" s="7" t="s">
        <v>100</v>
      </c>
      <c r="BA3572" s="7" t="s">
        <v>100</v>
      </c>
      <c r="BB3572" s="7"/>
      <c r="BC3572" s="4" t="s">
        <v>100</v>
      </c>
      <c r="BD3572" s="8" t="s">
        <v>100</v>
      </c>
      <c r="BE3572" s="4" t="s">
        <v>100</v>
      </c>
      <c r="BF3572" s="8" t="s">
        <v>100</v>
      </c>
      <c r="BG3572" s="7" t="s">
        <v>100</v>
      </c>
      <c r="BH3572" s="7" t="s">
        <v>100</v>
      </c>
      <c r="BI3572" s="7" t="s">
        <v>100</v>
      </c>
      <c r="BJ3572" s="4">
        <v>21</v>
      </c>
      <c r="BK3572" s="8">
        <v>435.05</v>
      </c>
      <c r="BL3572" s="2" t="s">
        <v>9497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2526</v>
      </c>
      <c r="BV3572" s="2" t="s">
        <v>97</v>
      </c>
      <c r="BW3572" s="2" t="s">
        <v>100</v>
      </c>
      <c r="BX3572" s="2" t="s">
        <v>100</v>
      </c>
      <c r="BY3572" s="2" t="s">
        <v>112</v>
      </c>
      <c r="BZ3572" s="2" t="s">
        <v>149</v>
      </c>
    </row>
    <row r="3573">
      <c r="A3573" s="2" t="s">
        <v>11424</v>
      </c>
      <c r="B3573" s="2" t="s">
        <v>10807</v>
      </c>
      <c r="C3573" s="2" t="s">
        <v>11402</v>
      </c>
      <c r="D3573" s="2" t="s">
        <v>2572</v>
      </c>
      <c r="E3573" s="2" t="s">
        <v>2573</v>
      </c>
      <c r="F3573" s="2" t="s">
        <v>11403</v>
      </c>
      <c r="G3573" s="2" t="s">
        <v>11404</v>
      </c>
      <c r="H3573" s="2" t="s">
        <v>11405</v>
      </c>
      <c r="I3573" s="2" t="s">
        <v>11406</v>
      </c>
      <c r="J3573" s="2" t="s">
        <v>10811</v>
      </c>
      <c r="K3573" s="2" t="s">
        <v>673</v>
      </c>
      <c r="L3573" s="3">
        <v>16.8</v>
      </c>
      <c r="M3573" s="3">
        <v>17.64</v>
      </c>
      <c r="N3573" s="3">
        <v>39.99</v>
      </c>
      <c r="O3573" s="2" t="s">
        <v>97</v>
      </c>
      <c r="P3573" s="2" t="s">
        <v>98</v>
      </c>
      <c r="Q3573" s="2" t="s">
        <v>99</v>
      </c>
      <c r="R3573" s="2" t="s">
        <v>100</v>
      </c>
      <c r="S3573" s="2" t="s">
        <v>11425</v>
      </c>
      <c r="T3573" s="2" t="s">
        <v>100</v>
      </c>
      <c r="U3573" s="2" t="s">
        <v>1776</v>
      </c>
      <c r="V3573" s="2" t="s">
        <v>473</v>
      </c>
      <c r="W3573" s="2" t="s">
        <v>493</v>
      </c>
      <c r="X3573" s="2" t="s">
        <v>10845</v>
      </c>
      <c r="Y3573" s="2" t="s">
        <v>3980</v>
      </c>
      <c r="Z3573" s="4">
        <v>757</v>
      </c>
      <c r="AA3573" s="4">
        <f>=ROUNDDOWN(27.0357142857143,0)</f>
      </c>
      <c r="AB3573" s="5">
        <v>28</v>
      </c>
      <c r="AC3573" s="2" t="s">
        <v>3200</v>
      </c>
      <c r="AD3573" s="4">
        <v>280</v>
      </c>
      <c r="AE3573" s="4">
        <v>280</v>
      </c>
      <c r="AF3573" s="6">
        <v>68</v>
      </c>
      <c r="AG3573" s="6"/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/>
      <c r="AQ3573" s="8"/>
      <c r="AR3573" s="4"/>
      <c r="AS3573" s="8"/>
      <c r="AT3573" s="7"/>
      <c r="AU3573" s="7"/>
      <c r="AV3573" s="4" t="s">
        <v>100</v>
      </c>
      <c r="AW3573" s="8" t="s">
        <v>100</v>
      </c>
      <c r="AX3573" s="4" t="s">
        <v>100</v>
      </c>
      <c r="AY3573" s="8" t="s">
        <v>100</v>
      </c>
      <c r="AZ3573" s="7" t="s">
        <v>100</v>
      </c>
      <c r="BA3573" s="7" t="s">
        <v>100</v>
      </c>
      <c r="BB3573" s="7"/>
      <c r="BC3573" s="4" t="s">
        <v>100</v>
      </c>
      <c r="BD3573" s="8" t="s">
        <v>100</v>
      </c>
      <c r="BE3573" s="4" t="s">
        <v>100</v>
      </c>
      <c r="BF3573" s="8" t="s">
        <v>100</v>
      </c>
      <c r="BG3573" s="7" t="s">
        <v>100</v>
      </c>
      <c r="BH3573" s="7" t="s">
        <v>100</v>
      </c>
      <c r="BI3573" s="7" t="s">
        <v>100</v>
      </c>
      <c r="BJ3573" s="4">
        <v>32</v>
      </c>
      <c r="BK3573" s="8">
        <v>566.26</v>
      </c>
      <c r="BL3573" s="2" t="s">
        <v>11426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2526</v>
      </c>
      <c r="BV3573" s="2" t="s">
        <v>97</v>
      </c>
      <c r="BW3573" s="2" t="s">
        <v>100</v>
      </c>
      <c r="BX3573" s="2" t="s">
        <v>100</v>
      </c>
      <c r="BY3573" s="2" t="s">
        <v>112</v>
      </c>
      <c r="BZ3573" s="2" t="s">
        <v>149</v>
      </c>
    </row>
    <row r="3574">
      <c r="A3574" s="2" t="s">
        <v>11427</v>
      </c>
      <c r="B3574" s="2" t="s">
        <v>10807</v>
      </c>
      <c r="C3574" s="2" t="s">
        <v>11402</v>
      </c>
      <c r="D3574" s="2" t="s">
        <v>2572</v>
      </c>
      <c r="E3574" s="2" t="s">
        <v>2573</v>
      </c>
      <c r="F3574" s="2" t="s">
        <v>11403</v>
      </c>
      <c r="G3574" s="2" t="s">
        <v>11404</v>
      </c>
      <c r="H3574" s="2" t="s">
        <v>11405</v>
      </c>
      <c r="I3574" s="2" t="s">
        <v>11406</v>
      </c>
      <c r="J3574" s="2" t="s">
        <v>10818</v>
      </c>
      <c r="K3574" s="2" t="s">
        <v>673</v>
      </c>
      <c r="L3574" s="3">
        <v>18.9</v>
      </c>
      <c r="M3574" s="3">
        <v>19.84</v>
      </c>
      <c r="N3574" s="3">
        <v>44.99</v>
      </c>
      <c r="O3574" s="2" t="s">
        <v>97</v>
      </c>
      <c r="P3574" s="2" t="s">
        <v>98</v>
      </c>
      <c r="Q3574" s="2" t="s">
        <v>99</v>
      </c>
      <c r="R3574" s="2" t="s">
        <v>100</v>
      </c>
      <c r="S3574" s="2" t="s">
        <v>11425</v>
      </c>
      <c r="T3574" s="2" t="s">
        <v>100</v>
      </c>
      <c r="U3574" s="2" t="s">
        <v>1776</v>
      </c>
      <c r="V3574" s="2" t="s">
        <v>473</v>
      </c>
      <c r="W3574" s="2" t="s">
        <v>493</v>
      </c>
      <c r="X3574" s="2" t="s">
        <v>10845</v>
      </c>
      <c r="Y3574" s="2" t="s">
        <v>3980</v>
      </c>
      <c r="Z3574" s="4">
        <v>204</v>
      </c>
      <c r="AA3574" s="4">
        <f>=ROUNDDOWN(17,0)</f>
      </c>
      <c r="AB3574" s="5">
        <v>12</v>
      </c>
      <c r="AC3574" s="2" t="s">
        <v>3200</v>
      </c>
      <c r="AD3574" s="4">
        <v>120</v>
      </c>
      <c r="AE3574" s="4">
        <v>120</v>
      </c>
      <c r="AF3574" s="6">
        <v>68</v>
      </c>
      <c r="AG3574" s="6"/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/>
      <c r="AQ3574" s="8"/>
      <c r="AR3574" s="4"/>
      <c r="AS3574" s="8"/>
      <c r="AT3574" s="7"/>
      <c r="AU3574" s="7"/>
      <c r="AV3574" s="4" t="s">
        <v>100</v>
      </c>
      <c r="AW3574" s="8" t="s">
        <v>100</v>
      </c>
      <c r="AX3574" s="4" t="s">
        <v>100</v>
      </c>
      <c r="AY3574" s="8" t="s">
        <v>100</v>
      </c>
      <c r="AZ3574" s="7" t="s">
        <v>100</v>
      </c>
      <c r="BA3574" s="7" t="s">
        <v>100</v>
      </c>
      <c r="BB3574" s="7"/>
      <c r="BC3574" s="4" t="s">
        <v>100</v>
      </c>
      <c r="BD3574" s="8" t="s">
        <v>100</v>
      </c>
      <c r="BE3574" s="4" t="s">
        <v>100</v>
      </c>
      <c r="BF3574" s="8" t="s">
        <v>100</v>
      </c>
      <c r="BG3574" s="7" t="s">
        <v>100</v>
      </c>
      <c r="BH3574" s="7" t="s">
        <v>100</v>
      </c>
      <c r="BI3574" s="7" t="s">
        <v>100</v>
      </c>
      <c r="BJ3574" s="4">
        <v>39</v>
      </c>
      <c r="BK3574" s="8">
        <v>730.15</v>
      </c>
      <c r="BL3574" s="2" t="s">
        <v>692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2526</v>
      </c>
      <c r="BV3574" s="2" t="s">
        <v>97</v>
      </c>
      <c r="BW3574" s="2" t="s">
        <v>100</v>
      </c>
      <c r="BX3574" s="2" t="s">
        <v>100</v>
      </c>
      <c r="BY3574" s="2" t="s">
        <v>112</v>
      </c>
      <c r="BZ3574" s="2" t="s">
        <v>149</v>
      </c>
    </row>
    <row r="3575">
      <c r="A3575" s="2" t="s">
        <v>11428</v>
      </c>
      <c r="B3575" s="2" t="s">
        <v>10807</v>
      </c>
      <c r="C3575" s="2" t="s">
        <v>11402</v>
      </c>
      <c r="D3575" s="2" t="s">
        <v>2572</v>
      </c>
      <c r="E3575" s="2" t="s">
        <v>2573</v>
      </c>
      <c r="F3575" s="2" t="s">
        <v>6017</v>
      </c>
      <c r="G3575" s="2" t="s">
        <v>486</v>
      </c>
      <c r="H3575" s="2" t="s">
        <v>11429</v>
      </c>
      <c r="I3575" s="2" t="s">
        <v>11430</v>
      </c>
      <c r="J3575" s="2" t="s">
        <v>10811</v>
      </c>
      <c r="K3575" s="2" t="s">
        <v>471</v>
      </c>
      <c r="L3575" s="3">
        <v>15.05</v>
      </c>
      <c r="M3575" s="3">
        <v>15.8</v>
      </c>
      <c r="N3575" s="3">
        <v>34.99</v>
      </c>
      <c r="O3575" s="2" t="s">
        <v>97</v>
      </c>
      <c r="P3575" s="2" t="s">
        <v>98</v>
      </c>
      <c r="Q3575" s="2" t="s">
        <v>99</v>
      </c>
      <c r="R3575" s="2" t="s">
        <v>100</v>
      </c>
      <c r="S3575" s="2" t="s">
        <v>11431</v>
      </c>
      <c r="T3575" s="2" t="s">
        <v>100</v>
      </c>
      <c r="U3575" s="2" t="s">
        <v>100</v>
      </c>
      <c r="V3575" s="2" t="s">
        <v>192</v>
      </c>
      <c r="W3575" s="2" t="s">
        <v>609</v>
      </c>
      <c r="X3575" s="2" t="s">
        <v>11172</v>
      </c>
      <c r="Y3575" s="2" t="s">
        <v>1691</v>
      </c>
      <c r="Z3575" s="4">
        <v>370</v>
      </c>
      <c r="AA3575" s="4">
        <f>=ROUNDDOWN(18.5,0)</f>
      </c>
      <c r="AB3575" s="5">
        <v>20</v>
      </c>
      <c r="AC3575" s="2" t="s">
        <v>903</v>
      </c>
      <c r="AD3575" s="4">
        <v>352</v>
      </c>
      <c r="AE3575" s="4">
        <v>352</v>
      </c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>
        <v>2</v>
      </c>
      <c r="AQ3575" s="8">
        <v>28.36</v>
      </c>
      <c r="AR3575" s="4"/>
      <c r="AS3575" s="8"/>
      <c r="AT3575" s="7"/>
      <c r="AU3575" s="7"/>
      <c r="AV3575" s="4">
        <v>2</v>
      </c>
      <c r="AW3575" s="8">
        <v>28.36</v>
      </c>
      <c r="AX3575" s="4" t="s">
        <v>100</v>
      </c>
      <c r="AY3575" s="8" t="s">
        <v>100</v>
      </c>
      <c r="AZ3575" s="7" t="s">
        <v>100</v>
      </c>
      <c r="BA3575" s="7" t="s">
        <v>100</v>
      </c>
      <c r="BB3575" s="7">
        <v>1</v>
      </c>
      <c r="BC3575" s="4">
        <v>2</v>
      </c>
      <c r="BD3575" s="8">
        <v>28.36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>
        <v>1</v>
      </c>
      <c r="BJ3575" s="4">
        <v>94</v>
      </c>
      <c r="BK3575" s="8">
        <v>1424.27</v>
      </c>
      <c r="BL3575" s="2" t="s">
        <v>11432</v>
      </c>
      <c r="BM3575" s="7">
        <v>0.0213</v>
      </c>
      <c r="BN3575" s="7">
        <v>0.0199</v>
      </c>
      <c r="BO3575" s="4">
        <v>2</v>
      </c>
      <c r="BP3575" s="8">
        <v>28.36</v>
      </c>
      <c r="BQ3575" s="4"/>
      <c r="BR3575" s="8"/>
      <c r="BS3575" s="7"/>
      <c r="BT3575" s="7"/>
      <c r="BU3575" s="2" t="s">
        <v>109</v>
      </c>
      <c r="BV3575" s="2" t="s">
        <v>97</v>
      </c>
      <c r="BW3575" s="2" t="s">
        <v>11433</v>
      </c>
      <c r="BX3575" s="2" t="s">
        <v>2233</v>
      </c>
      <c r="BY3575" s="2" t="s">
        <v>112</v>
      </c>
      <c r="BZ3575" s="2" t="s">
        <v>149</v>
      </c>
    </row>
    <row r="3576">
      <c r="A3576" s="2" t="s">
        <v>11434</v>
      </c>
      <c r="B3576" s="2" t="s">
        <v>10807</v>
      </c>
      <c r="C3576" s="2" t="s">
        <v>11402</v>
      </c>
      <c r="D3576" s="2" t="s">
        <v>2572</v>
      </c>
      <c r="E3576" s="2" t="s">
        <v>2573</v>
      </c>
      <c r="F3576" s="2" t="s">
        <v>6017</v>
      </c>
      <c r="G3576" s="2" t="s">
        <v>486</v>
      </c>
      <c r="H3576" s="2" t="s">
        <v>11429</v>
      </c>
      <c r="I3576" s="2" t="s">
        <v>11430</v>
      </c>
      <c r="J3576" s="2" t="s">
        <v>10818</v>
      </c>
      <c r="K3576" s="2" t="s">
        <v>471</v>
      </c>
      <c r="L3576" s="3">
        <v>17.2</v>
      </c>
      <c r="M3576" s="3">
        <v>18.06</v>
      </c>
      <c r="N3576" s="3">
        <v>39.99</v>
      </c>
      <c r="O3576" s="2" t="s">
        <v>97</v>
      </c>
      <c r="P3576" s="2" t="s">
        <v>98</v>
      </c>
      <c r="Q3576" s="2" t="s">
        <v>99</v>
      </c>
      <c r="R3576" s="2" t="s">
        <v>100</v>
      </c>
      <c r="S3576" s="2" t="s">
        <v>11431</v>
      </c>
      <c r="T3576" s="2" t="s">
        <v>100</v>
      </c>
      <c r="U3576" s="2" t="s">
        <v>100</v>
      </c>
      <c r="V3576" s="2" t="s">
        <v>192</v>
      </c>
      <c r="W3576" s="2" t="s">
        <v>609</v>
      </c>
      <c r="X3576" s="2" t="s">
        <v>11172</v>
      </c>
      <c r="Y3576" s="2" t="s">
        <v>1691</v>
      </c>
      <c r="Z3576" s="4">
        <v>264</v>
      </c>
      <c r="AA3576" s="4">
        <f>=ROUNDDOWN(31.4285714285714,0)</f>
      </c>
      <c r="AB3576" s="5">
        <v>8.4</v>
      </c>
      <c r="AC3576" s="2" t="s">
        <v>100</v>
      </c>
      <c r="AD3576" s="4"/>
      <c r="AE3576" s="4"/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/>
      <c r="AQ3576" s="8"/>
      <c r="AR3576" s="4"/>
      <c r="AS3576" s="8"/>
      <c r="AT3576" s="7"/>
      <c r="AU3576" s="7"/>
      <c r="AV3576" s="4" t="s">
        <v>100</v>
      </c>
      <c r="AW3576" s="8" t="s">
        <v>100</v>
      </c>
      <c r="AX3576" s="4" t="s">
        <v>100</v>
      </c>
      <c r="AY3576" s="8" t="s">
        <v>100</v>
      </c>
      <c r="AZ3576" s="7" t="s">
        <v>100</v>
      </c>
      <c r="BA3576" s="7" t="s">
        <v>100</v>
      </c>
      <c r="BB3576" s="7"/>
      <c r="BC3576" s="4" t="s">
        <v>100</v>
      </c>
      <c r="BD3576" s="8" t="s">
        <v>100</v>
      </c>
      <c r="BE3576" s="4" t="s">
        <v>100</v>
      </c>
      <c r="BF3576" s="8" t="s">
        <v>100</v>
      </c>
      <c r="BG3576" s="7" t="s">
        <v>100</v>
      </c>
      <c r="BH3576" s="7" t="s">
        <v>100</v>
      </c>
      <c r="BI3576" s="7" t="s">
        <v>100</v>
      </c>
      <c r="BJ3576" s="4">
        <v>18</v>
      </c>
      <c r="BK3576" s="8">
        <v>302.84</v>
      </c>
      <c r="BL3576" s="2" t="s">
        <v>11395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11433</v>
      </c>
      <c r="BX3576" s="2" t="s">
        <v>4946</v>
      </c>
      <c r="BY3576" s="2" t="s">
        <v>112</v>
      </c>
      <c r="BZ3576" s="2" t="s">
        <v>149</v>
      </c>
    </row>
    <row r="3577">
      <c r="A3577" s="2" t="s">
        <v>11435</v>
      </c>
      <c r="B3577" s="2" t="s">
        <v>10807</v>
      </c>
      <c r="C3577" s="2" t="s">
        <v>11402</v>
      </c>
      <c r="D3577" s="2" t="s">
        <v>2572</v>
      </c>
      <c r="E3577" s="2" t="s">
        <v>2573</v>
      </c>
      <c r="F3577" s="2" t="s">
        <v>11436</v>
      </c>
      <c r="G3577" s="2" t="s">
        <v>7848</v>
      </c>
      <c r="H3577" s="2" t="s">
        <v>11437</v>
      </c>
      <c r="I3577" s="2" t="s">
        <v>11438</v>
      </c>
      <c r="J3577" s="2" t="s">
        <v>11439</v>
      </c>
      <c r="K3577" s="2" t="s">
        <v>471</v>
      </c>
      <c r="L3577" s="3">
        <v>25.65</v>
      </c>
      <c r="M3577" s="3">
        <v>26.93</v>
      </c>
      <c r="N3577" s="3">
        <v>56.99</v>
      </c>
      <c r="O3577" s="2" t="s">
        <v>97</v>
      </c>
      <c r="P3577" s="2" t="s">
        <v>98</v>
      </c>
      <c r="Q3577" s="2" t="s">
        <v>99</v>
      </c>
      <c r="R3577" s="2" t="s">
        <v>100</v>
      </c>
      <c r="S3577" s="2" t="s">
        <v>11440</v>
      </c>
      <c r="T3577" s="2" t="s">
        <v>100</v>
      </c>
      <c r="U3577" s="2" t="s">
        <v>1776</v>
      </c>
      <c r="V3577" s="2" t="s">
        <v>4636</v>
      </c>
      <c r="W3577" s="2" t="s">
        <v>493</v>
      </c>
      <c r="X3577" s="2" t="s">
        <v>11441</v>
      </c>
      <c r="Y3577" s="2" t="s">
        <v>4914</v>
      </c>
      <c r="Z3577" s="4">
        <v>302</v>
      </c>
      <c r="AA3577" s="4">
        <f>=ROUNDDOWN(33.5555555555556,0)</f>
      </c>
      <c r="AB3577" s="5">
        <v>9</v>
      </c>
      <c r="AC3577" s="2" t="s">
        <v>201</v>
      </c>
      <c r="AD3577" s="4">
        <v>220</v>
      </c>
      <c r="AE3577" s="4">
        <v>220</v>
      </c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>
        <v>0</v>
      </c>
      <c r="AP3577" s="4"/>
      <c r="AQ3577" s="8"/>
      <c r="AR3577" s="4"/>
      <c r="AS3577" s="8"/>
      <c r="AT3577" s="7"/>
      <c r="AU3577" s="7"/>
      <c r="AV3577" s="4" t="s">
        <v>100</v>
      </c>
      <c r="AW3577" s="8" t="s">
        <v>100</v>
      </c>
      <c r="AX3577" s="4" t="s">
        <v>100</v>
      </c>
      <c r="AY3577" s="8" t="s">
        <v>100</v>
      </c>
      <c r="AZ3577" s="7" t="s">
        <v>100</v>
      </c>
      <c r="BA3577" s="7" t="s">
        <v>100</v>
      </c>
      <c r="BB3577" s="7"/>
      <c r="BC3577" s="4" t="s">
        <v>100</v>
      </c>
      <c r="BD3577" s="8" t="s">
        <v>100</v>
      </c>
      <c r="BE3577" s="4" t="s">
        <v>100</v>
      </c>
      <c r="BF3577" s="8" t="s">
        <v>100</v>
      </c>
      <c r="BG3577" s="7" t="s">
        <v>100</v>
      </c>
      <c r="BH3577" s="7" t="s">
        <v>100</v>
      </c>
      <c r="BI3577" s="7"/>
      <c r="BJ3577" s="4">
        <v>75</v>
      </c>
      <c r="BK3577" s="8">
        <v>2089.13</v>
      </c>
      <c r="BL3577" s="2" t="s">
        <v>11442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2526</v>
      </c>
      <c r="BV3577" s="2" t="s">
        <v>97</v>
      </c>
      <c r="BW3577" s="2" t="s">
        <v>100</v>
      </c>
      <c r="BX3577" s="2" t="s">
        <v>100</v>
      </c>
      <c r="BY3577" s="2" t="s">
        <v>112</v>
      </c>
      <c r="BZ3577" s="2" t="s">
        <v>149</v>
      </c>
    </row>
    <row r="3578">
      <c r="A3578" s="2" t="s">
        <v>11443</v>
      </c>
      <c r="B3578" s="2" t="s">
        <v>10807</v>
      </c>
      <c r="C3578" s="2" t="s">
        <v>11402</v>
      </c>
      <c r="D3578" s="2" t="s">
        <v>2572</v>
      </c>
      <c r="E3578" s="2" t="s">
        <v>2573</v>
      </c>
      <c r="F3578" s="2" t="s">
        <v>11436</v>
      </c>
      <c r="G3578" s="2" t="s">
        <v>7848</v>
      </c>
      <c r="H3578" s="2" t="s">
        <v>11437</v>
      </c>
      <c r="I3578" s="2" t="s">
        <v>11444</v>
      </c>
      <c r="J3578" s="2" t="s">
        <v>10811</v>
      </c>
      <c r="K3578" s="2" t="s">
        <v>471</v>
      </c>
      <c r="L3578" s="3">
        <v>16.65</v>
      </c>
      <c r="M3578" s="3">
        <v>17.48</v>
      </c>
      <c r="N3578" s="3">
        <v>36.99</v>
      </c>
      <c r="O3578" s="2" t="s">
        <v>97</v>
      </c>
      <c r="P3578" s="2" t="s">
        <v>98</v>
      </c>
      <c r="Q3578" s="2" t="s">
        <v>99</v>
      </c>
      <c r="R3578" s="2" t="s">
        <v>100</v>
      </c>
      <c r="S3578" s="2" t="s">
        <v>11445</v>
      </c>
      <c r="T3578" s="2" t="s">
        <v>100</v>
      </c>
      <c r="U3578" s="2" t="s">
        <v>100</v>
      </c>
      <c r="V3578" s="2" t="s">
        <v>4636</v>
      </c>
      <c r="W3578" s="2" t="s">
        <v>493</v>
      </c>
      <c r="X3578" s="2" t="s">
        <v>11441</v>
      </c>
      <c r="Y3578" s="2" t="s">
        <v>1935</v>
      </c>
      <c r="Z3578" s="4">
        <v>331</v>
      </c>
      <c r="AA3578" s="4">
        <f>=ROUNDDOWN(12.7307692307692,0)</f>
      </c>
      <c r="AB3578" s="5">
        <v>26</v>
      </c>
      <c r="AC3578" s="2" t="s">
        <v>201</v>
      </c>
      <c r="AD3578" s="4">
        <v>452</v>
      </c>
      <c r="AE3578" s="4">
        <v>452</v>
      </c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/>
      <c r="AQ3578" s="8"/>
      <c r="AR3578" s="4"/>
      <c r="AS3578" s="8"/>
      <c r="AT3578" s="7"/>
      <c r="AU3578" s="7"/>
      <c r="AV3578" s="4" t="s">
        <v>100</v>
      </c>
      <c r="AW3578" s="8" t="s">
        <v>100</v>
      </c>
      <c r="AX3578" s="4" t="s">
        <v>100</v>
      </c>
      <c r="AY3578" s="8" t="s">
        <v>100</v>
      </c>
      <c r="AZ3578" s="7" t="s">
        <v>100</v>
      </c>
      <c r="BA3578" s="7" t="s">
        <v>100</v>
      </c>
      <c r="BB3578" s="7"/>
      <c r="BC3578" s="4" t="s">
        <v>100</v>
      </c>
      <c r="BD3578" s="8" t="s">
        <v>100</v>
      </c>
      <c r="BE3578" s="4" t="s">
        <v>100</v>
      </c>
      <c r="BF3578" s="8" t="s">
        <v>100</v>
      </c>
      <c r="BG3578" s="7" t="s">
        <v>100</v>
      </c>
      <c r="BH3578" s="7" t="s">
        <v>100</v>
      </c>
      <c r="BI3578" s="7"/>
      <c r="BJ3578" s="4">
        <v>103</v>
      </c>
      <c r="BK3578" s="8">
        <v>1691.6</v>
      </c>
      <c r="BL3578" s="2" t="s">
        <v>3836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109</v>
      </c>
      <c r="BV3578" s="2" t="s">
        <v>97</v>
      </c>
      <c r="BW3578" s="2" t="s">
        <v>4899</v>
      </c>
      <c r="BX3578" s="2" t="s">
        <v>11446</v>
      </c>
      <c r="BY3578" s="2" t="s">
        <v>112</v>
      </c>
      <c r="BZ3578" s="2" t="s">
        <v>149</v>
      </c>
    </row>
    <row r="3579">
      <c r="A3579" s="2" t="s">
        <v>11447</v>
      </c>
      <c r="B3579" s="2" t="s">
        <v>10807</v>
      </c>
      <c r="C3579" s="2" t="s">
        <v>11402</v>
      </c>
      <c r="D3579" s="2" t="s">
        <v>2572</v>
      </c>
      <c r="E3579" s="2" t="s">
        <v>2573</v>
      </c>
      <c r="F3579" s="2" t="s">
        <v>11436</v>
      </c>
      <c r="G3579" s="2" t="s">
        <v>7848</v>
      </c>
      <c r="H3579" s="2" t="s">
        <v>11437</v>
      </c>
      <c r="I3579" s="2" t="s">
        <v>11438</v>
      </c>
      <c r="J3579" s="2" t="s">
        <v>11439</v>
      </c>
      <c r="K3579" s="2" t="s">
        <v>96</v>
      </c>
      <c r="L3579" s="3">
        <v>25.65</v>
      </c>
      <c r="M3579" s="3">
        <v>26.93</v>
      </c>
      <c r="N3579" s="3">
        <v>56.99</v>
      </c>
      <c r="O3579" s="2" t="s">
        <v>97</v>
      </c>
      <c r="P3579" s="2" t="s">
        <v>156</v>
      </c>
      <c r="Q3579" s="2" t="s">
        <v>99</v>
      </c>
      <c r="R3579" s="2" t="s">
        <v>100</v>
      </c>
      <c r="S3579" s="2" t="s">
        <v>11440</v>
      </c>
      <c r="T3579" s="2" t="s">
        <v>100</v>
      </c>
      <c r="U3579" s="2" t="s">
        <v>1776</v>
      </c>
      <c r="V3579" s="2" t="s">
        <v>4636</v>
      </c>
      <c r="W3579" s="2" t="s">
        <v>493</v>
      </c>
      <c r="X3579" s="2" t="s">
        <v>11441</v>
      </c>
      <c r="Y3579" s="2" t="s">
        <v>4914</v>
      </c>
      <c r="Z3579" s="4">
        <v>561</v>
      </c>
      <c r="AA3579" s="4">
        <f>=ROUNDDOWN(35.0625,0)</f>
      </c>
      <c r="AB3579" s="5">
        <v>16</v>
      </c>
      <c r="AC3579" s="2" t="s">
        <v>173</v>
      </c>
      <c r="AD3579" s="4">
        <v>176</v>
      </c>
      <c r="AE3579" s="4">
        <v>176</v>
      </c>
      <c r="AF3579" s="6">
        <v>65</v>
      </c>
      <c r="AG3579" s="6"/>
      <c r="AH3579" s="7">
        <v>1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/>
      <c r="AQ3579" s="8"/>
      <c r="AR3579" s="4"/>
      <c r="AS3579" s="8"/>
      <c r="AT3579" s="7"/>
      <c r="AU3579" s="7"/>
      <c r="AV3579" s="4" t="s">
        <v>100</v>
      </c>
      <c r="AW3579" s="8" t="s">
        <v>100</v>
      </c>
      <c r="AX3579" s="4" t="s">
        <v>100</v>
      </c>
      <c r="AY3579" s="8" t="s">
        <v>100</v>
      </c>
      <c r="AZ3579" s="7" t="s">
        <v>100</v>
      </c>
      <c r="BA3579" s="7" t="s">
        <v>100</v>
      </c>
      <c r="BB3579" s="7"/>
      <c r="BC3579" s="4" t="s">
        <v>100</v>
      </c>
      <c r="BD3579" s="8" t="s">
        <v>100</v>
      </c>
      <c r="BE3579" s="4" t="s">
        <v>100</v>
      </c>
      <c r="BF3579" s="8" t="s">
        <v>100</v>
      </c>
      <c r="BG3579" s="7" t="s">
        <v>100</v>
      </c>
      <c r="BH3579" s="7" t="s">
        <v>100</v>
      </c>
      <c r="BI3579" s="7"/>
      <c r="BJ3579" s="4">
        <v>76</v>
      </c>
      <c r="BK3579" s="8">
        <v>2134.76</v>
      </c>
      <c r="BL3579" s="2" t="s">
        <v>1541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2526</v>
      </c>
      <c r="BV3579" s="2" t="s">
        <v>97</v>
      </c>
      <c r="BW3579" s="2" t="s">
        <v>100</v>
      </c>
      <c r="BX3579" s="2" t="s">
        <v>100</v>
      </c>
      <c r="BY3579" s="2" t="s">
        <v>112</v>
      </c>
      <c r="BZ3579" s="2" t="s">
        <v>149</v>
      </c>
    </row>
    <row r="3580">
      <c r="A3580" s="2" t="s">
        <v>11448</v>
      </c>
      <c r="B3580" s="2" t="s">
        <v>10807</v>
      </c>
      <c r="C3580" s="2" t="s">
        <v>11402</v>
      </c>
      <c r="D3580" s="2" t="s">
        <v>2572</v>
      </c>
      <c r="E3580" s="2" t="s">
        <v>2573</v>
      </c>
      <c r="F3580" s="2" t="s">
        <v>11436</v>
      </c>
      <c r="G3580" s="2" t="s">
        <v>7848</v>
      </c>
      <c r="H3580" s="2" t="s">
        <v>11437</v>
      </c>
      <c r="I3580" s="2" t="s">
        <v>11444</v>
      </c>
      <c r="J3580" s="2" t="s">
        <v>10818</v>
      </c>
      <c r="K3580" s="2" t="s">
        <v>96</v>
      </c>
      <c r="L3580" s="3">
        <v>18</v>
      </c>
      <c r="M3580" s="3">
        <v>18.9</v>
      </c>
      <c r="N3580" s="3">
        <v>39.99</v>
      </c>
      <c r="O3580" s="2" t="s">
        <v>97</v>
      </c>
      <c r="P3580" s="2" t="s">
        <v>156</v>
      </c>
      <c r="Q3580" s="2" t="s">
        <v>99</v>
      </c>
      <c r="R3580" s="2" t="s">
        <v>100</v>
      </c>
      <c r="S3580" s="2" t="s">
        <v>11449</v>
      </c>
      <c r="T3580" s="2" t="s">
        <v>100</v>
      </c>
      <c r="U3580" s="2" t="s">
        <v>100</v>
      </c>
      <c r="V3580" s="2" t="s">
        <v>4636</v>
      </c>
      <c r="W3580" s="2" t="s">
        <v>493</v>
      </c>
      <c r="X3580" s="2" t="s">
        <v>11441</v>
      </c>
      <c r="Y3580" s="2" t="s">
        <v>1935</v>
      </c>
      <c r="Z3580" s="4">
        <v>241</v>
      </c>
      <c r="AA3580" s="4">
        <f>=ROUNDDOWN(16.0666666666667,0)</f>
      </c>
      <c r="AB3580" s="5">
        <v>15</v>
      </c>
      <c r="AC3580" s="2" t="s">
        <v>173</v>
      </c>
      <c r="AD3580" s="4">
        <v>156</v>
      </c>
      <c r="AE3580" s="4">
        <v>156</v>
      </c>
      <c r="AF3580" s="6">
        <v>65</v>
      </c>
      <c r="AG3580" s="6"/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/>
      <c r="AQ3580" s="8"/>
      <c r="AR3580" s="4"/>
      <c r="AS3580" s="8"/>
      <c r="AT3580" s="7"/>
      <c r="AU3580" s="7"/>
      <c r="AV3580" s="4" t="s">
        <v>100</v>
      </c>
      <c r="AW3580" s="8" t="s">
        <v>100</v>
      </c>
      <c r="AX3580" s="4" t="s">
        <v>100</v>
      </c>
      <c r="AY3580" s="8" t="s">
        <v>100</v>
      </c>
      <c r="AZ3580" s="7" t="s">
        <v>100</v>
      </c>
      <c r="BA3580" s="7" t="s">
        <v>100</v>
      </c>
      <c r="BB3580" s="7"/>
      <c r="BC3580" s="4" t="s">
        <v>100</v>
      </c>
      <c r="BD3580" s="8" t="s">
        <v>100</v>
      </c>
      <c r="BE3580" s="4" t="s">
        <v>100</v>
      </c>
      <c r="BF3580" s="8" t="s">
        <v>100</v>
      </c>
      <c r="BG3580" s="7" t="s">
        <v>100</v>
      </c>
      <c r="BH3580" s="7" t="s">
        <v>100</v>
      </c>
      <c r="BI3580" s="7"/>
      <c r="BJ3580" s="4">
        <v>43</v>
      </c>
      <c r="BK3580" s="8">
        <v>779.51</v>
      </c>
      <c r="BL3580" s="2" t="s">
        <v>2046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109</v>
      </c>
      <c r="BV3580" s="2" t="s">
        <v>97</v>
      </c>
      <c r="BW3580" s="2" t="s">
        <v>4899</v>
      </c>
      <c r="BX3580" s="2" t="s">
        <v>5618</v>
      </c>
      <c r="BY3580" s="2" t="s">
        <v>112</v>
      </c>
      <c r="BZ3580" s="2" t="s">
        <v>149</v>
      </c>
    </row>
    <row r="3581">
      <c r="A3581" s="2" t="s">
        <v>11450</v>
      </c>
      <c r="B3581" s="2" t="s">
        <v>10807</v>
      </c>
      <c r="C3581" s="2" t="s">
        <v>11402</v>
      </c>
      <c r="D3581" s="2" t="s">
        <v>2572</v>
      </c>
      <c r="E3581" s="2" t="s">
        <v>2573</v>
      </c>
      <c r="F3581" s="2" t="s">
        <v>11436</v>
      </c>
      <c r="G3581" s="2" t="s">
        <v>7848</v>
      </c>
      <c r="H3581" s="2" t="s">
        <v>11437</v>
      </c>
      <c r="I3581" s="2" t="s">
        <v>11438</v>
      </c>
      <c r="J3581" s="2" t="s">
        <v>11439</v>
      </c>
      <c r="K3581" s="2" t="s">
        <v>673</v>
      </c>
      <c r="L3581" s="3">
        <v>25.65</v>
      </c>
      <c r="M3581" s="3">
        <v>26.93</v>
      </c>
      <c r="N3581" s="3">
        <v>56.99</v>
      </c>
      <c r="O3581" s="2" t="s">
        <v>97</v>
      </c>
      <c r="P3581" s="2" t="s">
        <v>98</v>
      </c>
      <c r="Q3581" s="2" t="s">
        <v>99</v>
      </c>
      <c r="R3581" s="2" t="s">
        <v>100</v>
      </c>
      <c r="S3581" s="2" t="s">
        <v>11440</v>
      </c>
      <c r="T3581" s="2" t="s">
        <v>100</v>
      </c>
      <c r="U3581" s="2" t="s">
        <v>1776</v>
      </c>
      <c r="V3581" s="2" t="s">
        <v>4636</v>
      </c>
      <c r="W3581" s="2" t="s">
        <v>493</v>
      </c>
      <c r="X3581" s="2" t="s">
        <v>11441</v>
      </c>
      <c r="Y3581" s="2" t="s">
        <v>4914</v>
      </c>
      <c r="Z3581" s="4">
        <v>267</v>
      </c>
      <c r="AA3581" s="4">
        <f>=ROUNDDOWN(19.0714285714286,0)</f>
      </c>
      <c r="AB3581" s="5">
        <v>14</v>
      </c>
      <c r="AC3581" s="2" t="s">
        <v>312</v>
      </c>
      <c r="AD3581" s="4">
        <v>200</v>
      </c>
      <c r="AE3581" s="4">
        <v>376</v>
      </c>
      <c r="AF3581" s="6">
        <v>65</v>
      </c>
      <c r="AG3581" s="6"/>
      <c r="AH3581" s="7">
        <v>1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>
        <v>0</v>
      </c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 t="s">
        <v>100</v>
      </c>
      <c r="BD3581" s="8" t="s">
        <v>100</v>
      </c>
      <c r="BE3581" s="4" t="s">
        <v>100</v>
      </c>
      <c r="BF3581" s="8" t="s">
        <v>100</v>
      </c>
      <c r="BG3581" s="7" t="s">
        <v>100</v>
      </c>
      <c r="BH3581" s="7" t="s">
        <v>100</v>
      </c>
      <c r="BI3581" s="7"/>
      <c r="BJ3581" s="4">
        <v>39</v>
      </c>
      <c r="BK3581" s="8">
        <v>1097.4</v>
      </c>
      <c r="BL3581" s="2" t="s">
        <v>11451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2526</v>
      </c>
      <c r="BV3581" s="2" t="s">
        <v>97</v>
      </c>
      <c r="BW3581" s="2" t="s">
        <v>100</v>
      </c>
      <c r="BX3581" s="2" t="s">
        <v>100</v>
      </c>
      <c r="BY3581" s="2" t="s">
        <v>112</v>
      </c>
      <c r="BZ3581" s="2" t="s">
        <v>149</v>
      </c>
    </row>
    <row r="3582">
      <c r="A3582" s="2" t="s">
        <v>11452</v>
      </c>
      <c r="B3582" s="2" t="s">
        <v>10807</v>
      </c>
      <c r="C3582" s="2" t="s">
        <v>11402</v>
      </c>
      <c r="D3582" s="2" t="s">
        <v>2572</v>
      </c>
      <c r="E3582" s="2" t="s">
        <v>2573</v>
      </c>
      <c r="F3582" s="2" t="s">
        <v>11453</v>
      </c>
      <c r="G3582" s="2" t="s">
        <v>7619</v>
      </c>
      <c r="H3582" s="2" t="s">
        <v>3944</v>
      </c>
      <c r="I3582" s="2" t="s">
        <v>11454</v>
      </c>
      <c r="J3582" s="2" t="s">
        <v>10811</v>
      </c>
      <c r="K3582" s="2" t="s">
        <v>5034</v>
      </c>
      <c r="L3582" s="3">
        <v>22.5</v>
      </c>
      <c r="M3582" s="3">
        <v>23.62</v>
      </c>
      <c r="N3582" s="3">
        <v>49.99</v>
      </c>
      <c r="O3582" s="2" t="s">
        <v>97</v>
      </c>
      <c r="P3582" s="2" t="s">
        <v>98</v>
      </c>
      <c r="Q3582" s="2" t="s">
        <v>99</v>
      </c>
      <c r="R3582" s="2" t="s">
        <v>100</v>
      </c>
      <c r="S3582" s="2" t="s">
        <v>11455</v>
      </c>
      <c r="T3582" s="2" t="s">
        <v>100</v>
      </c>
      <c r="U3582" s="2" t="s">
        <v>1776</v>
      </c>
      <c r="V3582" s="2" t="s">
        <v>547</v>
      </c>
      <c r="W3582" s="2" t="s">
        <v>1136</v>
      </c>
      <c r="X3582" s="2" t="s">
        <v>10845</v>
      </c>
      <c r="Y3582" s="2" t="s">
        <v>11456</v>
      </c>
      <c r="Z3582" s="4">
        <v>297</v>
      </c>
      <c r="AA3582" s="4">
        <f>=ROUNDDOWN(27,0)</f>
      </c>
      <c r="AB3582" s="5">
        <v>11</v>
      </c>
      <c r="AC3582" s="2" t="s">
        <v>646</v>
      </c>
      <c r="AD3582" s="4">
        <v>160</v>
      </c>
      <c r="AE3582" s="4">
        <v>160</v>
      </c>
      <c r="AF3582" s="6">
        <v>65</v>
      </c>
      <c r="AG3582" s="6"/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/>
      <c r="AQ3582" s="8"/>
      <c r="AR3582" s="4"/>
      <c r="AS3582" s="8"/>
      <c r="AT3582" s="7"/>
      <c r="AU3582" s="7"/>
      <c r="AV3582" s="4" t="s">
        <v>100</v>
      </c>
      <c r="AW3582" s="8" t="s">
        <v>100</v>
      </c>
      <c r="AX3582" s="4" t="s">
        <v>100</v>
      </c>
      <c r="AY3582" s="8" t="s">
        <v>100</v>
      </c>
      <c r="AZ3582" s="7" t="s">
        <v>100</v>
      </c>
      <c r="BA3582" s="7" t="s">
        <v>100</v>
      </c>
      <c r="BB3582" s="7"/>
      <c r="BC3582" s="4" t="s">
        <v>100</v>
      </c>
      <c r="BD3582" s="8" t="s">
        <v>100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/>
      <c r="BJ3582" s="4">
        <v>22</v>
      </c>
      <c r="BK3582" s="8">
        <v>490.37</v>
      </c>
      <c r="BL3582" s="2" t="s">
        <v>11163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2526</v>
      </c>
      <c r="BV3582" s="2" t="s">
        <v>97</v>
      </c>
      <c r="BW3582" s="2" t="s">
        <v>100</v>
      </c>
      <c r="BX3582" s="2" t="s">
        <v>100</v>
      </c>
      <c r="BY3582" s="2" t="s">
        <v>112</v>
      </c>
      <c r="BZ3582" s="2" t="s">
        <v>149</v>
      </c>
    </row>
    <row r="3583">
      <c r="A3583" s="2" t="s">
        <v>11457</v>
      </c>
      <c r="B3583" s="2" t="s">
        <v>10807</v>
      </c>
      <c r="C3583" s="2" t="s">
        <v>11402</v>
      </c>
      <c r="D3583" s="2" t="s">
        <v>2572</v>
      </c>
      <c r="E3583" s="2" t="s">
        <v>2573</v>
      </c>
      <c r="F3583" s="2" t="s">
        <v>11453</v>
      </c>
      <c r="G3583" s="2" t="s">
        <v>7619</v>
      </c>
      <c r="H3583" s="2" t="s">
        <v>3944</v>
      </c>
      <c r="I3583" s="2" t="s">
        <v>11454</v>
      </c>
      <c r="J3583" s="2" t="s">
        <v>10818</v>
      </c>
      <c r="K3583" s="2" t="s">
        <v>5034</v>
      </c>
      <c r="L3583" s="3">
        <v>24.75</v>
      </c>
      <c r="M3583" s="3">
        <v>25.99</v>
      </c>
      <c r="N3583" s="3">
        <v>54.99</v>
      </c>
      <c r="O3583" s="2" t="s">
        <v>97</v>
      </c>
      <c r="P3583" s="2" t="s">
        <v>98</v>
      </c>
      <c r="Q3583" s="2" t="s">
        <v>99</v>
      </c>
      <c r="R3583" s="2" t="s">
        <v>100</v>
      </c>
      <c r="S3583" s="2" t="s">
        <v>11455</v>
      </c>
      <c r="T3583" s="2" t="s">
        <v>100</v>
      </c>
      <c r="U3583" s="2" t="s">
        <v>1776</v>
      </c>
      <c r="V3583" s="2" t="s">
        <v>547</v>
      </c>
      <c r="W3583" s="2" t="s">
        <v>1136</v>
      </c>
      <c r="X3583" s="2" t="s">
        <v>10845</v>
      </c>
      <c r="Y3583" s="2" t="s">
        <v>11456</v>
      </c>
      <c r="Z3583" s="4">
        <v>297</v>
      </c>
      <c r="AA3583" s="4">
        <f>=ROUNDDOWN(24.75,0)</f>
      </c>
      <c r="AB3583" s="5">
        <v>12</v>
      </c>
      <c r="AC3583" s="2" t="s">
        <v>903</v>
      </c>
      <c r="AD3583" s="4">
        <v>120</v>
      </c>
      <c r="AE3583" s="4">
        <v>320</v>
      </c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/>
      <c r="AQ3583" s="8"/>
      <c r="AR3583" s="4"/>
      <c r="AS3583" s="8"/>
      <c r="AT3583" s="7"/>
      <c r="AU3583" s="7"/>
      <c r="AV3583" s="4" t="s">
        <v>100</v>
      </c>
      <c r="AW3583" s="8" t="s">
        <v>100</v>
      </c>
      <c r="AX3583" s="4" t="s">
        <v>100</v>
      </c>
      <c r="AY3583" s="8" t="s">
        <v>100</v>
      </c>
      <c r="AZ3583" s="7" t="s">
        <v>100</v>
      </c>
      <c r="BA3583" s="7" t="s">
        <v>100</v>
      </c>
      <c r="BB3583" s="7"/>
      <c r="BC3583" s="4" t="s">
        <v>100</v>
      </c>
      <c r="BD3583" s="8" t="s">
        <v>100</v>
      </c>
      <c r="BE3583" s="4" t="s">
        <v>100</v>
      </c>
      <c r="BF3583" s="8" t="s">
        <v>100</v>
      </c>
      <c r="BG3583" s="7" t="s">
        <v>100</v>
      </c>
      <c r="BH3583" s="7" t="s">
        <v>100</v>
      </c>
      <c r="BI3583" s="7"/>
      <c r="BJ3583" s="4">
        <v>23</v>
      </c>
      <c r="BK3583" s="8">
        <v>613.6</v>
      </c>
      <c r="BL3583" s="2" t="s">
        <v>11458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2526</v>
      </c>
      <c r="BV3583" s="2" t="s">
        <v>97</v>
      </c>
      <c r="BW3583" s="2" t="s">
        <v>100</v>
      </c>
      <c r="BX3583" s="2" t="s">
        <v>100</v>
      </c>
      <c r="BY3583" s="2" t="s">
        <v>112</v>
      </c>
      <c r="BZ3583" s="2" t="s">
        <v>149</v>
      </c>
    </row>
    <row r="3584">
      <c r="A3584" s="2" t="s">
        <v>11459</v>
      </c>
      <c r="B3584" s="2" t="s">
        <v>10807</v>
      </c>
      <c r="C3584" s="2" t="s">
        <v>11402</v>
      </c>
      <c r="D3584" s="2" t="s">
        <v>2572</v>
      </c>
      <c r="E3584" s="2" t="s">
        <v>2573</v>
      </c>
      <c r="F3584" s="2" t="s">
        <v>11453</v>
      </c>
      <c r="G3584" s="2" t="s">
        <v>7619</v>
      </c>
      <c r="H3584" s="2" t="s">
        <v>3944</v>
      </c>
      <c r="I3584" s="2" t="s">
        <v>11454</v>
      </c>
      <c r="J3584" s="2" t="s">
        <v>10921</v>
      </c>
      <c r="K3584" s="2" t="s">
        <v>5034</v>
      </c>
      <c r="L3584" s="3">
        <v>27</v>
      </c>
      <c r="M3584" s="3">
        <v>28.35</v>
      </c>
      <c r="N3584" s="3">
        <v>59.99</v>
      </c>
      <c r="O3584" s="2" t="s">
        <v>97</v>
      </c>
      <c r="P3584" s="2" t="s">
        <v>98</v>
      </c>
      <c r="Q3584" s="2" t="s">
        <v>99</v>
      </c>
      <c r="R3584" s="2" t="s">
        <v>100</v>
      </c>
      <c r="S3584" s="2" t="s">
        <v>11455</v>
      </c>
      <c r="T3584" s="2" t="s">
        <v>100</v>
      </c>
      <c r="U3584" s="2" t="s">
        <v>1776</v>
      </c>
      <c r="V3584" s="2" t="s">
        <v>547</v>
      </c>
      <c r="W3584" s="2" t="s">
        <v>1136</v>
      </c>
      <c r="X3584" s="2" t="s">
        <v>10845</v>
      </c>
      <c r="Y3584" s="2" t="s">
        <v>11456</v>
      </c>
      <c r="Z3584" s="4">
        <v>257</v>
      </c>
      <c r="AA3584" s="4">
        <f>=ROUNDDOWN(28.5555555555556,0)</f>
      </c>
      <c r="AB3584" s="5">
        <v>9</v>
      </c>
      <c r="AC3584" s="2" t="s">
        <v>903</v>
      </c>
      <c r="AD3584" s="4">
        <v>164</v>
      </c>
      <c r="AE3584" s="4">
        <v>332</v>
      </c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/>
      <c r="AQ3584" s="8"/>
      <c r="AR3584" s="4"/>
      <c r="AS3584" s="8"/>
      <c r="AT3584" s="7"/>
      <c r="AU3584" s="7"/>
      <c r="AV3584" s="4" t="s">
        <v>100</v>
      </c>
      <c r="AW3584" s="8" t="s">
        <v>100</v>
      </c>
      <c r="AX3584" s="4" t="s">
        <v>100</v>
      </c>
      <c r="AY3584" s="8" t="s">
        <v>100</v>
      </c>
      <c r="AZ3584" s="7" t="s">
        <v>100</v>
      </c>
      <c r="BA3584" s="7" t="s">
        <v>100</v>
      </c>
      <c r="BB3584" s="7"/>
      <c r="BC3584" s="4" t="s">
        <v>100</v>
      </c>
      <c r="BD3584" s="8" t="s">
        <v>100</v>
      </c>
      <c r="BE3584" s="4" t="s">
        <v>100</v>
      </c>
      <c r="BF3584" s="8" t="s">
        <v>100</v>
      </c>
      <c r="BG3584" s="7" t="s">
        <v>100</v>
      </c>
      <c r="BH3584" s="7" t="s">
        <v>100</v>
      </c>
      <c r="BI3584" s="7"/>
      <c r="BJ3584" s="4">
        <v>24</v>
      </c>
      <c r="BK3584" s="8">
        <v>706.92</v>
      </c>
      <c r="BL3584" s="2" t="s">
        <v>7802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2526</v>
      </c>
      <c r="BV3584" s="2" t="s">
        <v>97</v>
      </c>
      <c r="BW3584" s="2" t="s">
        <v>100</v>
      </c>
      <c r="BX3584" s="2" t="s">
        <v>100</v>
      </c>
      <c r="BY3584" s="2" t="s">
        <v>112</v>
      </c>
      <c r="BZ3584" s="2" t="s">
        <v>149</v>
      </c>
    </row>
    <row r="3585">
      <c r="A3585" s="2" t="s">
        <v>11460</v>
      </c>
      <c r="B3585" s="2" t="s">
        <v>10807</v>
      </c>
      <c r="C3585" s="2" t="s">
        <v>11402</v>
      </c>
      <c r="D3585" s="2" t="s">
        <v>2572</v>
      </c>
      <c r="E3585" s="2" t="s">
        <v>2573</v>
      </c>
      <c r="F3585" s="2" t="s">
        <v>1371</v>
      </c>
      <c r="G3585" s="2" t="s">
        <v>11461</v>
      </c>
      <c r="H3585" s="2" t="s">
        <v>11462</v>
      </c>
      <c r="I3585" s="2" t="s">
        <v>11463</v>
      </c>
      <c r="J3585" s="2" t="s">
        <v>11464</v>
      </c>
      <c r="K3585" s="2" t="s">
        <v>11465</v>
      </c>
      <c r="L3585" s="3">
        <v>25.85</v>
      </c>
      <c r="M3585" s="3">
        <v>27.14</v>
      </c>
      <c r="N3585" s="3">
        <v>54.99</v>
      </c>
      <c r="O3585" s="2" t="s">
        <v>97</v>
      </c>
      <c r="P3585" s="2" t="s">
        <v>98</v>
      </c>
      <c r="Q3585" s="2" t="s">
        <v>99</v>
      </c>
      <c r="R3585" s="2" t="s">
        <v>100</v>
      </c>
      <c r="S3585" s="2" t="s">
        <v>11466</v>
      </c>
      <c r="T3585" s="2" t="s">
        <v>100</v>
      </c>
      <c r="U3585" s="2" t="s">
        <v>1776</v>
      </c>
      <c r="V3585" s="2" t="s">
        <v>461</v>
      </c>
      <c r="W3585" s="2" t="s">
        <v>609</v>
      </c>
      <c r="X3585" s="2" t="s">
        <v>11441</v>
      </c>
      <c r="Y3585" s="2" t="s">
        <v>4914</v>
      </c>
      <c r="Z3585" s="4">
        <v>284</v>
      </c>
      <c r="AA3585" s="4">
        <f>=ROUNDDOWN(28.4,0)</f>
      </c>
      <c r="AB3585" s="5">
        <v>10</v>
      </c>
      <c r="AC3585" s="2" t="s">
        <v>100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 t="s">
        <v>100</v>
      </c>
      <c r="BD3585" s="8" t="s">
        <v>100</v>
      </c>
      <c r="BE3585" s="4" t="s">
        <v>100</v>
      </c>
      <c r="BF3585" s="8" t="s">
        <v>100</v>
      </c>
      <c r="BG3585" s="7" t="s">
        <v>100</v>
      </c>
      <c r="BH3585" s="7" t="s">
        <v>100</v>
      </c>
      <c r="BI3585" s="7"/>
      <c r="BJ3585" s="4">
        <v>29</v>
      </c>
      <c r="BK3585" s="8">
        <v>858.19</v>
      </c>
      <c r="BL3585" s="2" t="s">
        <v>11467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2526</v>
      </c>
      <c r="BV3585" s="2" t="s">
        <v>97</v>
      </c>
      <c r="BW3585" s="2" t="s">
        <v>100</v>
      </c>
      <c r="BX3585" s="2" t="s">
        <v>100</v>
      </c>
      <c r="BY3585" s="2" t="s">
        <v>112</v>
      </c>
      <c r="BZ3585" s="2" t="s">
        <v>149</v>
      </c>
    </row>
    <row r="3586">
      <c r="A3586" s="2" t="s">
        <v>11468</v>
      </c>
      <c r="B3586" s="2" t="s">
        <v>10807</v>
      </c>
      <c r="C3586" s="2" t="s">
        <v>11402</v>
      </c>
      <c r="D3586" s="2" t="s">
        <v>2572</v>
      </c>
      <c r="E3586" s="2" t="s">
        <v>2573</v>
      </c>
      <c r="F3586" s="2" t="s">
        <v>1371</v>
      </c>
      <c r="G3586" s="2" t="s">
        <v>11461</v>
      </c>
      <c r="H3586" s="2" t="s">
        <v>11462</v>
      </c>
      <c r="I3586" s="2" t="s">
        <v>11463</v>
      </c>
      <c r="J3586" s="2" t="s">
        <v>11464</v>
      </c>
      <c r="K3586" s="2" t="s">
        <v>96</v>
      </c>
      <c r="L3586" s="3">
        <v>25.85</v>
      </c>
      <c r="M3586" s="3">
        <v>27.14</v>
      </c>
      <c r="N3586" s="3">
        <v>54.99</v>
      </c>
      <c r="O3586" s="2" t="s">
        <v>97</v>
      </c>
      <c r="P3586" s="2" t="s">
        <v>98</v>
      </c>
      <c r="Q3586" s="2" t="s">
        <v>99</v>
      </c>
      <c r="R3586" s="2" t="s">
        <v>100</v>
      </c>
      <c r="S3586" s="2" t="s">
        <v>11469</v>
      </c>
      <c r="T3586" s="2" t="s">
        <v>100</v>
      </c>
      <c r="U3586" s="2" t="s">
        <v>1776</v>
      </c>
      <c r="V3586" s="2" t="s">
        <v>461</v>
      </c>
      <c r="W3586" s="2" t="s">
        <v>609</v>
      </c>
      <c r="X3586" s="2" t="s">
        <v>11441</v>
      </c>
      <c r="Y3586" s="2" t="s">
        <v>4914</v>
      </c>
      <c r="Z3586" s="4">
        <v>235</v>
      </c>
      <c r="AA3586" s="4">
        <f>=ROUNDDOWN(19.1056910569106,0)</f>
      </c>
      <c r="AB3586" s="5">
        <v>12.3</v>
      </c>
      <c r="AC3586" s="2" t="s">
        <v>312</v>
      </c>
      <c r="AD3586" s="4">
        <v>148</v>
      </c>
      <c r="AE3586" s="4">
        <v>284</v>
      </c>
      <c r="AF3586" s="6">
        <v>65</v>
      </c>
      <c r="AG3586" s="6"/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/>
      <c r="BJ3586" s="4">
        <v>49</v>
      </c>
      <c r="BK3586" s="8">
        <v>1377.29</v>
      </c>
      <c r="BL3586" s="2" t="s">
        <v>624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2526</v>
      </c>
      <c r="BV3586" s="2" t="s">
        <v>97</v>
      </c>
      <c r="BW3586" s="2" t="s">
        <v>100</v>
      </c>
      <c r="BX3586" s="2" t="s">
        <v>100</v>
      </c>
      <c r="BY3586" s="2" t="s">
        <v>112</v>
      </c>
      <c r="BZ3586" s="2" t="s">
        <v>149</v>
      </c>
    </row>
    <row r="3587">
      <c r="A3587" s="2" t="s">
        <v>11470</v>
      </c>
      <c r="B3587" s="2" t="s">
        <v>10807</v>
      </c>
      <c r="C3587" s="2" t="s">
        <v>11402</v>
      </c>
      <c r="D3587" s="2" t="s">
        <v>2572</v>
      </c>
      <c r="E3587" s="2" t="s">
        <v>2573</v>
      </c>
      <c r="F3587" s="2" t="s">
        <v>1371</v>
      </c>
      <c r="G3587" s="2" t="s">
        <v>11461</v>
      </c>
      <c r="H3587" s="2" t="s">
        <v>11462</v>
      </c>
      <c r="I3587" s="2" t="s">
        <v>11463</v>
      </c>
      <c r="J3587" s="2" t="s">
        <v>11464</v>
      </c>
      <c r="K3587" s="2" t="s">
        <v>673</v>
      </c>
      <c r="L3587" s="3">
        <v>25.85</v>
      </c>
      <c r="M3587" s="3">
        <v>27.14</v>
      </c>
      <c r="N3587" s="3">
        <v>54.99</v>
      </c>
      <c r="O3587" s="2" t="s">
        <v>97</v>
      </c>
      <c r="P3587" s="2" t="s">
        <v>156</v>
      </c>
      <c r="Q3587" s="2" t="s">
        <v>99</v>
      </c>
      <c r="R3587" s="2" t="s">
        <v>100</v>
      </c>
      <c r="S3587" s="2" t="s">
        <v>11471</v>
      </c>
      <c r="T3587" s="2" t="s">
        <v>100</v>
      </c>
      <c r="U3587" s="2" t="s">
        <v>1776</v>
      </c>
      <c r="V3587" s="2" t="s">
        <v>461</v>
      </c>
      <c r="W3587" s="2" t="s">
        <v>609</v>
      </c>
      <c r="X3587" s="2" t="s">
        <v>11441</v>
      </c>
      <c r="Y3587" s="2" t="s">
        <v>4914</v>
      </c>
      <c r="Z3587" s="4">
        <v>667</v>
      </c>
      <c r="AA3587" s="4">
        <f>=ROUNDDOWN(31.3145539906103,0)</f>
      </c>
      <c r="AB3587" s="5">
        <v>21.3</v>
      </c>
      <c r="AC3587" s="2" t="s">
        <v>100</v>
      </c>
      <c r="AD3587" s="4"/>
      <c r="AE3587" s="4"/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 t="s">
        <v>100</v>
      </c>
      <c r="BD3587" s="8" t="s">
        <v>100</v>
      </c>
      <c r="BE3587" s="4" t="s">
        <v>100</v>
      </c>
      <c r="BF3587" s="8" t="s">
        <v>100</v>
      </c>
      <c r="BG3587" s="7" t="s">
        <v>100</v>
      </c>
      <c r="BH3587" s="7" t="s">
        <v>100</v>
      </c>
      <c r="BI3587" s="7"/>
      <c r="BJ3587" s="4">
        <v>98</v>
      </c>
      <c r="BK3587" s="8">
        <v>2719.72</v>
      </c>
      <c r="BL3587" s="2" t="s">
        <v>11472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2526</v>
      </c>
      <c r="BV3587" s="2" t="s">
        <v>97</v>
      </c>
      <c r="BW3587" s="2" t="s">
        <v>100</v>
      </c>
      <c r="BX3587" s="2" t="s">
        <v>100</v>
      </c>
      <c r="BY3587" s="2" t="s">
        <v>112</v>
      </c>
      <c r="BZ3587" s="2" t="s">
        <v>149</v>
      </c>
    </row>
    <row r="3588">
      <c r="A3588" s="2" t="s">
        <v>11473</v>
      </c>
      <c r="B3588" s="2" t="s">
        <v>10807</v>
      </c>
      <c r="C3588" s="2" t="s">
        <v>11402</v>
      </c>
      <c r="D3588" s="2" t="s">
        <v>2572</v>
      </c>
      <c r="E3588" s="2" t="s">
        <v>2573</v>
      </c>
      <c r="F3588" s="2" t="s">
        <v>93</v>
      </c>
      <c r="G3588" s="2" t="s">
        <v>11474</v>
      </c>
      <c r="H3588" s="2" t="s">
        <v>11475</v>
      </c>
      <c r="I3588" s="2" t="s">
        <v>11476</v>
      </c>
      <c r="J3588" s="2" t="s">
        <v>10811</v>
      </c>
      <c r="K3588" s="2" t="s">
        <v>223</v>
      </c>
      <c r="L3588" s="3">
        <v>16.8</v>
      </c>
      <c r="M3588" s="3">
        <v>17.64</v>
      </c>
      <c r="N3588" s="3">
        <v>39.99</v>
      </c>
      <c r="O3588" s="2" t="s">
        <v>97</v>
      </c>
      <c r="P3588" s="2" t="s">
        <v>98</v>
      </c>
      <c r="Q3588" s="2" t="s">
        <v>99</v>
      </c>
      <c r="R3588" s="2" t="s">
        <v>100</v>
      </c>
      <c r="S3588" s="2" t="s">
        <v>11477</v>
      </c>
      <c r="T3588" s="2" t="s">
        <v>100</v>
      </c>
      <c r="U3588" s="2" t="s">
        <v>1776</v>
      </c>
      <c r="V3588" s="2" t="s">
        <v>304</v>
      </c>
      <c r="W3588" s="2" t="s">
        <v>1136</v>
      </c>
      <c r="X3588" s="2" t="s">
        <v>10845</v>
      </c>
      <c r="Y3588" s="2" t="s">
        <v>9591</v>
      </c>
      <c r="Z3588" s="4"/>
      <c r="AA3588" s="4">
        <f>=ROUNDDOWN({0},0)</f>
      </c>
      <c r="AB3588" s="5">
        <v>22</v>
      </c>
      <c r="AC3588" s="2" t="s">
        <v>107</v>
      </c>
      <c r="AD3588" s="4">
        <v>312</v>
      </c>
      <c r="AE3588" s="4">
        <v>676</v>
      </c>
      <c r="AF3588" s="6">
        <v>68</v>
      </c>
      <c r="AG3588" s="6"/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/>
      <c r="AQ3588" s="8"/>
      <c r="AR3588" s="4"/>
      <c r="AS3588" s="8"/>
      <c r="AT3588" s="7"/>
      <c r="AU3588" s="7"/>
      <c r="AV3588" s="4" t="s">
        <v>100</v>
      </c>
      <c r="AW3588" s="8" t="s">
        <v>100</v>
      </c>
      <c r="AX3588" s="4" t="s">
        <v>100</v>
      </c>
      <c r="AY3588" s="8" t="s">
        <v>100</v>
      </c>
      <c r="AZ3588" s="7" t="s">
        <v>100</v>
      </c>
      <c r="BA3588" s="7" t="s">
        <v>100</v>
      </c>
      <c r="BB3588" s="7"/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/>
      <c r="BJ3588" s="4">
        <v>95</v>
      </c>
      <c r="BK3588" s="8">
        <v>1621.11</v>
      </c>
      <c r="BL3588" s="2" t="s">
        <v>11478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2526</v>
      </c>
      <c r="BV3588" s="2" t="s">
        <v>97</v>
      </c>
      <c r="BW3588" s="2" t="s">
        <v>100</v>
      </c>
      <c r="BX3588" s="2" t="s">
        <v>100</v>
      </c>
      <c r="BY3588" s="2" t="s">
        <v>112</v>
      </c>
      <c r="BZ3588" s="2" t="s">
        <v>149</v>
      </c>
    </row>
    <row r="3589">
      <c r="A3589" s="2" t="s">
        <v>11479</v>
      </c>
      <c r="B3589" s="2" t="s">
        <v>10807</v>
      </c>
      <c r="C3589" s="2" t="s">
        <v>11402</v>
      </c>
      <c r="D3589" s="2" t="s">
        <v>2572</v>
      </c>
      <c r="E3589" s="2" t="s">
        <v>2573</v>
      </c>
      <c r="F3589" s="2" t="s">
        <v>93</v>
      </c>
      <c r="G3589" s="2" t="s">
        <v>11474</v>
      </c>
      <c r="H3589" s="2" t="s">
        <v>11475</v>
      </c>
      <c r="I3589" s="2" t="s">
        <v>11476</v>
      </c>
      <c r="J3589" s="2" t="s">
        <v>10818</v>
      </c>
      <c r="K3589" s="2" t="s">
        <v>223</v>
      </c>
      <c r="L3589" s="3">
        <v>18</v>
      </c>
      <c r="M3589" s="3">
        <v>18.9</v>
      </c>
      <c r="N3589" s="3">
        <v>44.99</v>
      </c>
      <c r="O3589" s="2" t="s">
        <v>97</v>
      </c>
      <c r="P3589" s="2" t="s">
        <v>98</v>
      </c>
      <c r="Q3589" s="2" t="s">
        <v>99</v>
      </c>
      <c r="R3589" s="2" t="s">
        <v>100</v>
      </c>
      <c r="S3589" s="2" t="s">
        <v>11477</v>
      </c>
      <c r="T3589" s="2" t="s">
        <v>100</v>
      </c>
      <c r="U3589" s="2" t="s">
        <v>1776</v>
      </c>
      <c r="V3589" s="2" t="s">
        <v>304</v>
      </c>
      <c r="W3589" s="2" t="s">
        <v>1136</v>
      </c>
      <c r="X3589" s="2" t="s">
        <v>10845</v>
      </c>
      <c r="Y3589" s="2" t="s">
        <v>9591</v>
      </c>
      <c r="Z3589" s="4">
        <v>124</v>
      </c>
      <c r="AA3589" s="4">
        <f>=ROUNDDOWN(9.53846153846154,0)</f>
      </c>
      <c r="AB3589" s="5">
        <v>13</v>
      </c>
      <c r="AC3589" s="2" t="s">
        <v>107</v>
      </c>
      <c r="AD3589" s="4">
        <v>196</v>
      </c>
      <c r="AE3589" s="4">
        <v>292</v>
      </c>
      <c r="AF3589" s="6">
        <v>68</v>
      </c>
      <c r="AG3589" s="6"/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/>
      <c r="AQ3589" s="8"/>
      <c r="AR3589" s="4"/>
      <c r="AS3589" s="8"/>
      <c r="AT3589" s="7"/>
      <c r="AU3589" s="7"/>
      <c r="AV3589" s="4" t="s">
        <v>100</v>
      </c>
      <c r="AW3589" s="8" t="s">
        <v>100</v>
      </c>
      <c r="AX3589" s="4" t="s">
        <v>100</v>
      </c>
      <c r="AY3589" s="8" t="s">
        <v>100</v>
      </c>
      <c r="AZ3589" s="7" t="s">
        <v>100</v>
      </c>
      <c r="BA3589" s="7" t="s">
        <v>100</v>
      </c>
      <c r="BB3589" s="7"/>
      <c r="BC3589" s="4" t="s">
        <v>100</v>
      </c>
      <c r="BD3589" s="8" t="s">
        <v>100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/>
      <c r="BJ3589" s="4">
        <v>54</v>
      </c>
      <c r="BK3589" s="8">
        <v>1049.52</v>
      </c>
      <c r="BL3589" s="2" t="s">
        <v>11480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2526</v>
      </c>
      <c r="BV3589" s="2" t="s">
        <v>97</v>
      </c>
      <c r="BW3589" s="2" t="s">
        <v>100</v>
      </c>
      <c r="BX3589" s="2" t="s">
        <v>100</v>
      </c>
      <c r="BY3589" s="2" t="s">
        <v>112</v>
      </c>
      <c r="BZ3589" s="2" t="s">
        <v>149</v>
      </c>
    </row>
    <row r="3590">
      <c r="A3590" s="2" t="s">
        <v>11481</v>
      </c>
      <c r="B3590" s="2" t="s">
        <v>10807</v>
      </c>
      <c r="C3590" s="2" t="s">
        <v>11402</v>
      </c>
      <c r="D3590" s="2" t="s">
        <v>2572</v>
      </c>
      <c r="E3590" s="2" t="s">
        <v>2573</v>
      </c>
      <c r="F3590" s="2" t="s">
        <v>93</v>
      </c>
      <c r="G3590" s="2" t="s">
        <v>11474</v>
      </c>
      <c r="H3590" s="2" t="s">
        <v>11475</v>
      </c>
      <c r="I3590" s="2" t="s">
        <v>11476</v>
      </c>
      <c r="J3590" s="2" t="s">
        <v>10921</v>
      </c>
      <c r="K3590" s="2" t="s">
        <v>223</v>
      </c>
      <c r="L3590" s="3">
        <v>21</v>
      </c>
      <c r="M3590" s="3">
        <v>22.05</v>
      </c>
      <c r="N3590" s="3">
        <v>49.99</v>
      </c>
      <c r="O3590" s="2" t="s">
        <v>97</v>
      </c>
      <c r="P3590" s="2" t="s">
        <v>98</v>
      </c>
      <c r="Q3590" s="2" t="s">
        <v>99</v>
      </c>
      <c r="R3590" s="2" t="s">
        <v>100</v>
      </c>
      <c r="S3590" s="2" t="s">
        <v>11477</v>
      </c>
      <c r="T3590" s="2" t="s">
        <v>100</v>
      </c>
      <c r="U3590" s="2" t="s">
        <v>1776</v>
      </c>
      <c r="V3590" s="2" t="s">
        <v>304</v>
      </c>
      <c r="W3590" s="2" t="s">
        <v>1136</v>
      </c>
      <c r="X3590" s="2" t="s">
        <v>10845</v>
      </c>
      <c r="Y3590" s="2" t="s">
        <v>9591</v>
      </c>
      <c r="Z3590" s="4">
        <v>100</v>
      </c>
      <c r="AA3590" s="4">
        <f>=ROUNDDOWN(9.09090909090909,0)</f>
      </c>
      <c r="AB3590" s="5">
        <v>11</v>
      </c>
      <c r="AC3590" s="2" t="s">
        <v>107</v>
      </c>
      <c r="AD3590" s="4">
        <v>64</v>
      </c>
      <c r="AE3590" s="4">
        <v>532</v>
      </c>
      <c r="AF3590" s="6">
        <v>68</v>
      </c>
      <c r="AG3590" s="6"/>
      <c r="AH3590" s="7">
        <v>0.5161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/>
      <c r="AQ3590" s="8"/>
      <c r="AR3590" s="4"/>
      <c r="AS3590" s="8"/>
      <c r="AT3590" s="7"/>
      <c r="AU3590" s="7"/>
      <c r="AV3590" s="4" t="s">
        <v>100</v>
      </c>
      <c r="AW3590" s="8" t="s">
        <v>100</v>
      </c>
      <c r="AX3590" s="4" t="s">
        <v>100</v>
      </c>
      <c r="AY3590" s="8" t="s">
        <v>100</v>
      </c>
      <c r="AZ3590" s="7" t="s">
        <v>100</v>
      </c>
      <c r="BA3590" s="7" t="s">
        <v>100</v>
      </c>
      <c r="BB3590" s="7"/>
      <c r="BC3590" s="4" t="s">
        <v>100</v>
      </c>
      <c r="BD3590" s="8" t="s">
        <v>100</v>
      </c>
      <c r="BE3590" s="4" t="s">
        <v>100</v>
      </c>
      <c r="BF3590" s="8" t="s">
        <v>100</v>
      </c>
      <c r="BG3590" s="7" t="s">
        <v>100</v>
      </c>
      <c r="BH3590" s="7" t="s">
        <v>100</v>
      </c>
      <c r="BI3590" s="7"/>
      <c r="BJ3590" s="4">
        <v>4</v>
      </c>
      <c r="BK3590" s="8">
        <v>86.4</v>
      </c>
      <c r="BL3590" s="2" t="s">
        <v>2009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2526</v>
      </c>
      <c r="BV3590" s="2" t="s">
        <v>97</v>
      </c>
      <c r="BW3590" s="2" t="s">
        <v>100</v>
      </c>
      <c r="BX3590" s="2" t="s">
        <v>100</v>
      </c>
      <c r="BY3590" s="2" t="s">
        <v>112</v>
      </c>
      <c r="BZ3590" s="2" t="s">
        <v>149</v>
      </c>
    </row>
    <row r="3591">
      <c r="A3591" s="2" t="s">
        <v>11482</v>
      </c>
      <c r="B3591" s="2" t="s">
        <v>10807</v>
      </c>
      <c r="C3591" s="2" t="s">
        <v>11402</v>
      </c>
      <c r="D3591" s="2" t="s">
        <v>2572</v>
      </c>
      <c r="E3591" s="2" t="s">
        <v>2573</v>
      </c>
      <c r="F3591" s="2" t="s">
        <v>11483</v>
      </c>
      <c r="G3591" s="2" t="s">
        <v>11484</v>
      </c>
      <c r="H3591" s="2" t="s">
        <v>11485</v>
      </c>
      <c r="I3591" s="2" t="s">
        <v>11486</v>
      </c>
      <c r="J3591" s="2" t="s">
        <v>10811</v>
      </c>
      <c r="K3591" s="2" t="s">
        <v>1373</v>
      </c>
      <c r="L3591" s="3">
        <v>20.25</v>
      </c>
      <c r="M3591" s="3">
        <v>21.26</v>
      </c>
      <c r="N3591" s="3">
        <v>44.99</v>
      </c>
      <c r="O3591" s="2" t="s">
        <v>97</v>
      </c>
      <c r="P3591" s="2" t="s">
        <v>98</v>
      </c>
      <c r="Q3591" s="2" t="s">
        <v>99</v>
      </c>
      <c r="R3591" s="2" t="s">
        <v>100</v>
      </c>
      <c r="S3591" s="2" t="s">
        <v>11487</v>
      </c>
      <c r="T3591" s="2" t="s">
        <v>100</v>
      </c>
      <c r="U3591" s="2" t="s">
        <v>1776</v>
      </c>
      <c r="V3591" s="2" t="s">
        <v>4636</v>
      </c>
      <c r="W3591" s="2" t="s">
        <v>493</v>
      </c>
      <c r="X3591" s="2" t="s">
        <v>10845</v>
      </c>
      <c r="Y3591" s="2" t="s">
        <v>11488</v>
      </c>
      <c r="Z3591" s="4">
        <v>5</v>
      </c>
      <c r="AA3591" s="4">
        <f>=ROUNDDOWN(0.3125,0)</f>
      </c>
      <c r="AB3591" s="5">
        <v>16</v>
      </c>
      <c r="AC3591" s="2" t="s">
        <v>107</v>
      </c>
      <c r="AD3591" s="4">
        <v>484</v>
      </c>
      <c r="AE3591" s="4">
        <v>596</v>
      </c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/>
      <c r="AQ3591" s="8"/>
      <c r="AR3591" s="4"/>
      <c r="AS3591" s="8"/>
      <c r="AT3591" s="7"/>
      <c r="AU3591" s="7"/>
      <c r="AV3591" s="4" t="s">
        <v>100</v>
      </c>
      <c r="AW3591" s="8" t="s">
        <v>100</v>
      </c>
      <c r="AX3591" s="4" t="s">
        <v>100</v>
      </c>
      <c r="AY3591" s="8" t="s">
        <v>100</v>
      </c>
      <c r="AZ3591" s="7" t="s">
        <v>100</v>
      </c>
      <c r="BA3591" s="7" t="s">
        <v>100</v>
      </c>
      <c r="BB3591" s="7"/>
      <c r="BC3591" s="4" t="s">
        <v>100</v>
      </c>
      <c r="BD3591" s="8" t="s">
        <v>100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/>
      <c r="BJ3591" s="4">
        <v>70</v>
      </c>
      <c r="BK3591" s="8">
        <v>1408.76</v>
      </c>
      <c r="BL3591" s="2" t="s">
        <v>11299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2526</v>
      </c>
      <c r="BV3591" s="2" t="s">
        <v>97</v>
      </c>
      <c r="BW3591" s="2" t="s">
        <v>100</v>
      </c>
      <c r="BX3591" s="2" t="s">
        <v>100</v>
      </c>
      <c r="BY3591" s="2" t="s">
        <v>112</v>
      </c>
      <c r="BZ3591" s="2" t="s">
        <v>149</v>
      </c>
    </row>
    <row r="3592">
      <c r="A3592" s="2" t="s">
        <v>11489</v>
      </c>
      <c r="B3592" s="2" t="s">
        <v>10807</v>
      </c>
      <c r="C3592" s="2" t="s">
        <v>11402</v>
      </c>
      <c r="D3592" s="2" t="s">
        <v>2572</v>
      </c>
      <c r="E3592" s="2" t="s">
        <v>2573</v>
      </c>
      <c r="F3592" s="2" t="s">
        <v>11483</v>
      </c>
      <c r="G3592" s="2" t="s">
        <v>11484</v>
      </c>
      <c r="H3592" s="2" t="s">
        <v>11485</v>
      </c>
      <c r="I3592" s="2" t="s">
        <v>11486</v>
      </c>
      <c r="J3592" s="2" t="s">
        <v>10818</v>
      </c>
      <c r="K3592" s="2" t="s">
        <v>1373</v>
      </c>
      <c r="L3592" s="3">
        <v>22.5</v>
      </c>
      <c r="M3592" s="3">
        <v>23.62</v>
      </c>
      <c r="N3592" s="3">
        <v>49.99</v>
      </c>
      <c r="O3592" s="2" t="s">
        <v>97</v>
      </c>
      <c r="P3592" s="2" t="s">
        <v>98</v>
      </c>
      <c r="Q3592" s="2" t="s">
        <v>99</v>
      </c>
      <c r="R3592" s="2" t="s">
        <v>100</v>
      </c>
      <c r="S3592" s="2" t="s">
        <v>11487</v>
      </c>
      <c r="T3592" s="2" t="s">
        <v>100</v>
      </c>
      <c r="U3592" s="2" t="s">
        <v>100</v>
      </c>
      <c r="V3592" s="2" t="s">
        <v>4636</v>
      </c>
      <c r="W3592" s="2" t="s">
        <v>493</v>
      </c>
      <c r="X3592" s="2" t="s">
        <v>10845</v>
      </c>
      <c r="Y3592" s="2" t="s">
        <v>11488</v>
      </c>
      <c r="Z3592" s="4">
        <v>323</v>
      </c>
      <c r="AA3592" s="4">
        <f>=ROUNDDOWN(32.3,0)</f>
      </c>
      <c r="AB3592" s="5">
        <v>10</v>
      </c>
      <c r="AC3592" s="2" t="s">
        <v>3200</v>
      </c>
      <c r="AD3592" s="4">
        <v>276</v>
      </c>
      <c r="AE3592" s="4">
        <v>276</v>
      </c>
      <c r="AF3592" s="6">
        <v>65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/>
      <c r="AQ3592" s="8"/>
      <c r="AR3592" s="4"/>
      <c r="AS3592" s="8"/>
      <c r="AT3592" s="7"/>
      <c r="AU3592" s="7"/>
      <c r="AV3592" s="4" t="s">
        <v>100</v>
      </c>
      <c r="AW3592" s="8" t="s">
        <v>100</v>
      </c>
      <c r="AX3592" s="4" t="s">
        <v>100</v>
      </c>
      <c r="AY3592" s="8" t="s">
        <v>100</v>
      </c>
      <c r="AZ3592" s="7" t="s">
        <v>100</v>
      </c>
      <c r="BA3592" s="7" t="s">
        <v>100</v>
      </c>
      <c r="BB3592" s="7"/>
      <c r="BC3592" s="4" t="s">
        <v>100</v>
      </c>
      <c r="BD3592" s="8" t="s">
        <v>100</v>
      </c>
      <c r="BE3592" s="4" t="s">
        <v>100</v>
      </c>
      <c r="BF3592" s="8" t="s">
        <v>100</v>
      </c>
      <c r="BG3592" s="7" t="s">
        <v>100</v>
      </c>
      <c r="BH3592" s="7" t="s">
        <v>100</v>
      </c>
      <c r="BI3592" s="7"/>
      <c r="BJ3592" s="4">
        <v>57</v>
      </c>
      <c r="BK3592" s="8">
        <v>1280.41</v>
      </c>
      <c r="BL3592" s="2" t="s">
        <v>11490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2526</v>
      </c>
      <c r="BV3592" s="2" t="s">
        <v>97</v>
      </c>
      <c r="BW3592" s="2" t="s">
        <v>100</v>
      </c>
      <c r="BX3592" s="2" t="s">
        <v>100</v>
      </c>
      <c r="BY3592" s="2" t="s">
        <v>112</v>
      </c>
      <c r="BZ3592" s="2" t="s">
        <v>149</v>
      </c>
    </row>
    <row r="3593">
      <c r="A3593" s="2" t="s">
        <v>11491</v>
      </c>
      <c r="B3593" s="2" t="s">
        <v>10807</v>
      </c>
      <c r="C3593" s="2" t="s">
        <v>11402</v>
      </c>
      <c r="D3593" s="2" t="s">
        <v>2572</v>
      </c>
      <c r="E3593" s="2" t="s">
        <v>2573</v>
      </c>
      <c r="F3593" s="2" t="s">
        <v>11483</v>
      </c>
      <c r="G3593" s="2" t="s">
        <v>11484</v>
      </c>
      <c r="H3593" s="2" t="s">
        <v>11485</v>
      </c>
      <c r="I3593" s="2" t="s">
        <v>11486</v>
      </c>
      <c r="J3593" s="2" t="s">
        <v>10921</v>
      </c>
      <c r="K3593" s="2" t="s">
        <v>1373</v>
      </c>
      <c r="L3593" s="3">
        <v>24.75</v>
      </c>
      <c r="M3593" s="3">
        <v>25.99</v>
      </c>
      <c r="N3593" s="3">
        <v>54.99</v>
      </c>
      <c r="O3593" s="2" t="s">
        <v>97</v>
      </c>
      <c r="P3593" s="2" t="s">
        <v>98</v>
      </c>
      <c r="Q3593" s="2" t="s">
        <v>99</v>
      </c>
      <c r="R3593" s="2" t="s">
        <v>100</v>
      </c>
      <c r="S3593" s="2" t="s">
        <v>11487</v>
      </c>
      <c r="T3593" s="2" t="s">
        <v>100</v>
      </c>
      <c r="U3593" s="2" t="s">
        <v>1776</v>
      </c>
      <c r="V3593" s="2" t="s">
        <v>4636</v>
      </c>
      <c r="W3593" s="2" t="s">
        <v>493</v>
      </c>
      <c r="X3593" s="2" t="s">
        <v>10845</v>
      </c>
      <c r="Y3593" s="2" t="s">
        <v>11488</v>
      </c>
      <c r="Z3593" s="4">
        <v>94</v>
      </c>
      <c r="AA3593" s="4">
        <f>=ROUNDDOWN(9.4,0)</f>
      </c>
      <c r="AB3593" s="5">
        <v>10</v>
      </c>
      <c r="AC3593" s="2" t="s">
        <v>3200</v>
      </c>
      <c r="AD3593" s="4">
        <v>52</v>
      </c>
      <c r="AE3593" s="4">
        <v>272</v>
      </c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/>
      <c r="AQ3593" s="8"/>
      <c r="AR3593" s="4"/>
      <c r="AS3593" s="8"/>
      <c r="AT3593" s="7"/>
      <c r="AU3593" s="7"/>
      <c r="AV3593" s="4" t="s">
        <v>100</v>
      </c>
      <c r="AW3593" s="8" t="s">
        <v>100</v>
      </c>
      <c r="AX3593" s="4" t="s">
        <v>100</v>
      </c>
      <c r="AY3593" s="8" t="s">
        <v>100</v>
      </c>
      <c r="AZ3593" s="7" t="s">
        <v>100</v>
      </c>
      <c r="BA3593" s="7" t="s">
        <v>100</v>
      </c>
      <c r="BB3593" s="7"/>
      <c r="BC3593" s="4" t="s">
        <v>100</v>
      </c>
      <c r="BD3593" s="8" t="s">
        <v>100</v>
      </c>
      <c r="BE3593" s="4" t="s">
        <v>100</v>
      </c>
      <c r="BF3593" s="8" t="s">
        <v>100</v>
      </c>
      <c r="BG3593" s="7" t="s">
        <v>100</v>
      </c>
      <c r="BH3593" s="7" t="s">
        <v>100</v>
      </c>
      <c r="BI3593" s="7"/>
      <c r="BJ3593" s="4">
        <v>25</v>
      </c>
      <c r="BK3593" s="8">
        <v>608.01</v>
      </c>
      <c r="BL3593" s="2" t="s">
        <v>250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2526</v>
      </c>
      <c r="BV3593" s="2" t="s">
        <v>97</v>
      </c>
      <c r="BW3593" s="2" t="s">
        <v>100</v>
      </c>
      <c r="BX3593" s="2" t="s">
        <v>100</v>
      </c>
      <c r="BY3593" s="2" t="s">
        <v>112</v>
      </c>
      <c r="BZ3593" s="2" t="s">
        <v>149</v>
      </c>
    </row>
    <row r="3594">
      <c r="A3594" s="2" t="s">
        <v>11492</v>
      </c>
      <c r="B3594" s="2" t="s">
        <v>10807</v>
      </c>
      <c r="C3594" s="2" t="s">
        <v>11402</v>
      </c>
      <c r="D3594" s="2" t="s">
        <v>2572</v>
      </c>
      <c r="E3594" s="2" t="s">
        <v>11165</v>
      </c>
      <c r="F3594" s="2" t="s">
        <v>11202</v>
      </c>
      <c r="G3594" s="2" t="s">
        <v>11203</v>
      </c>
      <c r="H3594" s="2" t="s">
        <v>8390</v>
      </c>
      <c r="I3594" s="2" t="s">
        <v>11493</v>
      </c>
      <c r="J3594" s="2" t="s">
        <v>11018</v>
      </c>
      <c r="K3594" s="2" t="s">
        <v>1373</v>
      </c>
      <c r="L3594" s="3">
        <v>23.65</v>
      </c>
      <c r="M3594" s="3">
        <v>24.83</v>
      </c>
      <c r="N3594" s="3">
        <v>54.99</v>
      </c>
      <c r="O3594" s="2" t="s">
        <v>97</v>
      </c>
      <c r="P3594" s="2" t="s">
        <v>98</v>
      </c>
      <c r="Q3594" s="2" t="s">
        <v>99</v>
      </c>
      <c r="R3594" s="2" t="s">
        <v>100</v>
      </c>
      <c r="S3594" s="2" t="s">
        <v>11206</v>
      </c>
      <c r="T3594" s="2" t="s">
        <v>438</v>
      </c>
      <c r="U3594" s="2" t="s">
        <v>894</v>
      </c>
      <c r="V3594" s="2" t="s">
        <v>461</v>
      </c>
      <c r="W3594" s="2" t="s">
        <v>493</v>
      </c>
      <c r="X3594" s="2" t="s">
        <v>11172</v>
      </c>
      <c r="Y3594" s="2" t="s">
        <v>5780</v>
      </c>
      <c r="Z3594" s="4">
        <v>416</v>
      </c>
      <c r="AA3594" s="4">
        <f>=ROUNDDOWN(46.2222222222222,0)</f>
      </c>
      <c r="AB3594" s="5">
        <v>9</v>
      </c>
      <c r="AC3594" s="2" t="s">
        <v>1142</v>
      </c>
      <c r="AD3594" s="4">
        <v>60</v>
      </c>
      <c r="AE3594" s="4">
        <v>132</v>
      </c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/>
      <c r="AQ3594" s="8"/>
      <c r="AR3594" s="4"/>
      <c r="AS3594" s="8"/>
      <c r="AT3594" s="7"/>
      <c r="AU3594" s="7"/>
      <c r="AV3594" s="4" t="s">
        <v>100</v>
      </c>
      <c r="AW3594" s="8" t="s">
        <v>100</v>
      </c>
      <c r="AX3594" s="4" t="s">
        <v>100</v>
      </c>
      <c r="AY3594" s="8" t="s">
        <v>100</v>
      </c>
      <c r="AZ3594" s="7" t="s">
        <v>100</v>
      </c>
      <c r="BA3594" s="7" t="s">
        <v>100</v>
      </c>
      <c r="BB3594" s="7"/>
      <c r="BC3594" s="4" t="s">
        <v>100</v>
      </c>
      <c r="BD3594" s="8" t="s">
        <v>100</v>
      </c>
      <c r="BE3594" s="4" t="s">
        <v>100</v>
      </c>
      <c r="BF3594" s="8" t="s">
        <v>100</v>
      </c>
      <c r="BG3594" s="7" t="s">
        <v>100</v>
      </c>
      <c r="BH3594" s="7" t="s">
        <v>100</v>
      </c>
      <c r="BI3594" s="7"/>
      <c r="BJ3594" s="4">
        <v>24</v>
      </c>
      <c r="BK3594" s="8">
        <v>651.37</v>
      </c>
      <c r="BL3594" s="2" t="s">
        <v>11494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2526</v>
      </c>
      <c r="BV3594" s="2" t="s">
        <v>97</v>
      </c>
      <c r="BW3594" s="2" t="s">
        <v>100</v>
      </c>
      <c r="BX3594" s="2" t="s">
        <v>100</v>
      </c>
      <c r="BY3594" s="2" t="s">
        <v>112</v>
      </c>
      <c r="BZ3594" s="2" t="s">
        <v>149</v>
      </c>
    </row>
    <row r="3595">
      <c r="A3595" s="2" t="s">
        <v>11495</v>
      </c>
      <c r="B3595" s="2" t="s">
        <v>10807</v>
      </c>
      <c r="C3595" s="2" t="s">
        <v>11402</v>
      </c>
      <c r="D3595" s="2" t="s">
        <v>2572</v>
      </c>
      <c r="E3595" s="2" t="s">
        <v>11165</v>
      </c>
      <c r="F3595" s="2" t="s">
        <v>11202</v>
      </c>
      <c r="G3595" s="2" t="s">
        <v>11203</v>
      </c>
      <c r="H3595" s="2" t="s">
        <v>8390</v>
      </c>
      <c r="I3595" s="2" t="s">
        <v>11493</v>
      </c>
      <c r="J3595" s="2" t="s">
        <v>11022</v>
      </c>
      <c r="K3595" s="2" t="s">
        <v>1373</v>
      </c>
      <c r="L3595" s="3">
        <v>25.8</v>
      </c>
      <c r="M3595" s="3">
        <v>27.09</v>
      </c>
      <c r="N3595" s="3">
        <v>59.99</v>
      </c>
      <c r="O3595" s="2" t="s">
        <v>97</v>
      </c>
      <c r="P3595" s="2" t="s">
        <v>98</v>
      </c>
      <c r="Q3595" s="2" t="s">
        <v>99</v>
      </c>
      <c r="R3595" s="2" t="s">
        <v>100</v>
      </c>
      <c r="S3595" s="2" t="s">
        <v>11206</v>
      </c>
      <c r="T3595" s="2" t="s">
        <v>438</v>
      </c>
      <c r="U3595" s="2" t="s">
        <v>894</v>
      </c>
      <c r="V3595" s="2" t="s">
        <v>461</v>
      </c>
      <c r="W3595" s="2" t="s">
        <v>493</v>
      </c>
      <c r="X3595" s="2" t="s">
        <v>11172</v>
      </c>
      <c r="Y3595" s="2" t="s">
        <v>5780</v>
      </c>
      <c r="Z3595" s="4">
        <v>405</v>
      </c>
      <c r="AA3595" s="4">
        <f>=ROUNDDOWN(33.75,0)</f>
      </c>
      <c r="AB3595" s="5">
        <v>12</v>
      </c>
      <c r="AC3595" s="2" t="s">
        <v>1142</v>
      </c>
      <c r="AD3595" s="4">
        <v>200</v>
      </c>
      <c r="AE3595" s="4">
        <v>300</v>
      </c>
      <c r="AF3595" s="6">
        <v>65</v>
      </c>
      <c r="AG3595" s="6"/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/>
      <c r="AQ3595" s="8"/>
      <c r="AR3595" s="4"/>
      <c r="AS3595" s="8"/>
      <c r="AT3595" s="7"/>
      <c r="AU3595" s="7"/>
      <c r="AV3595" s="4" t="s">
        <v>100</v>
      </c>
      <c r="AW3595" s="8" t="s">
        <v>100</v>
      </c>
      <c r="AX3595" s="4" t="s">
        <v>100</v>
      </c>
      <c r="AY3595" s="8" t="s">
        <v>100</v>
      </c>
      <c r="AZ3595" s="7" t="s">
        <v>100</v>
      </c>
      <c r="BA3595" s="7" t="s">
        <v>100</v>
      </c>
      <c r="BB3595" s="7"/>
      <c r="BC3595" s="4" t="s">
        <v>100</v>
      </c>
      <c r="BD3595" s="8" t="s">
        <v>100</v>
      </c>
      <c r="BE3595" s="4" t="s">
        <v>100</v>
      </c>
      <c r="BF3595" s="8" t="s">
        <v>100</v>
      </c>
      <c r="BG3595" s="7" t="s">
        <v>100</v>
      </c>
      <c r="BH3595" s="7" t="s">
        <v>100</v>
      </c>
      <c r="BI3595" s="7"/>
      <c r="BJ3595" s="4">
        <v>25</v>
      </c>
      <c r="BK3595" s="8">
        <v>844.79</v>
      </c>
      <c r="BL3595" s="2" t="s">
        <v>11496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2526</v>
      </c>
      <c r="BV3595" s="2" t="s">
        <v>97</v>
      </c>
      <c r="BW3595" s="2" t="s">
        <v>100</v>
      </c>
      <c r="BX3595" s="2" t="s">
        <v>100</v>
      </c>
      <c r="BY3595" s="2" t="s">
        <v>112</v>
      </c>
      <c r="BZ3595" s="2" t="s">
        <v>149</v>
      </c>
    </row>
    <row r="3596">
      <c r="A3596" s="2" t="s">
        <v>11497</v>
      </c>
      <c r="B3596" s="2" t="s">
        <v>10807</v>
      </c>
      <c r="C3596" s="2" t="s">
        <v>11402</v>
      </c>
      <c r="D3596" s="2" t="s">
        <v>2572</v>
      </c>
      <c r="E3596" s="2" t="s">
        <v>11165</v>
      </c>
      <c r="F3596" s="2" t="s">
        <v>11202</v>
      </c>
      <c r="G3596" s="2" t="s">
        <v>11203</v>
      </c>
      <c r="H3596" s="2" t="s">
        <v>8390</v>
      </c>
      <c r="I3596" s="2" t="s">
        <v>11493</v>
      </c>
      <c r="J3596" s="2" t="s">
        <v>11018</v>
      </c>
      <c r="K3596" s="2" t="s">
        <v>673</v>
      </c>
      <c r="L3596" s="3">
        <v>23.65</v>
      </c>
      <c r="M3596" s="3">
        <v>24.83</v>
      </c>
      <c r="N3596" s="3">
        <v>54.99</v>
      </c>
      <c r="O3596" s="2" t="s">
        <v>97</v>
      </c>
      <c r="P3596" s="2" t="s">
        <v>98</v>
      </c>
      <c r="Q3596" s="2" t="s">
        <v>99</v>
      </c>
      <c r="R3596" s="2" t="s">
        <v>100</v>
      </c>
      <c r="S3596" s="2" t="s">
        <v>11219</v>
      </c>
      <c r="T3596" s="2" t="s">
        <v>438</v>
      </c>
      <c r="U3596" s="2" t="s">
        <v>894</v>
      </c>
      <c r="V3596" s="2" t="s">
        <v>461</v>
      </c>
      <c r="W3596" s="2" t="s">
        <v>493</v>
      </c>
      <c r="X3596" s="2" t="s">
        <v>11172</v>
      </c>
      <c r="Y3596" s="2" t="s">
        <v>5780</v>
      </c>
      <c r="Z3596" s="4">
        <v>291</v>
      </c>
      <c r="AA3596" s="4">
        <f>=ROUNDDOWN(72.75,0)</f>
      </c>
      <c r="AB3596" s="5">
        <v>4</v>
      </c>
      <c r="AC3596" s="2" t="s">
        <v>1060</v>
      </c>
      <c r="AD3596" s="4">
        <v>104</v>
      </c>
      <c r="AE3596" s="4">
        <v>104</v>
      </c>
      <c r="AF3596" s="6">
        <v>65</v>
      </c>
      <c r="AG3596" s="6"/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/>
      <c r="AQ3596" s="8"/>
      <c r="AR3596" s="4"/>
      <c r="AS3596" s="8"/>
      <c r="AT3596" s="7"/>
      <c r="AU3596" s="7"/>
      <c r="AV3596" s="4" t="s">
        <v>100</v>
      </c>
      <c r="AW3596" s="8" t="s">
        <v>100</v>
      </c>
      <c r="AX3596" s="4" t="s">
        <v>100</v>
      </c>
      <c r="AY3596" s="8" t="s">
        <v>100</v>
      </c>
      <c r="AZ3596" s="7" t="s">
        <v>100</v>
      </c>
      <c r="BA3596" s="7" t="s">
        <v>100</v>
      </c>
      <c r="BB3596" s="7"/>
      <c r="BC3596" s="4" t="s">
        <v>100</v>
      </c>
      <c r="BD3596" s="8" t="s">
        <v>100</v>
      </c>
      <c r="BE3596" s="4" t="s">
        <v>100</v>
      </c>
      <c r="BF3596" s="8" t="s">
        <v>100</v>
      </c>
      <c r="BG3596" s="7" t="s">
        <v>100</v>
      </c>
      <c r="BH3596" s="7" t="s">
        <v>100</v>
      </c>
      <c r="BI3596" s="7"/>
      <c r="BJ3596" s="4">
        <v>13</v>
      </c>
      <c r="BK3596" s="8">
        <v>419.19</v>
      </c>
      <c r="BL3596" s="2" t="s">
        <v>11498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2526</v>
      </c>
      <c r="BV3596" s="2" t="s">
        <v>97</v>
      </c>
      <c r="BW3596" s="2" t="s">
        <v>100</v>
      </c>
      <c r="BX3596" s="2" t="s">
        <v>100</v>
      </c>
      <c r="BY3596" s="2" t="s">
        <v>112</v>
      </c>
      <c r="BZ3596" s="2" t="s">
        <v>149</v>
      </c>
    </row>
    <row r="3597">
      <c r="A3597" s="2" t="s">
        <v>11499</v>
      </c>
      <c r="B3597" s="2" t="s">
        <v>10807</v>
      </c>
      <c r="C3597" s="2" t="s">
        <v>11402</v>
      </c>
      <c r="D3597" s="2" t="s">
        <v>2572</v>
      </c>
      <c r="E3597" s="2" t="s">
        <v>11165</v>
      </c>
      <c r="F3597" s="2" t="s">
        <v>11202</v>
      </c>
      <c r="G3597" s="2" t="s">
        <v>11203</v>
      </c>
      <c r="H3597" s="2" t="s">
        <v>8390</v>
      </c>
      <c r="I3597" s="2" t="s">
        <v>11493</v>
      </c>
      <c r="J3597" s="2" t="s">
        <v>11022</v>
      </c>
      <c r="K3597" s="2" t="s">
        <v>673</v>
      </c>
      <c r="L3597" s="3">
        <v>25.8</v>
      </c>
      <c r="M3597" s="3">
        <v>27.09</v>
      </c>
      <c r="N3597" s="3">
        <v>59.99</v>
      </c>
      <c r="O3597" s="2" t="s">
        <v>97</v>
      </c>
      <c r="P3597" s="2" t="s">
        <v>98</v>
      </c>
      <c r="Q3597" s="2" t="s">
        <v>99</v>
      </c>
      <c r="R3597" s="2" t="s">
        <v>100</v>
      </c>
      <c r="S3597" s="2" t="s">
        <v>11219</v>
      </c>
      <c r="T3597" s="2" t="s">
        <v>438</v>
      </c>
      <c r="U3597" s="2" t="s">
        <v>894</v>
      </c>
      <c r="V3597" s="2" t="s">
        <v>461</v>
      </c>
      <c r="W3597" s="2" t="s">
        <v>493</v>
      </c>
      <c r="X3597" s="2" t="s">
        <v>11172</v>
      </c>
      <c r="Y3597" s="2" t="s">
        <v>5780</v>
      </c>
      <c r="Z3597" s="4">
        <v>358</v>
      </c>
      <c r="AA3597" s="4">
        <f>=ROUNDDOWN(44.75,0)</f>
      </c>
      <c r="AB3597" s="5">
        <v>8</v>
      </c>
      <c r="AC3597" s="2" t="s">
        <v>1060</v>
      </c>
      <c r="AD3597" s="4">
        <v>92</v>
      </c>
      <c r="AE3597" s="4">
        <v>92</v>
      </c>
      <c r="AF3597" s="6">
        <v>65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/>
      <c r="AQ3597" s="8"/>
      <c r="AR3597" s="4"/>
      <c r="AS3597" s="8"/>
      <c r="AT3597" s="7"/>
      <c r="AU3597" s="7"/>
      <c r="AV3597" s="4" t="s">
        <v>100</v>
      </c>
      <c r="AW3597" s="8" t="s">
        <v>100</v>
      </c>
      <c r="AX3597" s="4" t="s">
        <v>100</v>
      </c>
      <c r="AY3597" s="8" t="s">
        <v>100</v>
      </c>
      <c r="AZ3597" s="7" t="s">
        <v>100</v>
      </c>
      <c r="BA3597" s="7" t="s">
        <v>100</v>
      </c>
      <c r="BB3597" s="7"/>
      <c r="BC3597" s="4" t="s">
        <v>100</v>
      </c>
      <c r="BD3597" s="8" t="s">
        <v>100</v>
      </c>
      <c r="BE3597" s="4" t="s">
        <v>100</v>
      </c>
      <c r="BF3597" s="8" t="s">
        <v>100</v>
      </c>
      <c r="BG3597" s="7" t="s">
        <v>100</v>
      </c>
      <c r="BH3597" s="7" t="s">
        <v>100</v>
      </c>
      <c r="BI3597" s="7"/>
      <c r="BJ3597" s="4">
        <v>2</v>
      </c>
      <c r="BK3597" s="8">
        <v>58.19</v>
      </c>
      <c r="BL3597" s="2" t="s">
        <v>9659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2526</v>
      </c>
      <c r="BV3597" s="2" t="s">
        <v>97</v>
      </c>
      <c r="BW3597" s="2" t="s">
        <v>100</v>
      </c>
      <c r="BX3597" s="2" t="s">
        <v>100</v>
      </c>
      <c r="BY3597" s="2" t="s">
        <v>112</v>
      </c>
      <c r="BZ3597" s="2" t="s">
        <v>149</v>
      </c>
    </row>
    <row r="3598">
      <c r="A3598" s="2" t="s">
        <v>11500</v>
      </c>
      <c r="B3598" s="2" t="s">
        <v>10807</v>
      </c>
      <c r="C3598" s="2" t="s">
        <v>11402</v>
      </c>
      <c r="D3598" s="2" t="s">
        <v>2572</v>
      </c>
      <c r="E3598" s="2" t="s">
        <v>11165</v>
      </c>
      <c r="F3598" s="2" t="s">
        <v>93</v>
      </c>
      <c r="G3598" s="2" t="s">
        <v>11474</v>
      </c>
      <c r="H3598" s="2" t="s">
        <v>11475</v>
      </c>
      <c r="I3598" s="2" t="s">
        <v>11501</v>
      </c>
      <c r="J3598" s="2" t="s">
        <v>10997</v>
      </c>
      <c r="K3598" s="2" t="s">
        <v>5739</v>
      </c>
      <c r="L3598" s="3">
        <v>30.1</v>
      </c>
      <c r="M3598" s="3">
        <v>31.61</v>
      </c>
      <c r="N3598" s="3">
        <v>69.99</v>
      </c>
      <c r="O3598" s="2" t="s">
        <v>97</v>
      </c>
      <c r="P3598" s="2" t="s">
        <v>98</v>
      </c>
      <c r="Q3598" s="2" t="s">
        <v>99</v>
      </c>
      <c r="R3598" s="2" t="s">
        <v>100</v>
      </c>
      <c r="S3598" s="2" t="s">
        <v>11502</v>
      </c>
      <c r="T3598" s="2" t="s">
        <v>100</v>
      </c>
      <c r="U3598" s="2" t="s">
        <v>894</v>
      </c>
      <c r="V3598" s="2" t="s">
        <v>304</v>
      </c>
      <c r="W3598" s="2" t="s">
        <v>1136</v>
      </c>
      <c r="X3598" s="2" t="s">
        <v>10845</v>
      </c>
      <c r="Y3598" s="2" t="s">
        <v>11503</v>
      </c>
      <c r="Z3598" s="4">
        <v>444</v>
      </c>
      <c r="AA3598" s="4">
        <f>=ROUNDDOWN(111,0)</f>
      </c>
      <c r="AB3598" s="5">
        <v>4</v>
      </c>
      <c r="AC3598" s="2" t="s">
        <v>100</v>
      </c>
      <c r="AD3598" s="4"/>
      <c r="AE3598" s="4"/>
      <c r="AF3598" s="6">
        <v>68</v>
      </c>
      <c r="AG3598" s="6"/>
      <c r="AH3598" s="7">
        <v>1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>
        <v>0</v>
      </c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/>
      <c r="BD3598" s="8"/>
      <c r="BE3598" s="4"/>
      <c r="BF3598" s="8"/>
      <c r="BG3598" s="7"/>
      <c r="BH3598" s="7"/>
      <c r="BI3598" s="7"/>
      <c r="BJ3598" s="4">
        <v>3</v>
      </c>
      <c r="BK3598" s="8">
        <v>83.75</v>
      </c>
      <c r="BL3598" s="2" t="s">
        <v>2763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2526</v>
      </c>
      <c r="BV3598" s="2" t="s">
        <v>97</v>
      </c>
      <c r="BW3598" s="2" t="s">
        <v>100</v>
      </c>
      <c r="BX3598" s="2" t="s">
        <v>100</v>
      </c>
      <c r="BY3598" s="2" t="s">
        <v>112</v>
      </c>
      <c r="BZ3598" s="2" t="s">
        <v>149</v>
      </c>
    </row>
    <row r="3599">
      <c r="A3599" s="2" t="s">
        <v>11504</v>
      </c>
      <c r="B3599" s="2" t="s">
        <v>10807</v>
      </c>
      <c r="C3599" s="2" t="s">
        <v>3449</v>
      </c>
      <c r="D3599" s="2" t="s">
        <v>2572</v>
      </c>
      <c r="E3599" s="2" t="s">
        <v>2573</v>
      </c>
      <c r="F3599" s="2" t="s">
        <v>11505</v>
      </c>
      <c r="G3599" s="2" t="s">
        <v>8042</v>
      </c>
      <c r="H3599" s="2" t="s">
        <v>8402</v>
      </c>
      <c r="I3599" s="2" t="s">
        <v>11506</v>
      </c>
      <c r="J3599" s="2" t="s">
        <v>10811</v>
      </c>
      <c r="K3599" s="2" t="s">
        <v>706</v>
      </c>
      <c r="L3599" s="3">
        <v>18</v>
      </c>
      <c r="M3599" s="3">
        <v>18.9</v>
      </c>
      <c r="N3599" s="3">
        <v>39.99</v>
      </c>
      <c r="O3599" s="2" t="s">
        <v>97</v>
      </c>
      <c r="P3599" s="2" t="s">
        <v>98</v>
      </c>
      <c r="Q3599" s="2" t="s">
        <v>99</v>
      </c>
      <c r="R3599" s="2" t="s">
        <v>100</v>
      </c>
      <c r="S3599" s="2" t="s">
        <v>11507</v>
      </c>
      <c r="T3599" s="2" t="s">
        <v>190</v>
      </c>
      <c r="U3599" s="2" t="s">
        <v>1776</v>
      </c>
      <c r="V3599" s="2" t="s">
        <v>4677</v>
      </c>
      <c r="W3599" s="2" t="s">
        <v>609</v>
      </c>
      <c r="X3599" s="2" t="s">
        <v>10813</v>
      </c>
      <c r="Y3599" s="2" t="s">
        <v>2148</v>
      </c>
      <c r="Z3599" s="4">
        <v>408</v>
      </c>
      <c r="AA3599" s="4">
        <f>=ROUNDDOWN(40.8,0)</f>
      </c>
      <c r="AB3599" s="5">
        <v>10</v>
      </c>
      <c r="AC3599" s="2" t="s">
        <v>783</v>
      </c>
      <c r="AD3599" s="4">
        <v>120</v>
      </c>
      <c r="AE3599" s="4">
        <v>220</v>
      </c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>
        <v>2</v>
      </c>
      <c r="AQ3599" s="8">
        <v>35.28</v>
      </c>
      <c r="AR3599" s="4"/>
      <c r="AS3599" s="8"/>
      <c r="AT3599" s="7"/>
      <c r="AU3599" s="7"/>
      <c r="AV3599" s="4">
        <v>2</v>
      </c>
      <c r="AW3599" s="8">
        <v>35.28</v>
      </c>
      <c r="AX3599" s="4"/>
      <c r="AY3599" s="8"/>
      <c r="AZ3599" s="7"/>
      <c r="BA3599" s="7"/>
      <c r="BB3599" s="7">
        <v>1</v>
      </c>
      <c r="BC3599" s="4">
        <v>2</v>
      </c>
      <c r="BD3599" s="8">
        <v>35.28</v>
      </c>
      <c r="BE3599" s="4"/>
      <c r="BF3599" s="8"/>
      <c r="BG3599" s="7"/>
      <c r="BH3599" s="7"/>
      <c r="BI3599" s="7">
        <v>1</v>
      </c>
      <c r="BJ3599" s="4">
        <v>28</v>
      </c>
      <c r="BK3599" s="8">
        <v>544.5</v>
      </c>
      <c r="BL3599" s="2" t="s">
        <v>11508</v>
      </c>
      <c r="BM3599" s="7">
        <v>0.0714</v>
      </c>
      <c r="BN3599" s="7">
        <v>0.0648</v>
      </c>
      <c r="BO3599" s="4">
        <v>2</v>
      </c>
      <c r="BP3599" s="8">
        <v>35.28</v>
      </c>
      <c r="BQ3599" s="4"/>
      <c r="BR3599" s="8"/>
      <c r="BS3599" s="7"/>
      <c r="BT3599" s="7"/>
      <c r="BU3599" s="2" t="s">
        <v>109</v>
      </c>
      <c r="BV3599" s="2" t="s">
        <v>97</v>
      </c>
      <c r="BW3599" s="2" t="s">
        <v>2216</v>
      </c>
      <c r="BX3599" s="2" t="s">
        <v>7990</v>
      </c>
      <c r="BY3599" s="2" t="s">
        <v>112</v>
      </c>
      <c r="BZ3599" s="2" t="s">
        <v>149</v>
      </c>
    </row>
    <row r="3600">
      <c r="A3600" s="2" t="s">
        <v>11509</v>
      </c>
      <c r="B3600" s="2" t="s">
        <v>10807</v>
      </c>
      <c r="C3600" s="2" t="s">
        <v>3449</v>
      </c>
      <c r="D3600" s="2" t="s">
        <v>2572</v>
      </c>
      <c r="E3600" s="2" t="s">
        <v>2573</v>
      </c>
      <c r="F3600" s="2" t="s">
        <v>11510</v>
      </c>
      <c r="G3600" s="2" t="s">
        <v>1761</v>
      </c>
      <c r="H3600" s="2" t="s">
        <v>11511</v>
      </c>
      <c r="I3600" s="2" t="s">
        <v>11512</v>
      </c>
      <c r="J3600" s="2" t="s">
        <v>10868</v>
      </c>
      <c r="K3600" s="2" t="s">
        <v>8513</v>
      </c>
      <c r="L3600" s="3">
        <v>16.25</v>
      </c>
      <c r="M3600" s="3">
        <v>17.06</v>
      </c>
      <c r="N3600" s="3">
        <v>34.99</v>
      </c>
      <c r="O3600" s="2" t="s">
        <v>97</v>
      </c>
      <c r="P3600" s="2" t="s">
        <v>98</v>
      </c>
      <c r="Q3600" s="2" t="s">
        <v>99</v>
      </c>
      <c r="R3600" s="2" t="s">
        <v>100</v>
      </c>
      <c r="S3600" s="2" t="s">
        <v>11513</v>
      </c>
      <c r="T3600" s="2" t="s">
        <v>438</v>
      </c>
      <c r="U3600" s="2" t="s">
        <v>1776</v>
      </c>
      <c r="V3600" s="2" t="s">
        <v>2510</v>
      </c>
      <c r="W3600" s="2" t="s">
        <v>1136</v>
      </c>
      <c r="X3600" s="2" t="s">
        <v>10845</v>
      </c>
      <c r="Y3600" s="2" t="s">
        <v>9577</v>
      </c>
      <c r="Z3600" s="4">
        <v>482</v>
      </c>
      <c r="AA3600" s="4">
        <f>=ROUNDDOWN(34.4285714285714,0)</f>
      </c>
      <c r="AB3600" s="5">
        <v>14</v>
      </c>
      <c r="AC3600" s="2" t="s">
        <v>100</v>
      </c>
      <c r="AD3600" s="4"/>
      <c r="AE3600" s="4"/>
      <c r="AF3600" s="6">
        <v>64</v>
      </c>
      <c r="AG3600" s="6"/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/>
      <c r="AQ3600" s="8"/>
      <c r="AR3600" s="4"/>
      <c r="AS3600" s="8"/>
      <c r="AT3600" s="7"/>
      <c r="AU3600" s="7"/>
      <c r="AV3600" s="4" t="s">
        <v>100</v>
      </c>
      <c r="AW3600" s="8" t="s">
        <v>100</v>
      </c>
      <c r="AX3600" s="4" t="s">
        <v>100</v>
      </c>
      <c r="AY3600" s="8" t="s">
        <v>100</v>
      </c>
      <c r="AZ3600" s="7" t="s">
        <v>100</v>
      </c>
      <c r="BA3600" s="7" t="s">
        <v>100</v>
      </c>
      <c r="BB3600" s="7"/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/>
      <c r="BJ3600" s="4">
        <v>26</v>
      </c>
      <c r="BK3600" s="8">
        <v>545.94</v>
      </c>
      <c r="BL3600" s="2" t="s">
        <v>11514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171</v>
      </c>
      <c r="BV3600" s="2" t="s">
        <v>97</v>
      </c>
      <c r="BW3600" s="2" t="s">
        <v>100</v>
      </c>
      <c r="BX3600" s="2" t="s">
        <v>100</v>
      </c>
      <c r="BY3600" s="2" t="s">
        <v>112</v>
      </c>
      <c r="BZ3600" s="2" t="s">
        <v>149</v>
      </c>
    </row>
    <row r="3601">
      <c r="A3601" s="2" t="s">
        <v>11515</v>
      </c>
      <c r="B3601" s="2" t="s">
        <v>10807</v>
      </c>
      <c r="C3601" s="2" t="s">
        <v>3449</v>
      </c>
      <c r="D3601" s="2" t="s">
        <v>2572</v>
      </c>
      <c r="E3601" s="2" t="s">
        <v>2573</v>
      </c>
      <c r="F3601" s="2" t="s">
        <v>11510</v>
      </c>
      <c r="G3601" s="2" t="s">
        <v>1761</v>
      </c>
      <c r="H3601" s="2" t="s">
        <v>11511</v>
      </c>
      <c r="I3601" s="2" t="s">
        <v>11512</v>
      </c>
      <c r="J3601" s="2" t="s">
        <v>10811</v>
      </c>
      <c r="K3601" s="2" t="s">
        <v>8513</v>
      </c>
      <c r="L3601" s="3">
        <v>18.38</v>
      </c>
      <c r="M3601" s="3">
        <v>19.3</v>
      </c>
      <c r="N3601" s="3">
        <v>39.99</v>
      </c>
      <c r="O3601" s="2" t="s">
        <v>97</v>
      </c>
      <c r="P3601" s="2" t="s">
        <v>98</v>
      </c>
      <c r="Q3601" s="2" t="s">
        <v>99</v>
      </c>
      <c r="R3601" s="2" t="s">
        <v>100</v>
      </c>
      <c r="S3601" s="2" t="s">
        <v>11513</v>
      </c>
      <c r="T3601" s="2" t="s">
        <v>438</v>
      </c>
      <c r="U3601" s="2" t="s">
        <v>1776</v>
      </c>
      <c r="V3601" s="2" t="s">
        <v>2510</v>
      </c>
      <c r="W3601" s="2" t="s">
        <v>1136</v>
      </c>
      <c r="X3601" s="2" t="s">
        <v>10845</v>
      </c>
      <c r="Y3601" s="2" t="s">
        <v>9577</v>
      </c>
      <c r="Z3601" s="4">
        <v>887</v>
      </c>
      <c r="AA3601" s="4">
        <f>=ROUNDDOWN(73.9166666666667,0)</f>
      </c>
      <c r="AB3601" s="5">
        <v>12</v>
      </c>
      <c r="AC3601" s="2" t="s">
        <v>100</v>
      </c>
      <c r="AD3601" s="4"/>
      <c r="AE3601" s="4"/>
      <c r="AF3601" s="6">
        <v>64</v>
      </c>
      <c r="AG3601" s="6"/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/>
      <c r="AQ3601" s="8"/>
      <c r="AR3601" s="4"/>
      <c r="AS3601" s="8"/>
      <c r="AT3601" s="7"/>
      <c r="AU3601" s="7"/>
      <c r="AV3601" s="4" t="s">
        <v>100</v>
      </c>
      <c r="AW3601" s="8" t="s">
        <v>100</v>
      </c>
      <c r="AX3601" s="4" t="s">
        <v>100</v>
      </c>
      <c r="AY3601" s="8" t="s">
        <v>100</v>
      </c>
      <c r="AZ3601" s="7" t="s">
        <v>100</v>
      </c>
      <c r="BA3601" s="7" t="s">
        <v>100</v>
      </c>
      <c r="BB3601" s="7"/>
      <c r="BC3601" s="4" t="s">
        <v>100</v>
      </c>
      <c r="BD3601" s="8" t="s">
        <v>100</v>
      </c>
      <c r="BE3601" s="4" t="s">
        <v>100</v>
      </c>
      <c r="BF3601" s="8" t="s">
        <v>100</v>
      </c>
      <c r="BG3601" s="7" t="s">
        <v>100</v>
      </c>
      <c r="BH3601" s="7" t="s">
        <v>100</v>
      </c>
      <c r="BI3601" s="7"/>
      <c r="BJ3601" s="4">
        <v>48</v>
      </c>
      <c r="BK3601" s="8">
        <v>991.79</v>
      </c>
      <c r="BL3601" s="2" t="s">
        <v>11516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171</v>
      </c>
      <c r="BV3601" s="2" t="s">
        <v>97</v>
      </c>
      <c r="BW3601" s="2" t="s">
        <v>100</v>
      </c>
      <c r="BX3601" s="2" t="s">
        <v>100</v>
      </c>
      <c r="BY3601" s="2" t="s">
        <v>112</v>
      </c>
      <c r="BZ3601" s="2" t="s">
        <v>149</v>
      </c>
    </row>
    <row r="3602">
      <c r="A3602" s="2" t="s">
        <v>11517</v>
      </c>
      <c r="B3602" s="2" t="s">
        <v>10807</v>
      </c>
      <c r="C3602" s="2" t="s">
        <v>3449</v>
      </c>
      <c r="D3602" s="2" t="s">
        <v>2572</v>
      </c>
      <c r="E3602" s="2" t="s">
        <v>2573</v>
      </c>
      <c r="F3602" s="2" t="s">
        <v>5025</v>
      </c>
      <c r="G3602" s="2" t="s">
        <v>5026</v>
      </c>
      <c r="H3602" s="2" t="s">
        <v>5027</v>
      </c>
      <c r="I3602" s="2" t="s">
        <v>11518</v>
      </c>
      <c r="J3602" s="2" t="s">
        <v>10868</v>
      </c>
      <c r="K3602" s="2" t="s">
        <v>325</v>
      </c>
      <c r="L3602" s="3">
        <v>19.2</v>
      </c>
      <c r="M3602" s="3">
        <v>20.16</v>
      </c>
      <c r="N3602" s="3">
        <v>39.99</v>
      </c>
      <c r="O3602" s="2" t="s">
        <v>97</v>
      </c>
      <c r="P3602" s="2" t="s">
        <v>98</v>
      </c>
      <c r="Q3602" s="2" t="s">
        <v>99</v>
      </c>
      <c r="R3602" s="2" t="s">
        <v>100</v>
      </c>
      <c r="S3602" s="2" t="s">
        <v>5029</v>
      </c>
      <c r="T3602" s="2" t="s">
        <v>100</v>
      </c>
      <c r="U3602" s="2" t="s">
        <v>1776</v>
      </c>
      <c r="V3602" s="2" t="s">
        <v>473</v>
      </c>
      <c r="W3602" s="2" t="s">
        <v>609</v>
      </c>
      <c r="X3602" s="2" t="s">
        <v>10845</v>
      </c>
      <c r="Y3602" s="2" t="s">
        <v>11519</v>
      </c>
      <c r="Z3602" s="4">
        <v>248</v>
      </c>
      <c r="AA3602" s="4">
        <f>=ROUNDDOWN(11.2727272727273,0)</f>
      </c>
      <c r="AB3602" s="5">
        <v>22</v>
      </c>
      <c r="AC3602" s="2" t="s">
        <v>2709</v>
      </c>
      <c r="AD3602" s="4">
        <v>316</v>
      </c>
      <c r="AE3602" s="4">
        <v>692</v>
      </c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 t="s">
        <v>100</v>
      </c>
      <c r="BD3602" s="8" t="s">
        <v>100</v>
      </c>
      <c r="BE3602" s="4" t="s">
        <v>100</v>
      </c>
      <c r="BF3602" s="8" t="s">
        <v>100</v>
      </c>
      <c r="BG3602" s="7" t="s">
        <v>100</v>
      </c>
      <c r="BH3602" s="7" t="s">
        <v>100</v>
      </c>
      <c r="BI3602" s="7"/>
      <c r="BJ3602" s="4">
        <v>63</v>
      </c>
      <c r="BK3602" s="8">
        <v>1319.86</v>
      </c>
      <c r="BL3602" s="2" t="s">
        <v>11520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171</v>
      </c>
      <c r="BV3602" s="2" t="s">
        <v>97</v>
      </c>
      <c r="BW3602" s="2" t="s">
        <v>100</v>
      </c>
      <c r="BX3602" s="2" t="s">
        <v>100</v>
      </c>
      <c r="BY3602" s="2" t="s">
        <v>112</v>
      </c>
      <c r="BZ3602" s="2" t="s">
        <v>149</v>
      </c>
    </row>
    <row r="3603">
      <c r="A3603" s="2" t="s">
        <v>11521</v>
      </c>
      <c r="B3603" s="2" t="s">
        <v>10807</v>
      </c>
      <c r="C3603" s="2" t="s">
        <v>3449</v>
      </c>
      <c r="D3603" s="2" t="s">
        <v>2572</v>
      </c>
      <c r="E3603" s="2" t="s">
        <v>2573</v>
      </c>
      <c r="F3603" s="2" t="s">
        <v>5025</v>
      </c>
      <c r="G3603" s="2" t="s">
        <v>5026</v>
      </c>
      <c r="H3603" s="2" t="s">
        <v>5027</v>
      </c>
      <c r="I3603" s="2" t="s">
        <v>11518</v>
      </c>
      <c r="J3603" s="2" t="s">
        <v>10868</v>
      </c>
      <c r="K3603" s="2" t="s">
        <v>9897</v>
      </c>
      <c r="L3603" s="3">
        <v>19.2</v>
      </c>
      <c r="M3603" s="3">
        <v>20.16</v>
      </c>
      <c r="N3603" s="3">
        <v>39.99</v>
      </c>
      <c r="O3603" s="2" t="s">
        <v>97</v>
      </c>
      <c r="P3603" s="2" t="s">
        <v>98</v>
      </c>
      <c r="Q3603" s="2" t="s">
        <v>99</v>
      </c>
      <c r="R3603" s="2" t="s">
        <v>100</v>
      </c>
      <c r="S3603" s="2" t="s">
        <v>11522</v>
      </c>
      <c r="T3603" s="2" t="s">
        <v>100</v>
      </c>
      <c r="U3603" s="2" t="s">
        <v>1776</v>
      </c>
      <c r="V3603" s="2" t="s">
        <v>473</v>
      </c>
      <c r="W3603" s="2" t="s">
        <v>609</v>
      </c>
      <c r="X3603" s="2" t="s">
        <v>10845</v>
      </c>
      <c r="Y3603" s="2" t="s">
        <v>11519</v>
      </c>
      <c r="Z3603" s="4">
        <v>415</v>
      </c>
      <c r="AA3603" s="4">
        <f>=ROUNDDOWN(37.7272727272727,0)</f>
      </c>
      <c r="AB3603" s="5">
        <v>11</v>
      </c>
      <c r="AC3603" s="2" t="s">
        <v>173</v>
      </c>
      <c r="AD3603" s="4">
        <v>360</v>
      </c>
      <c r="AE3603" s="4">
        <v>360</v>
      </c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>
        <v>0</v>
      </c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100</v>
      </c>
      <c r="BD3603" s="8" t="s">
        <v>100</v>
      </c>
      <c r="BE3603" s="4" t="s">
        <v>100</v>
      </c>
      <c r="BF3603" s="8" t="s">
        <v>100</v>
      </c>
      <c r="BG3603" s="7" t="s">
        <v>100</v>
      </c>
      <c r="BH3603" s="7" t="s">
        <v>100</v>
      </c>
      <c r="BI3603" s="7"/>
      <c r="BJ3603" s="4">
        <v>48</v>
      </c>
      <c r="BK3603" s="8">
        <v>1008.44</v>
      </c>
      <c r="BL3603" s="2" t="s">
        <v>11012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171</v>
      </c>
      <c r="BV3603" s="2" t="s">
        <v>97</v>
      </c>
      <c r="BW3603" s="2" t="s">
        <v>100</v>
      </c>
      <c r="BX3603" s="2" t="s">
        <v>100</v>
      </c>
      <c r="BY3603" s="2" t="s">
        <v>112</v>
      </c>
      <c r="BZ3603" s="2" t="s">
        <v>149</v>
      </c>
    </row>
    <row r="3604">
      <c r="A3604" s="2" t="s">
        <v>11523</v>
      </c>
      <c r="B3604" s="2" t="s">
        <v>10807</v>
      </c>
      <c r="C3604" s="2" t="s">
        <v>3449</v>
      </c>
      <c r="D3604" s="2" t="s">
        <v>2572</v>
      </c>
      <c r="E3604" s="2" t="s">
        <v>2573</v>
      </c>
      <c r="F3604" s="2" t="s">
        <v>5025</v>
      </c>
      <c r="G3604" s="2" t="s">
        <v>5026</v>
      </c>
      <c r="H3604" s="2" t="s">
        <v>5027</v>
      </c>
      <c r="I3604" s="2" t="s">
        <v>11518</v>
      </c>
      <c r="J3604" s="2" t="s">
        <v>10868</v>
      </c>
      <c r="K3604" s="2" t="s">
        <v>5034</v>
      </c>
      <c r="L3604" s="3">
        <v>19.2</v>
      </c>
      <c r="M3604" s="3">
        <v>20.16</v>
      </c>
      <c r="N3604" s="3">
        <v>39.99</v>
      </c>
      <c r="O3604" s="2" t="s">
        <v>97</v>
      </c>
      <c r="P3604" s="2" t="s">
        <v>139</v>
      </c>
      <c r="Q3604" s="2" t="s">
        <v>99</v>
      </c>
      <c r="R3604" s="2" t="s">
        <v>100</v>
      </c>
      <c r="S3604" s="2" t="s">
        <v>5035</v>
      </c>
      <c r="T3604" s="2" t="s">
        <v>100</v>
      </c>
      <c r="U3604" s="2" t="s">
        <v>1776</v>
      </c>
      <c r="V3604" s="2" t="s">
        <v>473</v>
      </c>
      <c r="W3604" s="2" t="s">
        <v>609</v>
      </c>
      <c r="X3604" s="2" t="s">
        <v>10845</v>
      </c>
      <c r="Y3604" s="2" t="s">
        <v>11519</v>
      </c>
      <c r="Z3604" s="4">
        <v>221</v>
      </c>
      <c r="AA3604" s="4">
        <f>=ROUNDDOWN(17,0)</f>
      </c>
      <c r="AB3604" s="5">
        <v>13</v>
      </c>
      <c r="AC3604" s="2" t="s">
        <v>990</v>
      </c>
      <c r="AD3604" s="4">
        <v>72</v>
      </c>
      <c r="AE3604" s="4">
        <v>548</v>
      </c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100</v>
      </c>
      <c r="BD3604" s="8" t="s">
        <v>100</v>
      </c>
      <c r="BE3604" s="4" t="s">
        <v>100</v>
      </c>
      <c r="BF3604" s="8" t="s">
        <v>100</v>
      </c>
      <c r="BG3604" s="7" t="s">
        <v>100</v>
      </c>
      <c r="BH3604" s="7" t="s">
        <v>100</v>
      </c>
      <c r="BI3604" s="7"/>
      <c r="BJ3604" s="4">
        <v>17</v>
      </c>
      <c r="BK3604" s="8">
        <v>348.56</v>
      </c>
      <c r="BL3604" s="2" t="s">
        <v>1847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171</v>
      </c>
      <c r="BV3604" s="2" t="s">
        <v>97</v>
      </c>
      <c r="BW3604" s="2" t="s">
        <v>100</v>
      </c>
      <c r="BX3604" s="2" t="s">
        <v>100</v>
      </c>
      <c r="BY3604" s="2" t="s">
        <v>112</v>
      </c>
      <c r="BZ3604" s="2" t="s">
        <v>149</v>
      </c>
    </row>
    <row r="3605">
      <c r="A3605" s="2" t="s">
        <v>11524</v>
      </c>
      <c r="B3605" s="2" t="s">
        <v>10807</v>
      </c>
      <c r="C3605" s="2" t="s">
        <v>3449</v>
      </c>
      <c r="D3605" s="2" t="s">
        <v>2572</v>
      </c>
      <c r="E3605" s="2" t="s">
        <v>2573</v>
      </c>
      <c r="F3605" s="2" t="s">
        <v>5025</v>
      </c>
      <c r="G3605" s="2" t="s">
        <v>5026</v>
      </c>
      <c r="H3605" s="2" t="s">
        <v>5027</v>
      </c>
      <c r="I3605" s="2" t="s">
        <v>11518</v>
      </c>
      <c r="J3605" s="2" t="s">
        <v>10868</v>
      </c>
      <c r="K3605" s="2" t="s">
        <v>11525</v>
      </c>
      <c r="L3605" s="3">
        <v>19.2</v>
      </c>
      <c r="M3605" s="3">
        <v>20.16</v>
      </c>
      <c r="N3605" s="3">
        <v>39.99</v>
      </c>
      <c r="O3605" s="2" t="s">
        <v>97</v>
      </c>
      <c r="P3605" s="2" t="s">
        <v>156</v>
      </c>
      <c r="Q3605" s="2" t="s">
        <v>99</v>
      </c>
      <c r="R3605" s="2" t="s">
        <v>100</v>
      </c>
      <c r="S3605" s="2" t="s">
        <v>11526</v>
      </c>
      <c r="T3605" s="2" t="s">
        <v>100</v>
      </c>
      <c r="U3605" s="2" t="s">
        <v>1776</v>
      </c>
      <c r="V3605" s="2" t="s">
        <v>473</v>
      </c>
      <c r="W3605" s="2" t="s">
        <v>609</v>
      </c>
      <c r="X3605" s="2" t="s">
        <v>10845</v>
      </c>
      <c r="Y3605" s="2" t="s">
        <v>11519</v>
      </c>
      <c r="Z3605" s="4">
        <v>359</v>
      </c>
      <c r="AA3605" s="4">
        <f>=ROUNDDOWN(15.020920502092,0)</f>
      </c>
      <c r="AB3605" s="5">
        <v>23.9</v>
      </c>
      <c r="AC3605" s="2" t="s">
        <v>676</v>
      </c>
      <c r="AD3605" s="4">
        <v>224</v>
      </c>
      <c r="AE3605" s="4">
        <v>340</v>
      </c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/>
      <c r="AQ3605" s="8"/>
      <c r="AR3605" s="4"/>
      <c r="AS3605" s="8"/>
      <c r="AT3605" s="7"/>
      <c r="AU3605" s="7"/>
      <c r="AV3605" s="4" t="s">
        <v>100</v>
      </c>
      <c r="AW3605" s="8" t="s">
        <v>100</v>
      </c>
      <c r="AX3605" s="4" t="s">
        <v>100</v>
      </c>
      <c r="AY3605" s="8" t="s">
        <v>100</v>
      </c>
      <c r="AZ3605" s="7" t="s">
        <v>100</v>
      </c>
      <c r="BA3605" s="7" t="s">
        <v>100</v>
      </c>
      <c r="BB3605" s="7"/>
      <c r="BC3605" s="4" t="s">
        <v>100</v>
      </c>
      <c r="BD3605" s="8" t="s">
        <v>100</v>
      </c>
      <c r="BE3605" s="4" t="s">
        <v>100</v>
      </c>
      <c r="BF3605" s="8" t="s">
        <v>100</v>
      </c>
      <c r="BG3605" s="7" t="s">
        <v>100</v>
      </c>
      <c r="BH3605" s="7" t="s">
        <v>100</v>
      </c>
      <c r="BI3605" s="7"/>
      <c r="BJ3605" s="4">
        <v>29</v>
      </c>
      <c r="BK3605" s="8">
        <v>593.11</v>
      </c>
      <c r="BL3605" s="2" t="s">
        <v>11527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171</v>
      </c>
      <c r="BV3605" s="2" t="s">
        <v>97</v>
      </c>
      <c r="BW3605" s="2" t="s">
        <v>100</v>
      </c>
      <c r="BX3605" s="2" t="s">
        <v>100</v>
      </c>
      <c r="BY3605" s="2" t="s">
        <v>112</v>
      </c>
      <c r="BZ3605" s="2" t="s">
        <v>149</v>
      </c>
    </row>
    <row r="3606">
      <c r="A3606" s="2" t="s">
        <v>11528</v>
      </c>
      <c r="B3606" s="2" t="s">
        <v>10807</v>
      </c>
      <c r="C3606" s="2" t="s">
        <v>3449</v>
      </c>
      <c r="D3606" s="2" t="s">
        <v>2572</v>
      </c>
      <c r="E3606" s="2" t="s">
        <v>2573</v>
      </c>
      <c r="F3606" s="2" t="s">
        <v>5025</v>
      </c>
      <c r="G3606" s="2" t="s">
        <v>5026</v>
      </c>
      <c r="H3606" s="2" t="s">
        <v>5027</v>
      </c>
      <c r="I3606" s="2" t="s">
        <v>11518</v>
      </c>
      <c r="J3606" s="2" t="s">
        <v>10811</v>
      </c>
      <c r="K3606" s="2" t="s">
        <v>11525</v>
      </c>
      <c r="L3606" s="3">
        <v>19.2</v>
      </c>
      <c r="M3606" s="3">
        <v>20.16</v>
      </c>
      <c r="N3606" s="3">
        <v>39.99</v>
      </c>
      <c r="O3606" s="2" t="s">
        <v>97</v>
      </c>
      <c r="P3606" s="2" t="s">
        <v>156</v>
      </c>
      <c r="Q3606" s="2" t="s">
        <v>99</v>
      </c>
      <c r="R3606" s="2" t="s">
        <v>100</v>
      </c>
      <c r="S3606" s="2" t="s">
        <v>11526</v>
      </c>
      <c r="T3606" s="2" t="s">
        <v>100</v>
      </c>
      <c r="U3606" s="2" t="s">
        <v>100</v>
      </c>
      <c r="V3606" s="2" t="s">
        <v>473</v>
      </c>
      <c r="W3606" s="2" t="s">
        <v>609</v>
      </c>
      <c r="X3606" s="2" t="s">
        <v>10845</v>
      </c>
      <c r="Y3606" s="2" t="s">
        <v>11519</v>
      </c>
      <c r="Z3606" s="4">
        <v>887</v>
      </c>
      <c r="AA3606" s="4">
        <f>=ROUNDDOWN(35.48,0)</f>
      </c>
      <c r="AB3606" s="5">
        <v>25</v>
      </c>
      <c r="AC3606" s="2" t="s">
        <v>676</v>
      </c>
      <c r="AD3606" s="4">
        <v>476</v>
      </c>
      <c r="AE3606" s="4">
        <v>968</v>
      </c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/>
      <c r="AQ3606" s="8"/>
      <c r="AR3606" s="4"/>
      <c r="AS3606" s="8"/>
      <c r="AT3606" s="7"/>
      <c r="AU3606" s="7"/>
      <c r="AV3606" s="4" t="s">
        <v>100</v>
      </c>
      <c r="AW3606" s="8" t="s">
        <v>100</v>
      </c>
      <c r="AX3606" s="4" t="s">
        <v>100</v>
      </c>
      <c r="AY3606" s="8" t="s">
        <v>100</v>
      </c>
      <c r="AZ3606" s="7" t="s">
        <v>100</v>
      </c>
      <c r="BA3606" s="7" t="s">
        <v>100</v>
      </c>
      <c r="BB3606" s="7"/>
      <c r="BC3606" s="4" t="s">
        <v>100</v>
      </c>
      <c r="BD3606" s="8" t="s">
        <v>100</v>
      </c>
      <c r="BE3606" s="4" t="s">
        <v>100</v>
      </c>
      <c r="BF3606" s="8" t="s">
        <v>100</v>
      </c>
      <c r="BG3606" s="7" t="s">
        <v>100</v>
      </c>
      <c r="BH3606" s="7" t="s">
        <v>100</v>
      </c>
      <c r="BI3606" s="7"/>
      <c r="BJ3606" s="4">
        <v>66</v>
      </c>
      <c r="BK3606" s="8">
        <v>1327.6</v>
      </c>
      <c r="BL3606" s="2" t="s">
        <v>11529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171</v>
      </c>
      <c r="BV3606" s="2" t="s">
        <v>97</v>
      </c>
      <c r="BW3606" s="2" t="s">
        <v>100</v>
      </c>
      <c r="BX3606" s="2" t="s">
        <v>100</v>
      </c>
      <c r="BY3606" s="2" t="s">
        <v>112</v>
      </c>
      <c r="BZ3606" s="2" t="s">
        <v>149</v>
      </c>
    </row>
    <row r="3607">
      <c r="A3607" s="2" t="s">
        <v>11530</v>
      </c>
      <c r="B3607" s="2" t="s">
        <v>10807</v>
      </c>
      <c r="C3607" s="2" t="s">
        <v>3449</v>
      </c>
      <c r="D3607" s="2" t="s">
        <v>2572</v>
      </c>
      <c r="E3607" s="2" t="s">
        <v>2573</v>
      </c>
      <c r="F3607" s="2" t="s">
        <v>5025</v>
      </c>
      <c r="G3607" s="2" t="s">
        <v>5026</v>
      </c>
      <c r="H3607" s="2" t="s">
        <v>5027</v>
      </c>
      <c r="I3607" s="2" t="s">
        <v>11518</v>
      </c>
      <c r="J3607" s="2" t="s">
        <v>10868</v>
      </c>
      <c r="K3607" s="2" t="s">
        <v>11531</v>
      </c>
      <c r="L3607" s="3">
        <v>19.2</v>
      </c>
      <c r="M3607" s="3">
        <v>20.16</v>
      </c>
      <c r="N3607" s="3">
        <v>39.99</v>
      </c>
      <c r="O3607" s="2" t="s">
        <v>97</v>
      </c>
      <c r="P3607" s="2" t="s">
        <v>98</v>
      </c>
      <c r="Q3607" s="2" t="s">
        <v>99</v>
      </c>
      <c r="R3607" s="2" t="s">
        <v>100</v>
      </c>
      <c r="S3607" s="2" t="s">
        <v>11532</v>
      </c>
      <c r="T3607" s="2" t="s">
        <v>100</v>
      </c>
      <c r="U3607" s="2" t="s">
        <v>100</v>
      </c>
      <c r="V3607" s="2" t="s">
        <v>473</v>
      </c>
      <c r="W3607" s="2" t="s">
        <v>609</v>
      </c>
      <c r="X3607" s="2" t="s">
        <v>10845</v>
      </c>
      <c r="Y3607" s="2" t="s">
        <v>4337</v>
      </c>
      <c r="Z3607" s="4">
        <v>74</v>
      </c>
      <c r="AA3607" s="4">
        <f>=ROUNDDOWN(6.72727272727273,0)</f>
      </c>
      <c r="AB3607" s="5">
        <v>11</v>
      </c>
      <c r="AC3607" s="2" t="s">
        <v>903</v>
      </c>
      <c r="AD3607" s="4">
        <v>72</v>
      </c>
      <c r="AE3607" s="4">
        <v>336</v>
      </c>
      <c r="AF3607" s="6">
        <v>65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/>
      <c r="AQ3607" s="8"/>
      <c r="AR3607" s="4"/>
      <c r="AS3607" s="8"/>
      <c r="AT3607" s="7"/>
      <c r="AU3607" s="7"/>
      <c r="AV3607" s="4" t="s">
        <v>100</v>
      </c>
      <c r="AW3607" s="8" t="s">
        <v>100</v>
      </c>
      <c r="AX3607" s="4" t="s">
        <v>100</v>
      </c>
      <c r="AY3607" s="8" t="s">
        <v>100</v>
      </c>
      <c r="AZ3607" s="7" t="s">
        <v>100</v>
      </c>
      <c r="BA3607" s="7" t="s">
        <v>100</v>
      </c>
      <c r="BB3607" s="7"/>
      <c r="BC3607" s="4" t="s">
        <v>100</v>
      </c>
      <c r="BD3607" s="8" t="s">
        <v>100</v>
      </c>
      <c r="BE3607" s="4" t="s">
        <v>100</v>
      </c>
      <c r="BF3607" s="8" t="s">
        <v>100</v>
      </c>
      <c r="BG3607" s="7" t="s">
        <v>100</v>
      </c>
      <c r="BH3607" s="7" t="s">
        <v>100</v>
      </c>
      <c r="BI3607" s="7"/>
      <c r="BJ3607" s="4">
        <v>25</v>
      </c>
      <c r="BK3607" s="8">
        <v>534.56</v>
      </c>
      <c r="BL3607" s="2" t="s">
        <v>11533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171</v>
      </c>
      <c r="BV3607" s="2" t="s">
        <v>97</v>
      </c>
      <c r="BW3607" s="2" t="s">
        <v>100</v>
      </c>
      <c r="BX3607" s="2" t="s">
        <v>100</v>
      </c>
      <c r="BY3607" s="2" t="s">
        <v>112</v>
      </c>
      <c r="BZ3607" s="2" t="s">
        <v>149</v>
      </c>
    </row>
    <row r="3608">
      <c r="A3608" s="2" t="s">
        <v>11534</v>
      </c>
      <c r="B3608" s="2" t="s">
        <v>10807</v>
      </c>
      <c r="C3608" s="2" t="s">
        <v>3449</v>
      </c>
      <c r="D3608" s="2" t="s">
        <v>2572</v>
      </c>
      <c r="E3608" s="2" t="s">
        <v>2573</v>
      </c>
      <c r="F3608" s="2" t="s">
        <v>5025</v>
      </c>
      <c r="G3608" s="2" t="s">
        <v>5026</v>
      </c>
      <c r="H3608" s="2" t="s">
        <v>5027</v>
      </c>
      <c r="I3608" s="2" t="s">
        <v>11518</v>
      </c>
      <c r="J3608" s="2" t="s">
        <v>10811</v>
      </c>
      <c r="K3608" s="2" t="s">
        <v>11531</v>
      </c>
      <c r="L3608" s="3">
        <v>19.2</v>
      </c>
      <c r="M3608" s="3">
        <v>20.16</v>
      </c>
      <c r="N3608" s="3">
        <v>39.99</v>
      </c>
      <c r="O3608" s="2" t="s">
        <v>97</v>
      </c>
      <c r="P3608" s="2" t="s">
        <v>98</v>
      </c>
      <c r="Q3608" s="2" t="s">
        <v>99</v>
      </c>
      <c r="R3608" s="2" t="s">
        <v>100</v>
      </c>
      <c r="S3608" s="2" t="s">
        <v>11532</v>
      </c>
      <c r="T3608" s="2" t="s">
        <v>100</v>
      </c>
      <c r="U3608" s="2" t="s">
        <v>100</v>
      </c>
      <c r="V3608" s="2" t="s">
        <v>473</v>
      </c>
      <c r="W3608" s="2" t="s">
        <v>609</v>
      </c>
      <c r="X3608" s="2" t="s">
        <v>10845</v>
      </c>
      <c r="Y3608" s="2" t="s">
        <v>4337</v>
      </c>
      <c r="Z3608" s="4">
        <v>347</v>
      </c>
      <c r="AA3608" s="4">
        <f>=ROUNDDOWN(13.88,0)</f>
      </c>
      <c r="AB3608" s="5">
        <v>25</v>
      </c>
      <c r="AC3608" s="2" t="s">
        <v>903</v>
      </c>
      <c r="AD3608" s="4">
        <v>228</v>
      </c>
      <c r="AE3608" s="4">
        <v>912</v>
      </c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/>
      <c r="AQ3608" s="8"/>
      <c r="AR3608" s="4"/>
      <c r="AS3608" s="8"/>
      <c r="AT3608" s="7"/>
      <c r="AU3608" s="7"/>
      <c r="AV3608" s="4" t="s">
        <v>100</v>
      </c>
      <c r="AW3608" s="8" t="s">
        <v>100</v>
      </c>
      <c r="AX3608" s="4" t="s">
        <v>100</v>
      </c>
      <c r="AY3608" s="8" t="s">
        <v>100</v>
      </c>
      <c r="AZ3608" s="7" t="s">
        <v>100</v>
      </c>
      <c r="BA3608" s="7" t="s">
        <v>100</v>
      </c>
      <c r="BB3608" s="7"/>
      <c r="BC3608" s="4" t="s">
        <v>100</v>
      </c>
      <c r="BD3608" s="8" t="s">
        <v>100</v>
      </c>
      <c r="BE3608" s="4" t="s">
        <v>100</v>
      </c>
      <c r="BF3608" s="8" t="s">
        <v>100</v>
      </c>
      <c r="BG3608" s="7" t="s">
        <v>100</v>
      </c>
      <c r="BH3608" s="7" t="s">
        <v>100</v>
      </c>
      <c r="BI3608" s="7"/>
      <c r="BJ3608" s="4">
        <v>46</v>
      </c>
      <c r="BK3608" s="8">
        <v>972.61</v>
      </c>
      <c r="BL3608" s="2" t="s">
        <v>11535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171</v>
      </c>
      <c r="BV3608" s="2" t="s">
        <v>97</v>
      </c>
      <c r="BW3608" s="2" t="s">
        <v>100</v>
      </c>
      <c r="BX3608" s="2" t="s">
        <v>100</v>
      </c>
      <c r="BY3608" s="2" t="s">
        <v>112</v>
      </c>
      <c r="BZ3608" s="2" t="s">
        <v>149</v>
      </c>
    </row>
    <row r="3609">
      <c r="A3609" s="2" t="s">
        <v>11536</v>
      </c>
      <c r="B3609" s="2" t="s">
        <v>10807</v>
      </c>
      <c r="C3609" s="2" t="s">
        <v>3449</v>
      </c>
      <c r="D3609" s="2" t="s">
        <v>2572</v>
      </c>
      <c r="E3609" s="2" t="s">
        <v>2573</v>
      </c>
      <c r="F3609" s="2" t="s">
        <v>4673</v>
      </c>
      <c r="G3609" s="2" t="s">
        <v>4674</v>
      </c>
      <c r="H3609" s="2" t="s">
        <v>4675</v>
      </c>
      <c r="I3609" s="2" t="s">
        <v>11537</v>
      </c>
      <c r="J3609" s="2" t="s">
        <v>10868</v>
      </c>
      <c r="K3609" s="2" t="s">
        <v>165</v>
      </c>
      <c r="L3609" s="3">
        <v>12.3</v>
      </c>
      <c r="M3609" s="3">
        <v>12.92</v>
      </c>
      <c r="N3609" s="3">
        <v>29.99</v>
      </c>
      <c r="O3609" s="2" t="s">
        <v>97</v>
      </c>
      <c r="P3609" s="2" t="s">
        <v>98</v>
      </c>
      <c r="Q3609" s="2" t="s">
        <v>99</v>
      </c>
      <c r="R3609" s="2" t="s">
        <v>100</v>
      </c>
      <c r="S3609" s="2" t="s">
        <v>4676</v>
      </c>
      <c r="T3609" s="2" t="s">
        <v>100</v>
      </c>
      <c r="U3609" s="2" t="s">
        <v>1776</v>
      </c>
      <c r="V3609" s="2" t="s">
        <v>4677</v>
      </c>
      <c r="W3609" s="2" t="s">
        <v>609</v>
      </c>
      <c r="X3609" s="2" t="s">
        <v>10813</v>
      </c>
      <c r="Y3609" s="2" t="s">
        <v>11538</v>
      </c>
      <c r="Z3609" s="4">
        <v>27</v>
      </c>
      <c r="AA3609" s="4">
        <f>=ROUNDDOWN(5.51020408163265,0)</f>
      </c>
      <c r="AB3609" s="5">
        <v>4.9</v>
      </c>
      <c r="AC3609" s="2" t="s">
        <v>676</v>
      </c>
      <c r="AD3609" s="4">
        <v>148</v>
      </c>
      <c r="AE3609" s="4">
        <v>148</v>
      </c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/>
      <c r="AQ3609" s="8"/>
      <c r="AR3609" s="4"/>
      <c r="AS3609" s="8"/>
      <c r="AT3609" s="7"/>
      <c r="AU3609" s="7"/>
      <c r="AV3609" s="4" t="s">
        <v>100</v>
      </c>
      <c r="AW3609" s="8" t="s">
        <v>100</v>
      </c>
      <c r="AX3609" s="4" t="s">
        <v>100</v>
      </c>
      <c r="AY3609" s="8" t="s">
        <v>100</v>
      </c>
      <c r="AZ3609" s="7" t="s">
        <v>100</v>
      </c>
      <c r="BA3609" s="7" t="s">
        <v>100</v>
      </c>
      <c r="BB3609" s="7"/>
      <c r="BC3609" s="4" t="s">
        <v>100</v>
      </c>
      <c r="BD3609" s="8" t="s">
        <v>100</v>
      </c>
      <c r="BE3609" s="4" t="s">
        <v>100</v>
      </c>
      <c r="BF3609" s="8" t="s">
        <v>100</v>
      </c>
      <c r="BG3609" s="7" t="s">
        <v>100</v>
      </c>
      <c r="BH3609" s="7" t="s">
        <v>100</v>
      </c>
      <c r="BI3609" s="7"/>
      <c r="BJ3609" s="4">
        <v>36</v>
      </c>
      <c r="BK3609" s="8">
        <v>476</v>
      </c>
      <c r="BL3609" s="2" t="s">
        <v>11539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109</v>
      </c>
      <c r="BV3609" s="2" t="s">
        <v>97</v>
      </c>
      <c r="BW3609" s="2" t="s">
        <v>11279</v>
      </c>
      <c r="BX3609" s="2" t="s">
        <v>204</v>
      </c>
      <c r="BY3609" s="2" t="s">
        <v>112</v>
      </c>
      <c r="BZ3609" s="2" t="s">
        <v>149</v>
      </c>
    </row>
    <row r="3610">
      <c r="A3610" s="2" t="s">
        <v>11540</v>
      </c>
      <c r="B3610" s="2" t="s">
        <v>10807</v>
      </c>
      <c r="C3610" s="2" t="s">
        <v>3449</v>
      </c>
      <c r="D3610" s="2" t="s">
        <v>2572</v>
      </c>
      <c r="E3610" s="2" t="s">
        <v>2573</v>
      </c>
      <c r="F3610" s="2" t="s">
        <v>4673</v>
      </c>
      <c r="G3610" s="2" t="s">
        <v>4674</v>
      </c>
      <c r="H3610" s="2" t="s">
        <v>4675</v>
      </c>
      <c r="I3610" s="2" t="s">
        <v>11537</v>
      </c>
      <c r="J3610" s="2" t="s">
        <v>10811</v>
      </c>
      <c r="K3610" s="2" t="s">
        <v>165</v>
      </c>
      <c r="L3610" s="3">
        <v>14</v>
      </c>
      <c r="M3610" s="3">
        <v>14.7</v>
      </c>
      <c r="N3610" s="3">
        <v>34.99</v>
      </c>
      <c r="O3610" s="2" t="s">
        <v>97</v>
      </c>
      <c r="P3610" s="2" t="s">
        <v>98</v>
      </c>
      <c r="Q3610" s="2" t="s">
        <v>99</v>
      </c>
      <c r="R3610" s="2" t="s">
        <v>100</v>
      </c>
      <c r="S3610" s="2" t="s">
        <v>4676</v>
      </c>
      <c r="T3610" s="2" t="s">
        <v>100</v>
      </c>
      <c r="U3610" s="2" t="s">
        <v>1776</v>
      </c>
      <c r="V3610" s="2" t="s">
        <v>4677</v>
      </c>
      <c r="W3610" s="2" t="s">
        <v>609</v>
      </c>
      <c r="X3610" s="2" t="s">
        <v>10813</v>
      </c>
      <c r="Y3610" s="2" t="s">
        <v>11538</v>
      </c>
      <c r="Z3610" s="4">
        <v>489</v>
      </c>
      <c r="AA3610" s="4">
        <f>=ROUNDDOWN(27.1666666666667,0)</f>
      </c>
      <c r="AB3610" s="5">
        <v>18</v>
      </c>
      <c r="AC3610" s="2" t="s">
        <v>676</v>
      </c>
      <c r="AD3610" s="4">
        <v>164</v>
      </c>
      <c r="AE3610" s="4">
        <v>164</v>
      </c>
      <c r="AF3610" s="6">
        <v>65</v>
      </c>
      <c r="AG3610" s="6"/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/>
      <c r="AQ3610" s="8"/>
      <c r="AR3610" s="4"/>
      <c r="AS3610" s="8"/>
      <c r="AT3610" s="7"/>
      <c r="AU3610" s="7"/>
      <c r="AV3610" s="4" t="s">
        <v>100</v>
      </c>
      <c r="AW3610" s="8" t="s">
        <v>100</v>
      </c>
      <c r="AX3610" s="4" t="s">
        <v>100</v>
      </c>
      <c r="AY3610" s="8" t="s">
        <v>100</v>
      </c>
      <c r="AZ3610" s="7" t="s">
        <v>100</v>
      </c>
      <c r="BA3610" s="7" t="s">
        <v>100</v>
      </c>
      <c r="BB3610" s="7"/>
      <c r="BC3610" s="4" t="s">
        <v>100</v>
      </c>
      <c r="BD3610" s="8" t="s">
        <v>100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/>
      <c r="BJ3610" s="4">
        <v>57</v>
      </c>
      <c r="BK3610" s="8">
        <v>856.32</v>
      </c>
      <c r="BL3610" s="2" t="s">
        <v>11541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11279</v>
      </c>
      <c r="BX3610" s="2" t="s">
        <v>709</v>
      </c>
      <c r="BY3610" s="2" t="s">
        <v>112</v>
      </c>
      <c r="BZ3610" s="2" t="s">
        <v>149</v>
      </c>
    </row>
    <row r="3611">
      <c r="A3611" s="2" t="s">
        <v>11542</v>
      </c>
      <c r="B3611" s="2" t="s">
        <v>10807</v>
      </c>
      <c r="C3611" s="2" t="s">
        <v>3449</v>
      </c>
      <c r="D3611" s="2" t="s">
        <v>2572</v>
      </c>
      <c r="E3611" s="2" t="s">
        <v>11165</v>
      </c>
      <c r="F3611" s="2" t="s">
        <v>5025</v>
      </c>
      <c r="G3611" s="2" t="s">
        <v>5026</v>
      </c>
      <c r="H3611" s="2" t="s">
        <v>5027</v>
      </c>
      <c r="I3611" s="2" t="s">
        <v>11543</v>
      </c>
      <c r="J3611" s="2" t="s">
        <v>10997</v>
      </c>
      <c r="K3611" s="2" t="s">
        <v>5034</v>
      </c>
      <c r="L3611" s="3">
        <v>32.5</v>
      </c>
      <c r="M3611" s="3">
        <v>34.13</v>
      </c>
      <c r="N3611" s="3">
        <v>69.99</v>
      </c>
      <c r="O3611" s="2" t="s">
        <v>97</v>
      </c>
      <c r="P3611" s="2" t="s">
        <v>98</v>
      </c>
      <c r="Q3611" s="2" t="s">
        <v>99</v>
      </c>
      <c r="R3611" s="2" t="s">
        <v>100</v>
      </c>
      <c r="S3611" s="2" t="s">
        <v>5035</v>
      </c>
      <c r="T3611" s="2" t="s">
        <v>100</v>
      </c>
      <c r="U3611" s="2" t="s">
        <v>894</v>
      </c>
      <c r="V3611" s="2" t="s">
        <v>473</v>
      </c>
      <c r="W3611" s="2" t="s">
        <v>609</v>
      </c>
      <c r="X3611" s="2" t="s">
        <v>10845</v>
      </c>
      <c r="Y3611" s="2" t="s">
        <v>4457</v>
      </c>
      <c r="Z3611" s="4">
        <v>219</v>
      </c>
      <c r="AA3611" s="4">
        <f>=ROUNDDOWN(14.6,0)</f>
      </c>
      <c r="AB3611" s="5">
        <v>15</v>
      </c>
      <c r="AC3611" s="2" t="s">
        <v>173</v>
      </c>
      <c r="AD3611" s="4">
        <v>368</v>
      </c>
      <c r="AE3611" s="4">
        <v>368</v>
      </c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100</v>
      </c>
      <c r="BD3611" s="8" t="s">
        <v>100</v>
      </c>
      <c r="BE3611" s="4" t="s">
        <v>100</v>
      </c>
      <c r="BF3611" s="8" t="s">
        <v>100</v>
      </c>
      <c r="BG3611" s="7" t="s">
        <v>100</v>
      </c>
      <c r="BH3611" s="7" t="s">
        <v>100</v>
      </c>
      <c r="BI3611" s="7"/>
      <c r="BJ3611" s="4">
        <v>58</v>
      </c>
      <c r="BK3611" s="8">
        <v>2213.5</v>
      </c>
      <c r="BL3611" s="2" t="s">
        <v>10834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171</v>
      </c>
      <c r="BV3611" s="2" t="s">
        <v>97</v>
      </c>
      <c r="BW3611" s="2" t="s">
        <v>100</v>
      </c>
      <c r="BX3611" s="2" t="s">
        <v>100</v>
      </c>
      <c r="BY3611" s="2" t="s">
        <v>112</v>
      </c>
      <c r="BZ3611" s="2" t="s">
        <v>149</v>
      </c>
    </row>
    <row r="3612">
      <c r="A3612" s="2" t="s">
        <v>11544</v>
      </c>
      <c r="B3612" s="2" t="s">
        <v>10807</v>
      </c>
      <c r="C3612" s="2" t="s">
        <v>3449</v>
      </c>
      <c r="D3612" s="2" t="s">
        <v>2572</v>
      </c>
      <c r="E3612" s="2" t="s">
        <v>11165</v>
      </c>
      <c r="F3612" s="2" t="s">
        <v>5025</v>
      </c>
      <c r="G3612" s="2" t="s">
        <v>5026</v>
      </c>
      <c r="H3612" s="2" t="s">
        <v>5027</v>
      </c>
      <c r="I3612" s="2" t="s">
        <v>11543</v>
      </c>
      <c r="J3612" s="2" t="s">
        <v>10997</v>
      </c>
      <c r="K3612" s="2" t="s">
        <v>11525</v>
      </c>
      <c r="L3612" s="3">
        <v>32.5</v>
      </c>
      <c r="M3612" s="3">
        <v>34.13</v>
      </c>
      <c r="N3612" s="3">
        <v>69.99</v>
      </c>
      <c r="O3612" s="2" t="s">
        <v>97</v>
      </c>
      <c r="P3612" s="2" t="s">
        <v>98</v>
      </c>
      <c r="Q3612" s="2" t="s">
        <v>99</v>
      </c>
      <c r="R3612" s="2" t="s">
        <v>100</v>
      </c>
      <c r="S3612" s="2" t="s">
        <v>11526</v>
      </c>
      <c r="T3612" s="2" t="s">
        <v>100</v>
      </c>
      <c r="U3612" s="2" t="s">
        <v>894</v>
      </c>
      <c r="V3612" s="2" t="s">
        <v>473</v>
      </c>
      <c r="W3612" s="2" t="s">
        <v>609</v>
      </c>
      <c r="X3612" s="2" t="s">
        <v>10845</v>
      </c>
      <c r="Y3612" s="2" t="s">
        <v>4457</v>
      </c>
      <c r="Z3612" s="4">
        <v>215</v>
      </c>
      <c r="AA3612" s="4">
        <f>=ROUNDDOWN(19.5454545454545,0)</f>
      </c>
      <c r="AB3612" s="5">
        <v>11</v>
      </c>
      <c r="AC3612" s="2" t="s">
        <v>1452</v>
      </c>
      <c r="AD3612" s="4">
        <v>300</v>
      </c>
      <c r="AE3612" s="4">
        <v>300</v>
      </c>
      <c r="AF3612" s="6">
        <v>65</v>
      </c>
      <c r="AG3612" s="6"/>
      <c r="AH3612" s="7">
        <v>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>
        <v>0</v>
      </c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100</v>
      </c>
      <c r="BD3612" s="8" t="s">
        <v>100</v>
      </c>
      <c r="BE3612" s="4" t="s">
        <v>100</v>
      </c>
      <c r="BF3612" s="8" t="s">
        <v>100</v>
      </c>
      <c r="BG3612" s="7" t="s">
        <v>100</v>
      </c>
      <c r="BH3612" s="7" t="s">
        <v>100</v>
      </c>
      <c r="BI3612" s="7"/>
      <c r="BJ3612" s="4">
        <v>73</v>
      </c>
      <c r="BK3612" s="8">
        <v>2716.44</v>
      </c>
      <c r="BL3612" s="2" t="s">
        <v>2744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171</v>
      </c>
      <c r="BV3612" s="2" t="s">
        <v>97</v>
      </c>
      <c r="BW3612" s="2" t="s">
        <v>100</v>
      </c>
      <c r="BX3612" s="2" t="s">
        <v>100</v>
      </c>
      <c r="BY3612" s="2" t="s">
        <v>112</v>
      </c>
      <c r="BZ3612" s="2" t="s">
        <v>149</v>
      </c>
    </row>
    <row r="3613">
      <c r="A3613" s="2" t="s">
        <v>11545</v>
      </c>
      <c r="B3613" s="2" t="s">
        <v>10807</v>
      </c>
      <c r="C3613" s="2" t="s">
        <v>3449</v>
      </c>
      <c r="D3613" s="2" t="s">
        <v>11546</v>
      </c>
      <c r="E3613" s="2" t="s">
        <v>11547</v>
      </c>
      <c r="F3613" s="2" t="s">
        <v>2108</v>
      </c>
      <c r="G3613" s="2" t="s">
        <v>11548</v>
      </c>
      <c r="H3613" s="2" t="s">
        <v>11549</v>
      </c>
      <c r="I3613" s="2" t="s">
        <v>11550</v>
      </c>
      <c r="J3613" s="2" t="s">
        <v>11551</v>
      </c>
      <c r="K3613" s="2" t="s">
        <v>471</v>
      </c>
      <c r="L3613" s="3">
        <v>18.25</v>
      </c>
      <c r="M3613" s="3">
        <v>19.16</v>
      </c>
      <c r="N3613" s="3">
        <v>39.99</v>
      </c>
      <c r="O3613" s="2" t="s">
        <v>97</v>
      </c>
      <c r="P3613" s="2" t="s">
        <v>98</v>
      </c>
      <c r="Q3613" s="2" t="s">
        <v>99</v>
      </c>
      <c r="R3613" s="2" t="s">
        <v>100</v>
      </c>
      <c r="S3613" s="2" t="s">
        <v>11552</v>
      </c>
      <c r="T3613" s="2" t="s">
        <v>100</v>
      </c>
      <c r="U3613" s="2" t="s">
        <v>1776</v>
      </c>
      <c r="V3613" s="2" t="s">
        <v>461</v>
      </c>
      <c r="W3613" s="2" t="s">
        <v>609</v>
      </c>
      <c r="X3613" s="2" t="s">
        <v>100</v>
      </c>
      <c r="Y3613" s="2" t="s">
        <v>11553</v>
      </c>
      <c r="Z3613" s="4">
        <v>92</v>
      </c>
      <c r="AA3613" s="4">
        <f>=ROUNDDOWN(8.36363636363636,0)</f>
      </c>
      <c r="AB3613" s="5">
        <v>11</v>
      </c>
      <c r="AC3613" s="2" t="s">
        <v>1468</v>
      </c>
      <c r="AD3613" s="4">
        <v>176</v>
      </c>
      <c r="AE3613" s="4">
        <v>176</v>
      </c>
      <c r="AF3613" s="6">
        <v>65</v>
      </c>
      <c r="AG3613" s="6"/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 t="s">
        <v>100</v>
      </c>
      <c r="BD3613" s="8" t="s">
        <v>100</v>
      </c>
      <c r="BE3613" s="4" t="s">
        <v>100</v>
      </c>
      <c r="BF3613" s="8" t="s">
        <v>100</v>
      </c>
      <c r="BG3613" s="7" t="s">
        <v>100</v>
      </c>
      <c r="BH3613" s="7" t="s">
        <v>100</v>
      </c>
      <c r="BI3613" s="7"/>
      <c r="BJ3613" s="4">
        <v>39</v>
      </c>
      <c r="BK3613" s="8">
        <v>911.62</v>
      </c>
      <c r="BL3613" s="2" t="s">
        <v>11554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171</v>
      </c>
      <c r="BV3613" s="2" t="s">
        <v>97</v>
      </c>
      <c r="BW3613" s="2" t="s">
        <v>100</v>
      </c>
      <c r="BX3613" s="2" t="s">
        <v>100</v>
      </c>
      <c r="BY3613" s="2" t="s">
        <v>112</v>
      </c>
      <c r="BZ3613" s="2" t="s">
        <v>149</v>
      </c>
    </row>
    <row r="3614">
      <c r="A3614" s="2" t="s">
        <v>11555</v>
      </c>
      <c r="B3614" s="2" t="s">
        <v>10807</v>
      </c>
      <c r="C3614" s="2" t="s">
        <v>3449</v>
      </c>
      <c r="D3614" s="2" t="s">
        <v>11546</v>
      </c>
      <c r="E3614" s="2" t="s">
        <v>11547</v>
      </c>
      <c r="F3614" s="2" t="s">
        <v>2108</v>
      </c>
      <c r="G3614" s="2" t="s">
        <v>11548</v>
      </c>
      <c r="H3614" s="2" t="s">
        <v>11549</v>
      </c>
      <c r="I3614" s="2" t="s">
        <v>11550</v>
      </c>
      <c r="J3614" s="2" t="s">
        <v>11551</v>
      </c>
      <c r="K3614" s="2" t="s">
        <v>188</v>
      </c>
      <c r="L3614" s="3">
        <v>18.25</v>
      </c>
      <c r="M3614" s="3">
        <v>19.16</v>
      </c>
      <c r="N3614" s="3">
        <v>39.99</v>
      </c>
      <c r="O3614" s="2" t="s">
        <v>97</v>
      </c>
      <c r="P3614" s="2" t="s">
        <v>98</v>
      </c>
      <c r="Q3614" s="2" t="s">
        <v>99</v>
      </c>
      <c r="R3614" s="2" t="s">
        <v>100</v>
      </c>
      <c r="S3614" s="2" t="s">
        <v>11556</v>
      </c>
      <c r="T3614" s="2" t="s">
        <v>100</v>
      </c>
      <c r="U3614" s="2" t="s">
        <v>1776</v>
      </c>
      <c r="V3614" s="2" t="s">
        <v>461</v>
      </c>
      <c r="W3614" s="2" t="s">
        <v>609</v>
      </c>
      <c r="X3614" s="2" t="s">
        <v>100</v>
      </c>
      <c r="Y3614" s="2" t="s">
        <v>11553</v>
      </c>
      <c r="Z3614" s="4">
        <v>122</v>
      </c>
      <c r="AA3614" s="4">
        <f>=ROUNDDOWN(10.1666666666667,0)</f>
      </c>
      <c r="AB3614" s="5">
        <v>12</v>
      </c>
      <c r="AC3614" s="2" t="s">
        <v>1468</v>
      </c>
      <c r="AD3614" s="4">
        <v>106</v>
      </c>
      <c r="AE3614" s="4">
        <v>206</v>
      </c>
      <c r="AF3614" s="6">
        <v>65</v>
      </c>
      <c r="AG3614" s="6"/>
      <c r="AH3614" s="7">
        <v>0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 t="s">
        <v>100</v>
      </c>
      <c r="BD3614" s="8" t="s">
        <v>100</v>
      </c>
      <c r="BE3614" s="4" t="s">
        <v>100</v>
      </c>
      <c r="BF3614" s="8" t="s">
        <v>100</v>
      </c>
      <c r="BG3614" s="7" t="s">
        <v>100</v>
      </c>
      <c r="BH3614" s="7" t="s">
        <v>100</v>
      </c>
      <c r="BI3614" s="7"/>
      <c r="BJ3614" s="4">
        <v>10</v>
      </c>
      <c r="BK3614" s="8">
        <v>205.8</v>
      </c>
      <c r="BL3614" s="2" t="s">
        <v>1721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171</v>
      </c>
      <c r="BV3614" s="2" t="s">
        <v>97</v>
      </c>
      <c r="BW3614" s="2" t="s">
        <v>100</v>
      </c>
      <c r="BX3614" s="2" t="s">
        <v>100</v>
      </c>
      <c r="BY3614" s="2" t="s">
        <v>112</v>
      </c>
      <c r="BZ3614" s="2" t="s">
        <v>149</v>
      </c>
    </row>
    <row r="3615">
      <c r="A3615" s="2" t="s">
        <v>11557</v>
      </c>
      <c r="B3615" s="2" t="s">
        <v>10807</v>
      </c>
      <c r="C3615" s="2" t="s">
        <v>3449</v>
      </c>
      <c r="D3615" s="2" t="s">
        <v>11546</v>
      </c>
      <c r="E3615" s="2" t="s">
        <v>11547</v>
      </c>
      <c r="F3615" s="2" t="s">
        <v>2108</v>
      </c>
      <c r="G3615" s="2" t="s">
        <v>11548</v>
      </c>
      <c r="H3615" s="2" t="s">
        <v>11549</v>
      </c>
      <c r="I3615" s="2" t="s">
        <v>11550</v>
      </c>
      <c r="J3615" s="2" t="s">
        <v>11551</v>
      </c>
      <c r="K3615" s="2" t="s">
        <v>96</v>
      </c>
      <c r="L3615" s="3">
        <v>18.25</v>
      </c>
      <c r="M3615" s="3">
        <v>19.16</v>
      </c>
      <c r="N3615" s="3">
        <v>39.99</v>
      </c>
      <c r="O3615" s="2" t="s">
        <v>97</v>
      </c>
      <c r="P3615" s="2" t="s">
        <v>98</v>
      </c>
      <c r="Q3615" s="2" t="s">
        <v>99</v>
      </c>
      <c r="R3615" s="2" t="s">
        <v>100</v>
      </c>
      <c r="S3615" s="2" t="s">
        <v>11558</v>
      </c>
      <c r="T3615" s="2" t="s">
        <v>100</v>
      </c>
      <c r="U3615" s="2" t="s">
        <v>1776</v>
      </c>
      <c r="V3615" s="2" t="s">
        <v>461</v>
      </c>
      <c r="W3615" s="2" t="s">
        <v>609</v>
      </c>
      <c r="X3615" s="2" t="s">
        <v>100</v>
      </c>
      <c r="Y3615" s="2" t="s">
        <v>11553</v>
      </c>
      <c r="Z3615" s="4">
        <v>274</v>
      </c>
      <c r="AA3615" s="4">
        <f>=ROUNDDOWN(34.25,0)</f>
      </c>
      <c r="AB3615" s="5">
        <v>8</v>
      </c>
      <c r="AC3615" s="2" t="s">
        <v>875</v>
      </c>
      <c r="AD3615" s="4">
        <v>225</v>
      </c>
      <c r="AE3615" s="4">
        <v>225</v>
      </c>
      <c r="AF3615" s="6">
        <v>65</v>
      </c>
      <c r="AG3615" s="6"/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 t="s">
        <v>100</v>
      </c>
      <c r="BD3615" s="8" t="s">
        <v>100</v>
      </c>
      <c r="BE3615" s="4" t="s">
        <v>100</v>
      </c>
      <c r="BF3615" s="8" t="s">
        <v>100</v>
      </c>
      <c r="BG3615" s="7" t="s">
        <v>100</v>
      </c>
      <c r="BH3615" s="7" t="s">
        <v>100</v>
      </c>
      <c r="BI3615" s="7"/>
      <c r="BJ3615" s="4">
        <v>20</v>
      </c>
      <c r="BK3615" s="8">
        <v>421.8</v>
      </c>
      <c r="BL3615" s="2" t="s">
        <v>719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171</v>
      </c>
      <c r="BV3615" s="2" t="s">
        <v>97</v>
      </c>
      <c r="BW3615" s="2" t="s">
        <v>100</v>
      </c>
      <c r="BX3615" s="2" t="s">
        <v>100</v>
      </c>
      <c r="BY3615" s="2" t="s">
        <v>112</v>
      </c>
      <c r="BZ3615" s="2" t="s">
        <v>149</v>
      </c>
    </row>
    <row r="3616">
      <c r="A3616" s="2" t="s">
        <v>11559</v>
      </c>
      <c r="B3616" s="2" t="s">
        <v>10807</v>
      </c>
      <c r="C3616" s="2" t="s">
        <v>3449</v>
      </c>
      <c r="D3616" s="2" t="s">
        <v>11546</v>
      </c>
      <c r="E3616" s="2" t="s">
        <v>11547</v>
      </c>
      <c r="F3616" s="2" t="s">
        <v>2108</v>
      </c>
      <c r="G3616" s="2" t="s">
        <v>11548</v>
      </c>
      <c r="H3616" s="2" t="s">
        <v>11549</v>
      </c>
      <c r="I3616" s="2" t="s">
        <v>11550</v>
      </c>
      <c r="J3616" s="2" t="s">
        <v>11551</v>
      </c>
      <c r="K3616" s="2" t="s">
        <v>1373</v>
      </c>
      <c r="L3616" s="3">
        <v>18.25</v>
      </c>
      <c r="M3616" s="3">
        <v>19.16</v>
      </c>
      <c r="N3616" s="3">
        <v>39.99</v>
      </c>
      <c r="O3616" s="2" t="s">
        <v>97</v>
      </c>
      <c r="P3616" s="2" t="s">
        <v>98</v>
      </c>
      <c r="Q3616" s="2" t="s">
        <v>99</v>
      </c>
      <c r="R3616" s="2" t="s">
        <v>100</v>
      </c>
      <c r="S3616" s="2" t="s">
        <v>11560</v>
      </c>
      <c r="T3616" s="2" t="s">
        <v>100</v>
      </c>
      <c r="U3616" s="2" t="s">
        <v>1776</v>
      </c>
      <c r="V3616" s="2" t="s">
        <v>461</v>
      </c>
      <c r="W3616" s="2" t="s">
        <v>609</v>
      </c>
      <c r="X3616" s="2" t="s">
        <v>100</v>
      </c>
      <c r="Y3616" s="2" t="s">
        <v>11553</v>
      </c>
      <c r="Z3616" s="4">
        <v>50</v>
      </c>
      <c r="AA3616" s="4">
        <f>=ROUNDDOWN(3.84615384615385,0)</f>
      </c>
      <c r="AB3616" s="5">
        <v>13</v>
      </c>
      <c r="AC3616" s="2" t="s">
        <v>824</v>
      </c>
      <c r="AD3616" s="4">
        <v>254</v>
      </c>
      <c r="AE3616" s="4">
        <v>254</v>
      </c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 t="s">
        <v>100</v>
      </c>
      <c r="BD3616" s="8" t="s">
        <v>100</v>
      </c>
      <c r="BE3616" s="4" t="s">
        <v>100</v>
      </c>
      <c r="BF3616" s="8" t="s">
        <v>100</v>
      </c>
      <c r="BG3616" s="7" t="s">
        <v>100</v>
      </c>
      <c r="BH3616" s="7" t="s">
        <v>100</v>
      </c>
      <c r="BI3616" s="7"/>
      <c r="BJ3616" s="4">
        <v>46</v>
      </c>
      <c r="BK3616" s="8">
        <v>1121.02</v>
      </c>
      <c r="BL3616" s="2" t="s">
        <v>3278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171</v>
      </c>
      <c r="BV3616" s="2" t="s">
        <v>97</v>
      </c>
      <c r="BW3616" s="2" t="s">
        <v>100</v>
      </c>
      <c r="BX3616" s="2" t="s">
        <v>100</v>
      </c>
      <c r="BY3616" s="2" t="s">
        <v>112</v>
      </c>
      <c r="BZ3616" s="2" t="s">
        <v>149</v>
      </c>
    </row>
    <row r="3617">
      <c r="A3617" s="2" t="s">
        <v>11561</v>
      </c>
      <c r="B3617" s="2" t="s">
        <v>10807</v>
      </c>
      <c r="C3617" s="2" t="s">
        <v>3449</v>
      </c>
      <c r="D3617" s="2" t="s">
        <v>11546</v>
      </c>
      <c r="E3617" s="2" t="s">
        <v>11562</v>
      </c>
      <c r="F3617" s="2" t="s">
        <v>11563</v>
      </c>
      <c r="G3617" s="2" t="s">
        <v>11564</v>
      </c>
      <c r="H3617" s="2" t="s">
        <v>11565</v>
      </c>
      <c r="I3617" s="2" t="s">
        <v>11566</v>
      </c>
      <c r="J3617" s="2" t="s">
        <v>11567</v>
      </c>
      <c r="K3617" s="2" t="s">
        <v>96</v>
      </c>
      <c r="L3617" s="3">
        <v>43.13</v>
      </c>
      <c r="M3617" s="3">
        <v>45.29</v>
      </c>
      <c r="N3617" s="3">
        <v>89.99</v>
      </c>
      <c r="O3617" s="2" t="s">
        <v>97</v>
      </c>
      <c r="P3617" s="2" t="s">
        <v>123</v>
      </c>
      <c r="Q3617" s="2" t="s">
        <v>99</v>
      </c>
      <c r="R3617" s="2" t="s">
        <v>100</v>
      </c>
      <c r="S3617" s="2" t="s">
        <v>11568</v>
      </c>
      <c r="T3617" s="2" t="s">
        <v>100</v>
      </c>
      <c r="U3617" s="2" t="s">
        <v>1776</v>
      </c>
      <c r="V3617" s="2" t="s">
        <v>461</v>
      </c>
      <c r="W3617" s="2" t="s">
        <v>609</v>
      </c>
      <c r="X3617" s="2" t="s">
        <v>100</v>
      </c>
      <c r="Y3617" s="2" t="s">
        <v>11569</v>
      </c>
      <c r="Z3617" s="4">
        <v>424</v>
      </c>
      <c r="AA3617" s="4">
        <f>=ROUNDDOWN(13.6774193548387,0)</f>
      </c>
      <c r="AB3617" s="5">
        <v>31</v>
      </c>
      <c r="AC3617" s="2" t="s">
        <v>1452</v>
      </c>
      <c r="AD3617" s="4">
        <v>300</v>
      </c>
      <c r="AE3617" s="4">
        <v>300</v>
      </c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100</v>
      </c>
      <c r="BD3617" s="8" t="s">
        <v>100</v>
      </c>
      <c r="BE3617" s="4" t="s">
        <v>100</v>
      </c>
      <c r="BF3617" s="8" t="s">
        <v>100</v>
      </c>
      <c r="BG3617" s="7" t="s">
        <v>100</v>
      </c>
      <c r="BH3617" s="7" t="s">
        <v>100</v>
      </c>
      <c r="BI3617" s="7"/>
      <c r="BJ3617" s="4">
        <v>121</v>
      </c>
      <c r="BK3617" s="8">
        <v>5572.68</v>
      </c>
      <c r="BL3617" s="2" t="s">
        <v>5774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171</v>
      </c>
      <c r="BV3617" s="2" t="s">
        <v>97</v>
      </c>
      <c r="BW3617" s="2" t="s">
        <v>100</v>
      </c>
      <c r="BX3617" s="2" t="s">
        <v>100</v>
      </c>
      <c r="BY3617" s="2" t="s">
        <v>112</v>
      </c>
      <c r="BZ3617" s="2" t="s">
        <v>149</v>
      </c>
    </row>
    <row r="3618">
      <c r="A3618" s="2" t="s">
        <v>11570</v>
      </c>
      <c r="B3618" s="2" t="s">
        <v>10807</v>
      </c>
      <c r="C3618" s="2" t="s">
        <v>3449</v>
      </c>
      <c r="D3618" s="2" t="s">
        <v>11546</v>
      </c>
      <c r="E3618" s="2" t="s">
        <v>11562</v>
      </c>
      <c r="F3618" s="2" t="s">
        <v>11563</v>
      </c>
      <c r="G3618" s="2" t="s">
        <v>11564</v>
      </c>
      <c r="H3618" s="2" t="s">
        <v>11565</v>
      </c>
      <c r="I3618" s="2" t="s">
        <v>11566</v>
      </c>
      <c r="J3618" s="2" t="s">
        <v>11567</v>
      </c>
      <c r="K3618" s="2" t="s">
        <v>1373</v>
      </c>
      <c r="L3618" s="3">
        <v>43.13</v>
      </c>
      <c r="M3618" s="3">
        <v>45.29</v>
      </c>
      <c r="N3618" s="3">
        <v>89.99</v>
      </c>
      <c r="O3618" s="2" t="s">
        <v>97</v>
      </c>
      <c r="P3618" s="2" t="s">
        <v>98</v>
      </c>
      <c r="Q3618" s="2" t="s">
        <v>99</v>
      </c>
      <c r="R3618" s="2" t="s">
        <v>100</v>
      </c>
      <c r="S3618" s="2" t="s">
        <v>11568</v>
      </c>
      <c r="T3618" s="2" t="s">
        <v>100</v>
      </c>
      <c r="U3618" s="2" t="s">
        <v>1776</v>
      </c>
      <c r="V3618" s="2" t="s">
        <v>461</v>
      </c>
      <c r="W3618" s="2" t="s">
        <v>609</v>
      </c>
      <c r="X3618" s="2" t="s">
        <v>100</v>
      </c>
      <c r="Y3618" s="2" t="s">
        <v>11569</v>
      </c>
      <c r="Z3618" s="4">
        <v>328</v>
      </c>
      <c r="AA3618" s="4">
        <f>=ROUNDDOWN(10.9333333333333,0)</f>
      </c>
      <c r="AB3618" s="5">
        <v>30</v>
      </c>
      <c r="AC3618" s="2" t="s">
        <v>1468</v>
      </c>
      <c r="AD3618" s="4">
        <v>120</v>
      </c>
      <c r="AE3618" s="4">
        <v>520</v>
      </c>
      <c r="AF3618" s="6">
        <v>65</v>
      </c>
      <c r="AG3618" s="6"/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 t="s">
        <v>100</v>
      </c>
      <c r="BD3618" s="8" t="s">
        <v>100</v>
      </c>
      <c r="BE3618" s="4" t="s">
        <v>100</v>
      </c>
      <c r="BF3618" s="8" t="s">
        <v>100</v>
      </c>
      <c r="BG3618" s="7" t="s">
        <v>100</v>
      </c>
      <c r="BH3618" s="7" t="s">
        <v>100</v>
      </c>
      <c r="BI3618" s="7"/>
      <c r="BJ3618" s="4">
        <v>189</v>
      </c>
      <c r="BK3618" s="8">
        <v>8891.25</v>
      </c>
      <c r="BL3618" s="2" t="s">
        <v>11571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171</v>
      </c>
      <c r="BV3618" s="2" t="s">
        <v>97</v>
      </c>
      <c r="BW3618" s="2" t="s">
        <v>100</v>
      </c>
      <c r="BX3618" s="2" t="s">
        <v>100</v>
      </c>
      <c r="BY3618" s="2" t="s">
        <v>112</v>
      </c>
      <c r="BZ3618" s="2" t="s">
        <v>149</v>
      </c>
    </row>
    <row r="3619">
      <c r="A3619" s="2" t="s">
        <v>11572</v>
      </c>
      <c r="B3619" s="2" t="s">
        <v>10807</v>
      </c>
      <c r="C3619" s="2" t="s">
        <v>11573</v>
      </c>
      <c r="D3619" s="2" t="s">
        <v>2572</v>
      </c>
      <c r="E3619" s="2" t="s">
        <v>2573</v>
      </c>
      <c r="F3619" s="2" t="s">
        <v>11574</v>
      </c>
      <c r="G3619" s="2" t="s">
        <v>11575</v>
      </c>
      <c r="H3619" s="2" t="s">
        <v>11576</v>
      </c>
      <c r="I3619" s="2" t="s">
        <v>11577</v>
      </c>
      <c r="J3619" s="2" t="s">
        <v>10811</v>
      </c>
      <c r="K3619" s="2" t="s">
        <v>706</v>
      </c>
      <c r="L3619" s="3">
        <v>16.8</v>
      </c>
      <c r="M3619" s="3">
        <v>17.64</v>
      </c>
      <c r="N3619" s="3">
        <v>39.99</v>
      </c>
      <c r="O3619" s="2" t="s">
        <v>97</v>
      </c>
      <c r="P3619" s="2" t="s">
        <v>98</v>
      </c>
      <c r="Q3619" s="2" t="s">
        <v>99</v>
      </c>
      <c r="R3619" s="2" t="s">
        <v>100</v>
      </c>
      <c r="S3619" s="2" t="s">
        <v>11578</v>
      </c>
      <c r="T3619" s="2" t="s">
        <v>100</v>
      </c>
      <c r="U3619" s="2" t="s">
        <v>100</v>
      </c>
      <c r="V3619" s="2" t="s">
        <v>3451</v>
      </c>
      <c r="W3619" s="2" t="s">
        <v>609</v>
      </c>
      <c r="X3619" s="2" t="s">
        <v>11441</v>
      </c>
      <c r="Y3619" s="2" t="s">
        <v>11579</v>
      </c>
      <c r="Z3619" s="4">
        <v>193</v>
      </c>
      <c r="AA3619" s="4">
        <f>=ROUNDDOWN(16.0833333333333,0)</f>
      </c>
      <c r="AB3619" s="5">
        <v>12</v>
      </c>
      <c r="AC3619" s="2" t="s">
        <v>903</v>
      </c>
      <c r="AD3619" s="4">
        <v>96</v>
      </c>
      <c r="AE3619" s="4">
        <v>252</v>
      </c>
      <c r="AF3619" s="6">
        <v>65</v>
      </c>
      <c r="AG3619" s="6"/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1</v>
      </c>
      <c r="AQ3619" s="8">
        <v>14.81</v>
      </c>
      <c r="AR3619" s="4"/>
      <c r="AS3619" s="8"/>
      <c r="AT3619" s="7"/>
      <c r="AU3619" s="7"/>
      <c r="AV3619" s="4">
        <v>1</v>
      </c>
      <c r="AW3619" s="8">
        <v>14.81</v>
      </c>
      <c r="AX3619" s="4"/>
      <c r="AY3619" s="8"/>
      <c r="AZ3619" s="7"/>
      <c r="BA3619" s="7"/>
      <c r="BB3619" s="7">
        <v>1</v>
      </c>
      <c r="BC3619" s="4">
        <v>1</v>
      </c>
      <c r="BD3619" s="8">
        <v>14.81</v>
      </c>
      <c r="BE3619" s="4"/>
      <c r="BF3619" s="8"/>
      <c r="BG3619" s="7"/>
      <c r="BH3619" s="7"/>
      <c r="BI3619" s="7">
        <v>1</v>
      </c>
      <c r="BJ3619" s="4">
        <v>22</v>
      </c>
      <c r="BK3619" s="8">
        <v>373.91</v>
      </c>
      <c r="BL3619" s="2" t="s">
        <v>11580</v>
      </c>
      <c r="BM3619" s="7">
        <v>0.0455</v>
      </c>
      <c r="BN3619" s="7">
        <v>0.0396</v>
      </c>
      <c r="BO3619" s="4">
        <v>1</v>
      </c>
      <c r="BP3619" s="8">
        <v>14.81</v>
      </c>
      <c r="BQ3619" s="4"/>
      <c r="BR3619" s="8"/>
      <c r="BS3619" s="7"/>
      <c r="BT3619" s="7"/>
      <c r="BU3619" s="2" t="s">
        <v>109</v>
      </c>
      <c r="BV3619" s="2" t="s">
        <v>97</v>
      </c>
      <c r="BW3619" s="2" t="s">
        <v>11056</v>
      </c>
      <c r="BX3619" s="2" t="s">
        <v>10986</v>
      </c>
      <c r="BY3619" s="2" t="s">
        <v>112</v>
      </c>
      <c r="BZ3619" s="2" t="s">
        <v>149</v>
      </c>
    </row>
    <row r="3620">
      <c r="A3620" s="2" t="s">
        <v>11581</v>
      </c>
      <c r="B3620" s="2" t="s">
        <v>10807</v>
      </c>
      <c r="C3620" s="2" t="s">
        <v>2238</v>
      </c>
      <c r="D3620" s="2" t="s">
        <v>2572</v>
      </c>
      <c r="E3620" s="2" t="s">
        <v>11165</v>
      </c>
      <c r="F3620" s="2" t="s">
        <v>11582</v>
      </c>
      <c r="G3620" s="2" t="s">
        <v>11583</v>
      </c>
      <c r="H3620" s="2" t="s">
        <v>7816</v>
      </c>
      <c r="I3620" s="2" t="s">
        <v>11584</v>
      </c>
      <c r="J3620" s="2" t="s">
        <v>11585</v>
      </c>
      <c r="K3620" s="2" t="s">
        <v>4362</v>
      </c>
      <c r="L3620" s="3">
        <v>17.02</v>
      </c>
      <c r="M3620" s="3">
        <v>17.87</v>
      </c>
      <c r="N3620" s="3">
        <v>36.99</v>
      </c>
      <c r="O3620" s="2" t="s">
        <v>97</v>
      </c>
      <c r="P3620" s="2" t="s">
        <v>98</v>
      </c>
      <c r="Q3620" s="2" t="s">
        <v>99</v>
      </c>
      <c r="R3620" s="2" t="s">
        <v>100</v>
      </c>
      <c r="S3620" s="2" t="s">
        <v>11586</v>
      </c>
      <c r="T3620" s="2" t="s">
        <v>1135</v>
      </c>
      <c r="U3620" s="2" t="s">
        <v>894</v>
      </c>
      <c r="V3620" s="2" t="s">
        <v>461</v>
      </c>
      <c r="W3620" s="2" t="s">
        <v>493</v>
      </c>
      <c r="X3620" s="2" t="s">
        <v>11172</v>
      </c>
      <c r="Y3620" s="2" t="s">
        <v>11587</v>
      </c>
      <c r="Z3620" s="4">
        <v>101</v>
      </c>
      <c r="AA3620" s="4">
        <f>=ROUNDDOWN(505,0)</f>
      </c>
      <c r="AB3620" s="5">
        <v>0.2</v>
      </c>
      <c r="AC3620" s="2" t="s">
        <v>100</v>
      </c>
      <c r="AD3620" s="4"/>
      <c r="AE3620" s="4"/>
      <c r="AF3620" s="6">
        <v>65</v>
      </c>
      <c r="AG3620" s="6"/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>
        <v>0</v>
      </c>
      <c r="AP3620" s="4"/>
      <c r="AQ3620" s="8"/>
      <c r="AR3620" s="4"/>
      <c r="AS3620" s="8"/>
      <c r="AT3620" s="7"/>
      <c r="AU3620" s="7"/>
      <c r="AV3620" s="4" t="s">
        <v>100</v>
      </c>
      <c r="AW3620" s="8" t="s">
        <v>100</v>
      </c>
      <c r="AX3620" s="4" t="s">
        <v>100</v>
      </c>
      <c r="AY3620" s="8" t="s">
        <v>100</v>
      </c>
      <c r="AZ3620" s="7" t="s">
        <v>100</v>
      </c>
      <c r="BA3620" s="7" t="s">
        <v>100</v>
      </c>
      <c r="BB3620" s="7"/>
      <c r="BC3620" s="4" t="s">
        <v>100</v>
      </c>
      <c r="BD3620" s="8" t="s">
        <v>100</v>
      </c>
      <c r="BE3620" s="4" t="s">
        <v>100</v>
      </c>
      <c r="BF3620" s="8" t="s">
        <v>100</v>
      </c>
      <c r="BG3620" s="7" t="s">
        <v>100</v>
      </c>
      <c r="BH3620" s="7" t="s">
        <v>100</v>
      </c>
      <c r="BI3620" s="7"/>
      <c r="BJ3620" s="4">
        <v>10</v>
      </c>
      <c r="BK3620" s="8">
        <v>169.1</v>
      </c>
      <c r="BL3620" s="2" t="s">
        <v>4176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109</v>
      </c>
      <c r="BV3620" s="2" t="s">
        <v>97</v>
      </c>
      <c r="BW3620" s="2" t="s">
        <v>4607</v>
      </c>
      <c r="BX3620" s="2" t="s">
        <v>100</v>
      </c>
      <c r="BY3620" s="2" t="s">
        <v>112</v>
      </c>
      <c r="BZ3620" s="2" t="s">
        <v>100</v>
      </c>
    </row>
    <row r="3621">
      <c r="A3621" s="2" t="s">
        <v>11588</v>
      </c>
      <c r="B3621" s="2" t="s">
        <v>10807</v>
      </c>
      <c r="C3621" s="2" t="s">
        <v>2238</v>
      </c>
      <c r="D3621" s="2" t="s">
        <v>2572</v>
      </c>
      <c r="E3621" s="2" t="s">
        <v>11165</v>
      </c>
      <c r="F3621" s="2" t="s">
        <v>11582</v>
      </c>
      <c r="G3621" s="2" t="s">
        <v>11583</v>
      </c>
      <c r="H3621" s="2" t="s">
        <v>7816</v>
      </c>
      <c r="I3621" s="2" t="s">
        <v>11584</v>
      </c>
      <c r="J3621" s="2" t="s">
        <v>11589</v>
      </c>
      <c r="K3621" s="2" t="s">
        <v>4362</v>
      </c>
      <c r="L3621" s="3">
        <v>19.32</v>
      </c>
      <c r="M3621" s="3">
        <v>20.29</v>
      </c>
      <c r="N3621" s="3">
        <v>41.99</v>
      </c>
      <c r="O3621" s="2" t="s">
        <v>97</v>
      </c>
      <c r="P3621" s="2" t="s">
        <v>98</v>
      </c>
      <c r="Q3621" s="2" t="s">
        <v>99</v>
      </c>
      <c r="R3621" s="2" t="s">
        <v>100</v>
      </c>
      <c r="S3621" s="2" t="s">
        <v>11586</v>
      </c>
      <c r="T3621" s="2" t="s">
        <v>1135</v>
      </c>
      <c r="U3621" s="2" t="s">
        <v>894</v>
      </c>
      <c r="V3621" s="2" t="s">
        <v>461</v>
      </c>
      <c r="W3621" s="2" t="s">
        <v>493</v>
      </c>
      <c r="X3621" s="2" t="s">
        <v>11172</v>
      </c>
      <c r="Y3621" s="2" t="s">
        <v>11587</v>
      </c>
      <c r="Z3621" s="4">
        <v>85</v>
      </c>
      <c r="AA3621" s="4">
        <f>=ROUNDDOWN(21.25,0)</f>
      </c>
      <c r="AB3621" s="5">
        <v>4</v>
      </c>
      <c r="AC3621" s="2" t="s">
        <v>100</v>
      </c>
      <c r="AD3621" s="4"/>
      <c r="AE3621" s="4"/>
      <c r="AF3621" s="6">
        <v>65</v>
      </c>
      <c r="AG3621" s="6"/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/>
      <c r="AQ3621" s="8"/>
      <c r="AR3621" s="4"/>
      <c r="AS3621" s="8"/>
      <c r="AT3621" s="7"/>
      <c r="AU3621" s="7"/>
      <c r="AV3621" s="4" t="s">
        <v>100</v>
      </c>
      <c r="AW3621" s="8" t="s">
        <v>100</v>
      </c>
      <c r="AX3621" s="4" t="s">
        <v>100</v>
      </c>
      <c r="AY3621" s="8" t="s">
        <v>100</v>
      </c>
      <c r="AZ3621" s="7" t="s">
        <v>100</v>
      </c>
      <c r="BA3621" s="7" t="s">
        <v>100</v>
      </c>
      <c r="BB3621" s="7"/>
      <c r="BC3621" s="4" t="s">
        <v>100</v>
      </c>
      <c r="BD3621" s="8" t="s">
        <v>100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/>
      <c r="BJ3621" s="4">
        <v>18</v>
      </c>
      <c r="BK3621" s="8">
        <v>359.04</v>
      </c>
      <c r="BL3621" s="2" t="s">
        <v>9661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4607</v>
      </c>
      <c r="BX3621" s="2" t="s">
        <v>4994</v>
      </c>
      <c r="BY3621" s="2" t="s">
        <v>112</v>
      </c>
      <c r="BZ3621" s="2" t="s">
        <v>149</v>
      </c>
    </row>
    <row r="3622">
      <c r="A3622" s="2" t="s">
        <v>11590</v>
      </c>
      <c r="B3622" s="2" t="s">
        <v>10807</v>
      </c>
      <c r="C3622" s="2" t="s">
        <v>2238</v>
      </c>
      <c r="D3622" s="2" t="s">
        <v>2572</v>
      </c>
      <c r="E3622" s="2" t="s">
        <v>11165</v>
      </c>
      <c r="F3622" s="2" t="s">
        <v>11582</v>
      </c>
      <c r="G3622" s="2" t="s">
        <v>11583</v>
      </c>
      <c r="H3622" s="2" t="s">
        <v>7816</v>
      </c>
      <c r="I3622" s="2" t="s">
        <v>11584</v>
      </c>
      <c r="J3622" s="2" t="s">
        <v>11591</v>
      </c>
      <c r="K3622" s="2" t="s">
        <v>4362</v>
      </c>
      <c r="L3622" s="3">
        <v>22.09</v>
      </c>
      <c r="M3622" s="3">
        <v>23.19</v>
      </c>
      <c r="N3622" s="3">
        <v>46.99</v>
      </c>
      <c r="O3622" s="2" t="s">
        <v>97</v>
      </c>
      <c r="P3622" s="2" t="s">
        <v>98</v>
      </c>
      <c r="Q3622" s="2" t="s">
        <v>99</v>
      </c>
      <c r="R3622" s="2" t="s">
        <v>100</v>
      </c>
      <c r="S3622" s="2" t="s">
        <v>11586</v>
      </c>
      <c r="T3622" s="2" t="s">
        <v>1135</v>
      </c>
      <c r="U3622" s="2" t="s">
        <v>894</v>
      </c>
      <c r="V3622" s="2" t="s">
        <v>461</v>
      </c>
      <c r="W3622" s="2" t="s">
        <v>493</v>
      </c>
      <c r="X3622" s="2" t="s">
        <v>11172</v>
      </c>
      <c r="Y3622" s="2" t="s">
        <v>11587</v>
      </c>
      <c r="Z3622" s="4">
        <v>93</v>
      </c>
      <c r="AA3622" s="4">
        <f>=ROUNDDOWN(22.1428571428571,0)</f>
      </c>
      <c r="AB3622" s="5">
        <v>4.2</v>
      </c>
      <c r="AC3622" s="2" t="s">
        <v>100</v>
      </c>
      <c r="AD3622" s="4"/>
      <c r="AE3622" s="4"/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/>
      <c r="AQ3622" s="8"/>
      <c r="AR3622" s="4"/>
      <c r="AS3622" s="8"/>
      <c r="AT3622" s="7"/>
      <c r="AU3622" s="7"/>
      <c r="AV3622" s="4" t="s">
        <v>100</v>
      </c>
      <c r="AW3622" s="8" t="s">
        <v>100</v>
      </c>
      <c r="AX3622" s="4" t="s">
        <v>100</v>
      </c>
      <c r="AY3622" s="8" t="s">
        <v>100</v>
      </c>
      <c r="AZ3622" s="7" t="s">
        <v>100</v>
      </c>
      <c r="BA3622" s="7" t="s">
        <v>100</v>
      </c>
      <c r="BB3622" s="7"/>
      <c r="BC3622" s="4" t="s">
        <v>100</v>
      </c>
      <c r="BD3622" s="8" t="s">
        <v>100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/>
      <c r="BJ3622" s="4">
        <v>36</v>
      </c>
      <c r="BK3622" s="8">
        <v>849.18</v>
      </c>
      <c r="BL3622" s="2" t="s">
        <v>11592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4607</v>
      </c>
      <c r="BX3622" s="2" t="s">
        <v>6978</v>
      </c>
      <c r="BY3622" s="2" t="s">
        <v>112</v>
      </c>
      <c r="BZ3622" s="2" t="s">
        <v>149</v>
      </c>
    </row>
    <row r="3623">
      <c r="A3623" s="2" t="s">
        <v>11593</v>
      </c>
      <c r="B3623" s="2" t="s">
        <v>10807</v>
      </c>
      <c r="C3623" s="2" t="s">
        <v>2238</v>
      </c>
      <c r="D3623" s="2" t="s">
        <v>2572</v>
      </c>
      <c r="E3623" s="2" t="s">
        <v>11165</v>
      </c>
      <c r="F3623" s="2" t="s">
        <v>11582</v>
      </c>
      <c r="G3623" s="2" t="s">
        <v>11583</v>
      </c>
      <c r="H3623" s="2" t="s">
        <v>7816</v>
      </c>
      <c r="I3623" s="2" t="s">
        <v>11584</v>
      </c>
      <c r="J3623" s="2" t="s">
        <v>11585</v>
      </c>
      <c r="K3623" s="2" t="s">
        <v>1373</v>
      </c>
      <c r="L3623" s="3">
        <v>17.02</v>
      </c>
      <c r="M3623" s="3">
        <v>17.87</v>
      </c>
      <c r="N3623" s="3">
        <v>36.99</v>
      </c>
      <c r="O3623" s="2" t="s">
        <v>97</v>
      </c>
      <c r="P3623" s="2" t="s">
        <v>123</v>
      </c>
      <c r="Q3623" s="2" t="s">
        <v>99</v>
      </c>
      <c r="R3623" s="2" t="s">
        <v>100</v>
      </c>
      <c r="S3623" s="2" t="s">
        <v>11594</v>
      </c>
      <c r="T3623" s="2" t="s">
        <v>1135</v>
      </c>
      <c r="U3623" s="2" t="s">
        <v>894</v>
      </c>
      <c r="V3623" s="2" t="s">
        <v>461</v>
      </c>
      <c r="W3623" s="2" t="s">
        <v>493</v>
      </c>
      <c r="X3623" s="2" t="s">
        <v>11172</v>
      </c>
      <c r="Y3623" s="2" t="s">
        <v>1565</v>
      </c>
      <c r="Z3623" s="4">
        <v>190</v>
      </c>
      <c r="AA3623" s="4">
        <f>=ROUNDDOWN(21.1111111111111,0)</f>
      </c>
      <c r="AB3623" s="5">
        <v>9</v>
      </c>
      <c r="AC3623" s="2" t="s">
        <v>11595</v>
      </c>
      <c r="AD3623" s="4">
        <v>92</v>
      </c>
      <c r="AE3623" s="4">
        <v>188</v>
      </c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/>
      <c r="AQ3623" s="8"/>
      <c r="AR3623" s="4"/>
      <c r="AS3623" s="8"/>
      <c r="AT3623" s="7"/>
      <c r="AU3623" s="7"/>
      <c r="AV3623" s="4" t="s">
        <v>100</v>
      </c>
      <c r="AW3623" s="8" t="s">
        <v>100</v>
      </c>
      <c r="AX3623" s="4" t="s">
        <v>100</v>
      </c>
      <c r="AY3623" s="8" t="s">
        <v>100</v>
      </c>
      <c r="AZ3623" s="7" t="s">
        <v>100</v>
      </c>
      <c r="BA3623" s="7" t="s">
        <v>100</v>
      </c>
      <c r="BB3623" s="7"/>
      <c r="BC3623" s="4" t="s">
        <v>100</v>
      </c>
      <c r="BD3623" s="8" t="s">
        <v>100</v>
      </c>
      <c r="BE3623" s="4" t="s">
        <v>100</v>
      </c>
      <c r="BF3623" s="8" t="s">
        <v>100</v>
      </c>
      <c r="BG3623" s="7" t="s">
        <v>100</v>
      </c>
      <c r="BH3623" s="7" t="s">
        <v>100</v>
      </c>
      <c r="BI3623" s="7"/>
      <c r="BJ3623" s="4">
        <v>15</v>
      </c>
      <c r="BK3623" s="8">
        <v>275.87</v>
      </c>
      <c r="BL3623" s="2" t="s">
        <v>7917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109</v>
      </c>
      <c r="BV3623" s="2" t="s">
        <v>97</v>
      </c>
      <c r="BW3623" s="2" t="s">
        <v>5476</v>
      </c>
      <c r="BX3623" s="2" t="s">
        <v>11596</v>
      </c>
      <c r="BY3623" s="2" t="s">
        <v>112</v>
      </c>
      <c r="BZ3623" s="2" t="s">
        <v>149</v>
      </c>
    </row>
    <row r="3624">
      <c r="A3624" s="2" t="s">
        <v>11597</v>
      </c>
      <c r="B3624" s="2" t="s">
        <v>10807</v>
      </c>
      <c r="C3624" s="2" t="s">
        <v>2238</v>
      </c>
      <c r="D3624" s="2" t="s">
        <v>2572</v>
      </c>
      <c r="E3624" s="2" t="s">
        <v>11165</v>
      </c>
      <c r="F3624" s="2" t="s">
        <v>11582</v>
      </c>
      <c r="G3624" s="2" t="s">
        <v>11583</v>
      </c>
      <c r="H3624" s="2" t="s">
        <v>7816</v>
      </c>
      <c r="I3624" s="2" t="s">
        <v>11584</v>
      </c>
      <c r="J3624" s="2" t="s">
        <v>11589</v>
      </c>
      <c r="K3624" s="2" t="s">
        <v>1373</v>
      </c>
      <c r="L3624" s="3">
        <v>19.32</v>
      </c>
      <c r="M3624" s="3">
        <v>20.29</v>
      </c>
      <c r="N3624" s="3">
        <v>41.99</v>
      </c>
      <c r="O3624" s="2" t="s">
        <v>97</v>
      </c>
      <c r="P3624" s="2" t="s">
        <v>98</v>
      </c>
      <c r="Q3624" s="2" t="s">
        <v>99</v>
      </c>
      <c r="R3624" s="2" t="s">
        <v>100</v>
      </c>
      <c r="S3624" s="2" t="s">
        <v>11594</v>
      </c>
      <c r="T3624" s="2" t="s">
        <v>1135</v>
      </c>
      <c r="U3624" s="2" t="s">
        <v>894</v>
      </c>
      <c r="V3624" s="2" t="s">
        <v>461</v>
      </c>
      <c r="W3624" s="2" t="s">
        <v>493</v>
      </c>
      <c r="X3624" s="2" t="s">
        <v>11172</v>
      </c>
      <c r="Y3624" s="2" t="s">
        <v>1565</v>
      </c>
      <c r="Z3624" s="4">
        <v>699</v>
      </c>
      <c r="AA3624" s="4">
        <f>=ROUNDDOWN(33.2857142857143,0)</f>
      </c>
      <c r="AB3624" s="5">
        <v>21</v>
      </c>
      <c r="AC3624" s="2" t="s">
        <v>3027</v>
      </c>
      <c r="AD3624" s="4">
        <v>128</v>
      </c>
      <c r="AE3624" s="4">
        <v>128</v>
      </c>
      <c r="AF3624" s="6">
        <v>65</v>
      </c>
      <c r="AG3624" s="6"/>
      <c r="AH3624" s="7">
        <v>0.9032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/>
      <c r="AQ3624" s="8"/>
      <c r="AR3624" s="4"/>
      <c r="AS3624" s="8"/>
      <c r="AT3624" s="7"/>
      <c r="AU3624" s="7"/>
      <c r="AV3624" s="4" t="s">
        <v>100</v>
      </c>
      <c r="AW3624" s="8" t="s">
        <v>100</v>
      </c>
      <c r="AX3624" s="4" t="s">
        <v>100</v>
      </c>
      <c r="AY3624" s="8" t="s">
        <v>100</v>
      </c>
      <c r="AZ3624" s="7" t="s">
        <v>100</v>
      </c>
      <c r="BA3624" s="7" t="s">
        <v>100</v>
      </c>
      <c r="BB3624" s="7"/>
      <c r="BC3624" s="4" t="s">
        <v>100</v>
      </c>
      <c r="BD3624" s="8" t="s">
        <v>100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/>
      <c r="BJ3624" s="4">
        <v>16</v>
      </c>
      <c r="BK3624" s="8">
        <v>334.45</v>
      </c>
      <c r="BL3624" s="2" t="s">
        <v>7917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654</v>
      </c>
      <c r="BX3624" s="2" t="s">
        <v>796</v>
      </c>
      <c r="BY3624" s="2" t="s">
        <v>112</v>
      </c>
      <c r="BZ3624" s="2" t="s">
        <v>149</v>
      </c>
    </row>
    <row r="3625">
      <c r="A3625" s="2" t="s">
        <v>11598</v>
      </c>
      <c r="B3625" s="2" t="s">
        <v>10807</v>
      </c>
      <c r="C3625" s="2" t="s">
        <v>2238</v>
      </c>
      <c r="D3625" s="2" t="s">
        <v>2572</v>
      </c>
      <c r="E3625" s="2" t="s">
        <v>11165</v>
      </c>
      <c r="F3625" s="2" t="s">
        <v>11582</v>
      </c>
      <c r="G3625" s="2" t="s">
        <v>11583</v>
      </c>
      <c r="H3625" s="2" t="s">
        <v>7816</v>
      </c>
      <c r="I3625" s="2" t="s">
        <v>11584</v>
      </c>
      <c r="J3625" s="2" t="s">
        <v>11591</v>
      </c>
      <c r="K3625" s="2" t="s">
        <v>1373</v>
      </c>
      <c r="L3625" s="3">
        <v>22.09</v>
      </c>
      <c r="M3625" s="3">
        <v>23.19</v>
      </c>
      <c r="N3625" s="3">
        <v>46.99</v>
      </c>
      <c r="O3625" s="2" t="s">
        <v>97</v>
      </c>
      <c r="P3625" s="2" t="s">
        <v>98</v>
      </c>
      <c r="Q3625" s="2" t="s">
        <v>99</v>
      </c>
      <c r="R3625" s="2" t="s">
        <v>100</v>
      </c>
      <c r="S3625" s="2" t="s">
        <v>11594</v>
      </c>
      <c r="T3625" s="2" t="s">
        <v>1135</v>
      </c>
      <c r="U3625" s="2" t="s">
        <v>894</v>
      </c>
      <c r="V3625" s="2" t="s">
        <v>461</v>
      </c>
      <c r="W3625" s="2" t="s">
        <v>493</v>
      </c>
      <c r="X3625" s="2" t="s">
        <v>11172</v>
      </c>
      <c r="Y3625" s="2" t="s">
        <v>1565</v>
      </c>
      <c r="Z3625" s="4">
        <v>338</v>
      </c>
      <c r="AA3625" s="4">
        <f>=ROUNDDOWN(13.52,0)</f>
      </c>
      <c r="AB3625" s="5">
        <v>25</v>
      </c>
      <c r="AC3625" s="2" t="s">
        <v>11595</v>
      </c>
      <c r="AD3625" s="4">
        <v>340</v>
      </c>
      <c r="AE3625" s="4">
        <v>608</v>
      </c>
      <c r="AF3625" s="6">
        <v>65</v>
      </c>
      <c r="AG3625" s="6"/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/>
      <c r="AQ3625" s="8"/>
      <c r="AR3625" s="4"/>
      <c r="AS3625" s="8"/>
      <c r="AT3625" s="7"/>
      <c r="AU3625" s="7"/>
      <c r="AV3625" s="4" t="s">
        <v>100</v>
      </c>
      <c r="AW3625" s="8" t="s">
        <v>100</v>
      </c>
      <c r="AX3625" s="4" t="s">
        <v>100</v>
      </c>
      <c r="AY3625" s="8" t="s">
        <v>100</v>
      </c>
      <c r="AZ3625" s="7" t="s">
        <v>100</v>
      </c>
      <c r="BA3625" s="7" t="s">
        <v>100</v>
      </c>
      <c r="BB3625" s="7"/>
      <c r="BC3625" s="4" t="s">
        <v>100</v>
      </c>
      <c r="BD3625" s="8" t="s">
        <v>100</v>
      </c>
      <c r="BE3625" s="4" t="s">
        <v>100</v>
      </c>
      <c r="BF3625" s="8" t="s">
        <v>100</v>
      </c>
      <c r="BG3625" s="7" t="s">
        <v>100</v>
      </c>
      <c r="BH3625" s="7" t="s">
        <v>100</v>
      </c>
      <c r="BI3625" s="7"/>
      <c r="BJ3625" s="4">
        <v>73</v>
      </c>
      <c r="BK3625" s="8">
        <v>1833.08</v>
      </c>
      <c r="BL3625" s="2" t="s">
        <v>10980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5476</v>
      </c>
      <c r="BX3625" s="2" t="s">
        <v>10588</v>
      </c>
      <c r="BY3625" s="2" t="s">
        <v>112</v>
      </c>
      <c r="BZ3625" s="2" t="s">
        <v>149</v>
      </c>
    </row>
    <row r="3626">
      <c r="A3626" s="2" t="s">
        <v>11599</v>
      </c>
      <c r="B3626" s="2" t="s">
        <v>10807</v>
      </c>
      <c r="C3626" s="2" t="s">
        <v>2238</v>
      </c>
      <c r="D3626" s="2" t="s">
        <v>2572</v>
      </c>
      <c r="E3626" s="2" t="s">
        <v>11165</v>
      </c>
      <c r="F3626" s="2" t="s">
        <v>11582</v>
      </c>
      <c r="G3626" s="2" t="s">
        <v>11583</v>
      </c>
      <c r="H3626" s="2" t="s">
        <v>7816</v>
      </c>
      <c r="I3626" s="2" t="s">
        <v>11584</v>
      </c>
      <c r="J3626" s="2" t="s">
        <v>11585</v>
      </c>
      <c r="K3626" s="2" t="s">
        <v>223</v>
      </c>
      <c r="L3626" s="3">
        <v>17.02</v>
      </c>
      <c r="M3626" s="3">
        <v>17.87</v>
      </c>
      <c r="N3626" s="3">
        <v>36.99</v>
      </c>
      <c r="O3626" s="2" t="s">
        <v>97</v>
      </c>
      <c r="P3626" s="2" t="s">
        <v>98</v>
      </c>
      <c r="Q3626" s="2" t="s">
        <v>99</v>
      </c>
      <c r="R3626" s="2" t="s">
        <v>100</v>
      </c>
      <c r="S3626" s="2" t="s">
        <v>11600</v>
      </c>
      <c r="T3626" s="2" t="s">
        <v>1135</v>
      </c>
      <c r="U3626" s="2" t="s">
        <v>894</v>
      </c>
      <c r="V3626" s="2" t="s">
        <v>461</v>
      </c>
      <c r="W3626" s="2" t="s">
        <v>493</v>
      </c>
      <c r="X3626" s="2" t="s">
        <v>11172</v>
      </c>
      <c r="Y3626" s="2" t="s">
        <v>1565</v>
      </c>
      <c r="Z3626" s="4">
        <v>79</v>
      </c>
      <c r="AA3626" s="4">
        <f>=ROUNDDOWN(26.3333333333333,0)</f>
      </c>
      <c r="AB3626" s="5">
        <v>3</v>
      </c>
      <c r="AC3626" s="2" t="s">
        <v>11595</v>
      </c>
      <c r="AD3626" s="4">
        <v>52</v>
      </c>
      <c r="AE3626" s="4">
        <v>52</v>
      </c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/>
      <c r="AQ3626" s="8"/>
      <c r="AR3626" s="4"/>
      <c r="AS3626" s="8"/>
      <c r="AT3626" s="7"/>
      <c r="AU3626" s="7"/>
      <c r="AV3626" s="4" t="s">
        <v>100</v>
      </c>
      <c r="AW3626" s="8" t="s">
        <v>100</v>
      </c>
      <c r="AX3626" s="4" t="s">
        <v>100</v>
      </c>
      <c r="AY3626" s="8" t="s">
        <v>100</v>
      </c>
      <c r="AZ3626" s="7" t="s">
        <v>100</v>
      </c>
      <c r="BA3626" s="7" t="s">
        <v>100</v>
      </c>
      <c r="BB3626" s="7"/>
      <c r="BC3626" s="4" t="s">
        <v>100</v>
      </c>
      <c r="BD3626" s="8" t="s">
        <v>100</v>
      </c>
      <c r="BE3626" s="4" t="s">
        <v>100</v>
      </c>
      <c r="BF3626" s="8" t="s">
        <v>100</v>
      </c>
      <c r="BG3626" s="7" t="s">
        <v>100</v>
      </c>
      <c r="BH3626" s="7" t="s">
        <v>100</v>
      </c>
      <c r="BI3626" s="7"/>
      <c r="BJ3626" s="4">
        <v>2</v>
      </c>
      <c r="BK3626" s="8">
        <v>33.11</v>
      </c>
      <c r="BL3626" s="2" t="s">
        <v>2009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109</v>
      </c>
      <c r="BV3626" s="2" t="s">
        <v>97</v>
      </c>
      <c r="BW3626" s="2" t="s">
        <v>5476</v>
      </c>
      <c r="BX3626" s="2" t="s">
        <v>1535</v>
      </c>
      <c r="BY3626" s="2" t="s">
        <v>112</v>
      </c>
      <c r="BZ3626" s="2" t="s">
        <v>149</v>
      </c>
    </row>
    <row r="3627">
      <c r="A3627" s="2" t="s">
        <v>11601</v>
      </c>
      <c r="B3627" s="2" t="s">
        <v>10807</v>
      </c>
      <c r="C3627" s="2" t="s">
        <v>2238</v>
      </c>
      <c r="D3627" s="2" t="s">
        <v>2572</v>
      </c>
      <c r="E3627" s="2" t="s">
        <v>11165</v>
      </c>
      <c r="F3627" s="2" t="s">
        <v>11582</v>
      </c>
      <c r="G3627" s="2" t="s">
        <v>11583</v>
      </c>
      <c r="H3627" s="2" t="s">
        <v>7816</v>
      </c>
      <c r="I3627" s="2" t="s">
        <v>11584</v>
      </c>
      <c r="J3627" s="2" t="s">
        <v>11589</v>
      </c>
      <c r="K3627" s="2" t="s">
        <v>223</v>
      </c>
      <c r="L3627" s="3">
        <v>19.32</v>
      </c>
      <c r="M3627" s="3">
        <v>20.29</v>
      </c>
      <c r="N3627" s="3">
        <v>41.99</v>
      </c>
      <c r="O3627" s="2" t="s">
        <v>97</v>
      </c>
      <c r="P3627" s="2" t="s">
        <v>98</v>
      </c>
      <c r="Q3627" s="2" t="s">
        <v>99</v>
      </c>
      <c r="R3627" s="2" t="s">
        <v>100</v>
      </c>
      <c r="S3627" s="2" t="s">
        <v>11600</v>
      </c>
      <c r="T3627" s="2" t="s">
        <v>1135</v>
      </c>
      <c r="U3627" s="2" t="s">
        <v>894</v>
      </c>
      <c r="V3627" s="2" t="s">
        <v>461</v>
      </c>
      <c r="W3627" s="2" t="s">
        <v>493</v>
      </c>
      <c r="X3627" s="2" t="s">
        <v>11172</v>
      </c>
      <c r="Y3627" s="2" t="s">
        <v>1565</v>
      </c>
      <c r="Z3627" s="4">
        <v>187</v>
      </c>
      <c r="AA3627" s="4">
        <f>=ROUNDDOWN(23.375,0)</f>
      </c>
      <c r="AB3627" s="5">
        <v>8</v>
      </c>
      <c r="AC3627" s="2" t="s">
        <v>11595</v>
      </c>
      <c r="AD3627" s="4">
        <v>76</v>
      </c>
      <c r="AE3627" s="4">
        <v>76</v>
      </c>
      <c r="AF3627" s="6">
        <v>65</v>
      </c>
      <c r="AG3627" s="6"/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/>
      <c r="AQ3627" s="8"/>
      <c r="AR3627" s="4"/>
      <c r="AS3627" s="8"/>
      <c r="AT3627" s="7"/>
      <c r="AU3627" s="7"/>
      <c r="AV3627" s="4" t="s">
        <v>100</v>
      </c>
      <c r="AW3627" s="8" t="s">
        <v>100</v>
      </c>
      <c r="AX3627" s="4" t="s">
        <v>100</v>
      </c>
      <c r="AY3627" s="8" t="s">
        <v>100</v>
      </c>
      <c r="AZ3627" s="7" t="s">
        <v>100</v>
      </c>
      <c r="BA3627" s="7" t="s">
        <v>100</v>
      </c>
      <c r="BB3627" s="7"/>
      <c r="BC3627" s="4" t="s">
        <v>100</v>
      </c>
      <c r="BD3627" s="8" t="s">
        <v>100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/>
      <c r="BJ3627" s="4">
        <v>23</v>
      </c>
      <c r="BK3627" s="8">
        <v>482.07</v>
      </c>
      <c r="BL3627" s="2" t="s">
        <v>11602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5476</v>
      </c>
      <c r="BX3627" s="2" t="s">
        <v>1535</v>
      </c>
      <c r="BY3627" s="2" t="s">
        <v>112</v>
      </c>
      <c r="BZ3627" s="2" t="s">
        <v>149</v>
      </c>
    </row>
    <row r="3628">
      <c r="A3628" s="2" t="s">
        <v>11603</v>
      </c>
      <c r="B3628" s="2" t="s">
        <v>10807</v>
      </c>
      <c r="C3628" s="2" t="s">
        <v>2238</v>
      </c>
      <c r="D3628" s="2" t="s">
        <v>2572</v>
      </c>
      <c r="E3628" s="2" t="s">
        <v>11165</v>
      </c>
      <c r="F3628" s="2" t="s">
        <v>11582</v>
      </c>
      <c r="G3628" s="2" t="s">
        <v>11583</v>
      </c>
      <c r="H3628" s="2" t="s">
        <v>7816</v>
      </c>
      <c r="I3628" s="2" t="s">
        <v>11584</v>
      </c>
      <c r="J3628" s="2" t="s">
        <v>11591</v>
      </c>
      <c r="K3628" s="2" t="s">
        <v>223</v>
      </c>
      <c r="L3628" s="3">
        <v>22.09</v>
      </c>
      <c r="M3628" s="3">
        <v>23.19</v>
      </c>
      <c r="N3628" s="3">
        <v>46.99</v>
      </c>
      <c r="O3628" s="2" t="s">
        <v>97</v>
      </c>
      <c r="P3628" s="2" t="s">
        <v>98</v>
      </c>
      <c r="Q3628" s="2" t="s">
        <v>99</v>
      </c>
      <c r="R3628" s="2" t="s">
        <v>100</v>
      </c>
      <c r="S3628" s="2" t="s">
        <v>11600</v>
      </c>
      <c r="T3628" s="2" t="s">
        <v>1135</v>
      </c>
      <c r="U3628" s="2" t="s">
        <v>894</v>
      </c>
      <c r="V3628" s="2" t="s">
        <v>461</v>
      </c>
      <c r="W3628" s="2" t="s">
        <v>493</v>
      </c>
      <c r="X3628" s="2" t="s">
        <v>11172</v>
      </c>
      <c r="Y3628" s="2" t="s">
        <v>1565</v>
      </c>
      <c r="Z3628" s="4">
        <v>172</v>
      </c>
      <c r="AA3628" s="4">
        <f>=ROUNDDOWN(17.2,0)</f>
      </c>
      <c r="AB3628" s="5">
        <v>10</v>
      </c>
      <c r="AC3628" s="2" t="s">
        <v>11595</v>
      </c>
      <c r="AD3628" s="4">
        <v>188</v>
      </c>
      <c r="AE3628" s="4">
        <v>188</v>
      </c>
      <c r="AF3628" s="6">
        <v>65</v>
      </c>
      <c r="AG3628" s="6"/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/>
      <c r="AQ3628" s="8"/>
      <c r="AR3628" s="4"/>
      <c r="AS3628" s="8"/>
      <c r="AT3628" s="7"/>
      <c r="AU3628" s="7"/>
      <c r="AV3628" s="4" t="s">
        <v>100</v>
      </c>
      <c r="AW3628" s="8" t="s">
        <v>100</v>
      </c>
      <c r="AX3628" s="4" t="s">
        <v>100</v>
      </c>
      <c r="AY3628" s="8" t="s">
        <v>100</v>
      </c>
      <c r="AZ3628" s="7" t="s">
        <v>100</v>
      </c>
      <c r="BA3628" s="7" t="s">
        <v>100</v>
      </c>
      <c r="BB3628" s="7"/>
      <c r="BC3628" s="4" t="s">
        <v>100</v>
      </c>
      <c r="BD3628" s="8" t="s">
        <v>100</v>
      </c>
      <c r="BE3628" s="4" t="s">
        <v>100</v>
      </c>
      <c r="BF3628" s="8" t="s">
        <v>100</v>
      </c>
      <c r="BG3628" s="7" t="s">
        <v>100</v>
      </c>
      <c r="BH3628" s="7" t="s">
        <v>100</v>
      </c>
      <c r="BI3628" s="7"/>
      <c r="BJ3628" s="4">
        <v>29</v>
      </c>
      <c r="BK3628" s="8">
        <v>741.78</v>
      </c>
      <c r="BL3628" s="2" t="s">
        <v>11604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109</v>
      </c>
      <c r="BV3628" s="2" t="s">
        <v>97</v>
      </c>
      <c r="BW3628" s="2" t="s">
        <v>5476</v>
      </c>
      <c r="BX3628" s="2" t="s">
        <v>5674</v>
      </c>
      <c r="BY3628" s="2" t="s">
        <v>112</v>
      </c>
      <c r="BZ3628" s="2" t="s">
        <v>149</v>
      </c>
    </row>
    <row r="3629">
      <c r="A3629" s="2" t="s">
        <v>11605</v>
      </c>
      <c r="B3629" s="2" t="s">
        <v>10807</v>
      </c>
      <c r="C3629" s="2" t="s">
        <v>2831</v>
      </c>
      <c r="D3629" s="2" t="s">
        <v>2572</v>
      </c>
      <c r="E3629" s="2" t="s">
        <v>2573</v>
      </c>
      <c r="F3629" s="2" t="s">
        <v>2910</v>
      </c>
      <c r="G3629" s="2" t="s">
        <v>2910</v>
      </c>
      <c r="H3629" s="2" t="s">
        <v>2910</v>
      </c>
      <c r="I3629" s="2" t="s">
        <v>11606</v>
      </c>
      <c r="J3629" s="2" t="s">
        <v>10811</v>
      </c>
      <c r="K3629" s="2" t="s">
        <v>188</v>
      </c>
      <c r="L3629" s="3">
        <v>24.75</v>
      </c>
      <c r="M3629" s="3">
        <v>25.99</v>
      </c>
      <c r="N3629" s="3">
        <v>59.99</v>
      </c>
      <c r="O3629" s="2" t="s">
        <v>97</v>
      </c>
      <c r="P3629" s="2" t="s">
        <v>98</v>
      </c>
      <c r="Q3629" s="2" t="s">
        <v>99</v>
      </c>
      <c r="R3629" s="2" t="s">
        <v>100</v>
      </c>
      <c r="S3629" s="2" t="s">
        <v>11607</v>
      </c>
      <c r="T3629" s="2" t="s">
        <v>190</v>
      </c>
      <c r="U3629" s="2" t="s">
        <v>1776</v>
      </c>
      <c r="V3629" s="2" t="s">
        <v>473</v>
      </c>
      <c r="W3629" s="2" t="s">
        <v>2835</v>
      </c>
      <c r="X3629" s="2" t="s">
        <v>10813</v>
      </c>
      <c r="Y3629" s="2" t="s">
        <v>6484</v>
      </c>
      <c r="Z3629" s="4">
        <v>575</v>
      </c>
      <c r="AA3629" s="4">
        <f>=ROUNDDOWN(12.7777777777778,0)</f>
      </c>
      <c r="AB3629" s="5">
        <v>45</v>
      </c>
      <c r="AC3629" s="2" t="s">
        <v>2709</v>
      </c>
      <c r="AD3629" s="4">
        <v>800</v>
      </c>
      <c r="AE3629" s="4">
        <v>800</v>
      </c>
      <c r="AF3629" s="6">
        <v>73</v>
      </c>
      <c r="AG3629" s="6"/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>
        <v>0</v>
      </c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 t="s">
        <v>100</v>
      </c>
      <c r="BD3629" s="8" t="s">
        <v>100</v>
      </c>
      <c r="BE3629" s="4" t="s">
        <v>100</v>
      </c>
      <c r="BF3629" s="8" t="s">
        <v>100</v>
      </c>
      <c r="BG3629" s="7" t="s">
        <v>100</v>
      </c>
      <c r="BH3629" s="7" t="s">
        <v>100</v>
      </c>
      <c r="BI3629" s="7"/>
      <c r="BJ3629" s="4">
        <v>145</v>
      </c>
      <c r="BK3629" s="8">
        <v>4104.73</v>
      </c>
      <c r="BL3629" s="2" t="s">
        <v>11608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2551</v>
      </c>
      <c r="BV3629" s="2" t="s">
        <v>97</v>
      </c>
      <c r="BW3629" s="2" t="s">
        <v>100</v>
      </c>
      <c r="BX3629" s="2" t="s">
        <v>100</v>
      </c>
      <c r="BY3629" s="2" t="s">
        <v>112</v>
      </c>
      <c r="BZ3629" s="2" t="s">
        <v>149</v>
      </c>
    </row>
    <row r="3630">
      <c r="A3630" s="2" t="s">
        <v>11609</v>
      </c>
      <c r="B3630" s="2" t="s">
        <v>10807</v>
      </c>
      <c r="C3630" s="2" t="s">
        <v>2831</v>
      </c>
      <c r="D3630" s="2" t="s">
        <v>2572</v>
      </c>
      <c r="E3630" s="2" t="s">
        <v>2573</v>
      </c>
      <c r="F3630" s="2" t="s">
        <v>2910</v>
      </c>
      <c r="G3630" s="2" t="s">
        <v>2910</v>
      </c>
      <c r="H3630" s="2" t="s">
        <v>2910</v>
      </c>
      <c r="I3630" s="2" t="s">
        <v>11606</v>
      </c>
      <c r="J3630" s="2" t="s">
        <v>10811</v>
      </c>
      <c r="K3630" s="2" t="s">
        <v>545</v>
      </c>
      <c r="L3630" s="3">
        <v>24.75</v>
      </c>
      <c r="M3630" s="3">
        <v>25.99</v>
      </c>
      <c r="N3630" s="3">
        <v>59.99</v>
      </c>
      <c r="O3630" s="2" t="s">
        <v>97</v>
      </c>
      <c r="P3630" s="2" t="s">
        <v>123</v>
      </c>
      <c r="Q3630" s="2" t="s">
        <v>99</v>
      </c>
      <c r="R3630" s="2" t="s">
        <v>100</v>
      </c>
      <c r="S3630" s="2" t="s">
        <v>5144</v>
      </c>
      <c r="T3630" s="2" t="s">
        <v>190</v>
      </c>
      <c r="U3630" s="2" t="s">
        <v>1776</v>
      </c>
      <c r="V3630" s="2" t="s">
        <v>473</v>
      </c>
      <c r="W3630" s="2" t="s">
        <v>2835</v>
      </c>
      <c r="X3630" s="2" t="s">
        <v>10813</v>
      </c>
      <c r="Y3630" s="2" t="s">
        <v>11008</v>
      </c>
      <c r="Z3630" s="4">
        <v>676</v>
      </c>
      <c r="AA3630" s="4">
        <f>=ROUNDDOWN(7.42857142857143,0)</f>
      </c>
      <c r="AB3630" s="5">
        <v>91</v>
      </c>
      <c r="AC3630" s="2" t="s">
        <v>262</v>
      </c>
      <c r="AD3630" s="4">
        <v>232</v>
      </c>
      <c r="AE3630" s="4">
        <v>3420</v>
      </c>
      <c r="AF3630" s="6">
        <v>73</v>
      </c>
      <c r="AG3630" s="6">
        <v>81</v>
      </c>
      <c r="AH3630" s="7">
        <v>0.8387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/>
      <c r="AQ3630" s="8"/>
      <c r="AR3630" s="4"/>
      <c r="AS3630" s="8"/>
      <c r="AT3630" s="7"/>
      <c r="AU3630" s="7"/>
      <c r="AV3630" s="4" t="s">
        <v>100</v>
      </c>
      <c r="AW3630" s="8" t="s">
        <v>100</v>
      </c>
      <c r="AX3630" s="4" t="s">
        <v>100</v>
      </c>
      <c r="AY3630" s="8" t="s">
        <v>100</v>
      </c>
      <c r="AZ3630" s="7" t="s">
        <v>100</v>
      </c>
      <c r="BA3630" s="7" t="s">
        <v>100</v>
      </c>
      <c r="BB3630" s="7"/>
      <c r="BC3630" s="4" t="s">
        <v>100</v>
      </c>
      <c r="BD3630" s="8" t="s">
        <v>100</v>
      </c>
      <c r="BE3630" s="4" t="s">
        <v>100</v>
      </c>
      <c r="BF3630" s="8" t="s">
        <v>100</v>
      </c>
      <c r="BG3630" s="7" t="s">
        <v>100</v>
      </c>
      <c r="BH3630" s="7" t="s">
        <v>100</v>
      </c>
      <c r="BI3630" s="7"/>
      <c r="BJ3630" s="4">
        <v>288</v>
      </c>
      <c r="BK3630" s="8">
        <v>7940.31</v>
      </c>
      <c r="BL3630" s="2" t="s">
        <v>11610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2551</v>
      </c>
      <c r="BV3630" s="2" t="s">
        <v>97</v>
      </c>
      <c r="BW3630" s="2" t="s">
        <v>100</v>
      </c>
      <c r="BX3630" s="2" t="s">
        <v>100</v>
      </c>
      <c r="BY3630" s="2" t="s">
        <v>112</v>
      </c>
      <c r="BZ3630" s="2" t="s">
        <v>100</v>
      </c>
    </row>
    <row r="3631">
      <c r="A3631" s="2" t="s">
        <v>11611</v>
      </c>
      <c r="B3631" s="2" t="s">
        <v>10807</v>
      </c>
      <c r="C3631" s="2" t="s">
        <v>2831</v>
      </c>
      <c r="D3631" s="2" t="s">
        <v>2572</v>
      </c>
      <c r="E3631" s="2" t="s">
        <v>2573</v>
      </c>
      <c r="F3631" s="2" t="s">
        <v>2910</v>
      </c>
      <c r="G3631" s="2" t="s">
        <v>2910</v>
      </c>
      <c r="H3631" s="2" t="s">
        <v>2910</v>
      </c>
      <c r="I3631" s="2" t="s">
        <v>11606</v>
      </c>
      <c r="J3631" s="2" t="s">
        <v>10818</v>
      </c>
      <c r="K3631" s="2" t="s">
        <v>545</v>
      </c>
      <c r="L3631" s="3">
        <v>28</v>
      </c>
      <c r="M3631" s="3">
        <v>29.4</v>
      </c>
      <c r="N3631" s="3">
        <v>64.99</v>
      </c>
      <c r="O3631" s="2" t="s">
        <v>97</v>
      </c>
      <c r="P3631" s="2" t="s">
        <v>98</v>
      </c>
      <c r="Q3631" s="2" t="s">
        <v>99</v>
      </c>
      <c r="R3631" s="2" t="s">
        <v>100</v>
      </c>
      <c r="S3631" s="2" t="s">
        <v>5144</v>
      </c>
      <c r="T3631" s="2" t="s">
        <v>190</v>
      </c>
      <c r="U3631" s="2" t="s">
        <v>1776</v>
      </c>
      <c r="V3631" s="2" t="s">
        <v>473</v>
      </c>
      <c r="W3631" s="2" t="s">
        <v>2835</v>
      </c>
      <c r="X3631" s="2" t="s">
        <v>10813</v>
      </c>
      <c r="Y3631" s="2" t="s">
        <v>4086</v>
      </c>
      <c r="Z3631" s="4">
        <v>879</v>
      </c>
      <c r="AA3631" s="4">
        <f>=ROUNDDOWN(51.7058823529412,0)</f>
      </c>
      <c r="AB3631" s="5">
        <v>17</v>
      </c>
      <c r="AC3631" s="2" t="s">
        <v>262</v>
      </c>
      <c r="AD3631" s="4">
        <v>280</v>
      </c>
      <c r="AE3631" s="4">
        <v>280</v>
      </c>
      <c r="AF3631" s="6">
        <v>73</v>
      </c>
      <c r="AG3631" s="6"/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</v>
      </c>
      <c r="AP3631" s="4"/>
      <c r="AQ3631" s="8"/>
      <c r="AR3631" s="4"/>
      <c r="AS3631" s="8"/>
      <c r="AT3631" s="7"/>
      <c r="AU3631" s="7"/>
      <c r="AV3631" s="4" t="s">
        <v>100</v>
      </c>
      <c r="AW3631" s="8" t="s">
        <v>100</v>
      </c>
      <c r="AX3631" s="4" t="s">
        <v>100</v>
      </c>
      <c r="AY3631" s="8" t="s">
        <v>100</v>
      </c>
      <c r="AZ3631" s="7" t="s">
        <v>100</v>
      </c>
      <c r="BA3631" s="7" t="s">
        <v>100</v>
      </c>
      <c r="BB3631" s="7"/>
      <c r="BC3631" s="4" t="s">
        <v>100</v>
      </c>
      <c r="BD3631" s="8" t="s">
        <v>100</v>
      </c>
      <c r="BE3631" s="4" t="s">
        <v>100</v>
      </c>
      <c r="BF3631" s="8" t="s">
        <v>100</v>
      </c>
      <c r="BG3631" s="7" t="s">
        <v>100</v>
      </c>
      <c r="BH3631" s="7" t="s">
        <v>100</v>
      </c>
      <c r="BI3631" s="7"/>
      <c r="BJ3631" s="4">
        <v>45</v>
      </c>
      <c r="BK3631" s="8">
        <v>1400.58</v>
      </c>
      <c r="BL3631" s="2" t="s">
        <v>11612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2551</v>
      </c>
      <c r="BV3631" s="2" t="s">
        <v>97</v>
      </c>
      <c r="BW3631" s="2" t="s">
        <v>100</v>
      </c>
      <c r="BX3631" s="2" t="s">
        <v>100</v>
      </c>
      <c r="BY3631" s="2" t="s">
        <v>112</v>
      </c>
      <c r="BZ3631" s="2" t="s">
        <v>149</v>
      </c>
    </row>
    <row r="3632">
      <c r="A3632" s="2" t="s">
        <v>11613</v>
      </c>
      <c r="B3632" s="2" t="s">
        <v>10807</v>
      </c>
      <c r="C3632" s="2" t="s">
        <v>2831</v>
      </c>
      <c r="D3632" s="2" t="s">
        <v>2572</v>
      </c>
      <c r="E3632" s="2" t="s">
        <v>2573</v>
      </c>
      <c r="F3632" s="2" t="s">
        <v>2910</v>
      </c>
      <c r="G3632" s="2" t="s">
        <v>2910</v>
      </c>
      <c r="H3632" s="2" t="s">
        <v>2910</v>
      </c>
      <c r="I3632" s="2" t="s">
        <v>11606</v>
      </c>
      <c r="J3632" s="2" t="s">
        <v>10811</v>
      </c>
      <c r="K3632" s="2" t="s">
        <v>1373</v>
      </c>
      <c r="L3632" s="3">
        <v>24.75</v>
      </c>
      <c r="M3632" s="3">
        <v>25.99</v>
      </c>
      <c r="N3632" s="3">
        <v>59.99</v>
      </c>
      <c r="O3632" s="2" t="s">
        <v>97</v>
      </c>
      <c r="P3632" s="2" t="s">
        <v>317</v>
      </c>
      <c r="Q3632" s="2" t="s">
        <v>99</v>
      </c>
      <c r="R3632" s="2" t="s">
        <v>100</v>
      </c>
      <c r="S3632" s="2" t="s">
        <v>5148</v>
      </c>
      <c r="T3632" s="2" t="s">
        <v>190</v>
      </c>
      <c r="U3632" s="2" t="s">
        <v>1776</v>
      </c>
      <c r="V3632" s="2" t="s">
        <v>473</v>
      </c>
      <c r="W3632" s="2" t="s">
        <v>2835</v>
      </c>
      <c r="X3632" s="2" t="s">
        <v>10813</v>
      </c>
      <c r="Y3632" s="2" t="s">
        <v>11008</v>
      </c>
      <c r="Z3632" s="4">
        <v>1228</v>
      </c>
      <c r="AA3632" s="4">
        <f>=ROUNDDOWN(1.41801385681293,0)</f>
      </c>
      <c r="AB3632" s="5">
        <v>866</v>
      </c>
      <c r="AC3632" s="2" t="s">
        <v>990</v>
      </c>
      <c r="AD3632" s="4">
        <v>1372</v>
      </c>
      <c r="AE3632" s="4">
        <v>26832</v>
      </c>
      <c r="AF3632" s="6">
        <v>73</v>
      </c>
      <c r="AG3632" s="6">
        <v>81</v>
      </c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/>
      <c r="AQ3632" s="8"/>
      <c r="AR3632" s="4"/>
      <c r="AS3632" s="8"/>
      <c r="AT3632" s="7"/>
      <c r="AU3632" s="7"/>
      <c r="AV3632" s="4" t="s">
        <v>100</v>
      </c>
      <c r="AW3632" s="8" t="s">
        <v>100</v>
      </c>
      <c r="AX3632" s="4" t="s">
        <v>100</v>
      </c>
      <c r="AY3632" s="8" t="s">
        <v>100</v>
      </c>
      <c r="AZ3632" s="7" t="s">
        <v>100</v>
      </c>
      <c r="BA3632" s="7" t="s">
        <v>100</v>
      </c>
      <c r="BB3632" s="7"/>
      <c r="BC3632" s="4" t="s">
        <v>100</v>
      </c>
      <c r="BD3632" s="8" t="s">
        <v>100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/>
      <c r="BJ3632" s="4">
        <v>4466</v>
      </c>
      <c r="BK3632" s="8">
        <v>122004.35</v>
      </c>
      <c r="BL3632" s="2" t="s">
        <v>11614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2526</v>
      </c>
      <c r="BV3632" s="2" t="s">
        <v>97</v>
      </c>
      <c r="BW3632" s="2" t="s">
        <v>100</v>
      </c>
      <c r="BX3632" s="2" t="s">
        <v>100</v>
      </c>
      <c r="BY3632" s="2" t="s">
        <v>112</v>
      </c>
      <c r="BZ3632" s="2" t="s">
        <v>149</v>
      </c>
    </row>
    <row r="3633">
      <c r="A3633" s="2" t="s">
        <v>11615</v>
      </c>
      <c r="B3633" s="2" t="s">
        <v>10807</v>
      </c>
      <c r="C3633" s="2" t="s">
        <v>2831</v>
      </c>
      <c r="D3633" s="2" t="s">
        <v>2572</v>
      </c>
      <c r="E3633" s="2" t="s">
        <v>2573</v>
      </c>
      <c r="F3633" s="2" t="s">
        <v>2910</v>
      </c>
      <c r="G3633" s="2" t="s">
        <v>2910</v>
      </c>
      <c r="H3633" s="2" t="s">
        <v>2910</v>
      </c>
      <c r="I3633" s="2" t="s">
        <v>11606</v>
      </c>
      <c r="J3633" s="2" t="s">
        <v>10818</v>
      </c>
      <c r="K3633" s="2" t="s">
        <v>1373</v>
      </c>
      <c r="L3633" s="3">
        <v>28</v>
      </c>
      <c r="M3633" s="3">
        <v>29.4</v>
      </c>
      <c r="N3633" s="3">
        <v>64.99</v>
      </c>
      <c r="O3633" s="2" t="s">
        <v>97</v>
      </c>
      <c r="P3633" s="2" t="s">
        <v>317</v>
      </c>
      <c r="Q3633" s="2" t="s">
        <v>99</v>
      </c>
      <c r="R3633" s="2" t="s">
        <v>100</v>
      </c>
      <c r="S3633" s="2" t="s">
        <v>5148</v>
      </c>
      <c r="T3633" s="2" t="s">
        <v>190</v>
      </c>
      <c r="U3633" s="2" t="s">
        <v>1776</v>
      </c>
      <c r="V3633" s="2" t="s">
        <v>473</v>
      </c>
      <c r="W3633" s="2" t="s">
        <v>2835</v>
      </c>
      <c r="X3633" s="2" t="s">
        <v>10813</v>
      </c>
      <c r="Y3633" s="2" t="s">
        <v>245</v>
      </c>
      <c r="Z3633" s="4">
        <v>3619</v>
      </c>
      <c r="AA3633" s="4">
        <f>=ROUNDDOWN(14.476,0)</f>
      </c>
      <c r="AB3633" s="5">
        <v>250</v>
      </c>
      <c r="AC3633" s="2" t="s">
        <v>990</v>
      </c>
      <c r="AD3633" s="4">
        <v>1000</v>
      </c>
      <c r="AE3633" s="4">
        <v>3984</v>
      </c>
      <c r="AF3633" s="6">
        <v>73</v>
      </c>
      <c r="AG3633" s="6"/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/>
      <c r="AQ3633" s="8"/>
      <c r="AR3633" s="4"/>
      <c r="AS3633" s="8"/>
      <c r="AT3633" s="7"/>
      <c r="AU3633" s="7"/>
      <c r="AV3633" s="4" t="s">
        <v>100</v>
      </c>
      <c r="AW3633" s="8" t="s">
        <v>100</v>
      </c>
      <c r="AX3633" s="4" t="s">
        <v>100</v>
      </c>
      <c r="AY3633" s="8" t="s">
        <v>100</v>
      </c>
      <c r="AZ3633" s="7" t="s">
        <v>100</v>
      </c>
      <c r="BA3633" s="7" t="s">
        <v>100</v>
      </c>
      <c r="BB3633" s="7"/>
      <c r="BC3633" s="4" t="s">
        <v>100</v>
      </c>
      <c r="BD3633" s="8" t="s">
        <v>100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/>
      <c r="BJ3633" s="4">
        <v>683</v>
      </c>
      <c r="BK3633" s="8">
        <v>20966.05</v>
      </c>
      <c r="BL3633" s="2" t="s">
        <v>11616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2526</v>
      </c>
      <c r="BV3633" s="2" t="s">
        <v>97</v>
      </c>
      <c r="BW3633" s="2" t="s">
        <v>100</v>
      </c>
      <c r="BX3633" s="2" t="s">
        <v>100</v>
      </c>
      <c r="BY3633" s="2" t="s">
        <v>112</v>
      </c>
      <c r="BZ3633" s="2" t="s">
        <v>149</v>
      </c>
    </row>
    <row r="3634">
      <c r="A3634" s="2" t="s">
        <v>11617</v>
      </c>
      <c r="B3634" s="2" t="s">
        <v>10807</v>
      </c>
      <c r="C3634" s="2" t="s">
        <v>2831</v>
      </c>
      <c r="D3634" s="2" t="s">
        <v>2572</v>
      </c>
      <c r="E3634" s="2" t="s">
        <v>2573</v>
      </c>
      <c r="F3634" s="2" t="s">
        <v>2910</v>
      </c>
      <c r="G3634" s="2" t="s">
        <v>2910</v>
      </c>
      <c r="H3634" s="2" t="s">
        <v>2910</v>
      </c>
      <c r="I3634" s="2" t="s">
        <v>11606</v>
      </c>
      <c r="J3634" s="2" t="s">
        <v>10811</v>
      </c>
      <c r="K3634" s="2" t="s">
        <v>2928</v>
      </c>
      <c r="L3634" s="3">
        <v>24.75</v>
      </c>
      <c r="M3634" s="3">
        <v>25.99</v>
      </c>
      <c r="N3634" s="3">
        <v>59.99</v>
      </c>
      <c r="O3634" s="2" t="s">
        <v>97</v>
      </c>
      <c r="P3634" s="2" t="s">
        <v>139</v>
      </c>
      <c r="Q3634" s="2" t="s">
        <v>99</v>
      </c>
      <c r="R3634" s="2" t="s">
        <v>100</v>
      </c>
      <c r="S3634" s="2" t="s">
        <v>2929</v>
      </c>
      <c r="T3634" s="2" t="s">
        <v>190</v>
      </c>
      <c r="U3634" s="2" t="s">
        <v>1776</v>
      </c>
      <c r="V3634" s="2" t="s">
        <v>473</v>
      </c>
      <c r="W3634" s="2" t="s">
        <v>2835</v>
      </c>
      <c r="X3634" s="2" t="s">
        <v>10813</v>
      </c>
      <c r="Y3634" s="2" t="s">
        <v>4086</v>
      </c>
      <c r="Z3634" s="4">
        <v>650</v>
      </c>
      <c r="AA3634" s="4">
        <f>=ROUNDDOWN(7.85024154589372,0)</f>
      </c>
      <c r="AB3634" s="5">
        <v>82.8</v>
      </c>
      <c r="AC3634" s="2" t="s">
        <v>262</v>
      </c>
      <c r="AD3634" s="4">
        <v>472</v>
      </c>
      <c r="AE3634" s="4">
        <v>2192</v>
      </c>
      <c r="AF3634" s="6">
        <v>73</v>
      </c>
      <c r="AG3634" s="6"/>
      <c r="AH3634" s="7">
        <v>0.8387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/>
      <c r="AQ3634" s="8"/>
      <c r="AR3634" s="4"/>
      <c r="AS3634" s="8"/>
      <c r="AT3634" s="7"/>
      <c r="AU3634" s="7"/>
      <c r="AV3634" s="4" t="s">
        <v>100</v>
      </c>
      <c r="AW3634" s="8" t="s">
        <v>100</v>
      </c>
      <c r="AX3634" s="4" t="s">
        <v>100</v>
      </c>
      <c r="AY3634" s="8" t="s">
        <v>100</v>
      </c>
      <c r="AZ3634" s="7" t="s">
        <v>100</v>
      </c>
      <c r="BA3634" s="7" t="s">
        <v>100</v>
      </c>
      <c r="BB3634" s="7"/>
      <c r="BC3634" s="4" t="s">
        <v>100</v>
      </c>
      <c r="BD3634" s="8" t="s">
        <v>100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/>
      <c r="BJ3634" s="4">
        <v>274</v>
      </c>
      <c r="BK3634" s="8">
        <v>7752.78</v>
      </c>
      <c r="BL3634" s="2" t="s">
        <v>2515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2551</v>
      </c>
      <c r="BV3634" s="2" t="s">
        <v>97</v>
      </c>
      <c r="BW3634" s="2" t="s">
        <v>100</v>
      </c>
      <c r="BX3634" s="2" t="s">
        <v>100</v>
      </c>
      <c r="BY3634" s="2" t="s">
        <v>112</v>
      </c>
      <c r="BZ3634" s="2" t="s">
        <v>100</v>
      </c>
    </row>
    <row r="3635">
      <c r="A3635" s="2" t="s">
        <v>11618</v>
      </c>
      <c r="B3635" s="2" t="s">
        <v>10807</v>
      </c>
      <c r="C3635" s="2" t="s">
        <v>2831</v>
      </c>
      <c r="D3635" s="2" t="s">
        <v>2572</v>
      </c>
      <c r="E3635" s="2" t="s">
        <v>2573</v>
      </c>
      <c r="F3635" s="2" t="s">
        <v>2910</v>
      </c>
      <c r="G3635" s="2" t="s">
        <v>2910</v>
      </c>
      <c r="H3635" s="2" t="s">
        <v>2910</v>
      </c>
      <c r="I3635" s="2" t="s">
        <v>11606</v>
      </c>
      <c r="J3635" s="2" t="s">
        <v>10818</v>
      </c>
      <c r="K3635" s="2" t="s">
        <v>2928</v>
      </c>
      <c r="L3635" s="3">
        <v>28</v>
      </c>
      <c r="M3635" s="3">
        <v>29.4</v>
      </c>
      <c r="N3635" s="3">
        <v>64.99</v>
      </c>
      <c r="O3635" s="2" t="s">
        <v>97</v>
      </c>
      <c r="P3635" s="2" t="s">
        <v>156</v>
      </c>
      <c r="Q3635" s="2" t="s">
        <v>99</v>
      </c>
      <c r="R3635" s="2" t="s">
        <v>100</v>
      </c>
      <c r="S3635" s="2" t="s">
        <v>2929</v>
      </c>
      <c r="T3635" s="2" t="s">
        <v>190</v>
      </c>
      <c r="U3635" s="2" t="s">
        <v>1776</v>
      </c>
      <c r="V3635" s="2" t="s">
        <v>473</v>
      </c>
      <c r="W3635" s="2" t="s">
        <v>2835</v>
      </c>
      <c r="X3635" s="2" t="s">
        <v>10813</v>
      </c>
      <c r="Y3635" s="2" t="s">
        <v>4086</v>
      </c>
      <c r="Z3635" s="4">
        <v>1066</v>
      </c>
      <c r="AA3635" s="4">
        <f>=ROUNDDOWN(34.3870967741935,0)</f>
      </c>
      <c r="AB3635" s="5">
        <v>31</v>
      </c>
      <c r="AC3635" s="2" t="s">
        <v>130</v>
      </c>
      <c r="AD3635" s="4">
        <v>556</v>
      </c>
      <c r="AE3635" s="4">
        <v>556</v>
      </c>
      <c r="AF3635" s="6">
        <v>73</v>
      </c>
      <c r="AG3635" s="6"/>
      <c r="AH3635" s="7">
        <v>0.8387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/>
      <c r="AQ3635" s="8"/>
      <c r="AR3635" s="4"/>
      <c r="AS3635" s="8"/>
      <c r="AT3635" s="7"/>
      <c r="AU3635" s="7"/>
      <c r="AV3635" s="4" t="s">
        <v>100</v>
      </c>
      <c r="AW3635" s="8" t="s">
        <v>100</v>
      </c>
      <c r="AX3635" s="4" t="s">
        <v>100</v>
      </c>
      <c r="AY3635" s="8" t="s">
        <v>100</v>
      </c>
      <c r="AZ3635" s="7" t="s">
        <v>100</v>
      </c>
      <c r="BA3635" s="7" t="s">
        <v>100</v>
      </c>
      <c r="BB3635" s="7"/>
      <c r="BC3635" s="4" t="s">
        <v>100</v>
      </c>
      <c r="BD3635" s="8" t="s">
        <v>100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/>
      <c r="BJ3635" s="4">
        <v>84</v>
      </c>
      <c r="BK3635" s="8">
        <v>2610.21</v>
      </c>
      <c r="BL3635" s="2" t="s">
        <v>11619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2526</v>
      </c>
      <c r="BV3635" s="2" t="s">
        <v>97</v>
      </c>
      <c r="BW3635" s="2" t="s">
        <v>100</v>
      </c>
      <c r="BX3635" s="2" t="s">
        <v>100</v>
      </c>
      <c r="BY3635" s="2" t="s">
        <v>112</v>
      </c>
      <c r="BZ3635" s="2" t="s">
        <v>149</v>
      </c>
    </row>
    <row r="3636">
      <c r="A3636" s="2" t="s">
        <v>11620</v>
      </c>
      <c r="B3636" s="2" t="s">
        <v>10807</v>
      </c>
      <c r="C3636" s="2" t="s">
        <v>2831</v>
      </c>
      <c r="D3636" s="2" t="s">
        <v>2572</v>
      </c>
      <c r="E3636" s="2" t="s">
        <v>2573</v>
      </c>
      <c r="F3636" s="2" t="s">
        <v>2966</v>
      </c>
      <c r="G3636" s="2" t="s">
        <v>2966</v>
      </c>
      <c r="H3636" s="2" t="s">
        <v>2966</v>
      </c>
      <c r="I3636" s="2" t="s">
        <v>11621</v>
      </c>
      <c r="J3636" s="2" t="s">
        <v>10811</v>
      </c>
      <c r="K3636" s="2" t="s">
        <v>223</v>
      </c>
      <c r="L3636" s="3">
        <v>22.5</v>
      </c>
      <c r="M3636" s="3">
        <v>23.62</v>
      </c>
      <c r="N3636" s="3">
        <v>49.99</v>
      </c>
      <c r="O3636" s="2" t="s">
        <v>97</v>
      </c>
      <c r="P3636" s="2" t="s">
        <v>98</v>
      </c>
      <c r="Q3636" s="2" t="s">
        <v>99</v>
      </c>
      <c r="R3636" s="2" t="s">
        <v>100</v>
      </c>
      <c r="S3636" s="2" t="s">
        <v>2978</v>
      </c>
      <c r="T3636" s="2" t="s">
        <v>190</v>
      </c>
      <c r="U3636" s="2" t="s">
        <v>1776</v>
      </c>
      <c r="V3636" s="2" t="s">
        <v>2883</v>
      </c>
      <c r="W3636" s="2" t="s">
        <v>686</v>
      </c>
      <c r="X3636" s="2" t="s">
        <v>10813</v>
      </c>
      <c r="Y3636" s="2" t="s">
        <v>11622</v>
      </c>
      <c r="Z3636" s="4">
        <v>286</v>
      </c>
      <c r="AA3636" s="4">
        <f>=ROUNDDOWN(17.875,0)</f>
      </c>
      <c r="AB3636" s="5">
        <v>16</v>
      </c>
      <c r="AC3636" s="2" t="s">
        <v>11623</v>
      </c>
      <c r="AD3636" s="4">
        <v>300</v>
      </c>
      <c r="AE3636" s="4">
        <v>300</v>
      </c>
      <c r="AF3636" s="6">
        <v>68</v>
      </c>
      <c r="AG3636" s="6"/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/>
      <c r="BJ3636" s="4">
        <v>47</v>
      </c>
      <c r="BK3636" s="8">
        <v>1151.87</v>
      </c>
      <c r="BL3636" s="2" t="s">
        <v>11065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2551</v>
      </c>
      <c r="BV3636" s="2" t="s">
        <v>97</v>
      </c>
      <c r="BW3636" s="2" t="s">
        <v>100</v>
      </c>
      <c r="BX3636" s="2" t="s">
        <v>100</v>
      </c>
      <c r="BY3636" s="2" t="s">
        <v>112</v>
      </c>
      <c r="BZ3636" s="2" t="s">
        <v>149</v>
      </c>
    </row>
    <row r="3637">
      <c r="A3637" s="2" t="s">
        <v>11624</v>
      </c>
      <c r="B3637" s="2" t="s">
        <v>10807</v>
      </c>
      <c r="C3637" s="2" t="s">
        <v>2831</v>
      </c>
      <c r="D3637" s="2" t="s">
        <v>2572</v>
      </c>
      <c r="E3637" s="2" t="s">
        <v>2573</v>
      </c>
      <c r="F3637" s="2" t="s">
        <v>2966</v>
      </c>
      <c r="G3637" s="2" t="s">
        <v>2966</v>
      </c>
      <c r="H3637" s="2" t="s">
        <v>2966</v>
      </c>
      <c r="I3637" s="2" t="s">
        <v>11621</v>
      </c>
      <c r="J3637" s="2" t="s">
        <v>10811</v>
      </c>
      <c r="K3637" s="2" t="s">
        <v>673</v>
      </c>
      <c r="L3637" s="3">
        <v>22.5</v>
      </c>
      <c r="M3637" s="3">
        <v>23.62</v>
      </c>
      <c r="N3637" s="3">
        <v>49.99</v>
      </c>
      <c r="O3637" s="2" t="s">
        <v>97</v>
      </c>
      <c r="P3637" s="2" t="s">
        <v>98</v>
      </c>
      <c r="Q3637" s="2" t="s">
        <v>99</v>
      </c>
      <c r="R3637" s="2" t="s">
        <v>100</v>
      </c>
      <c r="S3637" s="2" t="s">
        <v>2983</v>
      </c>
      <c r="T3637" s="2" t="s">
        <v>190</v>
      </c>
      <c r="U3637" s="2" t="s">
        <v>1776</v>
      </c>
      <c r="V3637" s="2" t="s">
        <v>2883</v>
      </c>
      <c r="W3637" s="2" t="s">
        <v>686</v>
      </c>
      <c r="X3637" s="2" t="s">
        <v>10813</v>
      </c>
      <c r="Y3637" s="2" t="s">
        <v>439</v>
      </c>
      <c r="Z3637" s="4">
        <v>172</v>
      </c>
      <c r="AA3637" s="4">
        <f>=ROUNDDOWN(5.73333333333333,0)</f>
      </c>
      <c r="AB3637" s="5">
        <v>30</v>
      </c>
      <c r="AC3637" s="2" t="s">
        <v>725</v>
      </c>
      <c r="AD3637" s="4">
        <v>300</v>
      </c>
      <c r="AE3637" s="4">
        <v>600</v>
      </c>
      <c r="AF3637" s="6">
        <v>68</v>
      </c>
      <c r="AG3637" s="6"/>
      <c r="AH3637" s="7">
        <v>0.8065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/>
      <c r="BJ3637" s="4">
        <v>85</v>
      </c>
      <c r="BK3637" s="8">
        <v>2195.39</v>
      </c>
      <c r="BL3637" s="2" t="s">
        <v>11625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2551</v>
      </c>
      <c r="BV3637" s="2" t="s">
        <v>97</v>
      </c>
      <c r="BW3637" s="2" t="s">
        <v>100</v>
      </c>
      <c r="BX3637" s="2" t="s">
        <v>100</v>
      </c>
      <c r="BY3637" s="2" t="s">
        <v>112</v>
      </c>
      <c r="BZ3637" s="2" t="s">
        <v>149</v>
      </c>
    </row>
    <row r="3638">
      <c r="A3638" s="2" t="s">
        <v>11626</v>
      </c>
      <c r="B3638" s="2" t="s">
        <v>10807</v>
      </c>
      <c r="C3638" s="2" t="s">
        <v>2831</v>
      </c>
      <c r="D3638" s="2" t="s">
        <v>2572</v>
      </c>
      <c r="E3638" s="2" t="s">
        <v>2573</v>
      </c>
      <c r="F3638" s="2" t="s">
        <v>2988</v>
      </c>
      <c r="G3638" s="2" t="s">
        <v>2988</v>
      </c>
      <c r="H3638" s="2" t="s">
        <v>2988</v>
      </c>
      <c r="I3638" s="2" t="s">
        <v>11627</v>
      </c>
      <c r="J3638" s="2" t="s">
        <v>10811</v>
      </c>
      <c r="K3638" s="2" t="s">
        <v>2997</v>
      </c>
      <c r="L3638" s="3">
        <v>21.12</v>
      </c>
      <c r="M3638" s="3">
        <v>22.18</v>
      </c>
      <c r="N3638" s="3">
        <v>47.99</v>
      </c>
      <c r="O3638" s="2" t="s">
        <v>97</v>
      </c>
      <c r="P3638" s="2" t="s">
        <v>98</v>
      </c>
      <c r="Q3638" s="2" t="s">
        <v>99</v>
      </c>
      <c r="R3638" s="2" t="s">
        <v>100</v>
      </c>
      <c r="S3638" s="2" t="s">
        <v>2998</v>
      </c>
      <c r="T3638" s="2" t="s">
        <v>190</v>
      </c>
      <c r="U3638" s="2" t="s">
        <v>1776</v>
      </c>
      <c r="V3638" s="2" t="s">
        <v>2883</v>
      </c>
      <c r="W3638" s="2" t="s">
        <v>493</v>
      </c>
      <c r="X3638" s="2" t="s">
        <v>10813</v>
      </c>
      <c r="Y3638" s="2" t="s">
        <v>11628</v>
      </c>
      <c r="Z3638" s="4">
        <v>183</v>
      </c>
      <c r="AA3638" s="4">
        <f>=ROUNDDOWN(6.77777777777778,0)</f>
      </c>
      <c r="AB3638" s="5">
        <v>27</v>
      </c>
      <c r="AC3638" s="2" t="s">
        <v>107</v>
      </c>
      <c r="AD3638" s="4">
        <v>100</v>
      </c>
      <c r="AE3638" s="4">
        <v>500</v>
      </c>
      <c r="AF3638" s="6">
        <v>64</v>
      </c>
      <c r="AG3638" s="6"/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>
        <v>0</v>
      </c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/>
      <c r="BD3638" s="8"/>
      <c r="BE3638" s="4"/>
      <c r="BF3638" s="8"/>
      <c r="BG3638" s="7"/>
      <c r="BH3638" s="7"/>
      <c r="BI3638" s="7"/>
      <c r="BJ3638" s="4">
        <v>162</v>
      </c>
      <c r="BK3638" s="8">
        <v>3730.39</v>
      </c>
      <c r="BL3638" s="2" t="s">
        <v>11625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2551</v>
      </c>
      <c r="BV3638" s="2" t="s">
        <v>97</v>
      </c>
      <c r="BW3638" s="2" t="s">
        <v>100</v>
      </c>
      <c r="BX3638" s="2" t="s">
        <v>100</v>
      </c>
      <c r="BY3638" s="2" t="s">
        <v>112</v>
      </c>
      <c r="BZ3638" s="2" t="s">
        <v>149</v>
      </c>
    </row>
    <row r="3639">
      <c r="A3639" s="2" t="s">
        <v>11629</v>
      </c>
      <c r="B3639" s="2" t="s">
        <v>11630</v>
      </c>
      <c r="C3639" s="2" t="s">
        <v>3449</v>
      </c>
      <c r="D3639" s="2" t="s">
        <v>89</v>
      </c>
      <c r="E3639" s="2" t="s">
        <v>90</v>
      </c>
      <c r="F3639" s="2" t="s">
        <v>11631</v>
      </c>
      <c r="G3639" s="2" t="s">
        <v>11632</v>
      </c>
      <c r="H3639" s="2" t="s">
        <v>7581</v>
      </c>
      <c r="I3639" s="2" t="s">
        <v>11633</v>
      </c>
      <c r="J3639" s="2" t="s">
        <v>352</v>
      </c>
      <c r="K3639" s="2" t="s">
        <v>165</v>
      </c>
      <c r="L3639" s="3">
        <v>31.05</v>
      </c>
      <c r="M3639" s="3">
        <v>32.6</v>
      </c>
      <c r="N3639" s="3">
        <v>59.99</v>
      </c>
      <c r="O3639" s="2" t="s">
        <v>97</v>
      </c>
      <c r="P3639" s="2" t="s">
        <v>139</v>
      </c>
      <c r="Q3639" s="2" t="s">
        <v>99</v>
      </c>
      <c r="R3639" s="2" t="s">
        <v>100</v>
      </c>
      <c r="S3639" s="2" t="s">
        <v>11634</v>
      </c>
      <c r="T3639" s="2" t="s">
        <v>1135</v>
      </c>
      <c r="U3639" s="2" t="s">
        <v>901</v>
      </c>
      <c r="V3639" s="2" t="s">
        <v>461</v>
      </c>
      <c r="W3639" s="2" t="s">
        <v>1136</v>
      </c>
      <c r="X3639" s="2" t="s">
        <v>1875</v>
      </c>
      <c r="Y3639" s="2" t="s">
        <v>1921</v>
      </c>
      <c r="Z3639" s="4">
        <v>147</v>
      </c>
      <c r="AA3639" s="4">
        <f>=ROUNDDOWN(14.7,0)</f>
      </c>
      <c r="AB3639" s="5">
        <v>10</v>
      </c>
      <c r="AC3639" s="2" t="s">
        <v>1201</v>
      </c>
      <c r="AD3639" s="4">
        <v>120</v>
      </c>
      <c r="AE3639" s="4">
        <v>347</v>
      </c>
      <c r="AF3639" s="6">
        <v>64</v>
      </c>
      <c r="AG3639" s="6"/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2</v>
      </c>
      <c r="AQ3639" s="8">
        <v>72.46</v>
      </c>
      <c r="AR3639" s="4"/>
      <c r="AS3639" s="8"/>
      <c r="AT3639" s="7"/>
      <c r="AU3639" s="7"/>
      <c r="AV3639" s="4">
        <v>21</v>
      </c>
      <c r="AW3639" s="8">
        <v>886.42</v>
      </c>
      <c r="AX3639" s="4" t="s">
        <v>100</v>
      </c>
      <c r="AY3639" s="8" t="s">
        <v>100</v>
      </c>
      <c r="AZ3639" s="7" t="s">
        <v>100</v>
      </c>
      <c r="BA3639" s="7" t="s">
        <v>100</v>
      </c>
      <c r="BB3639" s="7">
        <v>0.0817</v>
      </c>
      <c r="BC3639" s="4">
        <v>35</v>
      </c>
      <c r="BD3639" s="8">
        <v>1486.2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>
        <v>0.5964</v>
      </c>
      <c r="BJ3639" s="4">
        <v>22</v>
      </c>
      <c r="BK3639" s="8">
        <v>759.47</v>
      </c>
      <c r="BL3639" s="2" t="s">
        <v>11635</v>
      </c>
      <c r="BM3639" s="7">
        <v>0.0909</v>
      </c>
      <c r="BN3639" s="7">
        <v>0.0954</v>
      </c>
      <c r="BO3639" s="4">
        <v>2</v>
      </c>
      <c r="BP3639" s="8">
        <v>72.46</v>
      </c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6268</v>
      </c>
      <c r="BX3639" s="2" t="s">
        <v>9197</v>
      </c>
      <c r="BY3639" s="2" t="s">
        <v>112</v>
      </c>
      <c r="BZ3639" s="2" t="s">
        <v>100</v>
      </c>
    </row>
    <row r="3640">
      <c r="A3640" s="2" t="s">
        <v>11636</v>
      </c>
      <c r="B3640" s="2" t="s">
        <v>11630</v>
      </c>
      <c r="C3640" s="2" t="s">
        <v>3449</v>
      </c>
      <c r="D3640" s="2" t="s">
        <v>89</v>
      </c>
      <c r="E3640" s="2" t="s">
        <v>90</v>
      </c>
      <c r="F3640" s="2" t="s">
        <v>11631</v>
      </c>
      <c r="G3640" s="2" t="s">
        <v>11632</v>
      </c>
      <c r="H3640" s="2" t="s">
        <v>7581</v>
      </c>
      <c r="I3640" s="2" t="s">
        <v>11633</v>
      </c>
      <c r="J3640" s="2" t="s">
        <v>522</v>
      </c>
      <c r="K3640" s="2" t="s">
        <v>165</v>
      </c>
      <c r="L3640" s="3">
        <v>36.72</v>
      </c>
      <c r="M3640" s="3">
        <v>38.56</v>
      </c>
      <c r="N3640" s="3">
        <v>69.99</v>
      </c>
      <c r="O3640" s="2" t="s">
        <v>97</v>
      </c>
      <c r="P3640" s="2" t="s">
        <v>139</v>
      </c>
      <c r="Q3640" s="2" t="s">
        <v>99</v>
      </c>
      <c r="R3640" s="2" t="s">
        <v>100</v>
      </c>
      <c r="S3640" s="2" t="s">
        <v>11634</v>
      </c>
      <c r="T3640" s="2" t="s">
        <v>1135</v>
      </c>
      <c r="U3640" s="2" t="s">
        <v>1228</v>
      </c>
      <c r="V3640" s="2" t="s">
        <v>461</v>
      </c>
      <c r="W3640" s="2" t="s">
        <v>1136</v>
      </c>
      <c r="X3640" s="2" t="s">
        <v>1875</v>
      </c>
      <c r="Y3640" s="2" t="s">
        <v>1921</v>
      </c>
      <c r="Z3640" s="4">
        <v>380</v>
      </c>
      <c r="AA3640" s="4">
        <f>=ROUNDDOWN(7.58483033932136,0)</f>
      </c>
      <c r="AB3640" s="5">
        <v>50.1</v>
      </c>
      <c r="AC3640" s="2" t="s">
        <v>1201</v>
      </c>
      <c r="AD3640" s="4">
        <v>190</v>
      </c>
      <c r="AE3640" s="4">
        <v>1977</v>
      </c>
      <c r="AF3640" s="6">
        <v>64</v>
      </c>
      <c r="AG3640" s="6">
        <v>47</v>
      </c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19</v>
      </c>
      <c r="AQ3640" s="8">
        <v>813.96</v>
      </c>
      <c r="AR3640" s="4"/>
      <c r="AS3640" s="8"/>
      <c r="AT3640" s="7"/>
      <c r="AU3640" s="7"/>
      <c r="AV3640" s="4" t="s">
        <v>100</v>
      </c>
      <c r="AW3640" s="8" t="s">
        <v>100</v>
      </c>
      <c r="AX3640" s="4" t="s">
        <v>100</v>
      </c>
      <c r="AY3640" s="8" t="s">
        <v>100</v>
      </c>
      <c r="AZ3640" s="7" t="s">
        <v>100</v>
      </c>
      <c r="BA3640" s="7" t="s">
        <v>100</v>
      </c>
      <c r="BB3640" s="7">
        <v>0.9183</v>
      </c>
      <c r="BC3640" s="4" t="s">
        <v>100</v>
      </c>
      <c r="BD3640" s="8" t="s">
        <v>100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 t="s">
        <v>100</v>
      </c>
      <c r="BJ3640" s="4">
        <v>260</v>
      </c>
      <c r="BK3640" s="8">
        <v>10299.25</v>
      </c>
      <c r="BL3640" s="2" t="s">
        <v>11637</v>
      </c>
      <c r="BM3640" s="7">
        <v>0.0731</v>
      </c>
      <c r="BN3640" s="7">
        <v>0.079</v>
      </c>
      <c r="BO3640" s="4">
        <v>19</v>
      </c>
      <c r="BP3640" s="8">
        <v>813.96</v>
      </c>
      <c r="BQ3640" s="4"/>
      <c r="BR3640" s="8"/>
      <c r="BS3640" s="7"/>
      <c r="BT3640" s="7"/>
      <c r="BU3640" s="2" t="s">
        <v>109</v>
      </c>
      <c r="BV3640" s="2" t="s">
        <v>97</v>
      </c>
      <c r="BW3640" s="2" t="s">
        <v>1388</v>
      </c>
      <c r="BX3640" s="2" t="s">
        <v>6214</v>
      </c>
      <c r="BY3640" s="2" t="s">
        <v>112</v>
      </c>
      <c r="BZ3640" s="2" t="s">
        <v>100</v>
      </c>
    </row>
    <row r="3641">
      <c r="A3641" s="2" t="s">
        <v>11638</v>
      </c>
      <c r="B3641" s="2" t="s">
        <v>11630</v>
      </c>
      <c r="C3641" s="2" t="s">
        <v>3449</v>
      </c>
      <c r="D3641" s="2" t="s">
        <v>89</v>
      </c>
      <c r="E3641" s="2" t="s">
        <v>90</v>
      </c>
      <c r="F3641" s="2" t="s">
        <v>11631</v>
      </c>
      <c r="G3641" s="2" t="s">
        <v>11632</v>
      </c>
      <c r="H3641" s="2" t="s">
        <v>7581</v>
      </c>
      <c r="I3641" s="2" t="s">
        <v>11633</v>
      </c>
      <c r="J3641" s="2" t="s">
        <v>529</v>
      </c>
      <c r="K3641" s="2" t="s">
        <v>165</v>
      </c>
      <c r="L3641" s="3">
        <v>40.5</v>
      </c>
      <c r="M3641" s="3">
        <v>42.52</v>
      </c>
      <c r="N3641" s="3">
        <v>79.99</v>
      </c>
      <c r="O3641" s="2" t="s">
        <v>97</v>
      </c>
      <c r="P3641" s="2" t="s">
        <v>139</v>
      </c>
      <c r="Q3641" s="2" t="s">
        <v>99</v>
      </c>
      <c r="R3641" s="2" t="s">
        <v>100</v>
      </c>
      <c r="S3641" s="2" t="s">
        <v>11634</v>
      </c>
      <c r="T3641" s="2" t="s">
        <v>1135</v>
      </c>
      <c r="U3641" s="2" t="s">
        <v>1228</v>
      </c>
      <c r="V3641" s="2" t="s">
        <v>461</v>
      </c>
      <c r="W3641" s="2" t="s">
        <v>1136</v>
      </c>
      <c r="X3641" s="2" t="s">
        <v>1875</v>
      </c>
      <c r="Y3641" s="2" t="s">
        <v>11639</v>
      </c>
      <c r="Z3641" s="4">
        <v>268</v>
      </c>
      <c r="AA3641" s="4">
        <f>=ROUNDDOWN(8.93333333333333,0)</f>
      </c>
      <c r="AB3641" s="5">
        <v>30</v>
      </c>
      <c r="AC3641" s="2" t="s">
        <v>1201</v>
      </c>
      <c r="AD3641" s="4">
        <v>120</v>
      </c>
      <c r="AE3641" s="4">
        <v>734</v>
      </c>
      <c r="AF3641" s="6">
        <v>64</v>
      </c>
      <c r="AG3641" s="6">
        <v>47</v>
      </c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/>
      <c r="AQ3641" s="8"/>
      <c r="AR3641" s="4"/>
      <c r="AS3641" s="8"/>
      <c r="AT3641" s="7"/>
      <c r="AU3641" s="7"/>
      <c r="AV3641" s="4" t="s">
        <v>100</v>
      </c>
      <c r="AW3641" s="8" t="s">
        <v>100</v>
      </c>
      <c r="AX3641" s="4" t="s">
        <v>100</v>
      </c>
      <c r="AY3641" s="8" t="s">
        <v>100</v>
      </c>
      <c r="AZ3641" s="7" t="s">
        <v>100</v>
      </c>
      <c r="BA3641" s="7" t="s">
        <v>100</v>
      </c>
      <c r="BB3641" s="7"/>
      <c r="BC3641" s="4" t="s">
        <v>100</v>
      </c>
      <c r="BD3641" s="8" t="s">
        <v>100</v>
      </c>
      <c r="BE3641" s="4" t="s">
        <v>100</v>
      </c>
      <c r="BF3641" s="8" t="s">
        <v>100</v>
      </c>
      <c r="BG3641" s="7" t="s">
        <v>100</v>
      </c>
      <c r="BH3641" s="7" t="s">
        <v>100</v>
      </c>
      <c r="BI3641" s="7" t="s">
        <v>100</v>
      </c>
      <c r="BJ3641" s="4">
        <v>118</v>
      </c>
      <c r="BK3641" s="8">
        <v>5422.32</v>
      </c>
      <c r="BL3641" s="2" t="s">
        <v>11640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171</v>
      </c>
      <c r="BV3641" s="2" t="s">
        <v>97</v>
      </c>
      <c r="BW3641" s="2" t="s">
        <v>100</v>
      </c>
      <c r="BX3641" s="2" t="s">
        <v>100</v>
      </c>
      <c r="BY3641" s="2" t="s">
        <v>112</v>
      </c>
      <c r="BZ3641" s="2" t="s">
        <v>149</v>
      </c>
    </row>
    <row r="3642">
      <c r="A3642" s="2" t="s">
        <v>11641</v>
      </c>
      <c r="B3642" s="2" t="s">
        <v>11630</v>
      </c>
      <c r="C3642" s="2" t="s">
        <v>3449</v>
      </c>
      <c r="D3642" s="2" t="s">
        <v>89</v>
      </c>
      <c r="E3642" s="2" t="s">
        <v>90</v>
      </c>
      <c r="F3642" s="2" t="s">
        <v>11631</v>
      </c>
      <c r="G3642" s="2" t="s">
        <v>11632</v>
      </c>
      <c r="H3642" s="2" t="s">
        <v>7581</v>
      </c>
      <c r="I3642" s="2" t="s">
        <v>11633</v>
      </c>
      <c r="J3642" s="2" t="s">
        <v>352</v>
      </c>
      <c r="K3642" s="2" t="s">
        <v>386</v>
      </c>
      <c r="L3642" s="3">
        <v>31.05</v>
      </c>
      <c r="M3642" s="3">
        <v>32.6</v>
      </c>
      <c r="N3642" s="3">
        <v>59.99</v>
      </c>
      <c r="O3642" s="2" t="s">
        <v>97</v>
      </c>
      <c r="P3642" s="2" t="s">
        <v>156</v>
      </c>
      <c r="Q3642" s="2" t="s">
        <v>99</v>
      </c>
      <c r="R3642" s="2" t="s">
        <v>100</v>
      </c>
      <c r="S3642" s="2" t="s">
        <v>11642</v>
      </c>
      <c r="T3642" s="2" t="s">
        <v>1135</v>
      </c>
      <c r="U3642" s="2" t="s">
        <v>901</v>
      </c>
      <c r="V3642" s="2" t="s">
        <v>461</v>
      </c>
      <c r="W3642" s="2" t="s">
        <v>1136</v>
      </c>
      <c r="X3642" s="2" t="s">
        <v>1875</v>
      </c>
      <c r="Y3642" s="2" t="s">
        <v>9736</v>
      </c>
      <c r="Z3642" s="4">
        <v>347</v>
      </c>
      <c r="AA3642" s="4">
        <f>=ROUNDDOWN(38.5555555555556,0)</f>
      </c>
      <c r="AB3642" s="5">
        <v>9</v>
      </c>
      <c r="AC3642" s="2" t="s">
        <v>107</v>
      </c>
      <c r="AD3642" s="4">
        <v>100</v>
      </c>
      <c r="AE3642" s="4">
        <v>100</v>
      </c>
      <c r="AF3642" s="6">
        <v>64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2</v>
      </c>
      <c r="AQ3642" s="8">
        <v>72.46</v>
      </c>
      <c r="AR3642" s="4"/>
      <c r="AS3642" s="8"/>
      <c r="AT3642" s="7"/>
      <c r="AU3642" s="7"/>
      <c r="AV3642" s="4">
        <v>12</v>
      </c>
      <c r="AW3642" s="8">
        <v>527.32</v>
      </c>
      <c r="AX3642" s="4" t="s">
        <v>100</v>
      </c>
      <c r="AY3642" s="8" t="s">
        <v>100</v>
      </c>
      <c r="AZ3642" s="7" t="s">
        <v>100</v>
      </c>
      <c r="BA3642" s="7" t="s">
        <v>100</v>
      </c>
      <c r="BB3642" s="7">
        <v>0.1374</v>
      </c>
      <c r="BC3642" s="4" t="s">
        <v>100</v>
      </c>
      <c r="BD3642" s="8" t="s">
        <v>100</v>
      </c>
      <c r="BE3642" s="4" t="s">
        <v>100</v>
      </c>
      <c r="BF3642" s="8" t="s">
        <v>100</v>
      </c>
      <c r="BG3642" s="7" t="s">
        <v>100</v>
      </c>
      <c r="BH3642" s="7" t="s">
        <v>100</v>
      </c>
      <c r="BI3642" s="7">
        <v>0.3548</v>
      </c>
      <c r="BJ3642" s="4">
        <v>18</v>
      </c>
      <c r="BK3642" s="8">
        <v>611.22</v>
      </c>
      <c r="BL3642" s="2" t="s">
        <v>11643</v>
      </c>
      <c r="BM3642" s="7">
        <v>0.1111</v>
      </c>
      <c r="BN3642" s="7">
        <v>0.1185</v>
      </c>
      <c r="BO3642" s="4">
        <v>2</v>
      </c>
      <c r="BP3642" s="8">
        <v>72.46</v>
      </c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1567</v>
      </c>
      <c r="BX3642" s="2" t="s">
        <v>11644</v>
      </c>
      <c r="BY3642" s="2" t="s">
        <v>112</v>
      </c>
      <c r="BZ3642" s="2" t="s">
        <v>100</v>
      </c>
    </row>
    <row r="3643">
      <c r="A3643" s="2" t="s">
        <v>11645</v>
      </c>
      <c r="B3643" s="2" t="s">
        <v>11630</v>
      </c>
      <c r="C3643" s="2" t="s">
        <v>3449</v>
      </c>
      <c r="D3643" s="2" t="s">
        <v>89</v>
      </c>
      <c r="E3643" s="2" t="s">
        <v>90</v>
      </c>
      <c r="F3643" s="2" t="s">
        <v>11631</v>
      </c>
      <c r="G3643" s="2" t="s">
        <v>11632</v>
      </c>
      <c r="H3643" s="2" t="s">
        <v>7581</v>
      </c>
      <c r="I3643" s="2" t="s">
        <v>11633</v>
      </c>
      <c r="J3643" s="2" t="s">
        <v>522</v>
      </c>
      <c r="K3643" s="2" t="s">
        <v>386</v>
      </c>
      <c r="L3643" s="3">
        <v>36.72</v>
      </c>
      <c r="M3643" s="3">
        <v>38.56</v>
      </c>
      <c r="N3643" s="3">
        <v>69.99</v>
      </c>
      <c r="O3643" s="2" t="s">
        <v>97</v>
      </c>
      <c r="P3643" s="2" t="s">
        <v>156</v>
      </c>
      <c r="Q3643" s="2" t="s">
        <v>99</v>
      </c>
      <c r="R3643" s="2" t="s">
        <v>100</v>
      </c>
      <c r="S3643" s="2" t="s">
        <v>11642</v>
      </c>
      <c r="T3643" s="2" t="s">
        <v>1135</v>
      </c>
      <c r="U3643" s="2" t="s">
        <v>1228</v>
      </c>
      <c r="V3643" s="2" t="s">
        <v>461</v>
      </c>
      <c r="W3643" s="2" t="s">
        <v>1136</v>
      </c>
      <c r="X3643" s="2" t="s">
        <v>1875</v>
      </c>
      <c r="Y3643" s="2" t="s">
        <v>2161</v>
      </c>
      <c r="Z3643" s="4">
        <v>340</v>
      </c>
      <c r="AA3643" s="4">
        <f>=ROUNDDOWN(13.4387351778656,0)</f>
      </c>
      <c r="AB3643" s="5">
        <v>25.3</v>
      </c>
      <c r="AC3643" s="2" t="s">
        <v>107</v>
      </c>
      <c r="AD3643" s="4">
        <v>140</v>
      </c>
      <c r="AE3643" s="4">
        <v>990</v>
      </c>
      <c r="AF3643" s="6">
        <v>64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4</v>
      </c>
      <c r="AQ3643" s="8">
        <v>171.36</v>
      </c>
      <c r="AR3643" s="4"/>
      <c r="AS3643" s="8"/>
      <c r="AT3643" s="7"/>
      <c r="AU3643" s="7"/>
      <c r="AV3643" s="4" t="s">
        <v>100</v>
      </c>
      <c r="AW3643" s="8" t="s">
        <v>100</v>
      </c>
      <c r="AX3643" s="4" t="s">
        <v>100</v>
      </c>
      <c r="AY3643" s="8" t="s">
        <v>100</v>
      </c>
      <c r="AZ3643" s="7" t="s">
        <v>100</v>
      </c>
      <c r="BA3643" s="7" t="s">
        <v>100</v>
      </c>
      <c r="BB3643" s="7">
        <v>0.325</v>
      </c>
      <c r="BC3643" s="4" t="s">
        <v>100</v>
      </c>
      <c r="BD3643" s="8" t="s">
        <v>100</v>
      </c>
      <c r="BE3643" s="4" t="s">
        <v>100</v>
      </c>
      <c r="BF3643" s="8" t="s">
        <v>100</v>
      </c>
      <c r="BG3643" s="7" t="s">
        <v>100</v>
      </c>
      <c r="BH3643" s="7" t="s">
        <v>100</v>
      </c>
      <c r="BI3643" s="7" t="s">
        <v>100</v>
      </c>
      <c r="BJ3643" s="4">
        <v>108</v>
      </c>
      <c r="BK3643" s="8">
        <v>4397.5</v>
      </c>
      <c r="BL3643" s="2" t="s">
        <v>11646</v>
      </c>
      <c r="BM3643" s="7">
        <v>0.037</v>
      </c>
      <c r="BN3643" s="7">
        <v>0.039</v>
      </c>
      <c r="BO3643" s="4">
        <v>4</v>
      </c>
      <c r="BP3643" s="8">
        <v>171.36</v>
      </c>
      <c r="BQ3643" s="4"/>
      <c r="BR3643" s="8"/>
      <c r="BS3643" s="7"/>
      <c r="BT3643" s="7"/>
      <c r="BU3643" s="2" t="s">
        <v>109</v>
      </c>
      <c r="BV3643" s="2" t="s">
        <v>97</v>
      </c>
      <c r="BW3643" s="2" t="s">
        <v>1567</v>
      </c>
      <c r="BX3643" s="2" t="s">
        <v>4660</v>
      </c>
      <c r="BY3643" s="2" t="s">
        <v>112</v>
      </c>
      <c r="BZ3643" s="2" t="s">
        <v>100</v>
      </c>
    </row>
    <row r="3644">
      <c r="A3644" s="2" t="s">
        <v>11647</v>
      </c>
      <c r="B3644" s="2" t="s">
        <v>11630</v>
      </c>
      <c r="C3644" s="2" t="s">
        <v>3449</v>
      </c>
      <c r="D3644" s="2" t="s">
        <v>89</v>
      </c>
      <c r="E3644" s="2" t="s">
        <v>90</v>
      </c>
      <c r="F3644" s="2" t="s">
        <v>11631</v>
      </c>
      <c r="G3644" s="2" t="s">
        <v>11632</v>
      </c>
      <c r="H3644" s="2" t="s">
        <v>7581</v>
      </c>
      <c r="I3644" s="2" t="s">
        <v>11633</v>
      </c>
      <c r="J3644" s="2" t="s">
        <v>529</v>
      </c>
      <c r="K3644" s="2" t="s">
        <v>386</v>
      </c>
      <c r="L3644" s="3">
        <v>40.5</v>
      </c>
      <c r="M3644" s="3">
        <v>42.52</v>
      </c>
      <c r="N3644" s="3">
        <v>79.99</v>
      </c>
      <c r="O3644" s="2" t="s">
        <v>97</v>
      </c>
      <c r="P3644" s="2" t="s">
        <v>156</v>
      </c>
      <c r="Q3644" s="2" t="s">
        <v>99</v>
      </c>
      <c r="R3644" s="2" t="s">
        <v>100</v>
      </c>
      <c r="S3644" s="2" t="s">
        <v>11642</v>
      </c>
      <c r="T3644" s="2" t="s">
        <v>1135</v>
      </c>
      <c r="U3644" s="2" t="s">
        <v>1228</v>
      </c>
      <c r="V3644" s="2" t="s">
        <v>461</v>
      </c>
      <c r="W3644" s="2" t="s">
        <v>1136</v>
      </c>
      <c r="X3644" s="2" t="s">
        <v>1875</v>
      </c>
      <c r="Y3644" s="2" t="s">
        <v>4033</v>
      </c>
      <c r="Z3644" s="4">
        <v>200</v>
      </c>
      <c r="AA3644" s="4">
        <f>=ROUNDDOWN(10,0)</f>
      </c>
      <c r="AB3644" s="5">
        <v>20</v>
      </c>
      <c r="AC3644" s="2" t="s">
        <v>107</v>
      </c>
      <c r="AD3644" s="4">
        <v>90</v>
      </c>
      <c r="AE3644" s="4">
        <v>590</v>
      </c>
      <c r="AF3644" s="6">
        <v>64</v>
      </c>
      <c r="AG3644" s="6"/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>
        <v>6</v>
      </c>
      <c r="AQ3644" s="8">
        <v>283.5</v>
      </c>
      <c r="AR3644" s="4"/>
      <c r="AS3644" s="8"/>
      <c r="AT3644" s="7"/>
      <c r="AU3644" s="7"/>
      <c r="AV3644" s="4" t="s">
        <v>100</v>
      </c>
      <c r="AW3644" s="8" t="s">
        <v>100</v>
      </c>
      <c r="AX3644" s="4" t="s">
        <v>100</v>
      </c>
      <c r="AY3644" s="8" t="s">
        <v>100</v>
      </c>
      <c r="AZ3644" s="7" t="s">
        <v>100</v>
      </c>
      <c r="BA3644" s="7" t="s">
        <v>100</v>
      </c>
      <c r="BB3644" s="7">
        <v>0.5376</v>
      </c>
      <c r="BC3644" s="4" t="s">
        <v>100</v>
      </c>
      <c r="BD3644" s="8" t="s">
        <v>100</v>
      </c>
      <c r="BE3644" s="4" t="s">
        <v>100</v>
      </c>
      <c r="BF3644" s="8" t="s">
        <v>100</v>
      </c>
      <c r="BG3644" s="7" t="s">
        <v>100</v>
      </c>
      <c r="BH3644" s="7" t="s">
        <v>100</v>
      </c>
      <c r="BI3644" s="7" t="s">
        <v>100</v>
      </c>
      <c r="BJ3644" s="4">
        <v>71</v>
      </c>
      <c r="BK3644" s="8">
        <v>3333.44</v>
      </c>
      <c r="BL3644" s="2" t="s">
        <v>11648</v>
      </c>
      <c r="BM3644" s="7">
        <v>0.0845</v>
      </c>
      <c r="BN3644" s="7">
        <v>0.085</v>
      </c>
      <c r="BO3644" s="4">
        <v>6</v>
      </c>
      <c r="BP3644" s="8">
        <v>283.5</v>
      </c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1567</v>
      </c>
      <c r="BX3644" s="2" t="s">
        <v>10566</v>
      </c>
      <c r="BY3644" s="2" t="s">
        <v>112</v>
      </c>
      <c r="BZ3644" s="2" t="s">
        <v>100</v>
      </c>
    </row>
    <row r="3645">
      <c r="A3645" s="2" t="s">
        <v>11649</v>
      </c>
      <c r="B3645" s="2" t="s">
        <v>11630</v>
      </c>
      <c r="C3645" s="2" t="s">
        <v>3449</v>
      </c>
      <c r="D3645" s="2" t="s">
        <v>89</v>
      </c>
      <c r="E3645" s="2" t="s">
        <v>90</v>
      </c>
      <c r="F3645" s="2" t="s">
        <v>11631</v>
      </c>
      <c r="G3645" s="2" t="s">
        <v>11632</v>
      </c>
      <c r="H3645" s="2" t="s">
        <v>7581</v>
      </c>
      <c r="I3645" s="2" t="s">
        <v>11633</v>
      </c>
      <c r="J3645" s="2" t="s">
        <v>352</v>
      </c>
      <c r="K3645" s="2" t="s">
        <v>842</v>
      </c>
      <c r="L3645" s="3">
        <v>31.05</v>
      </c>
      <c r="M3645" s="3">
        <v>32.6</v>
      </c>
      <c r="N3645" s="3">
        <v>59.99</v>
      </c>
      <c r="O3645" s="2" t="s">
        <v>97</v>
      </c>
      <c r="P3645" s="2" t="s">
        <v>123</v>
      </c>
      <c r="Q3645" s="2" t="s">
        <v>99</v>
      </c>
      <c r="R3645" s="2" t="s">
        <v>100</v>
      </c>
      <c r="S3645" s="2" t="s">
        <v>11650</v>
      </c>
      <c r="T3645" s="2" t="s">
        <v>1135</v>
      </c>
      <c r="U3645" s="2" t="s">
        <v>901</v>
      </c>
      <c r="V3645" s="2" t="s">
        <v>461</v>
      </c>
      <c r="W3645" s="2" t="s">
        <v>1136</v>
      </c>
      <c r="X3645" s="2" t="s">
        <v>1875</v>
      </c>
      <c r="Y3645" s="2" t="s">
        <v>2161</v>
      </c>
      <c r="Z3645" s="4">
        <v>165</v>
      </c>
      <c r="AA3645" s="4">
        <f>=ROUNDDOWN(20.625,0)</f>
      </c>
      <c r="AB3645" s="5">
        <v>8</v>
      </c>
      <c r="AC3645" s="2" t="s">
        <v>107</v>
      </c>
      <c r="AD3645" s="4">
        <v>100</v>
      </c>
      <c r="AE3645" s="4">
        <v>260</v>
      </c>
      <c r="AF3645" s="6">
        <v>64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>
        <v>2</v>
      </c>
      <c r="AQ3645" s="8">
        <v>72.46</v>
      </c>
      <c r="AR3645" s="4"/>
      <c r="AS3645" s="8"/>
      <c r="AT3645" s="7"/>
      <c r="AU3645" s="7"/>
      <c r="AV3645" s="4">
        <v>2</v>
      </c>
      <c r="AW3645" s="8">
        <v>72.46</v>
      </c>
      <c r="AX3645" s="4" t="s">
        <v>100</v>
      </c>
      <c r="AY3645" s="8" t="s">
        <v>100</v>
      </c>
      <c r="AZ3645" s="7" t="s">
        <v>100</v>
      </c>
      <c r="BA3645" s="7" t="s">
        <v>100</v>
      </c>
      <c r="BB3645" s="7">
        <v>1</v>
      </c>
      <c r="BC3645" s="4" t="s">
        <v>100</v>
      </c>
      <c r="BD3645" s="8" t="s">
        <v>100</v>
      </c>
      <c r="BE3645" s="4" t="s">
        <v>100</v>
      </c>
      <c r="BF3645" s="8" t="s">
        <v>100</v>
      </c>
      <c r="BG3645" s="7" t="s">
        <v>100</v>
      </c>
      <c r="BH3645" s="7" t="s">
        <v>100</v>
      </c>
      <c r="BI3645" s="7">
        <v>0.0488</v>
      </c>
      <c r="BJ3645" s="4">
        <v>18</v>
      </c>
      <c r="BK3645" s="8">
        <v>597.83</v>
      </c>
      <c r="BL3645" s="2" t="s">
        <v>5669</v>
      </c>
      <c r="BM3645" s="7">
        <v>0.1111</v>
      </c>
      <c r="BN3645" s="7">
        <v>0.1212</v>
      </c>
      <c r="BO3645" s="4">
        <v>2</v>
      </c>
      <c r="BP3645" s="8">
        <v>72.46</v>
      </c>
      <c r="BQ3645" s="4"/>
      <c r="BR3645" s="8"/>
      <c r="BS3645" s="7"/>
      <c r="BT3645" s="7"/>
      <c r="BU3645" s="2" t="s">
        <v>109</v>
      </c>
      <c r="BV3645" s="2" t="s">
        <v>97</v>
      </c>
      <c r="BW3645" s="2" t="s">
        <v>1567</v>
      </c>
      <c r="BX3645" s="2" t="s">
        <v>7032</v>
      </c>
      <c r="BY3645" s="2" t="s">
        <v>112</v>
      </c>
      <c r="BZ3645" s="2" t="s">
        <v>100</v>
      </c>
    </row>
    <row r="3646">
      <c r="A3646" s="2" t="s">
        <v>11651</v>
      </c>
      <c r="B3646" s="2" t="s">
        <v>11630</v>
      </c>
      <c r="C3646" s="2" t="s">
        <v>3449</v>
      </c>
      <c r="D3646" s="2" t="s">
        <v>89</v>
      </c>
      <c r="E3646" s="2" t="s">
        <v>90</v>
      </c>
      <c r="F3646" s="2" t="s">
        <v>11631</v>
      </c>
      <c r="G3646" s="2" t="s">
        <v>11632</v>
      </c>
      <c r="H3646" s="2" t="s">
        <v>7581</v>
      </c>
      <c r="I3646" s="2" t="s">
        <v>11633</v>
      </c>
      <c r="J3646" s="2" t="s">
        <v>522</v>
      </c>
      <c r="K3646" s="2" t="s">
        <v>842</v>
      </c>
      <c r="L3646" s="3">
        <v>36.72</v>
      </c>
      <c r="M3646" s="3">
        <v>38.56</v>
      </c>
      <c r="N3646" s="3">
        <v>69.99</v>
      </c>
      <c r="O3646" s="2" t="s">
        <v>97</v>
      </c>
      <c r="P3646" s="2" t="s">
        <v>123</v>
      </c>
      <c r="Q3646" s="2" t="s">
        <v>99</v>
      </c>
      <c r="R3646" s="2" t="s">
        <v>100</v>
      </c>
      <c r="S3646" s="2" t="s">
        <v>11650</v>
      </c>
      <c r="T3646" s="2" t="s">
        <v>1135</v>
      </c>
      <c r="U3646" s="2" t="s">
        <v>1228</v>
      </c>
      <c r="V3646" s="2" t="s">
        <v>461</v>
      </c>
      <c r="W3646" s="2" t="s">
        <v>1136</v>
      </c>
      <c r="X3646" s="2" t="s">
        <v>1875</v>
      </c>
      <c r="Y3646" s="2" t="s">
        <v>2161</v>
      </c>
      <c r="Z3646" s="4">
        <v>90</v>
      </c>
      <c r="AA3646" s="4">
        <f>=ROUNDDOWN(3.46153846153846,0)</f>
      </c>
      <c r="AB3646" s="5">
        <v>26</v>
      </c>
      <c r="AC3646" s="2" t="s">
        <v>1201</v>
      </c>
      <c r="AD3646" s="4">
        <v>170</v>
      </c>
      <c r="AE3646" s="4">
        <v>1110</v>
      </c>
      <c r="AF3646" s="6">
        <v>64</v>
      </c>
      <c r="AG3646" s="6">
        <v>47</v>
      </c>
      <c r="AH3646" s="7">
        <v>0.1613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/>
      <c r="AQ3646" s="8"/>
      <c r="AR3646" s="4"/>
      <c r="AS3646" s="8"/>
      <c r="AT3646" s="7"/>
      <c r="AU3646" s="7"/>
      <c r="AV3646" s="4" t="s">
        <v>100</v>
      </c>
      <c r="AW3646" s="8" t="s">
        <v>100</v>
      </c>
      <c r="AX3646" s="4" t="s">
        <v>100</v>
      </c>
      <c r="AY3646" s="8" t="s">
        <v>100</v>
      </c>
      <c r="AZ3646" s="7" t="s">
        <v>100</v>
      </c>
      <c r="BA3646" s="7" t="s">
        <v>100</v>
      </c>
      <c r="BB3646" s="7"/>
      <c r="BC3646" s="4" t="s">
        <v>100</v>
      </c>
      <c r="BD3646" s="8" t="s">
        <v>100</v>
      </c>
      <c r="BE3646" s="4" t="s">
        <v>100</v>
      </c>
      <c r="BF3646" s="8" t="s">
        <v>100</v>
      </c>
      <c r="BG3646" s="7" t="s">
        <v>100</v>
      </c>
      <c r="BH3646" s="7" t="s">
        <v>100</v>
      </c>
      <c r="BI3646" s="7" t="s">
        <v>100</v>
      </c>
      <c r="BJ3646" s="4">
        <v>3</v>
      </c>
      <c r="BK3646" s="8">
        <v>113.56</v>
      </c>
      <c r="BL3646" s="2" t="s">
        <v>2465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109</v>
      </c>
      <c r="BV3646" s="2" t="s">
        <v>97</v>
      </c>
      <c r="BW3646" s="2" t="s">
        <v>1567</v>
      </c>
      <c r="BX3646" s="2" t="s">
        <v>4608</v>
      </c>
      <c r="BY3646" s="2" t="s">
        <v>112</v>
      </c>
      <c r="BZ3646" s="2" t="s">
        <v>100</v>
      </c>
    </row>
    <row r="3647">
      <c r="A3647" s="2" t="s">
        <v>11652</v>
      </c>
      <c r="B3647" s="2" t="s">
        <v>11630</v>
      </c>
      <c r="C3647" s="2" t="s">
        <v>3449</v>
      </c>
      <c r="D3647" s="2" t="s">
        <v>89</v>
      </c>
      <c r="E3647" s="2" t="s">
        <v>90</v>
      </c>
      <c r="F3647" s="2" t="s">
        <v>11631</v>
      </c>
      <c r="G3647" s="2" t="s">
        <v>11632</v>
      </c>
      <c r="H3647" s="2" t="s">
        <v>7581</v>
      </c>
      <c r="I3647" s="2" t="s">
        <v>11633</v>
      </c>
      <c r="J3647" s="2" t="s">
        <v>529</v>
      </c>
      <c r="K3647" s="2" t="s">
        <v>842</v>
      </c>
      <c r="L3647" s="3">
        <v>40.5</v>
      </c>
      <c r="M3647" s="3">
        <v>42.52</v>
      </c>
      <c r="N3647" s="3">
        <v>79.99</v>
      </c>
      <c r="O3647" s="2" t="s">
        <v>97</v>
      </c>
      <c r="P3647" s="2" t="s">
        <v>123</v>
      </c>
      <c r="Q3647" s="2" t="s">
        <v>99</v>
      </c>
      <c r="R3647" s="2" t="s">
        <v>100</v>
      </c>
      <c r="S3647" s="2" t="s">
        <v>11650</v>
      </c>
      <c r="T3647" s="2" t="s">
        <v>1135</v>
      </c>
      <c r="U3647" s="2" t="s">
        <v>1228</v>
      </c>
      <c r="V3647" s="2" t="s">
        <v>461</v>
      </c>
      <c r="W3647" s="2" t="s">
        <v>1136</v>
      </c>
      <c r="X3647" s="2" t="s">
        <v>1875</v>
      </c>
      <c r="Y3647" s="2" t="s">
        <v>11653</v>
      </c>
      <c r="Z3647" s="4">
        <v>151</v>
      </c>
      <c r="AA3647" s="4">
        <f>=ROUNDDOWN(6.04,0)</f>
      </c>
      <c r="AB3647" s="5">
        <v>25</v>
      </c>
      <c r="AC3647" s="2" t="s">
        <v>107</v>
      </c>
      <c r="AD3647" s="4">
        <v>200</v>
      </c>
      <c r="AE3647" s="4">
        <v>600</v>
      </c>
      <c r="AF3647" s="6">
        <v>64</v>
      </c>
      <c r="AG3647" s="6"/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>
        <v>0</v>
      </c>
      <c r="AP3647" s="4"/>
      <c r="AQ3647" s="8"/>
      <c r="AR3647" s="4"/>
      <c r="AS3647" s="8"/>
      <c r="AT3647" s="7"/>
      <c r="AU3647" s="7"/>
      <c r="AV3647" s="4" t="s">
        <v>100</v>
      </c>
      <c r="AW3647" s="8" t="s">
        <v>100</v>
      </c>
      <c r="AX3647" s="4" t="s">
        <v>100</v>
      </c>
      <c r="AY3647" s="8" t="s">
        <v>100</v>
      </c>
      <c r="AZ3647" s="7" t="s">
        <v>100</v>
      </c>
      <c r="BA3647" s="7" t="s">
        <v>100</v>
      </c>
      <c r="BB3647" s="7"/>
      <c r="BC3647" s="4" t="s">
        <v>100</v>
      </c>
      <c r="BD3647" s="8" t="s">
        <v>100</v>
      </c>
      <c r="BE3647" s="4" t="s">
        <v>100</v>
      </c>
      <c r="BF3647" s="8" t="s">
        <v>100</v>
      </c>
      <c r="BG3647" s="7" t="s">
        <v>100</v>
      </c>
      <c r="BH3647" s="7" t="s">
        <v>100</v>
      </c>
      <c r="BI3647" s="7" t="s">
        <v>100</v>
      </c>
      <c r="BJ3647" s="4">
        <v>92</v>
      </c>
      <c r="BK3647" s="8">
        <v>4274.85</v>
      </c>
      <c r="BL3647" s="2" t="s">
        <v>11654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171</v>
      </c>
      <c r="BV3647" s="2" t="s">
        <v>97</v>
      </c>
      <c r="BW3647" s="2" t="s">
        <v>100</v>
      </c>
      <c r="BX3647" s="2" t="s">
        <v>100</v>
      </c>
      <c r="BY3647" s="2" t="s">
        <v>112</v>
      </c>
      <c r="BZ3647" s="2" t="s">
        <v>149</v>
      </c>
    </row>
    <row r="3648">
      <c r="A3648" s="2" t="s">
        <v>11655</v>
      </c>
      <c r="B3648" s="2" t="s">
        <v>11630</v>
      </c>
      <c r="C3648" s="2" t="s">
        <v>3449</v>
      </c>
      <c r="D3648" s="2" t="s">
        <v>89</v>
      </c>
      <c r="E3648" s="2" t="s">
        <v>90</v>
      </c>
      <c r="F3648" s="2" t="s">
        <v>11631</v>
      </c>
      <c r="G3648" s="2" t="s">
        <v>11632</v>
      </c>
      <c r="H3648" s="2" t="s">
        <v>7581</v>
      </c>
      <c r="I3648" s="2" t="s">
        <v>11633</v>
      </c>
      <c r="J3648" s="2" t="s">
        <v>352</v>
      </c>
      <c r="K3648" s="2" t="s">
        <v>179</v>
      </c>
      <c r="L3648" s="3">
        <v>31.05</v>
      </c>
      <c r="M3648" s="3">
        <v>32.6</v>
      </c>
      <c r="N3648" s="3">
        <v>59.99</v>
      </c>
      <c r="O3648" s="2" t="s">
        <v>97</v>
      </c>
      <c r="P3648" s="2" t="s">
        <v>98</v>
      </c>
      <c r="Q3648" s="2" t="s">
        <v>99</v>
      </c>
      <c r="R3648" s="2" t="s">
        <v>100</v>
      </c>
      <c r="S3648" s="2" t="s">
        <v>11656</v>
      </c>
      <c r="T3648" s="2" t="s">
        <v>1135</v>
      </c>
      <c r="U3648" s="2" t="s">
        <v>901</v>
      </c>
      <c r="V3648" s="2" t="s">
        <v>461</v>
      </c>
      <c r="W3648" s="2" t="s">
        <v>1136</v>
      </c>
      <c r="X3648" s="2" t="s">
        <v>1875</v>
      </c>
      <c r="Y3648" s="2" t="s">
        <v>2930</v>
      </c>
      <c r="Z3648" s="4">
        <v>143</v>
      </c>
      <c r="AA3648" s="4">
        <f>=ROUNDDOWN(15.8888888888889,0)</f>
      </c>
      <c r="AB3648" s="5">
        <v>9</v>
      </c>
      <c r="AC3648" s="2" t="s">
        <v>1201</v>
      </c>
      <c r="AD3648" s="4">
        <v>210</v>
      </c>
      <c r="AE3648" s="4">
        <v>360</v>
      </c>
      <c r="AF3648" s="6">
        <v>64</v>
      </c>
      <c r="AG3648" s="6"/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/>
      <c r="AQ3648" s="8"/>
      <c r="AR3648" s="4"/>
      <c r="AS3648" s="8"/>
      <c r="AT3648" s="7"/>
      <c r="AU3648" s="7"/>
      <c r="AV3648" s="4" t="s">
        <v>100</v>
      </c>
      <c r="AW3648" s="8" t="s">
        <v>100</v>
      </c>
      <c r="AX3648" s="4" t="s">
        <v>100</v>
      </c>
      <c r="AY3648" s="8" t="s">
        <v>100</v>
      </c>
      <c r="AZ3648" s="7" t="s">
        <v>100</v>
      </c>
      <c r="BA3648" s="7" t="s">
        <v>100</v>
      </c>
      <c r="BB3648" s="7"/>
      <c r="BC3648" s="4" t="s">
        <v>100</v>
      </c>
      <c r="BD3648" s="8" t="s">
        <v>100</v>
      </c>
      <c r="BE3648" s="4" t="s">
        <v>100</v>
      </c>
      <c r="BF3648" s="8" t="s">
        <v>100</v>
      </c>
      <c r="BG3648" s="7" t="s">
        <v>100</v>
      </c>
      <c r="BH3648" s="7" t="s">
        <v>100</v>
      </c>
      <c r="BI3648" s="7" t="s">
        <v>100</v>
      </c>
      <c r="BJ3648" s="4">
        <v>10</v>
      </c>
      <c r="BK3648" s="8">
        <v>327.69</v>
      </c>
      <c r="BL3648" s="2" t="s">
        <v>11657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171</v>
      </c>
      <c r="BV3648" s="2" t="s">
        <v>97</v>
      </c>
      <c r="BW3648" s="2" t="s">
        <v>100</v>
      </c>
      <c r="BX3648" s="2" t="s">
        <v>100</v>
      </c>
      <c r="BY3648" s="2" t="s">
        <v>112</v>
      </c>
      <c r="BZ3648" s="2" t="s">
        <v>149</v>
      </c>
    </row>
    <row r="3649">
      <c r="A3649" s="2" t="s">
        <v>11658</v>
      </c>
      <c r="B3649" s="2" t="s">
        <v>11630</v>
      </c>
      <c r="C3649" s="2" t="s">
        <v>3449</v>
      </c>
      <c r="D3649" s="2" t="s">
        <v>89</v>
      </c>
      <c r="E3649" s="2" t="s">
        <v>90</v>
      </c>
      <c r="F3649" s="2" t="s">
        <v>11631</v>
      </c>
      <c r="G3649" s="2" t="s">
        <v>11632</v>
      </c>
      <c r="H3649" s="2" t="s">
        <v>7581</v>
      </c>
      <c r="I3649" s="2" t="s">
        <v>11633</v>
      </c>
      <c r="J3649" s="2" t="s">
        <v>522</v>
      </c>
      <c r="K3649" s="2" t="s">
        <v>179</v>
      </c>
      <c r="L3649" s="3">
        <v>36.72</v>
      </c>
      <c r="M3649" s="3">
        <v>38.56</v>
      </c>
      <c r="N3649" s="3">
        <v>69.99</v>
      </c>
      <c r="O3649" s="2" t="s">
        <v>97</v>
      </c>
      <c r="P3649" s="2" t="s">
        <v>98</v>
      </c>
      <c r="Q3649" s="2" t="s">
        <v>99</v>
      </c>
      <c r="R3649" s="2" t="s">
        <v>100</v>
      </c>
      <c r="S3649" s="2" t="s">
        <v>11656</v>
      </c>
      <c r="T3649" s="2" t="s">
        <v>1135</v>
      </c>
      <c r="U3649" s="2" t="s">
        <v>1228</v>
      </c>
      <c r="V3649" s="2" t="s">
        <v>461</v>
      </c>
      <c r="W3649" s="2" t="s">
        <v>1136</v>
      </c>
      <c r="X3649" s="2" t="s">
        <v>1875</v>
      </c>
      <c r="Y3649" s="2" t="s">
        <v>2930</v>
      </c>
      <c r="Z3649" s="4">
        <v>246</v>
      </c>
      <c r="AA3649" s="4">
        <f>=ROUNDDOWN(18.9230769230769,0)</f>
      </c>
      <c r="AB3649" s="5">
        <v>13</v>
      </c>
      <c r="AC3649" s="2" t="s">
        <v>1201</v>
      </c>
      <c r="AD3649" s="4">
        <v>60</v>
      </c>
      <c r="AE3649" s="4">
        <v>200</v>
      </c>
      <c r="AF3649" s="6">
        <v>64</v>
      </c>
      <c r="AG3649" s="6"/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/>
      <c r="AQ3649" s="8"/>
      <c r="AR3649" s="4"/>
      <c r="AS3649" s="8"/>
      <c r="AT3649" s="7"/>
      <c r="AU3649" s="7"/>
      <c r="AV3649" s="4" t="s">
        <v>100</v>
      </c>
      <c r="AW3649" s="8" t="s">
        <v>100</v>
      </c>
      <c r="AX3649" s="4" t="s">
        <v>100</v>
      </c>
      <c r="AY3649" s="8" t="s">
        <v>100</v>
      </c>
      <c r="AZ3649" s="7" t="s">
        <v>100</v>
      </c>
      <c r="BA3649" s="7" t="s">
        <v>100</v>
      </c>
      <c r="BB3649" s="7"/>
      <c r="BC3649" s="4" t="s">
        <v>100</v>
      </c>
      <c r="BD3649" s="8" t="s">
        <v>100</v>
      </c>
      <c r="BE3649" s="4" t="s">
        <v>100</v>
      </c>
      <c r="BF3649" s="8" t="s">
        <v>100</v>
      </c>
      <c r="BG3649" s="7" t="s">
        <v>100</v>
      </c>
      <c r="BH3649" s="7" t="s">
        <v>100</v>
      </c>
      <c r="BI3649" s="7" t="s">
        <v>100</v>
      </c>
      <c r="BJ3649" s="4">
        <v>48</v>
      </c>
      <c r="BK3649" s="8">
        <v>1933.09</v>
      </c>
      <c r="BL3649" s="2" t="s">
        <v>11659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171</v>
      </c>
      <c r="BV3649" s="2" t="s">
        <v>97</v>
      </c>
      <c r="BW3649" s="2" t="s">
        <v>100</v>
      </c>
      <c r="BX3649" s="2" t="s">
        <v>100</v>
      </c>
      <c r="BY3649" s="2" t="s">
        <v>112</v>
      </c>
      <c r="BZ3649" s="2" t="s">
        <v>149</v>
      </c>
    </row>
    <row r="3650">
      <c r="A3650" s="2" t="s">
        <v>11660</v>
      </c>
      <c r="B3650" s="2" t="s">
        <v>11630</v>
      </c>
      <c r="C3650" s="2" t="s">
        <v>3449</v>
      </c>
      <c r="D3650" s="2" t="s">
        <v>89</v>
      </c>
      <c r="E3650" s="2" t="s">
        <v>90</v>
      </c>
      <c r="F3650" s="2" t="s">
        <v>11631</v>
      </c>
      <c r="G3650" s="2" t="s">
        <v>11632</v>
      </c>
      <c r="H3650" s="2" t="s">
        <v>7581</v>
      </c>
      <c r="I3650" s="2" t="s">
        <v>11633</v>
      </c>
      <c r="J3650" s="2" t="s">
        <v>529</v>
      </c>
      <c r="K3650" s="2" t="s">
        <v>179</v>
      </c>
      <c r="L3650" s="3">
        <v>40.5</v>
      </c>
      <c r="M3650" s="3">
        <v>42.52</v>
      </c>
      <c r="N3650" s="3">
        <v>79.99</v>
      </c>
      <c r="O3650" s="2" t="s">
        <v>97</v>
      </c>
      <c r="P3650" s="2" t="s">
        <v>98</v>
      </c>
      <c r="Q3650" s="2" t="s">
        <v>99</v>
      </c>
      <c r="R3650" s="2" t="s">
        <v>100</v>
      </c>
      <c r="S3650" s="2" t="s">
        <v>11656</v>
      </c>
      <c r="T3650" s="2" t="s">
        <v>1135</v>
      </c>
      <c r="U3650" s="2" t="s">
        <v>1228</v>
      </c>
      <c r="V3650" s="2" t="s">
        <v>461</v>
      </c>
      <c r="W3650" s="2" t="s">
        <v>1136</v>
      </c>
      <c r="X3650" s="2" t="s">
        <v>1875</v>
      </c>
      <c r="Y3650" s="2" t="s">
        <v>2930</v>
      </c>
      <c r="Z3650" s="4">
        <v>395</v>
      </c>
      <c r="AA3650" s="4">
        <f>=ROUNDDOWN(35.9090909090909,0)</f>
      </c>
      <c r="AB3650" s="5">
        <v>11</v>
      </c>
      <c r="AC3650" s="2" t="s">
        <v>100</v>
      </c>
      <c r="AD3650" s="4"/>
      <c r="AE3650" s="4"/>
      <c r="AF3650" s="6">
        <v>64</v>
      </c>
      <c r="AG3650" s="6"/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>
        <v>0</v>
      </c>
      <c r="AP3650" s="4"/>
      <c r="AQ3650" s="8"/>
      <c r="AR3650" s="4"/>
      <c r="AS3650" s="8"/>
      <c r="AT3650" s="7"/>
      <c r="AU3650" s="7"/>
      <c r="AV3650" s="4" t="s">
        <v>100</v>
      </c>
      <c r="AW3650" s="8" t="s">
        <v>100</v>
      </c>
      <c r="AX3650" s="4" t="s">
        <v>100</v>
      </c>
      <c r="AY3650" s="8" t="s">
        <v>100</v>
      </c>
      <c r="AZ3650" s="7" t="s">
        <v>100</v>
      </c>
      <c r="BA3650" s="7" t="s">
        <v>100</v>
      </c>
      <c r="BB3650" s="7"/>
      <c r="BC3650" s="4" t="s">
        <v>100</v>
      </c>
      <c r="BD3650" s="8" t="s">
        <v>100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 t="s">
        <v>100</v>
      </c>
      <c r="BJ3650" s="4">
        <v>28</v>
      </c>
      <c r="BK3650" s="8">
        <v>1287.41</v>
      </c>
      <c r="BL3650" s="2" t="s">
        <v>382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171</v>
      </c>
      <c r="BV3650" s="2" t="s">
        <v>97</v>
      </c>
      <c r="BW3650" s="2" t="s">
        <v>100</v>
      </c>
      <c r="BX3650" s="2" t="s">
        <v>100</v>
      </c>
      <c r="BY3650" s="2" t="s">
        <v>112</v>
      </c>
      <c r="BZ3650" s="2" t="s">
        <v>149</v>
      </c>
    </row>
    <row r="3651">
      <c r="A3651" s="2" t="s">
        <v>11661</v>
      </c>
      <c r="B3651" s="2" t="s">
        <v>11630</v>
      </c>
      <c r="C3651" s="2" t="s">
        <v>3449</v>
      </c>
      <c r="D3651" s="2" t="s">
        <v>89</v>
      </c>
      <c r="E3651" s="2" t="s">
        <v>90</v>
      </c>
      <c r="F3651" s="2" t="s">
        <v>11631</v>
      </c>
      <c r="G3651" s="2" t="s">
        <v>11632</v>
      </c>
      <c r="H3651" s="2" t="s">
        <v>7581</v>
      </c>
      <c r="I3651" s="2" t="s">
        <v>11633</v>
      </c>
      <c r="J3651" s="2" t="s">
        <v>352</v>
      </c>
      <c r="K3651" s="2" t="s">
        <v>5739</v>
      </c>
      <c r="L3651" s="3">
        <v>31.05</v>
      </c>
      <c r="M3651" s="3">
        <v>32.6</v>
      </c>
      <c r="N3651" s="3">
        <v>59.99</v>
      </c>
      <c r="O3651" s="2" t="s">
        <v>97</v>
      </c>
      <c r="P3651" s="2" t="s">
        <v>98</v>
      </c>
      <c r="Q3651" s="2" t="s">
        <v>99</v>
      </c>
      <c r="R3651" s="2" t="s">
        <v>100</v>
      </c>
      <c r="S3651" s="2" t="s">
        <v>11662</v>
      </c>
      <c r="T3651" s="2" t="s">
        <v>1135</v>
      </c>
      <c r="U3651" s="2" t="s">
        <v>901</v>
      </c>
      <c r="V3651" s="2" t="s">
        <v>461</v>
      </c>
      <c r="W3651" s="2" t="s">
        <v>1136</v>
      </c>
      <c r="X3651" s="2" t="s">
        <v>1875</v>
      </c>
      <c r="Y3651" s="2" t="s">
        <v>100</v>
      </c>
      <c r="Z3651" s="4"/>
      <c r="AA3651" s="4">
        <f>=ROUNDDOWN({0},0)</f>
      </c>
      <c r="AB3651" s="5"/>
      <c r="AC3651" s="2" t="s">
        <v>10674</v>
      </c>
      <c r="AD3651" s="4">
        <v>80</v>
      </c>
      <c r="AE3651" s="4">
        <v>160</v>
      </c>
      <c r="AF3651" s="6">
        <v>65</v>
      </c>
      <c r="AG3651" s="6"/>
      <c r="AH3651" s="7">
        <v>0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>
        <v>0</v>
      </c>
      <c r="AP3651" s="4"/>
      <c r="AQ3651" s="8"/>
      <c r="AR3651" s="4"/>
      <c r="AS3651" s="8"/>
      <c r="AT3651" s="7"/>
      <c r="AU3651" s="7"/>
      <c r="AV3651" s="4" t="s">
        <v>100</v>
      </c>
      <c r="AW3651" s="8" t="s">
        <v>100</v>
      </c>
      <c r="AX3651" s="4" t="s">
        <v>100</v>
      </c>
      <c r="AY3651" s="8" t="s">
        <v>100</v>
      </c>
      <c r="AZ3651" s="7" t="s">
        <v>100</v>
      </c>
      <c r="BA3651" s="7" t="s">
        <v>100</v>
      </c>
      <c r="BB3651" s="7"/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 t="s">
        <v>100</v>
      </c>
      <c r="BJ3651" s="4"/>
      <c r="BK3651" s="8"/>
      <c r="BL3651" s="2" t="s">
        <v>100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2526</v>
      </c>
      <c r="BV3651" s="2" t="s">
        <v>97</v>
      </c>
      <c r="BW3651" s="2" t="s">
        <v>100</v>
      </c>
      <c r="BX3651" s="2" t="s">
        <v>100</v>
      </c>
      <c r="BY3651" s="2" t="s">
        <v>112</v>
      </c>
      <c r="BZ3651" s="2" t="s">
        <v>100</v>
      </c>
    </row>
    <row r="3652">
      <c r="A3652" s="2" t="s">
        <v>11663</v>
      </c>
      <c r="B3652" s="2" t="s">
        <v>11630</v>
      </c>
      <c r="C3652" s="2" t="s">
        <v>3449</v>
      </c>
      <c r="D3652" s="2" t="s">
        <v>89</v>
      </c>
      <c r="E3652" s="2" t="s">
        <v>90</v>
      </c>
      <c r="F3652" s="2" t="s">
        <v>11631</v>
      </c>
      <c r="G3652" s="2" t="s">
        <v>11632</v>
      </c>
      <c r="H3652" s="2" t="s">
        <v>7581</v>
      </c>
      <c r="I3652" s="2" t="s">
        <v>11633</v>
      </c>
      <c r="J3652" s="2" t="s">
        <v>522</v>
      </c>
      <c r="K3652" s="2" t="s">
        <v>5739</v>
      </c>
      <c r="L3652" s="3">
        <v>36.72</v>
      </c>
      <c r="M3652" s="3">
        <v>38.56</v>
      </c>
      <c r="N3652" s="3">
        <v>69.99</v>
      </c>
      <c r="O3652" s="2" t="s">
        <v>97</v>
      </c>
      <c r="P3652" s="2" t="s">
        <v>98</v>
      </c>
      <c r="Q3652" s="2" t="s">
        <v>99</v>
      </c>
      <c r="R3652" s="2" t="s">
        <v>100</v>
      </c>
      <c r="S3652" s="2" t="s">
        <v>11662</v>
      </c>
      <c r="T3652" s="2" t="s">
        <v>1135</v>
      </c>
      <c r="U3652" s="2" t="s">
        <v>1228</v>
      </c>
      <c r="V3652" s="2" t="s">
        <v>461</v>
      </c>
      <c r="W3652" s="2" t="s">
        <v>1136</v>
      </c>
      <c r="X3652" s="2" t="s">
        <v>1875</v>
      </c>
      <c r="Y3652" s="2" t="s">
        <v>100</v>
      </c>
      <c r="Z3652" s="4"/>
      <c r="AA3652" s="4">
        <f>=ROUNDDOWN({0},0)</f>
      </c>
      <c r="AB3652" s="5"/>
      <c r="AC3652" s="2" t="s">
        <v>10674</v>
      </c>
      <c r="AD3652" s="4">
        <v>235</v>
      </c>
      <c r="AE3652" s="4">
        <v>470</v>
      </c>
      <c r="AF3652" s="6">
        <v>65</v>
      </c>
      <c r="AG3652" s="6"/>
      <c r="AH3652" s="7">
        <v>0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/>
      <c r="AQ3652" s="8"/>
      <c r="AR3652" s="4"/>
      <c r="AS3652" s="8"/>
      <c r="AT3652" s="7"/>
      <c r="AU3652" s="7"/>
      <c r="AV3652" s="4" t="s">
        <v>100</v>
      </c>
      <c r="AW3652" s="8" t="s">
        <v>100</v>
      </c>
      <c r="AX3652" s="4" t="s">
        <v>100</v>
      </c>
      <c r="AY3652" s="8" t="s">
        <v>100</v>
      </c>
      <c r="AZ3652" s="7" t="s">
        <v>100</v>
      </c>
      <c r="BA3652" s="7" t="s">
        <v>100</v>
      </c>
      <c r="BB3652" s="7"/>
      <c r="BC3652" s="4" t="s">
        <v>100</v>
      </c>
      <c r="BD3652" s="8" t="s">
        <v>100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 t="s">
        <v>100</v>
      </c>
      <c r="BJ3652" s="4"/>
      <c r="BK3652" s="8"/>
      <c r="BL3652" s="2" t="s">
        <v>100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2526</v>
      </c>
      <c r="BV3652" s="2" t="s">
        <v>97</v>
      </c>
      <c r="BW3652" s="2" t="s">
        <v>100</v>
      </c>
      <c r="BX3652" s="2" t="s">
        <v>100</v>
      </c>
      <c r="BY3652" s="2" t="s">
        <v>112</v>
      </c>
      <c r="BZ3652" s="2" t="s">
        <v>100</v>
      </c>
    </row>
    <row r="3653">
      <c r="A3653" s="2" t="s">
        <v>11664</v>
      </c>
      <c r="B3653" s="2" t="s">
        <v>11630</v>
      </c>
      <c r="C3653" s="2" t="s">
        <v>3449</v>
      </c>
      <c r="D3653" s="2" t="s">
        <v>89</v>
      </c>
      <c r="E3653" s="2" t="s">
        <v>90</v>
      </c>
      <c r="F3653" s="2" t="s">
        <v>11631</v>
      </c>
      <c r="G3653" s="2" t="s">
        <v>11632</v>
      </c>
      <c r="H3653" s="2" t="s">
        <v>7581</v>
      </c>
      <c r="I3653" s="2" t="s">
        <v>11633</v>
      </c>
      <c r="J3653" s="2" t="s">
        <v>529</v>
      </c>
      <c r="K3653" s="2" t="s">
        <v>5739</v>
      </c>
      <c r="L3653" s="3">
        <v>40.5</v>
      </c>
      <c r="M3653" s="3">
        <v>42.52</v>
      </c>
      <c r="N3653" s="3">
        <v>79.99</v>
      </c>
      <c r="O3653" s="2" t="s">
        <v>97</v>
      </c>
      <c r="P3653" s="2" t="s">
        <v>98</v>
      </c>
      <c r="Q3653" s="2" t="s">
        <v>99</v>
      </c>
      <c r="R3653" s="2" t="s">
        <v>100</v>
      </c>
      <c r="S3653" s="2" t="s">
        <v>11662</v>
      </c>
      <c r="T3653" s="2" t="s">
        <v>1135</v>
      </c>
      <c r="U3653" s="2" t="s">
        <v>1228</v>
      </c>
      <c r="V3653" s="2" t="s">
        <v>461</v>
      </c>
      <c r="W3653" s="2" t="s">
        <v>1136</v>
      </c>
      <c r="X3653" s="2" t="s">
        <v>1875</v>
      </c>
      <c r="Y3653" s="2" t="s">
        <v>100</v>
      </c>
      <c r="Z3653" s="4"/>
      <c r="AA3653" s="4">
        <f>=ROUNDDOWN({0},0)</f>
      </c>
      <c r="AB3653" s="5"/>
      <c r="AC3653" s="2" t="s">
        <v>10674</v>
      </c>
      <c r="AD3653" s="4">
        <v>160</v>
      </c>
      <c r="AE3653" s="4">
        <v>320</v>
      </c>
      <c r="AF3653" s="6">
        <v>65</v>
      </c>
      <c r="AG3653" s="6"/>
      <c r="AH3653" s="7">
        <v>0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/>
      <c r="AQ3653" s="8"/>
      <c r="AR3653" s="4"/>
      <c r="AS3653" s="8"/>
      <c r="AT3653" s="7"/>
      <c r="AU3653" s="7"/>
      <c r="AV3653" s="4" t="s">
        <v>100</v>
      </c>
      <c r="AW3653" s="8" t="s">
        <v>100</v>
      </c>
      <c r="AX3653" s="4" t="s">
        <v>100</v>
      </c>
      <c r="AY3653" s="8" t="s">
        <v>100</v>
      </c>
      <c r="AZ3653" s="7" t="s">
        <v>100</v>
      </c>
      <c r="BA3653" s="7" t="s">
        <v>100</v>
      </c>
      <c r="BB3653" s="7"/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 t="s">
        <v>100</v>
      </c>
      <c r="BJ3653" s="4"/>
      <c r="BK3653" s="8"/>
      <c r="BL3653" s="2" t="s">
        <v>100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2526</v>
      </c>
      <c r="BV3653" s="2" t="s">
        <v>97</v>
      </c>
      <c r="BW3653" s="2" t="s">
        <v>100</v>
      </c>
      <c r="BX3653" s="2" t="s">
        <v>100</v>
      </c>
      <c r="BY3653" s="2" t="s">
        <v>112</v>
      </c>
      <c r="BZ3653" s="2" t="s">
        <v>100</v>
      </c>
    </row>
    <row r="3654">
      <c r="A3654" s="2" t="s">
        <v>11665</v>
      </c>
      <c r="B3654" s="2" t="s">
        <v>11630</v>
      </c>
      <c r="C3654" s="2" t="s">
        <v>3449</v>
      </c>
      <c r="D3654" s="2" t="s">
        <v>89</v>
      </c>
      <c r="E3654" s="2" t="s">
        <v>90</v>
      </c>
      <c r="F3654" s="2" t="s">
        <v>11631</v>
      </c>
      <c r="G3654" s="2" t="s">
        <v>11632</v>
      </c>
      <c r="H3654" s="2" t="s">
        <v>7581</v>
      </c>
      <c r="I3654" s="2" t="s">
        <v>11633</v>
      </c>
      <c r="J3654" s="2" t="s">
        <v>352</v>
      </c>
      <c r="K3654" s="2" t="s">
        <v>256</v>
      </c>
      <c r="L3654" s="3">
        <v>31.05</v>
      </c>
      <c r="M3654" s="3">
        <v>32.6</v>
      </c>
      <c r="N3654" s="3">
        <v>59.99</v>
      </c>
      <c r="O3654" s="2" t="s">
        <v>97</v>
      </c>
      <c r="P3654" s="2" t="s">
        <v>98</v>
      </c>
      <c r="Q3654" s="2" t="s">
        <v>99</v>
      </c>
      <c r="R3654" s="2" t="s">
        <v>100</v>
      </c>
      <c r="S3654" s="2" t="s">
        <v>11666</v>
      </c>
      <c r="T3654" s="2" t="s">
        <v>1135</v>
      </c>
      <c r="U3654" s="2" t="s">
        <v>901</v>
      </c>
      <c r="V3654" s="2" t="s">
        <v>461</v>
      </c>
      <c r="W3654" s="2" t="s">
        <v>1136</v>
      </c>
      <c r="X3654" s="2" t="s">
        <v>1875</v>
      </c>
      <c r="Y3654" s="2" t="s">
        <v>100</v>
      </c>
      <c r="Z3654" s="4"/>
      <c r="AA3654" s="4">
        <f>=ROUNDDOWN({0},0)</f>
      </c>
      <c r="AB3654" s="5"/>
      <c r="AC3654" s="2" t="s">
        <v>10674</v>
      </c>
      <c r="AD3654" s="4">
        <v>75</v>
      </c>
      <c r="AE3654" s="4">
        <v>150</v>
      </c>
      <c r="AF3654" s="6">
        <v>65</v>
      </c>
      <c r="AG3654" s="6"/>
      <c r="AH3654" s="7">
        <v>0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/>
      <c r="AQ3654" s="8"/>
      <c r="AR3654" s="4"/>
      <c r="AS3654" s="8"/>
      <c r="AT3654" s="7"/>
      <c r="AU3654" s="7"/>
      <c r="AV3654" s="4" t="s">
        <v>100</v>
      </c>
      <c r="AW3654" s="8" t="s">
        <v>100</v>
      </c>
      <c r="AX3654" s="4" t="s">
        <v>100</v>
      </c>
      <c r="AY3654" s="8" t="s">
        <v>100</v>
      </c>
      <c r="AZ3654" s="7" t="s">
        <v>100</v>
      </c>
      <c r="BA3654" s="7" t="s">
        <v>100</v>
      </c>
      <c r="BB3654" s="7"/>
      <c r="BC3654" s="4" t="s">
        <v>100</v>
      </c>
      <c r="BD3654" s="8" t="s">
        <v>100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 t="s">
        <v>100</v>
      </c>
      <c r="BJ3654" s="4"/>
      <c r="BK3654" s="8"/>
      <c r="BL3654" s="2" t="s">
        <v>100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2526</v>
      </c>
      <c r="BV3654" s="2" t="s">
        <v>97</v>
      </c>
      <c r="BW3654" s="2" t="s">
        <v>100</v>
      </c>
      <c r="BX3654" s="2" t="s">
        <v>100</v>
      </c>
      <c r="BY3654" s="2" t="s">
        <v>112</v>
      </c>
      <c r="BZ3654" s="2" t="s">
        <v>100</v>
      </c>
    </row>
    <row r="3655">
      <c r="A3655" s="2" t="s">
        <v>11667</v>
      </c>
      <c r="B3655" s="2" t="s">
        <v>11630</v>
      </c>
      <c r="C3655" s="2" t="s">
        <v>3449</v>
      </c>
      <c r="D3655" s="2" t="s">
        <v>89</v>
      </c>
      <c r="E3655" s="2" t="s">
        <v>90</v>
      </c>
      <c r="F3655" s="2" t="s">
        <v>11631</v>
      </c>
      <c r="G3655" s="2" t="s">
        <v>11632</v>
      </c>
      <c r="H3655" s="2" t="s">
        <v>7581</v>
      </c>
      <c r="I3655" s="2" t="s">
        <v>11633</v>
      </c>
      <c r="J3655" s="2" t="s">
        <v>522</v>
      </c>
      <c r="K3655" s="2" t="s">
        <v>256</v>
      </c>
      <c r="L3655" s="3">
        <v>36.72</v>
      </c>
      <c r="M3655" s="3">
        <v>38.56</v>
      </c>
      <c r="N3655" s="3">
        <v>69.99</v>
      </c>
      <c r="O3655" s="2" t="s">
        <v>97</v>
      </c>
      <c r="P3655" s="2" t="s">
        <v>98</v>
      </c>
      <c r="Q3655" s="2" t="s">
        <v>99</v>
      </c>
      <c r="R3655" s="2" t="s">
        <v>100</v>
      </c>
      <c r="S3655" s="2" t="s">
        <v>11666</v>
      </c>
      <c r="T3655" s="2" t="s">
        <v>1135</v>
      </c>
      <c r="U3655" s="2" t="s">
        <v>1228</v>
      </c>
      <c r="V3655" s="2" t="s">
        <v>461</v>
      </c>
      <c r="W3655" s="2" t="s">
        <v>1136</v>
      </c>
      <c r="X3655" s="2" t="s">
        <v>1875</v>
      </c>
      <c r="Y3655" s="2" t="s">
        <v>100</v>
      </c>
      <c r="Z3655" s="4"/>
      <c r="AA3655" s="4">
        <f>=ROUNDDOWN({0},0)</f>
      </c>
      <c r="AB3655" s="5"/>
      <c r="AC3655" s="2" t="s">
        <v>10674</v>
      </c>
      <c r="AD3655" s="4">
        <v>170</v>
      </c>
      <c r="AE3655" s="4">
        <v>340</v>
      </c>
      <c r="AF3655" s="6">
        <v>65</v>
      </c>
      <c r="AG3655" s="6"/>
      <c r="AH3655" s="7">
        <v>0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/>
      <c r="AQ3655" s="8"/>
      <c r="AR3655" s="4"/>
      <c r="AS3655" s="8"/>
      <c r="AT3655" s="7"/>
      <c r="AU3655" s="7"/>
      <c r="AV3655" s="4" t="s">
        <v>100</v>
      </c>
      <c r="AW3655" s="8" t="s">
        <v>100</v>
      </c>
      <c r="AX3655" s="4" t="s">
        <v>100</v>
      </c>
      <c r="AY3655" s="8" t="s">
        <v>100</v>
      </c>
      <c r="AZ3655" s="7" t="s">
        <v>100</v>
      </c>
      <c r="BA3655" s="7" t="s">
        <v>100</v>
      </c>
      <c r="BB3655" s="7"/>
      <c r="BC3655" s="4" t="s">
        <v>100</v>
      </c>
      <c r="BD3655" s="8" t="s">
        <v>100</v>
      </c>
      <c r="BE3655" s="4" t="s">
        <v>100</v>
      </c>
      <c r="BF3655" s="8" t="s">
        <v>100</v>
      </c>
      <c r="BG3655" s="7" t="s">
        <v>100</v>
      </c>
      <c r="BH3655" s="7" t="s">
        <v>100</v>
      </c>
      <c r="BI3655" s="7" t="s">
        <v>100</v>
      </c>
      <c r="BJ3655" s="4"/>
      <c r="BK3655" s="8"/>
      <c r="BL3655" s="2" t="s">
        <v>100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2526</v>
      </c>
      <c r="BV3655" s="2" t="s">
        <v>97</v>
      </c>
      <c r="BW3655" s="2" t="s">
        <v>100</v>
      </c>
      <c r="BX3655" s="2" t="s">
        <v>100</v>
      </c>
      <c r="BY3655" s="2" t="s">
        <v>112</v>
      </c>
      <c r="BZ3655" s="2" t="s">
        <v>100</v>
      </c>
    </row>
    <row r="3656">
      <c r="A3656" s="2" t="s">
        <v>11668</v>
      </c>
      <c r="B3656" s="2" t="s">
        <v>11630</v>
      </c>
      <c r="C3656" s="2" t="s">
        <v>3449</v>
      </c>
      <c r="D3656" s="2" t="s">
        <v>89</v>
      </c>
      <c r="E3656" s="2" t="s">
        <v>90</v>
      </c>
      <c r="F3656" s="2" t="s">
        <v>11631</v>
      </c>
      <c r="G3656" s="2" t="s">
        <v>11632</v>
      </c>
      <c r="H3656" s="2" t="s">
        <v>7581</v>
      </c>
      <c r="I3656" s="2" t="s">
        <v>11633</v>
      </c>
      <c r="J3656" s="2" t="s">
        <v>529</v>
      </c>
      <c r="K3656" s="2" t="s">
        <v>256</v>
      </c>
      <c r="L3656" s="3">
        <v>40.5</v>
      </c>
      <c r="M3656" s="3">
        <v>42.52</v>
      </c>
      <c r="N3656" s="3">
        <v>79.99</v>
      </c>
      <c r="O3656" s="2" t="s">
        <v>97</v>
      </c>
      <c r="P3656" s="2" t="s">
        <v>98</v>
      </c>
      <c r="Q3656" s="2" t="s">
        <v>99</v>
      </c>
      <c r="R3656" s="2" t="s">
        <v>100</v>
      </c>
      <c r="S3656" s="2" t="s">
        <v>11666</v>
      </c>
      <c r="T3656" s="2" t="s">
        <v>1135</v>
      </c>
      <c r="U3656" s="2" t="s">
        <v>1228</v>
      </c>
      <c r="V3656" s="2" t="s">
        <v>461</v>
      </c>
      <c r="W3656" s="2" t="s">
        <v>1136</v>
      </c>
      <c r="X3656" s="2" t="s">
        <v>1875</v>
      </c>
      <c r="Y3656" s="2" t="s">
        <v>100</v>
      </c>
      <c r="Z3656" s="4"/>
      <c r="AA3656" s="4">
        <f>=ROUNDDOWN({0},0)</f>
      </c>
      <c r="AB3656" s="5"/>
      <c r="AC3656" s="2" t="s">
        <v>10674</v>
      </c>
      <c r="AD3656" s="4">
        <v>135</v>
      </c>
      <c r="AE3656" s="4">
        <v>270</v>
      </c>
      <c r="AF3656" s="6">
        <v>65</v>
      </c>
      <c r="AG3656" s="6"/>
      <c r="AH3656" s="7">
        <v>0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/>
      <c r="AQ3656" s="8"/>
      <c r="AR3656" s="4"/>
      <c r="AS3656" s="8"/>
      <c r="AT3656" s="7"/>
      <c r="AU3656" s="7"/>
      <c r="AV3656" s="4" t="s">
        <v>100</v>
      </c>
      <c r="AW3656" s="8" t="s">
        <v>100</v>
      </c>
      <c r="AX3656" s="4" t="s">
        <v>100</v>
      </c>
      <c r="AY3656" s="8" t="s">
        <v>100</v>
      </c>
      <c r="AZ3656" s="7" t="s">
        <v>100</v>
      </c>
      <c r="BA3656" s="7" t="s">
        <v>100</v>
      </c>
      <c r="BB3656" s="7"/>
      <c r="BC3656" s="4" t="s">
        <v>100</v>
      </c>
      <c r="BD3656" s="8" t="s">
        <v>100</v>
      </c>
      <c r="BE3656" s="4" t="s">
        <v>100</v>
      </c>
      <c r="BF3656" s="8" t="s">
        <v>100</v>
      </c>
      <c r="BG3656" s="7" t="s">
        <v>100</v>
      </c>
      <c r="BH3656" s="7" t="s">
        <v>100</v>
      </c>
      <c r="BI3656" s="7" t="s">
        <v>100</v>
      </c>
      <c r="BJ3656" s="4"/>
      <c r="BK3656" s="8"/>
      <c r="BL3656" s="2" t="s">
        <v>100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2526</v>
      </c>
      <c r="BV3656" s="2" t="s">
        <v>97</v>
      </c>
      <c r="BW3656" s="2" t="s">
        <v>100</v>
      </c>
      <c r="BX3656" s="2" t="s">
        <v>100</v>
      </c>
      <c r="BY3656" s="2" t="s">
        <v>112</v>
      </c>
      <c r="BZ3656" s="2" t="s">
        <v>100</v>
      </c>
    </row>
    <row r="3657">
      <c r="A3657" s="2" t="s">
        <v>11669</v>
      </c>
      <c r="B3657" s="2" t="s">
        <v>11630</v>
      </c>
      <c r="C3657" s="2" t="s">
        <v>3449</v>
      </c>
      <c r="D3657" s="2" t="s">
        <v>89</v>
      </c>
      <c r="E3657" s="2" t="s">
        <v>90</v>
      </c>
      <c r="F3657" s="2" t="s">
        <v>11631</v>
      </c>
      <c r="G3657" s="2" t="s">
        <v>11632</v>
      </c>
      <c r="H3657" s="2" t="s">
        <v>7581</v>
      </c>
      <c r="I3657" s="2" t="s">
        <v>11633</v>
      </c>
      <c r="J3657" s="2" t="s">
        <v>529</v>
      </c>
      <c r="K3657" s="2" t="s">
        <v>96</v>
      </c>
      <c r="L3657" s="3">
        <v>40.5</v>
      </c>
      <c r="M3657" s="3">
        <v>42.52</v>
      </c>
      <c r="N3657" s="3">
        <v>79.99</v>
      </c>
      <c r="O3657" s="2" t="s">
        <v>97</v>
      </c>
      <c r="P3657" s="2" t="s">
        <v>123</v>
      </c>
      <c r="Q3657" s="2" t="s">
        <v>99</v>
      </c>
      <c r="R3657" s="2" t="s">
        <v>100</v>
      </c>
      <c r="S3657" s="2" t="s">
        <v>11670</v>
      </c>
      <c r="T3657" s="2" t="s">
        <v>1135</v>
      </c>
      <c r="U3657" s="2" t="s">
        <v>1228</v>
      </c>
      <c r="V3657" s="2" t="s">
        <v>461</v>
      </c>
      <c r="W3657" s="2" t="s">
        <v>1136</v>
      </c>
      <c r="X3657" s="2" t="s">
        <v>1875</v>
      </c>
      <c r="Y3657" s="2" t="s">
        <v>11671</v>
      </c>
      <c r="Z3657" s="4">
        <v>175</v>
      </c>
      <c r="AA3657" s="4">
        <f>=ROUNDDOWN(7.29166666666667,0)</f>
      </c>
      <c r="AB3657" s="5">
        <v>24</v>
      </c>
      <c r="AC3657" s="2" t="s">
        <v>130</v>
      </c>
      <c r="AD3657" s="4">
        <v>120</v>
      </c>
      <c r="AE3657" s="4">
        <v>590</v>
      </c>
      <c r="AF3657" s="6">
        <v>64</v>
      </c>
      <c r="AG3657" s="6">
        <v>47</v>
      </c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 t="s">
        <v>100</v>
      </c>
      <c r="BD3657" s="8" t="s">
        <v>100</v>
      </c>
      <c r="BE3657" s="4" t="s">
        <v>100</v>
      </c>
      <c r="BF3657" s="8" t="s">
        <v>100</v>
      </c>
      <c r="BG3657" s="7" t="s">
        <v>100</v>
      </c>
      <c r="BH3657" s="7" t="s">
        <v>100</v>
      </c>
      <c r="BI3657" s="7"/>
      <c r="BJ3657" s="4">
        <v>89</v>
      </c>
      <c r="BK3657" s="8">
        <v>4096.99</v>
      </c>
      <c r="BL3657" s="2" t="s">
        <v>4571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171</v>
      </c>
      <c r="BV3657" s="2" t="s">
        <v>97</v>
      </c>
      <c r="BW3657" s="2" t="s">
        <v>100</v>
      </c>
      <c r="BX3657" s="2" t="s">
        <v>100</v>
      </c>
      <c r="BY3657" s="2" t="s">
        <v>112</v>
      </c>
      <c r="BZ3657" s="2" t="s">
        <v>149</v>
      </c>
    </row>
    <row r="3658">
      <c r="A3658" s="2" t="s">
        <v>11672</v>
      </c>
      <c r="B3658" s="2" t="s">
        <v>11630</v>
      </c>
      <c r="C3658" s="2" t="s">
        <v>3449</v>
      </c>
      <c r="D3658" s="2" t="s">
        <v>89</v>
      </c>
      <c r="E3658" s="2" t="s">
        <v>90</v>
      </c>
      <c r="F3658" s="2" t="s">
        <v>11631</v>
      </c>
      <c r="G3658" s="2" t="s">
        <v>11632</v>
      </c>
      <c r="H3658" s="2" t="s">
        <v>7581</v>
      </c>
      <c r="I3658" s="2" t="s">
        <v>11633</v>
      </c>
      <c r="J3658" s="2" t="s">
        <v>352</v>
      </c>
      <c r="K3658" s="2" t="s">
        <v>223</v>
      </c>
      <c r="L3658" s="3">
        <v>31.05</v>
      </c>
      <c r="M3658" s="3">
        <v>32.6</v>
      </c>
      <c r="N3658" s="3">
        <v>59.99</v>
      </c>
      <c r="O3658" s="2" t="s">
        <v>97</v>
      </c>
      <c r="P3658" s="2" t="s">
        <v>123</v>
      </c>
      <c r="Q3658" s="2" t="s">
        <v>99</v>
      </c>
      <c r="R3658" s="2" t="s">
        <v>100</v>
      </c>
      <c r="S3658" s="2" t="s">
        <v>11673</v>
      </c>
      <c r="T3658" s="2" t="s">
        <v>1135</v>
      </c>
      <c r="U3658" s="2" t="s">
        <v>901</v>
      </c>
      <c r="V3658" s="2" t="s">
        <v>461</v>
      </c>
      <c r="W3658" s="2" t="s">
        <v>1136</v>
      </c>
      <c r="X3658" s="2" t="s">
        <v>1875</v>
      </c>
      <c r="Y3658" s="2" t="s">
        <v>11674</v>
      </c>
      <c r="Z3658" s="4">
        <v>64</v>
      </c>
      <c r="AA3658" s="4">
        <f>=ROUNDDOWN(4,0)</f>
      </c>
      <c r="AB3658" s="5">
        <v>16</v>
      </c>
      <c r="AC3658" s="2" t="s">
        <v>1201</v>
      </c>
      <c r="AD3658" s="4">
        <v>150</v>
      </c>
      <c r="AE3658" s="4">
        <v>590</v>
      </c>
      <c r="AF3658" s="6">
        <v>64</v>
      </c>
      <c r="AG3658" s="6">
        <v>47</v>
      </c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>
        <v>0</v>
      </c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 t="s">
        <v>100</v>
      </c>
      <c r="BD3658" s="8" t="s">
        <v>100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/>
      <c r="BJ3658" s="4">
        <v>33</v>
      </c>
      <c r="BK3658" s="8">
        <v>1107.59</v>
      </c>
      <c r="BL3658" s="2" t="s">
        <v>11675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109</v>
      </c>
      <c r="BV3658" s="2" t="s">
        <v>97</v>
      </c>
      <c r="BW3658" s="2" t="s">
        <v>11676</v>
      </c>
      <c r="BX3658" s="2" t="s">
        <v>5775</v>
      </c>
      <c r="BY3658" s="2" t="s">
        <v>112</v>
      </c>
      <c r="BZ3658" s="2" t="s">
        <v>100</v>
      </c>
    </row>
    <row r="3659">
      <c r="A3659" s="2" t="s">
        <v>11677</v>
      </c>
      <c r="B3659" s="2" t="s">
        <v>11630</v>
      </c>
      <c r="C3659" s="2" t="s">
        <v>3449</v>
      </c>
      <c r="D3659" s="2" t="s">
        <v>89</v>
      </c>
      <c r="E3659" s="2" t="s">
        <v>90</v>
      </c>
      <c r="F3659" s="2" t="s">
        <v>11631</v>
      </c>
      <c r="G3659" s="2" t="s">
        <v>11632</v>
      </c>
      <c r="H3659" s="2" t="s">
        <v>7581</v>
      </c>
      <c r="I3659" s="2" t="s">
        <v>11633</v>
      </c>
      <c r="J3659" s="2" t="s">
        <v>352</v>
      </c>
      <c r="K3659" s="2" t="s">
        <v>1152</v>
      </c>
      <c r="L3659" s="3">
        <v>31.05</v>
      </c>
      <c r="M3659" s="3">
        <v>32.6</v>
      </c>
      <c r="N3659" s="3">
        <v>59.99</v>
      </c>
      <c r="O3659" s="2" t="s">
        <v>97</v>
      </c>
      <c r="P3659" s="2" t="s">
        <v>98</v>
      </c>
      <c r="Q3659" s="2" t="s">
        <v>99</v>
      </c>
      <c r="R3659" s="2" t="s">
        <v>100</v>
      </c>
      <c r="S3659" s="2" t="s">
        <v>11678</v>
      </c>
      <c r="T3659" s="2" t="s">
        <v>1135</v>
      </c>
      <c r="U3659" s="2" t="s">
        <v>901</v>
      </c>
      <c r="V3659" s="2" t="s">
        <v>461</v>
      </c>
      <c r="W3659" s="2" t="s">
        <v>1136</v>
      </c>
      <c r="X3659" s="2" t="s">
        <v>1875</v>
      </c>
      <c r="Y3659" s="2" t="s">
        <v>100</v>
      </c>
      <c r="Z3659" s="4"/>
      <c r="AA3659" s="4">
        <f>=ROUNDDOWN({0},0)</f>
      </c>
      <c r="AB3659" s="5"/>
      <c r="AC3659" s="2" t="s">
        <v>10674</v>
      </c>
      <c r="AD3659" s="4">
        <v>80</v>
      </c>
      <c r="AE3659" s="4">
        <v>160</v>
      </c>
      <c r="AF3659" s="6">
        <v>65</v>
      </c>
      <c r="AG3659" s="6"/>
      <c r="AH3659" s="7">
        <v>0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/>
      <c r="AQ3659" s="8"/>
      <c r="AR3659" s="4"/>
      <c r="AS3659" s="8"/>
      <c r="AT3659" s="7"/>
      <c r="AU3659" s="7"/>
      <c r="AV3659" s="4" t="s">
        <v>100</v>
      </c>
      <c r="AW3659" s="8" t="s">
        <v>100</v>
      </c>
      <c r="AX3659" s="4" t="s">
        <v>100</v>
      </c>
      <c r="AY3659" s="8" t="s">
        <v>100</v>
      </c>
      <c r="AZ3659" s="7" t="s">
        <v>100</v>
      </c>
      <c r="BA3659" s="7" t="s">
        <v>100</v>
      </c>
      <c r="BB3659" s="7"/>
      <c r="BC3659" s="4" t="s">
        <v>100</v>
      </c>
      <c r="BD3659" s="8" t="s">
        <v>100</v>
      </c>
      <c r="BE3659" s="4" t="s">
        <v>100</v>
      </c>
      <c r="BF3659" s="8" t="s">
        <v>100</v>
      </c>
      <c r="BG3659" s="7" t="s">
        <v>100</v>
      </c>
      <c r="BH3659" s="7" t="s">
        <v>100</v>
      </c>
      <c r="BI3659" s="7" t="s">
        <v>100</v>
      </c>
      <c r="BJ3659" s="4"/>
      <c r="BK3659" s="8"/>
      <c r="BL3659" s="2" t="s">
        <v>100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2526</v>
      </c>
      <c r="BV3659" s="2" t="s">
        <v>97</v>
      </c>
      <c r="BW3659" s="2" t="s">
        <v>100</v>
      </c>
      <c r="BX3659" s="2" t="s">
        <v>100</v>
      </c>
      <c r="BY3659" s="2" t="s">
        <v>112</v>
      </c>
      <c r="BZ3659" s="2" t="s">
        <v>100</v>
      </c>
    </row>
    <row r="3660">
      <c r="A3660" s="2" t="s">
        <v>11679</v>
      </c>
      <c r="B3660" s="2" t="s">
        <v>11630</v>
      </c>
      <c r="C3660" s="2" t="s">
        <v>3449</v>
      </c>
      <c r="D3660" s="2" t="s">
        <v>89</v>
      </c>
      <c r="E3660" s="2" t="s">
        <v>90</v>
      </c>
      <c r="F3660" s="2" t="s">
        <v>11631</v>
      </c>
      <c r="G3660" s="2" t="s">
        <v>11632</v>
      </c>
      <c r="H3660" s="2" t="s">
        <v>7581</v>
      </c>
      <c r="I3660" s="2" t="s">
        <v>11633</v>
      </c>
      <c r="J3660" s="2" t="s">
        <v>522</v>
      </c>
      <c r="K3660" s="2" t="s">
        <v>1152</v>
      </c>
      <c r="L3660" s="3">
        <v>36.72</v>
      </c>
      <c r="M3660" s="3">
        <v>38.56</v>
      </c>
      <c r="N3660" s="3">
        <v>69.99</v>
      </c>
      <c r="O3660" s="2" t="s">
        <v>97</v>
      </c>
      <c r="P3660" s="2" t="s">
        <v>98</v>
      </c>
      <c r="Q3660" s="2" t="s">
        <v>99</v>
      </c>
      <c r="R3660" s="2" t="s">
        <v>100</v>
      </c>
      <c r="S3660" s="2" t="s">
        <v>11678</v>
      </c>
      <c r="T3660" s="2" t="s">
        <v>1135</v>
      </c>
      <c r="U3660" s="2" t="s">
        <v>1228</v>
      </c>
      <c r="V3660" s="2" t="s">
        <v>461</v>
      </c>
      <c r="W3660" s="2" t="s">
        <v>1136</v>
      </c>
      <c r="X3660" s="2" t="s">
        <v>1875</v>
      </c>
      <c r="Y3660" s="2" t="s">
        <v>100</v>
      </c>
      <c r="Z3660" s="4"/>
      <c r="AA3660" s="4">
        <f>=ROUNDDOWN({0},0)</f>
      </c>
      <c r="AB3660" s="5"/>
      <c r="AC3660" s="2" t="s">
        <v>10674</v>
      </c>
      <c r="AD3660" s="4">
        <v>175</v>
      </c>
      <c r="AE3660" s="4">
        <v>350</v>
      </c>
      <c r="AF3660" s="6">
        <v>65</v>
      </c>
      <c r="AG3660" s="6"/>
      <c r="AH3660" s="7">
        <v>0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/>
      <c r="AQ3660" s="8"/>
      <c r="AR3660" s="4"/>
      <c r="AS3660" s="8"/>
      <c r="AT3660" s="7"/>
      <c r="AU3660" s="7"/>
      <c r="AV3660" s="4" t="s">
        <v>100</v>
      </c>
      <c r="AW3660" s="8" t="s">
        <v>100</v>
      </c>
      <c r="AX3660" s="4" t="s">
        <v>100</v>
      </c>
      <c r="AY3660" s="8" t="s">
        <v>100</v>
      </c>
      <c r="AZ3660" s="7" t="s">
        <v>100</v>
      </c>
      <c r="BA3660" s="7" t="s">
        <v>100</v>
      </c>
      <c r="BB3660" s="7"/>
      <c r="BC3660" s="4" t="s">
        <v>100</v>
      </c>
      <c r="BD3660" s="8" t="s">
        <v>100</v>
      </c>
      <c r="BE3660" s="4" t="s">
        <v>100</v>
      </c>
      <c r="BF3660" s="8" t="s">
        <v>100</v>
      </c>
      <c r="BG3660" s="7" t="s">
        <v>100</v>
      </c>
      <c r="BH3660" s="7" t="s">
        <v>100</v>
      </c>
      <c r="BI3660" s="7" t="s">
        <v>100</v>
      </c>
      <c r="BJ3660" s="4"/>
      <c r="BK3660" s="8"/>
      <c r="BL3660" s="2" t="s">
        <v>100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2526</v>
      </c>
      <c r="BV3660" s="2" t="s">
        <v>97</v>
      </c>
      <c r="BW3660" s="2" t="s">
        <v>100</v>
      </c>
      <c r="BX3660" s="2" t="s">
        <v>100</v>
      </c>
      <c r="BY3660" s="2" t="s">
        <v>112</v>
      </c>
      <c r="BZ3660" s="2" t="s">
        <v>100</v>
      </c>
    </row>
    <row r="3661">
      <c r="A3661" s="2" t="s">
        <v>11680</v>
      </c>
      <c r="B3661" s="2" t="s">
        <v>11630</v>
      </c>
      <c r="C3661" s="2" t="s">
        <v>3449</v>
      </c>
      <c r="D3661" s="2" t="s">
        <v>89</v>
      </c>
      <c r="E3661" s="2" t="s">
        <v>90</v>
      </c>
      <c r="F3661" s="2" t="s">
        <v>11631</v>
      </c>
      <c r="G3661" s="2" t="s">
        <v>11632</v>
      </c>
      <c r="H3661" s="2" t="s">
        <v>7581</v>
      </c>
      <c r="I3661" s="2" t="s">
        <v>11633</v>
      </c>
      <c r="J3661" s="2" t="s">
        <v>529</v>
      </c>
      <c r="K3661" s="2" t="s">
        <v>1152</v>
      </c>
      <c r="L3661" s="3">
        <v>40.5</v>
      </c>
      <c r="M3661" s="3">
        <v>42.52</v>
      </c>
      <c r="N3661" s="3">
        <v>79.99</v>
      </c>
      <c r="O3661" s="2" t="s">
        <v>97</v>
      </c>
      <c r="P3661" s="2" t="s">
        <v>98</v>
      </c>
      <c r="Q3661" s="2" t="s">
        <v>99</v>
      </c>
      <c r="R3661" s="2" t="s">
        <v>100</v>
      </c>
      <c r="S3661" s="2" t="s">
        <v>11678</v>
      </c>
      <c r="T3661" s="2" t="s">
        <v>1135</v>
      </c>
      <c r="U3661" s="2" t="s">
        <v>1228</v>
      </c>
      <c r="V3661" s="2" t="s">
        <v>461</v>
      </c>
      <c r="W3661" s="2" t="s">
        <v>1136</v>
      </c>
      <c r="X3661" s="2" t="s">
        <v>1875</v>
      </c>
      <c r="Y3661" s="2" t="s">
        <v>100</v>
      </c>
      <c r="Z3661" s="4"/>
      <c r="AA3661" s="4">
        <f>=ROUNDDOWN({0},0)</f>
      </c>
      <c r="AB3661" s="5"/>
      <c r="AC3661" s="2" t="s">
        <v>10674</v>
      </c>
      <c r="AD3661" s="4">
        <v>100</v>
      </c>
      <c r="AE3661" s="4">
        <v>200</v>
      </c>
      <c r="AF3661" s="6">
        <v>65</v>
      </c>
      <c r="AG3661" s="6"/>
      <c r="AH3661" s="7">
        <v>0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/>
      <c r="AQ3661" s="8"/>
      <c r="AR3661" s="4"/>
      <c r="AS3661" s="8"/>
      <c r="AT3661" s="7"/>
      <c r="AU3661" s="7"/>
      <c r="AV3661" s="4" t="s">
        <v>100</v>
      </c>
      <c r="AW3661" s="8" t="s">
        <v>100</v>
      </c>
      <c r="AX3661" s="4" t="s">
        <v>100</v>
      </c>
      <c r="AY3661" s="8" t="s">
        <v>100</v>
      </c>
      <c r="AZ3661" s="7" t="s">
        <v>100</v>
      </c>
      <c r="BA3661" s="7" t="s">
        <v>100</v>
      </c>
      <c r="BB3661" s="7"/>
      <c r="BC3661" s="4" t="s">
        <v>100</v>
      </c>
      <c r="BD3661" s="8" t="s">
        <v>100</v>
      </c>
      <c r="BE3661" s="4" t="s">
        <v>100</v>
      </c>
      <c r="BF3661" s="8" t="s">
        <v>100</v>
      </c>
      <c r="BG3661" s="7" t="s">
        <v>100</v>
      </c>
      <c r="BH3661" s="7" t="s">
        <v>100</v>
      </c>
      <c r="BI3661" s="7" t="s">
        <v>100</v>
      </c>
      <c r="BJ3661" s="4"/>
      <c r="BK3661" s="8"/>
      <c r="BL3661" s="2" t="s">
        <v>100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2526</v>
      </c>
      <c r="BV3661" s="2" t="s">
        <v>97</v>
      </c>
      <c r="BW3661" s="2" t="s">
        <v>100</v>
      </c>
      <c r="BX3661" s="2" t="s">
        <v>100</v>
      </c>
      <c r="BY3661" s="2" t="s">
        <v>112</v>
      </c>
      <c r="BZ3661" s="2" t="s">
        <v>100</v>
      </c>
    </row>
    <row r="3662">
      <c r="A3662" s="2" t="s">
        <v>11681</v>
      </c>
      <c r="B3662" s="2" t="s">
        <v>11630</v>
      </c>
      <c r="C3662" s="2" t="s">
        <v>3449</v>
      </c>
      <c r="D3662" s="2" t="s">
        <v>89</v>
      </c>
      <c r="E3662" s="2" t="s">
        <v>90</v>
      </c>
      <c r="F3662" s="2" t="s">
        <v>7388</v>
      </c>
      <c r="G3662" s="2" t="s">
        <v>11682</v>
      </c>
      <c r="H3662" s="2" t="s">
        <v>11505</v>
      </c>
      <c r="I3662" s="2" t="s">
        <v>2602</v>
      </c>
      <c r="J3662" s="2" t="s">
        <v>352</v>
      </c>
      <c r="K3662" s="2" t="s">
        <v>386</v>
      </c>
      <c r="L3662" s="3">
        <v>32.2</v>
      </c>
      <c r="M3662" s="3">
        <v>33.81</v>
      </c>
      <c r="N3662" s="3">
        <v>69.99</v>
      </c>
      <c r="O3662" s="2" t="s">
        <v>97</v>
      </c>
      <c r="P3662" s="2" t="s">
        <v>98</v>
      </c>
      <c r="Q3662" s="2" t="s">
        <v>99</v>
      </c>
      <c r="R3662" s="2" t="s">
        <v>100</v>
      </c>
      <c r="S3662" s="2" t="s">
        <v>11683</v>
      </c>
      <c r="T3662" s="2" t="s">
        <v>438</v>
      </c>
      <c r="U3662" s="2" t="s">
        <v>1228</v>
      </c>
      <c r="V3662" s="2" t="s">
        <v>2883</v>
      </c>
      <c r="W3662" s="2" t="s">
        <v>686</v>
      </c>
      <c r="X3662" s="2" t="s">
        <v>194</v>
      </c>
      <c r="Y3662" s="2" t="s">
        <v>144</v>
      </c>
      <c r="Z3662" s="4">
        <v>496</v>
      </c>
      <c r="AA3662" s="4">
        <f>=ROUNDDOWN(41.3333333333333,0)</f>
      </c>
      <c r="AB3662" s="5">
        <v>12</v>
      </c>
      <c r="AC3662" s="2" t="s">
        <v>206</v>
      </c>
      <c r="AD3662" s="4">
        <v>130</v>
      </c>
      <c r="AE3662" s="4">
        <v>240</v>
      </c>
      <c r="AF3662" s="6">
        <v>65</v>
      </c>
      <c r="AG3662" s="6">
        <v>73</v>
      </c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>
        <v>0</v>
      </c>
      <c r="AP3662" s="4">
        <v>6</v>
      </c>
      <c r="AQ3662" s="8">
        <v>195.96</v>
      </c>
      <c r="AR3662" s="4"/>
      <c r="AS3662" s="8"/>
      <c r="AT3662" s="7"/>
      <c r="AU3662" s="7"/>
      <c r="AV3662" s="4">
        <v>6</v>
      </c>
      <c r="AW3662" s="8">
        <v>195.96</v>
      </c>
      <c r="AX3662" s="4"/>
      <c r="AY3662" s="8"/>
      <c r="AZ3662" s="7"/>
      <c r="BA3662" s="7"/>
      <c r="BB3662" s="7">
        <v>1</v>
      </c>
      <c r="BC3662" s="4">
        <v>6</v>
      </c>
      <c r="BD3662" s="8">
        <v>195.96</v>
      </c>
      <c r="BE3662" s="4"/>
      <c r="BF3662" s="8"/>
      <c r="BG3662" s="7"/>
      <c r="BH3662" s="7"/>
      <c r="BI3662" s="7">
        <v>1</v>
      </c>
      <c r="BJ3662" s="4">
        <v>31</v>
      </c>
      <c r="BK3662" s="8">
        <v>1043.22</v>
      </c>
      <c r="BL3662" s="2" t="s">
        <v>11684</v>
      </c>
      <c r="BM3662" s="7">
        <v>0.1935</v>
      </c>
      <c r="BN3662" s="7">
        <v>0.1878</v>
      </c>
      <c r="BO3662" s="4">
        <v>6</v>
      </c>
      <c r="BP3662" s="8">
        <v>195.96</v>
      </c>
      <c r="BQ3662" s="4"/>
      <c r="BR3662" s="8"/>
      <c r="BS3662" s="7"/>
      <c r="BT3662" s="7"/>
      <c r="BU3662" s="2" t="s">
        <v>109</v>
      </c>
      <c r="BV3662" s="2" t="s">
        <v>97</v>
      </c>
      <c r="BW3662" s="2" t="s">
        <v>370</v>
      </c>
      <c r="BX3662" s="2" t="s">
        <v>1116</v>
      </c>
      <c r="BY3662" s="2" t="s">
        <v>112</v>
      </c>
      <c r="BZ3662" s="2" t="s">
        <v>100</v>
      </c>
    </row>
    <row r="3663">
      <c r="A3663" s="2" t="s">
        <v>11685</v>
      </c>
      <c r="B3663" s="2" t="s">
        <v>11630</v>
      </c>
      <c r="C3663" s="2" t="s">
        <v>3449</v>
      </c>
      <c r="D3663" s="2" t="s">
        <v>89</v>
      </c>
      <c r="E3663" s="2" t="s">
        <v>90</v>
      </c>
      <c r="F3663" s="2" t="s">
        <v>11686</v>
      </c>
      <c r="G3663" s="2" t="s">
        <v>3616</v>
      </c>
      <c r="H3663" s="2" t="s">
        <v>8240</v>
      </c>
      <c r="I3663" s="2" t="s">
        <v>11687</v>
      </c>
      <c r="J3663" s="2" t="s">
        <v>522</v>
      </c>
      <c r="K3663" s="2" t="s">
        <v>165</v>
      </c>
      <c r="L3663" s="3">
        <v>34.5</v>
      </c>
      <c r="M3663" s="3">
        <v>36.22</v>
      </c>
      <c r="N3663" s="3">
        <v>74.99</v>
      </c>
      <c r="O3663" s="2" t="s">
        <v>97</v>
      </c>
      <c r="P3663" s="2" t="s">
        <v>98</v>
      </c>
      <c r="Q3663" s="2" t="s">
        <v>99</v>
      </c>
      <c r="R3663" s="2" t="s">
        <v>100</v>
      </c>
      <c r="S3663" s="2" t="s">
        <v>100</v>
      </c>
      <c r="T3663" s="2" t="s">
        <v>438</v>
      </c>
      <c r="U3663" s="2" t="s">
        <v>460</v>
      </c>
      <c r="V3663" s="2" t="s">
        <v>269</v>
      </c>
      <c r="W3663" s="2" t="s">
        <v>609</v>
      </c>
      <c r="X3663" s="2" t="s">
        <v>270</v>
      </c>
      <c r="Y3663" s="2" t="s">
        <v>2923</v>
      </c>
      <c r="Z3663" s="4">
        <v>611</v>
      </c>
      <c r="AA3663" s="4">
        <f>=ROUNDDOWN(38.1875,0)</f>
      </c>
      <c r="AB3663" s="5">
        <v>16</v>
      </c>
      <c r="AC3663" s="2" t="s">
        <v>145</v>
      </c>
      <c r="AD3663" s="4">
        <v>150</v>
      </c>
      <c r="AE3663" s="4">
        <v>1170</v>
      </c>
      <c r="AF3663" s="6">
        <v>64</v>
      </c>
      <c r="AG3663" s="6">
        <v>47</v>
      </c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4</v>
      </c>
      <c r="AQ3663" s="8">
        <v>131.04</v>
      </c>
      <c r="AR3663" s="4"/>
      <c r="AS3663" s="8"/>
      <c r="AT3663" s="7"/>
      <c r="AU3663" s="7"/>
      <c r="AV3663" s="4">
        <v>4</v>
      </c>
      <c r="AW3663" s="8">
        <v>131.04</v>
      </c>
      <c r="AX3663" s="4"/>
      <c r="AY3663" s="8"/>
      <c r="AZ3663" s="7"/>
      <c r="BA3663" s="7"/>
      <c r="BB3663" s="7">
        <v>1</v>
      </c>
      <c r="BC3663" s="4">
        <v>4</v>
      </c>
      <c r="BD3663" s="8">
        <v>131.04</v>
      </c>
      <c r="BE3663" s="4"/>
      <c r="BF3663" s="8"/>
      <c r="BG3663" s="7"/>
      <c r="BH3663" s="7"/>
      <c r="BI3663" s="7">
        <v>1</v>
      </c>
      <c r="BJ3663" s="4">
        <v>48</v>
      </c>
      <c r="BK3663" s="8">
        <v>1786.59</v>
      </c>
      <c r="BL3663" s="2" t="s">
        <v>11688</v>
      </c>
      <c r="BM3663" s="7">
        <v>0.0833</v>
      </c>
      <c r="BN3663" s="7">
        <v>0.0733</v>
      </c>
      <c r="BO3663" s="4">
        <v>4</v>
      </c>
      <c r="BP3663" s="8">
        <v>131.04</v>
      </c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2273</v>
      </c>
      <c r="BX3663" s="2" t="s">
        <v>1575</v>
      </c>
      <c r="BY3663" s="2" t="s">
        <v>112</v>
      </c>
      <c r="BZ3663" s="2" t="s">
        <v>100</v>
      </c>
    </row>
    <row r="3664">
      <c r="A3664" s="2" t="s">
        <v>11689</v>
      </c>
      <c r="B3664" s="2" t="s">
        <v>11630</v>
      </c>
      <c r="C3664" s="2" t="s">
        <v>3449</v>
      </c>
      <c r="D3664" s="2" t="s">
        <v>89</v>
      </c>
      <c r="E3664" s="2" t="s">
        <v>90</v>
      </c>
      <c r="F3664" s="2" t="s">
        <v>11690</v>
      </c>
      <c r="G3664" s="2" t="s">
        <v>4675</v>
      </c>
      <c r="H3664" s="2" t="s">
        <v>11691</v>
      </c>
      <c r="I3664" s="2" t="s">
        <v>11692</v>
      </c>
      <c r="J3664" s="2" t="s">
        <v>529</v>
      </c>
      <c r="K3664" s="2" t="s">
        <v>4816</v>
      </c>
      <c r="L3664" s="3">
        <v>41.12</v>
      </c>
      <c r="M3664" s="3">
        <v>43.18</v>
      </c>
      <c r="N3664" s="3">
        <v>84.99</v>
      </c>
      <c r="O3664" s="2" t="s">
        <v>97</v>
      </c>
      <c r="P3664" s="2" t="s">
        <v>98</v>
      </c>
      <c r="Q3664" s="2" t="s">
        <v>99</v>
      </c>
      <c r="R3664" s="2" t="s">
        <v>100</v>
      </c>
      <c r="S3664" s="2" t="s">
        <v>11693</v>
      </c>
      <c r="T3664" s="2" t="s">
        <v>438</v>
      </c>
      <c r="U3664" s="2" t="s">
        <v>460</v>
      </c>
      <c r="V3664" s="2" t="s">
        <v>192</v>
      </c>
      <c r="W3664" s="2" t="s">
        <v>609</v>
      </c>
      <c r="X3664" s="2" t="s">
        <v>142</v>
      </c>
      <c r="Y3664" s="2" t="s">
        <v>144</v>
      </c>
      <c r="Z3664" s="4">
        <v>293</v>
      </c>
      <c r="AA3664" s="4">
        <f>=ROUNDDOWN(26.6363636363636,0)</f>
      </c>
      <c r="AB3664" s="5">
        <v>11</v>
      </c>
      <c r="AC3664" s="2" t="s">
        <v>107</v>
      </c>
      <c r="AD3664" s="4">
        <v>140</v>
      </c>
      <c r="AE3664" s="4">
        <v>340</v>
      </c>
      <c r="AF3664" s="6">
        <v>64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2</v>
      </c>
      <c r="AQ3664" s="8">
        <v>87.08</v>
      </c>
      <c r="AR3664" s="4"/>
      <c r="AS3664" s="8"/>
      <c r="AT3664" s="7"/>
      <c r="AU3664" s="7"/>
      <c r="AV3664" s="4">
        <v>2</v>
      </c>
      <c r="AW3664" s="8">
        <v>87.08</v>
      </c>
      <c r="AX3664" s="4"/>
      <c r="AY3664" s="8"/>
      <c r="AZ3664" s="7"/>
      <c r="BA3664" s="7"/>
      <c r="BB3664" s="7">
        <v>1</v>
      </c>
      <c r="BC3664" s="4">
        <v>2</v>
      </c>
      <c r="BD3664" s="8">
        <v>87.08</v>
      </c>
      <c r="BE3664" s="4" t="s">
        <v>100</v>
      </c>
      <c r="BF3664" s="8" t="s">
        <v>100</v>
      </c>
      <c r="BG3664" s="7" t="s">
        <v>100</v>
      </c>
      <c r="BH3664" s="7" t="s">
        <v>100</v>
      </c>
      <c r="BI3664" s="7">
        <v>1</v>
      </c>
      <c r="BJ3664" s="4">
        <v>24</v>
      </c>
      <c r="BK3664" s="8">
        <v>1159.1</v>
      </c>
      <c r="BL3664" s="2" t="s">
        <v>11694</v>
      </c>
      <c r="BM3664" s="7">
        <v>0.0833</v>
      </c>
      <c r="BN3664" s="7">
        <v>0.0751</v>
      </c>
      <c r="BO3664" s="4">
        <v>2</v>
      </c>
      <c r="BP3664" s="8">
        <v>87.08</v>
      </c>
      <c r="BQ3664" s="4"/>
      <c r="BR3664" s="8"/>
      <c r="BS3664" s="7"/>
      <c r="BT3664" s="7"/>
      <c r="BU3664" s="2" t="s">
        <v>109</v>
      </c>
      <c r="BV3664" s="2" t="s">
        <v>97</v>
      </c>
      <c r="BW3664" s="2" t="s">
        <v>159</v>
      </c>
      <c r="BX3664" s="2" t="s">
        <v>1250</v>
      </c>
      <c r="BY3664" s="2" t="s">
        <v>112</v>
      </c>
      <c r="BZ3664" s="2" t="s">
        <v>100</v>
      </c>
    </row>
    <row r="3665">
      <c r="A3665" s="2" t="s">
        <v>11695</v>
      </c>
      <c r="B3665" s="2" t="s">
        <v>11630</v>
      </c>
      <c r="C3665" s="2" t="s">
        <v>3449</v>
      </c>
      <c r="D3665" s="2" t="s">
        <v>89</v>
      </c>
      <c r="E3665" s="2" t="s">
        <v>90</v>
      </c>
      <c r="F3665" s="2" t="s">
        <v>11690</v>
      </c>
      <c r="G3665" s="2" t="s">
        <v>4675</v>
      </c>
      <c r="H3665" s="2" t="s">
        <v>11691</v>
      </c>
      <c r="I3665" s="2" t="s">
        <v>11692</v>
      </c>
      <c r="J3665" s="2" t="s">
        <v>352</v>
      </c>
      <c r="K3665" s="2" t="s">
        <v>179</v>
      </c>
      <c r="L3665" s="3">
        <v>31.29</v>
      </c>
      <c r="M3665" s="3">
        <v>32.85</v>
      </c>
      <c r="N3665" s="3">
        <v>64.99</v>
      </c>
      <c r="O3665" s="2" t="s">
        <v>97</v>
      </c>
      <c r="P3665" s="2" t="s">
        <v>156</v>
      </c>
      <c r="Q3665" s="2" t="s">
        <v>99</v>
      </c>
      <c r="R3665" s="2" t="s">
        <v>100</v>
      </c>
      <c r="S3665" s="2" t="s">
        <v>11696</v>
      </c>
      <c r="T3665" s="2" t="s">
        <v>438</v>
      </c>
      <c r="U3665" s="2" t="s">
        <v>1228</v>
      </c>
      <c r="V3665" s="2" t="s">
        <v>192</v>
      </c>
      <c r="W3665" s="2" t="s">
        <v>609</v>
      </c>
      <c r="X3665" s="2" t="s">
        <v>142</v>
      </c>
      <c r="Y3665" s="2" t="s">
        <v>144</v>
      </c>
      <c r="Z3665" s="4">
        <v>527</v>
      </c>
      <c r="AA3665" s="4">
        <f>=ROUNDDOWN(87.8333333333333,0)</f>
      </c>
      <c r="AB3665" s="5">
        <v>6</v>
      </c>
      <c r="AC3665" s="2" t="s">
        <v>725</v>
      </c>
      <c r="AD3665" s="4">
        <v>100</v>
      </c>
      <c r="AE3665" s="4">
        <v>130</v>
      </c>
      <c r="AF3665" s="6">
        <v>65</v>
      </c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/>
      <c r="AQ3665" s="8"/>
      <c r="AR3665" s="4"/>
      <c r="AS3665" s="8"/>
      <c r="AT3665" s="7"/>
      <c r="AU3665" s="7"/>
      <c r="AV3665" s="4"/>
      <c r="AW3665" s="8"/>
      <c r="AX3665" s="4"/>
      <c r="AY3665" s="8"/>
      <c r="AZ3665" s="7"/>
      <c r="BA3665" s="7"/>
      <c r="BB3665" s="7"/>
      <c r="BC3665" s="4" t="s">
        <v>100</v>
      </c>
      <c r="BD3665" s="8" t="s">
        <v>100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/>
      <c r="BJ3665" s="4">
        <v>32</v>
      </c>
      <c r="BK3665" s="8">
        <v>1089.02</v>
      </c>
      <c r="BL3665" s="2" t="s">
        <v>11697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109</v>
      </c>
      <c r="BV3665" s="2" t="s">
        <v>97</v>
      </c>
      <c r="BW3665" s="2" t="s">
        <v>159</v>
      </c>
      <c r="BX3665" s="2" t="s">
        <v>9830</v>
      </c>
      <c r="BY3665" s="2" t="s">
        <v>112</v>
      </c>
      <c r="BZ3665" s="2" t="s">
        <v>100</v>
      </c>
    </row>
    <row r="3666">
      <c r="A3666" s="2" t="s">
        <v>11698</v>
      </c>
      <c r="B3666" s="2" t="s">
        <v>11630</v>
      </c>
      <c r="C3666" s="2" t="s">
        <v>3449</v>
      </c>
      <c r="D3666" s="2" t="s">
        <v>89</v>
      </c>
      <c r="E3666" s="2" t="s">
        <v>90</v>
      </c>
      <c r="F3666" s="2" t="s">
        <v>11699</v>
      </c>
      <c r="G3666" s="2" t="s">
        <v>1024</v>
      </c>
      <c r="H3666" s="2" t="s">
        <v>2578</v>
      </c>
      <c r="I3666" s="2" t="s">
        <v>2602</v>
      </c>
      <c r="J3666" s="2" t="s">
        <v>522</v>
      </c>
      <c r="K3666" s="2" t="s">
        <v>1252</v>
      </c>
      <c r="L3666" s="3">
        <v>36.8</v>
      </c>
      <c r="M3666" s="3">
        <v>38.64</v>
      </c>
      <c r="N3666" s="3">
        <v>89.99</v>
      </c>
      <c r="O3666" s="2" t="s">
        <v>97</v>
      </c>
      <c r="P3666" s="2" t="s">
        <v>707</v>
      </c>
      <c r="Q3666" s="2" t="s">
        <v>99</v>
      </c>
      <c r="R3666" s="2" t="s">
        <v>100</v>
      </c>
      <c r="S3666" s="2" t="s">
        <v>11700</v>
      </c>
      <c r="T3666" s="2" t="s">
        <v>438</v>
      </c>
      <c r="U3666" s="2" t="s">
        <v>460</v>
      </c>
      <c r="V3666" s="2" t="s">
        <v>304</v>
      </c>
      <c r="W3666" s="2" t="s">
        <v>142</v>
      </c>
      <c r="X3666" s="2" t="s">
        <v>609</v>
      </c>
      <c r="Y3666" s="2" t="s">
        <v>144</v>
      </c>
      <c r="Z3666" s="4">
        <v>461</v>
      </c>
      <c r="AA3666" s="4">
        <f>=ROUNDDOWN(46.1,0)</f>
      </c>
      <c r="AB3666" s="5">
        <v>10</v>
      </c>
      <c r="AC3666" s="2" t="s">
        <v>201</v>
      </c>
      <c r="AD3666" s="4">
        <v>230</v>
      </c>
      <c r="AE3666" s="4">
        <v>230</v>
      </c>
      <c r="AF3666" s="6">
        <v>64</v>
      </c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>
        <v>2</v>
      </c>
      <c r="AQ3666" s="8">
        <v>76.18</v>
      </c>
      <c r="AR3666" s="4"/>
      <c r="AS3666" s="8"/>
      <c r="AT3666" s="7"/>
      <c r="AU3666" s="7"/>
      <c r="AV3666" s="4">
        <v>2</v>
      </c>
      <c r="AW3666" s="8">
        <v>76.18</v>
      </c>
      <c r="AX3666" s="4"/>
      <c r="AY3666" s="8"/>
      <c r="AZ3666" s="7"/>
      <c r="BA3666" s="7"/>
      <c r="BB3666" s="7">
        <v>1</v>
      </c>
      <c r="BC3666" s="4">
        <v>2</v>
      </c>
      <c r="BD3666" s="8">
        <v>76.18</v>
      </c>
      <c r="BE3666" s="4"/>
      <c r="BF3666" s="8"/>
      <c r="BG3666" s="7"/>
      <c r="BH3666" s="7"/>
      <c r="BI3666" s="7">
        <v>1</v>
      </c>
      <c r="BJ3666" s="4">
        <v>28</v>
      </c>
      <c r="BK3666" s="8">
        <v>1147.44</v>
      </c>
      <c r="BL3666" s="2" t="s">
        <v>11701</v>
      </c>
      <c r="BM3666" s="7">
        <v>0.0714</v>
      </c>
      <c r="BN3666" s="7">
        <v>0.0664</v>
      </c>
      <c r="BO3666" s="4">
        <v>2</v>
      </c>
      <c r="BP3666" s="8">
        <v>76.18</v>
      </c>
      <c r="BQ3666" s="4"/>
      <c r="BR3666" s="8"/>
      <c r="BS3666" s="7"/>
      <c r="BT3666" s="7"/>
      <c r="BU3666" s="2" t="s">
        <v>109</v>
      </c>
      <c r="BV3666" s="2" t="s">
        <v>97</v>
      </c>
      <c r="BW3666" s="2" t="s">
        <v>159</v>
      </c>
      <c r="BX3666" s="2" t="s">
        <v>4443</v>
      </c>
      <c r="BY3666" s="2" t="s">
        <v>112</v>
      </c>
      <c r="BZ3666" s="2" t="s">
        <v>100</v>
      </c>
    </row>
    <row r="3667">
      <c r="A3667" s="2" t="s">
        <v>11702</v>
      </c>
      <c r="B3667" s="2" t="s">
        <v>11630</v>
      </c>
      <c r="C3667" s="2" t="s">
        <v>3449</v>
      </c>
      <c r="D3667" s="2" t="s">
        <v>89</v>
      </c>
      <c r="E3667" s="2" t="s">
        <v>90</v>
      </c>
      <c r="F3667" s="2" t="s">
        <v>11510</v>
      </c>
      <c r="G3667" s="2" t="s">
        <v>1761</v>
      </c>
      <c r="H3667" s="2" t="s">
        <v>11511</v>
      </c>
      <c r="I3667" s="2" t="s">
        <v>11703</v>
      </c>
      <c r="J3667" s="2" t="s">
        <v>352</v>
      </c>
      <c r="K3667" s="2" t="s">
        <v>11525</v>
      </c>
      <c r="L3667" s="3">
        <v>37.6</v>
      </c>
      <c r="M3667" s="3">
        <v>39.48</v>
      </c>
      <c r="N3667" s="3">
        <v>79.99</v>
      </c>
      <c r="O3667" s="2" t="s">
        <v>97</v>
      </c>
      <c r="P3667" s="2" t="s">
        <v>98</v>
      </c>
      <c r="Q3667" s="2" t="s">
        <v>99</v>
      </c>
      <c r="R3667" s="2" t="s">
        <v>100</v>
      </c>
      <c r="S3667" s="2" t="s">
        <v>11513</v>
      </c>
      <c r="T3667" s="2" t="s">
        <v>438</v>
      </c>
      <c r="U3667" s="2" t="s">
        <v>1228</v>
      </c>
      <c r="V3667" s="2" t="s">
        <v>2510</v>
      </c>
      <c r="W3667" s="2" t="s">
        <v>1136</v>
      </c>
      <c r="X3667" s="2" t="s">
        <v>194</v>
      </c>
      <c r="Y3667" s="2" t="s">
        <v>10563</v>
      </c>
      <c r="Z3667" s="4">
        <v>62</v>
      </c>
      <c r="AA3667" s="4">
        <f>=ROUNDDOWN(12.4,0)</f>
      </c>
      <c r="AB3667" s="5">
        <v>5</v>
      </c>
      <c r="AC3667" s="2" t="s">
        <v>130</v>
      </c>
      <c r="AD3667" s="4">
        <v>80</v>
      </c>
      <c r="AE3667" s="4">
        <v>150</v>
      </c>
      <c r="AF3667" s="6">
        <v>64</v>
      </c>
      <c r="AG3667" s="6"/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/>
      <c r="AQ3667" s="8"/>
      <c r="AR3667" s="4"/>
      <c r="AS3667" s="8"/>
      <c r="AT3667" s="7"/>
      <c r="AU3667" s="7"/>
      <c r="AV3667" s="4">
        <v>1</v>
      </c>
      <c r="AW3667" s="8">
        <v>44.42</v>
      </c>
      <c r="AX3667" s="4" t="s">
        <v>100</v>
      </c>
      <c r="AY3667" s="8" t="s">
        <v>100</v>
      </c>
      <c r="AZ3667" s="7" t="s">
        <v>100</v>
      </c>
      <c r="BA3667" s="7" t="s">
        <v>100</v>
      </c>
      <c r="BB3667" s="7"/>
      <c r="BC3667" s="4">
        <v>1</v>
      </c>
      <c r="BD3667" s="8">
        <v>44.42</v>
      </c>
      <c r="BE3667" s="4" t="s">
        <v>100</v>
      </c>
      <c r="BF3667" s="8" t="s">
        <v>100</v>
      </c>
      <c r="BG3667" s="7" t="s">
        <v>100</v>
      </c>
      <c r="BH3667" s="7" t="s">
        <v>100</v>
      </c>
      <c r="BI3667" s="7">
        <v>1</v>
      </c>
      <c r="BJ3667" s="4">
        <v>10</v>
      </c>
      <c r="BK3667" s="8">
        <v>416.78</v>
      </c>
      <c r="BL3667" s="2" t="s">
        <v>11704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109</v>
      </c>
      <c r="BV3667" s="2" t="s">
        <v>97</v>
      </c>
      <c r="BW3667" s="2" t="s">
        <v>1567</v>
      </c>
      <c r="BX3667" s="2" t="s">
        <v>9301</v>
      </c>
      <c r="BY3667" s="2" t="s">
        <v>112</v>
      </c>
      <c r="BZ3667" s="2" t="s">
        <v>100</v>
      </c>
    </row>
    <row r="3668">
      <c r="A3668" s="2" t="s">
        <v>11705</v>
      </c>
      <c r="B3668" s="2" t="s">
        <v>11630</v>
      </c>
      <c r="C3668" s="2" t="s">
        <v>3449</v>
      </c>
      <c r="D3668" s="2" t="s">
        <v>89</v>
      </c>
      <c r="E3668" s="2" t="s">
        <v>90</v>
      </c>
      <c r="F3668" s="2" t="s">
        <v>11510</v>
      </c>
      <c r="G3668" s="2" t="s">
        <v>1761</v>
      </c>
      <c r="H3668" s="2" t="s">
        <v>11511</v>
      </c>
      <c r="I3668" s="2" t="s">
        <v>11703</v>
      </c>
      <c r="J3668" s="2" t="s">
        <v>522</v>
      </c>
      <c r="K3668" s="2" t="s">
        <v>11525</v>
      </c>
      <c r="L3668" s="3">
        <v>42.3</v>
      </c>
      <c r="M3668" s="3">
        <v>44.42</v>
      </c>
      <c r="N3668" s="3">
        <v>89.99</v>
      </c>
      <c r="O3668" s="2" t="s">
        <v>97</v>
      </c>
      <c r="P3668" s="2" t="s">
        <v>98</v>
      </c>
      <c r="Q3668" s="2" t="s">
        <v>99</v>
      </c>
      <c r="R3668" s="2" t="s">
        <v>100</v>
      </c>
      <c r="S3668" s="2" t="s">
        <v>11513</v>
      </c>
      <c r="T3668" s="2" t="s">
        <v>438</v>
      </c>
      <c r="U3668" s="2" t="s">
        <v>460</v>
      </c>
      <c r="V3668" s="2" t="s">
        <v>2510</v>
      </c>
      <c r="W3668" s="2" t="s">
        <v>1136</v>
      </c>
      <c r="X3668" s="2" t="s">
        <v>194</v>
      </c>
      <c r="Y3668" s="2" t="s">
        <v>10563</v>
      </c>
      <c r="Z3668" s="4">
        <v>373</v>
      </c>
      <c r="AA3668" s="4">
        <f>=ROUNDDOWN(37.3,0)</f>
      </c>
      <c r="AB3668" s="5">
        <v>10</v>
      </c>
      <c r="AC3668" s="2" t="s">
        <v>1201</v>
      </c>
      <c r="AD3668" s="4">
        <v>150</v>
      </c>
      <c r="AE3668" s="4">
        <v>180</v>
      </c>
      <c r="AF3668" s="6">
        <v>64</v>
      </c>
      <c r="AG3668" s="6"/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>
        <v>1</v>
      </c>
      <c r="AQ3668" s="8">
        <v>44.42</v>
      </c>
      <c r="AR3668" s="4"/>
      <c r="AS3668" s="8"/>
      <c r="AT3668" s="7"/>
      <c r="AU3668" s="7"/>
      <c r="AV3668" s="4" t="s">
        <v>100</v>
      </c>
      <c r="AW3668" s="8" t="s">
        <v>100</v>
      </c>
      <c r="AX3668" s="4" t="s">
        <v>100</v>
      </c>
      <c r="AY3668" s="8" t="s">
        <v>100</v>
      </c>
      <c r="AZ3668" s="7" t="s">
        <v>100</v>
      </c>
      <c r="BA3668" s="7" t="s">
        <v>100</v>
      </c>
      <c r="BB3668" s="7">
        <v>1</v>
      </c>
      <c r="BC3668" s="4" t="s">
        <v>100</v>
      </c>
      <c r="BD3668" s="8" t="s">
        <v>100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 t="s">
        <v>100</v>
      </c>
      <c r="BJ3668" s="4">
        <v>41</v>
      </c>
      <c r="BK3668" s="8">
        <v>1972.05</v>
      </c>
      <c r="BL3668" s="2" t="s">
        <v>11706</v>
      </c>
      <c r="BM3668" s="7">
        <v>0.0244</v>
      </c>
      <c r="BN3668" s="7">
        <v>0.0225</v>
      </c>
      <c r="BO3668" s="4">
        <v>1</v>
      </c>
      <c r="BP3668" s="8">
        <v>44.42</v>
      </c>
      <c r="BQ3668" s="4"/>
      <c r="BR3668" s="8"/>
      <c r="BS3668" s="7"/>
      <c r="BT3668" s="7"/>
      <c r="BU3668" s="2" t="s">
        <v>109</v>
      </c>
      <c r="BV3668" s="2" t="s">
        <v>97</v>
      </c>
      <c r="BW3668" s="2" t="s">
        <v>1567</v>
      </c>
      <c r="BX3668" s="2" t="s">
        <v>9100</v>
      </c>
      <c r="BY3668" s="2" t="s">
        <v>112</v>
      </c>
      <c r="BZ3668" s="2" t="s">
        <v>100</v>
      </c>
    </row>
    <row r="3669">
      <c r="A3669" s="2" t="s">
        <v>11707</v>
      </c>
      <c r="B3669" s="2" t="s">
        <v>11630</v>
      </c>
      <c r="C3669" s="2" t="s">
        <v>3449</v>
      </c>
      <c r="D3669" s="2" t="s">
        <v>89</v>
      </c>
      <c r="E3669" s="2" t="s">
        <v>90</v>
      </c>
      <c r="F3669" s="2" t="s">
        <v>11510</v>
      </c>
      <c r="G3669" s="2" t="s">
        <v>1761</v>
      </c>
      <c r="H3669" s="2" t="s">
        <v>11511</v>
      </c>
      <c r="I3669" s="2" t="s">
        <v>11703</v>
      </c>
      <c r="J3669" s="2" t="s">
        <v>529</v>
      </c>
      <c r="K3669" s="2" t="s">
        <v>11525</v>
      </c>
      <c r="L3669" s="3">
        <v>47</v>
      </c>
      <c r="M3669" s="3">
        <v>49.35</v>
      </c>
      <c r="N3669" s="3">
        <v>99.99</v>
      </c>
      <c r="O3669" s="2" t="s">
        <v>97</v>
      </c>
      <c r="P3669" s="2" t="s">
        <v>98</v>
      </c>
      <c r="Q3669" s="2" t="s">
        <v>99</v>
      </c>
      <c r="R3669" s="2" t="s">
        <v>100</v>
      </c>
      <c r="S3669" s="2" t="s">
        <v>11513</v>
      </c>
      <c r="T3669" s="2" t="s">
        <v>438</v>
      </c>
      <c r="U3669" s="2" t="s">
        <v>460</v>
      </c>
      <c r="V3669" s="2" t="s">
        <v>2510</v>
      </c>
      <c r="W3669" s="2" t="s">
        <v>1136</v>
      </c>
      <c r="X3669" s="2" t="s">
        <v>194</v>
      </c>
      <c r="Y3669" s="2" t="s">
        <v>11708</v>
      </c>
      <c r="Z3669" s="4">
        <v>119</v>
      </c>
      <c r="AA3669" s="4">
        <f>=ROUNDDOWN(17,0)</f>
      </c>
      <c r="AB3669" s="5">
        <v>7</v>
      </c>
      <c r="AC3669" s="2" t="s">
        <v>130</v>
      </c>
      <c r="AD3669" s="4">
        <v>70</v>
      </c>
      <c r="AE3669" s="4">
        <v>150</v>
      </c>
      <c r="AF3669" s="6">
        <v>64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/>
      <c r="AQ3669" s="8"/>
      <c r="AR3669" s="4"/>
      <c r="AS3669" s="8"/>
      <c r="AT3669" s="7"/>
      <c r="AU3669" s="7"/>
      <c r="AV3669" s="4" t="s">
        <v>100</v>
      </c>
      <c r="AW3669" s="8" t="s">
        <v>100</v>
      </c>
      <c r="AX3669" s="4" t="s">
        <v>100</v>
      </c>
      <c r="AY3669" s="8" t="s">
        <v>100</v>
      </c>
      <c r="AZ3669" s="7" t="s">
        <v>100</v>
      </c>
      <c r="BA3669" s="7" t="s">
        <v>100</v>
      </c>
      <c r="BB3669" s="7"/>
      <c r="BC3669" s="4" t="s">
        <v>100</v>
      </c>
      <c r="BD3669" s="8" t="s">
        <v>100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 t="s">
        <v>100</v>
      </c>
      <c r="BJ3669" s="4">
        <v>25</v>
      </c>
      <c r="BK3669" s="8">
        <v>1301.44</v>
      </c>
      <c r="BL3669" s="2" t="s">
        <v>11709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171</v>
      </c>
      <c r="BV3669" s="2" t="s">
        <v>97</v>
      </c>
      <c r="BW3669" s="2" t="s">
        <v>100</v>
      </c>
      <c r="BX3669" s="2" t="s">
        <v>100</v>
      </c>
      <c r="BY3669" s="2" t="s">
        <v>112</v>
      </c>
      <c r="BZ3669" s="2" t="s">
        <v>100</v>
      </c>
    </row>
    <row r="3670">
      <c r="A3670" s="2" t="s">
        <v>11710</v>
      </c>
      <c r="B3670" s="2" t="s">
        <v>11630</v>
      </c>
      <c r="C3670" s="2" t="s">
        <v>3449</v>
      </c>
      <c r="D3670" s="2" t="s">
        <v>89</v>
      </c>
      <c r="E3670" s="2" t="s">
        <v>90</v>
      </c>
      <c r="F3670" s="2" t="s">
        <v>11711</v>
      </c>
      <c r="G3670" s="2" t="s">
        <v>1981</v>
      </c>
      <c r="H3670" s="2" t="s">
        <v>11712</v>
      </c>
      <c r="I3670" s="2" t="s">
        <v>11713</v>
      </c>
      <c r="J3670" s="2" t="s">
        <v>352</v>
      </c>
      <c r="K3670" s="2" t="s">
        <v>471</v>
      </c>
      <c r="L3670" s="3">
        <v>31.25</v>
      </c>
      <c r="M3670" s="3">
        <v>32.81</v>
      </c>
      <c r="N3670" s="3">
        <v>69.99</v>
      </c>
      <c r="O3670" s="2" t="s">
        <v>97</v>
      </c>
      <c r="P3670" s="2" t="s">
        <v>317</v>
      </c>
      <c r="Q3670" s="2" t="s">
        <v>99</v>
      </c>
      <c r="R3670" s="2" t="s">
        <v>100</v>
      </c>
      <c r="S3670" s="2" t="s">
        <v>11714</v>
      </c>
      <c r="T3670" s="2" t="s">
        <v>438</v>
      </c>
      <c r="U3670" s="2" t="s">
        <v>901</v>
      </c>
      <c r="V3670" s="2" t="s">
        <v>547</v>
      </c>
      <c r="W3670" s="2" t="s">
        <v>493</v>
      </c>
      <c r="X3670" s="2" t="s">
        <v>609</v>
      </c>
      <c r="Y3670" s="2" t="s">
        <v>11715</v>
      </c>
      <c r="Z3670" s="4">
        <v>528</v>
      </c>
      <c r="AA3670" s="4">
        <f>=ROUNDDOWN(9.10344827586207,0)</f>
      </c>
      <c r="AB3670" s="5">
        <v>58</v>
      </c>
      <c r="AC3670" s="2" t="s">
        <v>107</v>
      </c>
      <c r="AD3670" s="4">
        <v>250</v>
      </c>
      <c r="AE3670" s="4">
        <v>2070</v>
      </c>
      <c r="AF3670" s="6">
        <v>65</v>
      </c>
      <c r="AG3670" s="6">
        <v>48</v>
      </c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/>
      <c r="AQ3670" s="8"/>
      <c r="AR3670" s="4"/>
      <c r="AS3670" s="8"/>
      <c r="AT3670" s="7"/>
      <c r="AU3670" s="7"/>
      <c r="AV3670" s="4" t="s">
        <v>100</v>
      </c>
      <c r="AW3670" s="8" t="s">
        <v>100</v>
      </c>
      <c r="AX3670" s="4" t="s">
        <v>100</v>
      </c>
      <c r="AY3670" s="8" t="s">
        <v>100</v>
      </c>
      <c r="AZ3670" s="7" t="s">
        <v>100</v>
      </c>
      <c r="BA3670" s="7" t="s">
        <v>100</v>
      </c>
      <c r="BB3670" s="7"/>
      <c r="BC3670" s="4" t="s">
        <v>100</v>
      </c>
      <c r="BD3670" s="8" t="s">
        <v>100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/>
      <c r="BJ3670" s="4">
        <v>226</v>
      </c>
      <c r="BK3670" s="8">
        <v>7851.15</v>
      </c>
      <c r="BL3670" s="2" t="s">
        <v>10608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2551</v>
      </c>
      <c r="BV3670" s="2" t="s">
        <v>97</v>
      </c>
      <c r="BW3670" s="2" t="s">
        <v>100</v>
      </c>
      <c r="BX3670" s="2" t="s">
        <v>100</v>
      </c>
      <c r="BY3670" s="2" t="s">
        <v>112</v>
      </c>
      <c r="BZ3670" s="2" t="s">
        <v>149</v>
      </c>
    </row>
    <row r="3671">
      <c r="A3671" s="2" t="s">
        <v>11716</v>
      </c>
      <c r="B3671" s="2" t="s">
        <v>11630</v>
      </c>
      <c r="C3671" s="2" t="s">
        <v>3449</v>
      </c>
      <c r="D3671" s="2" t="s">
        <v>89</v>
      </c>
      <c r="E3671" s="2" t="s">
        <v>90</v>
      </c>
      <c r="F3671" s="2" t="s">
        <v>11711</v>
      </c>
      <c r="G3671" s="2" t="s">
        <v>1981</v>
      </c>
      <c r="H3671" s="2" t="s">
        <v>11712</v>
      </c>
      <c r="I3671" s="2" t="s">
        <v>11713</v>
      </c>
      <c r="J3671" s="2" t="s">
        <v>522</v>
      </c>
      <c r="K3671" s="2" t="s">
        <v>471</v>
      </c>
      <c r="L3671" s="3">
        <v>36.67</v>
      </c>
      <c r="M3671" s="3">
        <v>38.5</v>
      </c>
      <c r="N3671" s="3">
        <v>79.99</v>
      </c>
      <c r="O3671" s="2" t="s">
        <v>97</v>
      </c>
      <c r="P3671" s="2" t="s">
        <v>317</v>
      </c>
      <c r="Q3671" s="2" t="s">
        <v>99</v>
      </c>
      <c r="R3671" s="2" t="s">
        <v>100</v>
      </c>
      <c r="S3671" s="2" t="s">
        <v>11714</v>
      </c>
      <c r="T3671" s="2" t="s">
        <v>438</v>
      </c>
      <c r="U3671" s="2" t="s">
        <v>1228</v>
      </c>
      <c r="V3671" s="2" t="s">
        <v>547</v>
      </c>
      <c r="W3671" s="2" t="s">
        <v>493</v>
      </c>
      <c r="X3671" s="2" t="s">
        <v>609</v>
      </c>
      <c r="Y3671" s="2" t="s">
        <v>11715</v>
      </c>
      <c r="Z3671" s="4">
        <v>1039</v>
      </c>
      <c r="AA3671" s="4">
        <f>=ROUNDDOWN(11.2934782608696,0)</f>
      </c>
      <c r="AB3671" s="5">
        <v>92</v>
      </c>
      <c r="AC3671" s="2" t="s">
        <v>107</v>
      </c>
      <c r="AD3671" s="4">
        <v>120</v>
      </c>
      <c r="AE3671" s="4">
        <v>3290</v>
      </c>
      <c r="AF3671" s="6">
        <v>65</v>
      </c>
      <c r="AG3671" s="6">
        <v>48</v>
      </c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/>
      <c r="AQ3671" s="8"/>
      <c r="AR3671" s="4"/>
      <c r="AS3671" s="8"/>
      <c r="AT3671" s="7"/>
      <c r="AU3671" s="7"/>
      <c r="AV3671" s="4" t="s">
        <v>100</v>
      </c>
      <c r="AW3671" s="8" t="s">
        <v>100</v>
      </c>
      <c r="AX3671" s="4" t="s">
        <v>100</v>
      </c>
      <c r="AY3671" s="8" t="s">
        <v>100</v>
      </c>
      <c r="AZ3671" s="7" t="s">
        <v>100</v>
      </c>
      <c r="BA3671" s="7" t="s">
        <v>100</v>
      </c>
      <c r="BB3671" s="7"/>
      <c r="BC3671" s="4" t="s">
        <v>100</v>
      </c>
      <c r="BD3671" s="8" t="s">
        <v>100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/>
      <c r="BJ3671" s="4">
        <v>244</v>
      </c>
      <c r="BK3671" s="8">
        <v>9943.12</v>
      </c>
      <c r="BL3671" s="2" t="s">
        <v>11717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2551</v>
      </c>
      <c r="BV3671" s="2" t="s">
        <v>97</v>
      </c>
      <c r="BW3671" s="2" t="s">
        <v>100</v>
      </c>
      <c r="BX3671" s="2" t="s">
        <v>100</v>
      </c>
      <c r="BY3671" s="2" t="s">
        <v>112</v>
      </c>
      <c r="BZ3671" s="2" t="s">
        <v>149</v>
      </c>
    </row>
    <row r="3672">
      <c r="A3672" s="2" t="s">
        <v>11718</v>
      </c>
      <c r="B3672" s="2" t="s">
        <v>11630</v>
      </c>
      <c r="C3672" s="2" t="s">
        <v>3449</v>
      </c>
      <c r="D3672" s="2" t="s">
        <v>89</v>
      </c>
      <c r="E3672" s="2" t="s">
        <v>90</v>
      </c>
      <c r="F3672" s="2" t="s">
        <v>11711</v>
      </c>
      <c r="G3672" s="2" t="s">
        <v>1981</v>
      </c>
      <c r="H3672" s="2" t="s">
        <v>11712</v>
      </c>
      <c r="I3672" s="2" t="s">
        <v>11713</v>
      </c>
      <c r="J3672" s="2" t="s">
        <v>529</v>
      </c>
      <c r="K3672" s="2" t="s">
        <v>471</v>
      </c>
      <c r="L3672" s="3">
        <v>39.5</v>
      </c>
      <c r="M3672" s="3">
        <v>41.48</v>
      </c>
      <c r="N3672" s="3">
        <v>89.99</v>
      </c>
      <c r="O3672" s="2" t="s">
        <v>97</v>
      </c>
      <c r="P3672" s="2" t="s">
        <v>317</v>
      </c>
      <c r="Q3672" s="2" t="s">
        <v>99</v>
      </c>
      <c r="R3672" s="2" t="s">
        <v>100</v>
      </c>
      <c r="S3672" s="2" t="s">
        <v>11719</v>
      </c>
      <c r="T3672" s="2" t="s">
        <v>438</v>
      </c>
      <c r="U3672" s="2" t="s">
        <v>1228</v>
      </c>
      <c r="V3672" s="2" t="s">
        <v>547</v>
      </c>
      <c r="W3672" s="2" t="s">
        <v>493</v>
      </c>
      <c r="X3672" s="2" t="s">
        <v>609</v>
      </c>
      <c r="Y3672" s="2" t="s">
        <v>11720</v>
      </c>
      <c r="Z3672" s="4">
        <v>990</v>
      </c>
      <c r="AA3672" s="4">
        <f>=ROUNDDOWN(49.5,0)</f>
      </c>
      <c r="AB3672" s="5">
        <v>20</v>
      </c>
      <c r="AC3672" s="2" t="s">
        <v>130</v>
      </c>
      <c r="AD3672" s="4">
        <v>100</v>
      </c>
      <c r="AE3672" s="4">
        <v>500</v>
      </c>
      <c r="AF3672" s="6">
        <v>65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/>
      <c r="AQ3672" s="8"/>
      <c r="AR3672" s="4"/>
      <c r="AS3672" s="8"/>
      <c r="AT3672" s="7"/>
      <c r="AU3672" s="7"/>
      <c r="AV3672" s="4" t="s">
        <v>100</v>
      </c>
      <c r="AW3672" s="8" t="s">
        <v>100</v>
      </c>
      <c r="AX3672" s="4" t="s">
        <v>100</v>
      </c>
      <c r="AY3672" s="8" t="s">
        <v>100</v>
      </c>
      <c r="AZ3672" s="7" t="s">
        <v>100</v>
      </c>
      <c r="BA3672" s="7" t="s">
        <v>100</v>
      </c>
      <c r="BB3672" s="7"/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/>
      <c r="BJ3672" s="4">
        <v>14</v>
      </c>
      <c r="BK3672" s="8">
        <v>603.02</v>
      </c>
      <c r="BL3672" s="2" t="s">
        <v>11721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171</v>
      </c>
      <c r="BV3672" s="2" t="s">
        <v>97</v>
      </c>
      <c r="BW3672" s="2" t="s">
        <v>100</v>
      </c>
      <c r="BX3672" s="2" t="s">
        <v>100</v>
      </c>
      <c r="BY3672" s="2" t="s">
        <v>112</v>
      </c>
      <c r="BZ3672" s="2" t="s">
        <v>100</v>
      </c>
    </row>
    <row r="3673">
      <c r="A3673" s="2" t="s">
        <v>11722</v>
      </c>
      <c r="B3673" s="2" t="s">
        <v>11630</v>
      </c>
      <c r="C3673" s="2" t="s">
        <v>3449</v>
      </c>
      <c r="D3673" s="2" t="s">
        <v>89</v>
      </c>
      <c r="E3673" s="2" t="s">
        <v>90</v>
      </c>
      <c r="F3673" s="2" t="s">
        <v>11711</v>
      </c>
      <c r="G3673" s="2" t="s">
        <v>1981</v>
      </c>
      <c r="H3673" s="2" t="s">
        <v>11712</v>
      </c>
      <c r="I3673" s="2" t="s">
        <v>11713</v>
      </c>
      <c r="J3673" s="2" t="s">
        <v>352</v>
      </c>
      <c r="K3673" s="2" t="s">
        <v>4362</v>
      </c>
      <c r="L3673" s="3">
        <v>31.25</v>
      </c>
      <c r="M3673" s="3">
        <v>32.81</v>
      </c>
      <c r="N3673" s="3">
        <v>69.99</v>
      </c>
      <c r="O3673" s="2" t="s">
        <v>97</v>
      </c>
      <c r="P3673" s="2" t="s">
        <v>98</v>
      </c>
      <c r="Q3673" s="2" t="s">
        <v>99</v>
      </c>
      <c r="R3673" s="2" t="s">
        <v>100</v>
      </c>
      <c r="S3673" s="2" t="s">
        <v>11723</v>
      </c>
      <c r="T3673" s="2" t="s">
        <v>438</v>
      </c>
      <c r="U3673" s="2" t="s">
        <v>901</v>
      </c>
      <c r="V3673" s="2" t="s">
        <v>547</v>
      </c>
      <c r="W3673" s="2" t="s">
        <v>493</v>
      </c>
      <c r="X3673" s="2" t="s">
        <v>609</v>
      </c>
      <c r="Y3673" s="2" t="s">
        <v>100</v>
      </c>
      <c r="Z3673" s="4"/>
      <c r="AA3673" s="4">
        <f>=ROUNDDOWN({0},0)</f>
      </c>
      <c r="AB3673" s="5"/>
      <c r="AC3673" s="2" t="s">
        <v>7982</v>
      </c>
      <c r="AD3673" s="4">
        <v>145</v>
      </c>
      <c r="AE3673" s="4">
        <v>290</v>
      </c>
      <c r="AF3673" s="6">
        <v>65</v>
      </c>
      <c r="AG3673" s="6"/>
      <c r="AH3673" s="7">
        <v>0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/>
      <c r="AQ3673" s="8"/>
      <c r="AR3673" s="4"/>
      <c r="AS3673" s="8"/>
      <c r="AT3673" s="7"/>
      <c r="AU3673" s="7"/>
      <c r="AV3673" s="4" t="s">
        <v>100</v>
      </c>
      <c r="AW3673" s="8" t="s">
        <v>100</v>
      </c>
      <c r="AX3673" s="4" t="s">
        <v>100</v>
      </c>
      <c r="AY3673" s="8" t="s">
        <v>100</v>
      </c>
      <c r="AZ3673" s="7" t="s">
        <v>100</v>
      </c>
      <c r="BA3673" s="7" t="s">
        <v>100</v>
      </c>
      <c r="BB3673" s="7"/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/>
      <c r="BJ3673" s="4"/>
      <c r="BK3673" s="8"/>
      <c r="BL3673" s="2" t="s">
        <v>100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2526</v>
      </c>
      <c r="BV3673" s="2" t="s">
        <v>97</v>
      </c>
      <c r="BW3673" s="2" t="s">
        <v>100</v>
      </c>
      <c r="BX3673" s="2" t="s">
        <v>100</v>
      </c>
      <c r="BY3673" s="2" t="s">
        <v>112</v>
      </c>
      <c r="BZ3673" s="2" t="s">
        <v>100</v>
      </c>
    </row>
    <row r="3674">
      <c r="A3674" s="2" t="s">
        <v>11724</v>
      </c>
      <c r="B3674" s="2" t="s">
        <v>11630</v>
      </c>
      <c r="C3674" s="2" t="s">
        <v>3449</v>
      </c>
      <c r="D3674" s="2" t="s">
        <v>89</v>
      </c>
      <c r="E3674" s="2" t="s">
        <v>90</v>
      </c>
      <c r="F3674" s="2" t="s">
        <v>11711</v>
      </c>
      <c r="G3674" s="2" t="s">
        <v>1981</v>
      </c>
      <c r="H3674" s="2" t="s">
        <v>11712</v>
      </c>
      <c r="I3674" s="2" t="s">
        <v>11713</v>
      </c>
      <c r="J3674" s="2" t="s">
        <v>522</v>
      </c>
      <c r="K3674" s="2" t="s">
        <v>4362</v>
      </c>
      <c r="L3674" s="3">
        <v>36.67</v>
      </c>
      <c r="M3674" s="3">
        <v>38.5</v>
      </c>
      <c r="N3674" s="3">
        <v>79.99</v>
      </c>
      <c r="O3674" s="2" t="s">
        <v>97</v>
      </c>
      <c r="P3674" s="2" t="s">
        <v>98</v>
      </c>
      <c r="Q3674" s="2" t="s">
        <v>99</v>
      </c>
      <c r="R3674" s="2" t="s">
        <v>100</v>
      </c>
      <c r="S3674" s="2" t="s">
        <v>11723</v>
      </c>
      <c r="T3674" s="2" t="s">
        <v>438</v>
      </c>
      <c r="U3674" s="2" t="s">
        <v>1228</v>
      </c>
      <c r="V3674" s="2" t="s">
        <v>547</v>
      </c>
      <c r="W3674" s="2" t="s">
        <v>493</v>
      </c>
      <c r="X3674" s="2" t="s">
        <v>609</v>
      </c>
      <c r="Y3674" s="2" t="s">
        <v>100</v>
      </c>
      <c r="Z3674" s="4"/>
      <c r="AA3674" s="4">
        <f>=ROUNDDOWN({0},0)</f>
      </c>
      <c r="AB3674" s="5"/>
      <c r="AC3674" s="2" t="s">
        <v>7982</v>
      </c>
      <c r="AD3674" s="4">
        <v>265</v>
      </c>
      <c r="AE3674" s="4">
        <v>530</v>
      </c>
      <c r="AF3674" s="6">
        <v>65</v>
      </c>
      <c r="AG3674" s="6"/>
      <c r="AH3674" s="7">
        <v>0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/>
      <c r="AQ3674" s="8"/>
      <c r="AR3674" s="4"/>
      <c r="AS3674" s="8"/>
      <c r="AT3674" s="7"/>
      <c r="AU3674" s="7"/>
      <c r="AV3674" s="4" t="s">
        <v>100</v>
      </c>
      <c r="AW3674" s="8" t="s">
        <v>100</v>
      </c>
      <c r="AX3674" s="4" t="s">
        <v>100</v>
      </c>
      <c r="AY3674" s="8" t="s">
        <v>100</v>
      </c>
      <c r="AZ3674" s="7" t="s">
        <v>100</v>
      </c>
      <c r="BA3674" s="7" t="s">
        <v>100</v>
      </c>
      <c r="BB3674" s="7"/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/>
      <c r="BJ3674" s="4"/>
      <c r="BK3674" s="8"/>
      <c r="BL3674" s="2" t="s">
        <v>100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2526</v>
      </c>
      <c r="BV3674" s="2" t="s">
        <v>97</v>
      </c>
      <c r="BW3674" s="2" t="s">
        <v>100</v>
      </c>
      <c r="BX3674" s="2" t="s">
        <v>100</v>
      </c>
      <c r="BY3674" s="2" t="s">
        <v>112</v>
      </c>
      <c r="BZ3674" s="2" t="s">
        <v>100</v>
      </c>
    </row>
    <row r="3675">
      <c r="A3675" s="2" t="s">
        <v>11725</v>
      </c>
      <c r="B3675" s="2" t="s">
        <v>11630</v>
      </c>
      <c r="C3675" s="2" t="s">
        <v>3449</v>
      </c>
      <c r="D3675" s="2" t="s">
        <v>89</v>
      </c>
      <c r="E3675" s="2" t="s">
        <v>90</v>
      </c>
      <c r="F3675" s="2" t="s">
        <v>11711</v>
      </c>
      <c r="G3675" s="2" t="s">
        <v>1981</v>
      </c>
      <c r="H3675" s="2" t="s">
        <v>11712</v>
      </c>
      <c r="I3675" s="2" t="s">
        <v>11713</v>
      </c>
      <c r="J3675" s="2" t="s">
        <v>529</v>
      </c>
      <c r="K3675" s="2" t="s">
        <v>4362</v>
      </c>
      <c r="L3675" s="3">
        <v>39.5</v>
      </c>
      <c r="M3675" s="3">
        <v>41.48</v>
      </c>
      <c r="N3675" s="3">
        <v>89.99</v>
      </c>
      <c r="O3675" s="2" t="s">
        <v>97</v>
      </c>
      <c r="P3675" s="2" t="s">
        <v>98</v>
      </c>
      <c r="Q3675" s="2" t="s">
        <v>99</v>
      </c>
      <c r="R3675" s="2" t="s">
        <v>100</v>
      </c>
      <c r="S3675" s="2" t="s">
        <v>11723</v>
      </c>
      <c r="T3675" s="2" t="s">
        <v>438</v>
      </c>
      <c r="U3675" s="2" t="s">
        <v>1228</v>
      </c>
      <c r="V3675" s="2" t="s">
        <v>547</v>
      </c>
      <c r="W3675" s="2" t="s">
        <v>493</v>
      </c>
      <c r="X3675" s="2" t="s">
        <v>609</v>
      </c>
      <c r="Y3675" s="2" t="s">
        <v>100</v>
      </c>
      <c r="Z3675" s="4"/>
      <c r="AA3675" s="4">
        <f>=ROUNDDOWN({0},0)</f>
      </c>
      <c r="AB3675" s="5"/>
      <c r="AC3675" s="2" t="s">
        <v>7982</v>
      </c>
      <c r="AD3675" s="4">
        <v>90</v>
      </c>
      <c r="AE3675" s="4">
        <v>180</v>
      </c>
      <c r="AF3675" s="6">
        <v>65</v>
      </c>
      <c r="AG3675" s="6"/>
      <c r="AH3675" s="7">
        <v>0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/>
      <c r="AQ3675" s="8"/>
      <c r="AR3675" s="4"/>
      <c r="AS3675" s="8"/>
      <c r="AT3675" s="7"/>
      <c r="AU3675" s="7"/>
      <c r="AV3675" s="4" t="s">
        <v>100</v>
      </c>
      <c r="AW3675" s="8" t="s">
        <v>100</v>
      </c>
      <c r="AX3675" s="4" t="s">
        <v>100</v>
      </c>
      <c r="AY3675" s="8" t="s">
        <v>100</v>
      </c>
      <c r="AZ3675" s="7" t="s">
        <v>100</v>
      </c>
      <c r="BA3675" s="7" t="s">
        <v>100</v>
      </c>
      <c r="BB3675" s="7"/>
      <c r="BC3675" s="4" t="s">
        <v>100</v>
      </c>
      <c r="BD3675" s="8" t="s">
        <v>100</v>
      </c>
      <c r="BE3675" s="4" t="s">
        <v>100</v>
      </c>
      <c r="BF3675" s="8" t="s">
        <v>100</v>
      </c>
      <c r="BG3675" s="7" t="s">
        <v>100</v>
      </c>
      <c r="BH3675" s="7" t="s">
        <v>100</v>
      </c>
      <c r="BI3675" s="7"/>
      <c r="BJ3675" s="4"/>
      <c r="BK3675" s="8"/>
      <c r="BL3675" s="2" t="s">
        <v>100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2526</v>
      </c>
      <c r="BV3675" s="2" t="s">
        <v>97</v>
      </c>
      <c r="BW3675" s="2" t="s">
        <v>100</v>
      </c>
      <c r="BX3675" s="2" t="s">
        <v>100</v>
      </c>
      <c r="BY3675" s="2" t="s">
        <v>112</v>
      </c>
      <c r="BZ3675" s="2" t="s">
        <v>100</v>
      </c>
    </row>
    <row r="3676">
      <c r="A3676" s="2" t="s">
        <v>11726</v>
      </c>
      <c r="B3676" s="2" t="s">
        <v>11630</v>
      </c>
      <c r="C3676" s="2" t="s">
        <v>3449</v>
      </c>
      <c r="D3676" s="2" t="s">
        <v>89</v>
      </c>
      <c r="E3676" s="2" t="s">
        <v>90</v>
      </c>
      <c r="F3676" s="2" t="s">
        <v>11711</v>
      </c>
      <c r="G3676" s="2" t="s">
        <v>1981</v>
      </c>
      <c r="H3676" s="2" t="s">
        <v>11712</v>
      </c>
      <c r="I3676" s="2" t="s">
        <v>11713</v>
      </c>
      <c r="J3676" s="2" t="s">
        <v>352</v>
      </c>
      <c r="K3676" s="2" t="s">
        <v>5281</v>
      </c>
      <c r="L3676" s="3">
        <v>31.25</v>
      </c>
      <c r="M3676" s="3">
        <v>32.81</v>
      </c>
      <c r="N3676" s="3">
        <v>69.99</v>
      </c>
      <c r="O3676" s="2" t="s">
        <v>97</v>
      </c>
      <c r="P3676" s="2" t="s">
        <v>156</v>
      </c>
      <c r="Q3676" s="2" t="s">
        <v>99</v>
      </c>
      <c r="R3676" s="2" t="s">
        <v>100</v>
      </c>
      <c r="S3676" s="2" t="s">
        <v>11727</v>
      </c>
      <c r="T3676" s="2" t="s">
        <v>438</v>
      </c>
      <c r="U3676" s="2" t="s">
        <v>901</v>
      </c>
      <c r="V3676" s="2" t="s">
        <v>547</v>
      </c>
      <c r="W3676" s="2" t="s">
        <v>493</v>
      </c>
      <c r="X3676" s="2" t="s">
        <v>609</v>
      </c>
      <c r="Y3676" s="2" t="s">
        <v>11728</v>
      </c>
      <c r="Z3676" s="4">
        <v>412</v>
      </c>
      <c r="AA3676" s="4">
        <f>=ROUNDDOWN(25.75,0)</f>
      </c>
      <c r="AB3676" s="5">
        <v>16</v>
      </c>
      <c r="AC3676" s="2" t="s">
        <v>145</v>
      </c>
      <c r="AD3676" s="4">
        <v>200</v>
      </c>
      <c r="AE3676" s="4">
        <v>800</v>
      </c>
      <c r="AF3676" s="6">
        <v>65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/>
      <c r="AQ3676" s="8"/>
      <c r="AR3676" s="4"/>
      <c r="AS3676" s="8"/>
      <c r="AT3676" s="7"/>
      <c r="AU3676" s="7"/>
      <c r="AV3676" s="4" t="s">
        <v>100</v>
      </c>
      <c r="AW3676" s="8" t="s">
        <v>100</v>
      </c>
      <c r="AX3676" s="4" t="s">
        <v>100</v>
      </c>
      <c r="AY3676" s="8" t="s">
        <v>100</v>
      </c>
      <c r="AZ3676" s="7" t="s">
        <v>100</v>
      </c>
      <c r="BA3676" s="7" t="s">
        <v>100</v>
      </c>
      <c r="BB3676" s="7"/>
      <c r="BC3676" s="4" t="s">
        <v>100</v>
      </c>
      <c r="BD3676" s="8" t="s">
        <v>100</v>
      </c>
      <c r="BE3676" s="4" t="s">
        <v>100</v>
      </c>
      <c r="BF3676" s="8" t="s">
        <v>100</v>
      </c>
      <c r="BG3676" s="7" t="s">
        <v>100</v>
      </c>
      <c r="BH3676" s="7" t="s">
        <v>100</v>
      </c>
      <c r="BI3676" s="7"/>
      <c r="BJ3676" s="4">
        <v>23</v>
      </c>
      <c r="BK3676" s="8">
        <v>775.91</v>
      </c>
      <c r="BL3676" s="2" t="s">
        <v>2206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171</v>
      </c>
      <c r="BV3676" s="2" t="s">
        <v>97</v>
      </c>
      <c r="BW3676" s="2" t="s">
        <v>100</v>
      </c>
      <c r="BX3676" s="2" t="s">
        <v>100</v>
      </c>
      <c r="BY3676" s="2" t="s">
        <v>112</v>
      </c>
      <c r="BZ3676" s="2" t="s">
        <v>100</v>
      </c>
    </row>
    <row r="3677">
      <c r="A3677" s="2" t="s">
        <v>11729</v>
      </c>
      <c r="B3677" s="2" t="s">
        <v>11630</v>
      </c>
      <c r="C3677" s="2" t="s">
        <v>3449</v>
      </c>
      <c r="D3677" s="2" t="s">
        <v>89</v>
      </c>
      <c r="E3677" s="2" t="s">
        <v>90</v>
      </c>
      <c r="F3677" s="2" t="s">
        <v>11711</v>
      </c>
      <c r="G3677" s="2" t="s">
        <v>1981</v>
      </c>
      <c r="H3677" s="2" t="s">
        <v>11712</v>
      </c>
      <c r="I3677" s="2" t="s">
        <v>11713</v>
      </c>
      <c r="J3677" s="2" t="s">
        <v>522</v>
      </c>
      <c r="K3677" s="2" t="s">
        <v>5281</v>
      </c>
      <c r="L3677" s="3">
        <v>36.67</v>
      </c>
      <c r="M3677" s="3">
        <v>38.5</v>
      </c>
      <c r="N3677" s="3">
        <v>79.99</v>
      </c>
      <c r="O3677" s="2" t="s">
        <v>97</v>
      </c>
      <c r="P3677" s="2" t="s">
        <v>156</v>
      </c>
      <c r="Q3677" s="2" t="s">
        <v>99</v>
      </c>
      <c r="R3677" s="2" t="s">
        <v>100</v>
      </c>
      <c r="S3677" s="2" t="s">
        <v>11727</v>
      </c>
      <c r="T3677" s="2" t="s">
        <v>438</v>
      </c>
      <c r="U3677" s="2" t="s">
        <v>1228</v>
      </c>
      <c r="V3677" s="2" t="s">
        <v>547</v>
      </c>
      <c r="W3677" s="2" t="s">
        <v>493</v>
      </c>
      <c r="X3677" s="2" t="s">
        <v>609</v>
      </c>
      <c r="Y3677" s="2" t="s">
        <v>11728</v>
      </c>
      <c r="Z3677" s="4">
        <v>644</v>
      </c>
      <c r="AA3677" s="4">
        <f>=ROUNDDOWN(21.4666666666667,0)</f>
      </c>
      <c r="AB3677" s="5">
        <v>30</v>
      </c>
      <c r="AC3677" s="2" t="s">
        <v>145</v>
      </c>
      <c r="AD3677" s="4">
        <v>300</v>
      </c>
      <c r="AE3677" s="4">
        <v>1200</v>
      </c>
      <c r="AF3677" s="6">
        <v>65</v>
      </c>
      <c r="AG3677" s="6"/>
      <c r="AH3677" s="7">
        <v>1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</v>
      </c>
      <c r="AP3677" s="4"/>
      <c r="AQ3677" s="8"/>
      <c r="AR3677" s="4"/>
      <c r="AS3677" s="8"/>
      <c r="AT3677" s="7"/>
      <c r="AU3677" s="7"/>
      <c r="AV3677" s="4" t="s">
        <v>100</v>
      </c>
      <c r="AW3677" s="8" t="s">
        <v>100</v>
      </c>
      <c r="AX3677" s="4" t="s">
        <v>100</v>
      </c>
      <c r="AY3677" s="8" t="s">
        <v>100</v>
      </c>
      <c r="AZ3677" s="7" t="s">
        <v>100</v>
      </c>
      <c r="BA3677" s="7" t="s">
        <v>100</v>
      </c>
      <c r="BB3677" s="7"/>
      <c r="BC3677" s="4" t="s">
        <v>100</v>
      </c>
      <c r="BD3677" s="8" t="s">
        <v>100</v>
      </c>
      <c r="BE3677" s="4" t="s">
        <v>100</v>
      </c>
      <c r="BF3677" s="8" t="s">
        <v>100</v>
      </c>
      <c r="BG3677" s="7" t="s">
        <v>100</v>
      </c>
      <c r="BH3677" s="7" t="s">
        <v>100</v>
      </c>
      <c r="BI3677" s="7"/>
      <c r="BJ3677" s="4">
        <v>49</v>
      </c>
      <c r="BK3677" s="8">
        <v>2050.57</v>
      </c>
      <c r="BL3677" s="2" t="s">
        <v>11730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171</v>
      </c>
      <c r="BV3677" s="2" t="s">
        <v>97</v>
      </c>
      <c r="BW3677" s="2" t="s">
        <v>100</v>
      </c>
      <c r="BX3677" s="2" t="s">
        <v>100</v>
      </c>
      <c r="BY3677" s="2" t="s">
        <v>112</v>
      </c>
      <c r="BZ3677" s="2" t="s">
        <v>100</v>
      </c>
    </row>
    <row r="3678">
      <c r="A3678" s="2" t="s">
        <v>11731</v>
      </c>
      <c r="B3678" s="2" t="s">
        <v>11630</v>
      </c>
      <c r="C3678" s="2" t="s">
        <v>3449</v>
      </c>
      <c r="D3678" s="2" t="s">
        <v>89</v>
      </c>
      <c r="E3678" s="2" t="s">
        <v>90</v>
      </c>
      <c r="F3678" s="2" t="s">
        <v>11711</v>
      </c>
      <c r="G3678" s="2" t="s">
        <v>1981</v>
      </c>
      <c r="H3678" s="2" t="s">
        <v>11712</v>
      </c>
      <c r="I3678" s="2" t="s">
        <v>11713</v>
      </c>
      <c r="J3678" s="2" t="s">
        <v>529</v>
      </c>
      <c r="K3678" s="2" t="s">
        <v>5281</v>
      </c>
      <c r="L3678" s="3">
        <v>39.5</v>
      </c>
      <c r="M3678" s="3">
        <v>41.48</v>
      </c>
      <c r="N3678" s="3">
        <v>89.99</v>
      </c>
      <c r="O3678" s="2" t="s">
        <v>97</v>
      </c>
      <c r="P3678" s="2" t="s">
        <v>156</v>
      </c>
      <c r="Q3678" s="2" t="s">
        <v>99</v>
      </c>
      <c r="R3678" s="2" t="s">
        <v>100</v>
      </c>
      <c r="S3678" s="2" t="s">
        <v>11727</v>
      </c>
      <c r="T3678" s="2" t="s">
        <v>438</v>
      </c>
      <c r="U3678" s="2" t="s">
        <v>1228</v>
      </c>
      <c r="V3678" s="2" t="s">
        <v>547</v>
      </c>
      <c r="W3678" s="2" t="s">
        <v>493</v>
      </c>
      <c r="X3678" s="2" t="s">
        <v>609</v>
      </c>
      <c r="Y3678" s="2" t="s">
        <v>11728</v>
      </c>
      <c r="Z3678" s="4">
        <v>425</v>
      </c>
      <c r="AA3678" s="4">
        <f>=ROUNDDOWN(38.6363636363636,0)</f>
      </c>
      <c r="AB3678" s="5">
        <v>11</v>
      </c>
      <c r="AC3678" s="2" t="s">
        <v>145</v>
      </c>
      <c r="AD3678" s="4">
        <v>150</v>
      </c>
      <c r="AE3678" s="4">
        <v>370</v>
      </c>
      <c r="AF3678" s="6">
        <v>65</v>
      </c>
      <c r="AG3678" s="6"/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/>
      <c r="AQ3678" s="8"/>
      <c r="AR3678" s="4"/>
      <c r="AS3678" s="8"/>
      <c r="AT3678" s="7"/>
      <c r="AU3678" s="7"/>
      <c r="AV3678" s="4" t="s">
        <v>100</v>
      </c>
      <c r="AW3678" s="8" t="s">
        <v>100</v>
      </c>
      <c r="AX3678" s="4" t="s">
        <v>100</v>
      </c>
      <c r="AY3678" s="8" t="s">
        <v>100</v>
      </c>
      <c r="AZ3678" s="7" t="s">
        <v>100</v>
      </c>
      <c r="BA3678" s="7" t="s">
        <v>100</v>
      </c>
      <c r="BB3678" s="7"/>
      <c r="BC3678" s="4" t="s">
        <v>100</v>
      </c>
      <c r="BD3678" s="8" t="s">
        <v>100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/>
      <c r="BJ3678" s="4">
        <v>9</v>
      </c>
      <c r="BK3678" s="8">
        <v>382.04</v>
      </c>
      <c r="BL3678" s="2" t="s">
        <v>3836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171</v>
      </c>
      <c r="BV3678" s="2" t="s">
        <v>97</v>
      </c>
      <c r="BW3678" s="2" t="s">
        <v>100</v>
      </c>
      <c r="BX3678" s="2" t="s">
        <v>100</v>
      </c>
      <c r="BY3678" s="2" t="s">
        <v>112</v>
      </c>
      <c r="BZ3678" s="2" t="s">
        <v>100</v>
      </c>
    </row>
    <row r="3679">
      <c r="A3679" s="2" t="s">
        <v>11732</v>
      </c>
      <c r="B3679" s="2" t="s">
        <v>11630</v>
      </c>
      <c r="C3679" s="2" t="s">
        <v>3449</v>
      </c>
      <c r="D3679" s="2" t="s">
        <v>89</v>
      </c>
      <c r="E3679" s="2" t="s">
        <v>90</v>
      </c>
      <c r="F3679" s="2" t="s">
        <v>11733</v>
      </c>
      <c r="G3679" s="2" t="s">
        <v>11734</v>
      </c>
      <c r="H3679" s="2" t="s">
        <v>7528</v>
      </c>
      <c r="I3679" s="2" t="s">
        <v>11735</v>
      </c>
      <c r="J3679" s="2" t="s">
        <v>529</v>
      </c>
      <c r="K3679" s="2" t="s">
        <v>2990</v>
      </c>
      <c r="L3679" s="3">
        <v>38.07</v>
      </c>
      <c r="M3679" s="3">
        <v>39.97</v>
      </c>
      <c r="N3679" s="3">
        <v>84.99</v>
      </c>
      <c r="O3679" s="2" t="s">
        <v>97</v>
      </c>
      <c r="P3679" s="2" t="s">
        <v>156</v>
      </c>
      <c r="Q3679" s="2" t="s">
        <v>99</v>
      </c>
      <c r="R3679" s="2" t="s">
        <v>100</v>
      </c>
      <c r="S3679" s="2" t="s">
        <v>11736</v>
      </c>
      <c r="T3679" s="2" t="s">
        <v>438</v>
      </c>
      <c r="U3679" s="2" t="s">
        <v>460</v>
      </c>
      <c r="V3679" s="2" t="s">
        <v>192</v>
      </c>
      <c r="W3679" s="2" t="s">
        <v>142</v>
      </c>
      <c r="X3679" s="2" t="s">
        <v>194</v>
      </c>
      <c r="Y3679" s="2" t="s">
        <v>11737</v>
      </c>
      <c r="Z3679" s="4">
        <v>175</v>
      </c>
      <c r="AA3679" s="4">
        <f>=ROUNDDOWN(8.75,0)</f>
      </c>
      <c r="AB3679" s="5">
        <v>20</v>
      </c>
      <c r="AC3679" s="2" t="s">
        <v>911</v>
      </c>
      <c r="AD3679" s="4">
        <v>200</v>
      </c>
      <c r="AE3679" s="4">
        <v>460</v>
      </c>
      <c r="AF3679" s="6">
        <v>64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/>
      <c r="BD3679" s="8"/>
      <c r="BE3679" s="4"/>
      <c r="BF3679" s="8"/>
      <c r="BG3679" s="7"/>
      <c r="BH3679" s="7"/>
      <c r="BI3679" s="7"/>
      <c r="BJ3679" s="4">
        <v>63</v>
      </c>
      <c r="BK3679" s="8">
        <v>2934.13</v>
      </c>
      <c r="BL3679" s="2" t="s">
        <v>11738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171</v>
      </c>
      <c r="BV3679" s="2" t="s">
        <v>97</v>
      </c>
      <c r="BW3679" s="2" t="s">
        <v>100</v>
      </c>
      <c r="BX3679" s="2" t="s">
        <v>100</v>
      </c>
      <c r="BY3679" s="2" t="s">
        <v>112</v>
      </c>
      <c r="BZ3679" s="2" t="s">
        <v>149</v>
      </c>
    </row>
    <row r="3680">
      <c r="A3680" s="2" t="s">
        <v>11739</v>
      </c>
      <c r="B3680" s="2" t="s">
        <v>11630</v>
      </c>
      <c r="C3680" s="2" t="s">
        <v>3449</v>
      </c>
      <c r="D3680" s="2" t="s">
        <v>89</v>
      </c>
      <c r="E3680" s="2" t="s">
        <v>90</v>
      </c>
      <c r="F3680" s="2" t="s">
        <v>5025</v>
      </c>
      <c r="G3680" s="2" t="s">
        <v>5026</v>
      </c>
      <c r="H3680" s="2" t="s">
        <v>5027</v>
      </c>
      <c r="I3680" s="2" t="s">
        <v>11740</v>
      </c>
      <c r="J3680" s="2" t="s">
        <v>352</v>
      </c>
      <c r="K3680" s="2" t="s">
        <v>11531</v>
      </c>
      <c r="L3680" s="3">
        <v>35.19</v>
      </c>
      <c r="M3680" s="3">
        <v>36.95</v>
      </c>
      <c r="N3680" s="3">
        <v>69.99</v>
      </c>
      <c r="O3680" s="2" t="s">
        <v>97</v>
      </c>
      <c r="P3680" s="2" t="s">
        <v>98</v>
      </c>
      <c r="Q3680" s="2" t="s">
        <v>99</v>
      </c>
      <c r="R3680" s="2" t="s">
        <v>100</v>
      </c>
      <c r="S3680" s="2" t="s">
        <v>11532</v>
      </c>
      <c r="T3680" s="2" t="s">
        <v>438</v>
      </c>
      <c r="U3680" s="2" t="s">
        <v>1228</v>
      </c>
      <c r="V3680" s="2" t="s">
        <v>473</v>
      </c>
      <c r="W3680" s="2" t="s">
        <v>493</v>
      </c>
      <c r="X3680" s="2" t="s">
        <v>1136</v>
      </c>
      <c r="Y3680" s="2" t="s">
        <v>11741</v>
      </c>
      <c r="Z3680" s="4">
        <v>98</v>
      </c>
      <c r="AA3680" s="4">
        <f>=ROUNDDOWN(19.6,0)</f>
      </c>
      <c r="AB3680" s="5">
        <v>5</v>
      </c>
      <c r="AC3680" s="2" t="s">
        <v>145</v>
      </c>
      <c r="AD3680" s="4">
        <v>90</v>
      </c>
      <c r="AE3680" s="4">
        <v>210</v>
      </c>
      <c r="AF3680" s="6">
        <v>64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/>
      <c r="AQ3680" s="8"/>
      <c r="AR3680" s="4"/>
      <c r="AS3680" s="8"/>
      <c r="AT3680" s="7"/>
      <c r="AU3680" s="7"/>
      <c r="AV3680" s="4" t="s">
        <v>100</v>
      </c>
      <c r="AW3680" s="8" t="s">
        <v>100</v>
      </c>
      <c r="AX3680" s="4" t="s">
        <v>100</v>
      </c>
      <c r="AY3680" s="8" t="s">
        <v>100</v>
      </c>
      <c r="AZ3680" s="7" t="s">
        <v>100</v>
      </c>
      <c r="BA3680" s="7" t="s">
        <v>100</v>
      </c>
      <c r="BB3680" s="7"/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/>
      <c r="BJ3680" s="4">
        <v>9</v>
      </c>
      <c r="BK3680" s="8">
        <v>390.12</v>
      </c>
      <c r="BL3680" s="2" t="s">
        <v>11742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171</v>
      </c>
      <c r="BV3680" s="2" t="s">
        <v>97</v>
      </c>
      <c r="BW3680" s="2" t="s">
        <v>100</v>
      </c>
      <c r="BX3680" s="2" t="s">
        <v>100</v>
      </c>
      <c r="BY3680" s="2" t="s">
        <v>112</v>
      </c>
      <c r="BZ3680" s="2" t="s">
        <v>100</v>
      </c>
    </row>
    <row r="3681">
      <c r="A3681" s="2" t="s">
        <v>11743</v>
      </c>
      <c r="B3681" s="2" t="s">
        <v>11630</v>
      </c>
      <c r="C3681" s="2" t="s">
        <v>3449</v>
      </c>
      <c r="D3681" s="2" t="s">
        <v>89</v>
      </c>
      <c r="E3681" s="2" t="s">
        <v>90</v>
      </c>
      <c r="F3681" s="2" t="s">
        <v>5025</v>
      </c>
      <c r="G3681" s="2" t="s">
        <v>5026</v>
      </c>
      <c r="H3681" s="2" t="s">
        <v>5027</v>
      </c>
      <c r="I3681" s="2" t="s">
        <v>11740</v>
      </c>
      <c r="J3681" s="2" t="s">
        <v>522</v>
      </c>
      <c r="K3681" s="2" t="s">
        <v>11531</v>
      </c>
      <c r="L3681" s="3">
        <v>40.18</v>
      </c>
      <c r="M3681" s="3">
        <v>42.19</v>
      </c>
      <c r="N3681" s="3">
        <v>79.99</v>
      </c>
      <c r="O3681" s="2" t="s">
        <v>97</v>
      </c>
      <c r="P3681" s="2" t="s">
        <v>98</v>
      </c>
      <c r="Q3681" s="2" t="s">
        <v>99</v>
      </c>
      <c r="R3681" s="2" t="s">
        <v>100</v>
      </c>
      <c r="S3681" s="2" t="s">
        <v>100</v>
      </c>
      <c r="T3681" s="2" t="s">
        <v>438</v>
      </c>
      <c r="U3681" s="2" t="s">
        <v>460</v>
      </c>
      <c r="V3681" s="2" t="s">
        <v>473</v>
      </c>
      <c r="W3681" s="2" t="s">
        <v>493</v>
      </c>
      <c r="X3681" s="2" t="s">
        <v>1136</v>
      </c>
      <c r="Y3681" s="2" t="s">
        <v>11741</v>
      </c>
      <c r="Z3681" s="4">
        <v>90</v>
      </c>
      <c r="AA3681" s="4">
        <f>=ROUNDDOWN(6,0)</f>
      </c>
      <c r="AB3681" s="5">
        <v>15</v>
      </c>
      <c r="AC3681" s="2" t="s">
        <v>145</v>
      </c>
      <c r="AD3681" s="4">
        <v>170</v>
      </c>
      <c r="AE3681" s="4">
        <v>660</v>
      </c>
      <c r="AF3681" s="6">
        <v>64</v>
      </c>
      <c r="AG3681" s="6"/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/>
      <c r="AQ3681" s="8"/>
      <c r="AR3681" s="4"/>
      <c r="AS3681" s="8"/>
      <c r="AT3681" s="7"/>
      <c r="AU3681" s="7"/>
      <c r="AV3681" s="4" t="s">
        <v>100</v>
      </c>
      <c r="AW3681" s="8" t="s">
        <v>100</v>
      </c>
      <c r="AX3681" s="4" t="s">
        <v>100</v>
      </c>
      <c r="AY3681" s="8" t="s">
        <v>100</v>
      </c>
      <c r="AZ3681" s="7" t="s">
        <v>100</v>
      </c>
      <c r="BA3681" s="7" t="s">
        <v>100</v>
      </c>
      <c r="BB3681" s="7"/>
      <c r="BC3681" s="4" t="s">
        <v>100</v>
      </c>
      <c r="BD3681" s="8" t="s">
        <v>100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/>
      <c r="BJ3681" s="4">
        <v>68</v>
      </c>
      <c r="BK3681" s="8">
        <v>3189.77</v>
      </c>
      <c r="BL3681" s="2" t="s">
        <v>11744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171</v>
      </c>
      <c r="BV3681" s="2" t="s">
        <v>97</v>
      </c>
      <c r="BW3681" s="2" t="s">
        <v>100</v>
      </c>
      <c r="BX3681" s="2" t="s">
        <v>100</v>
      </c>
      <c r="BY3681" s="2" t="s">
        <v>112</v>
      </c>
      <c r="BZ3681" s="2" t="s">
        <v>100</v>
      </c>
    </row>
    <row r="3682">
      <c r="A3682" s="2" t="s">
        <v>11745</v>
      </c>
      <c r="B3682" s="2" t="s">
        <v>11630</v>
      </c>
      <c r="C3682" s="2" t="s">
        <v>3449</v>
      </c>
      <c r="D3682" s="2" t="s">
        <v>89</v>
      </c>
      <c r="E3682" s="2" t="s">
        <v>90</v>
      </c>
      <c r="F3682" s="2" t="s">
        <v>5025</v>
      </c>
      <c r="G3682" s="2" t="s">
        <v>5026</v>
      </c>
      <c r="H3682" s="2" t="s">
        <v>5027</v>
      </c>
      <c r="I3682" s="2" t="s">
        <v>11740</v>
      </c>
      <c r="J3682" s="2" t="s">
        <v>529</v>
      </c>
      <c r="K3682" s="2" t="s">
        <v>11531</v>
      </c>
      <c r="L3682" s="3">
        <v>45.36</v>
      </c>
      <c r="M3682" s="3">
        <v>47.63</v>
      </c>
      <c r="N3682" s="3">
        <v>89.99</v>
      </c>
      <c r="O3682" s="2" t="s">
        <v>97</v>
      </c>
      <c r="P3682" s="2" t="s">
        <v>98</v>
      </c>
      <c r="Q3682" s="2" t="s">
        <v>99</v>
      </c>
      <c r="R3682" s="2" t="s">
        <v>100</v>
      </c>
      <c r="S3682" s="2" t="s">
        <v>11532</v>
      </c>
      <c r="T3682" s="2" t="s">
        <v>438</v>
      </c>
      <c r="U3682" s="2" t="s">
        <v>460</v>
      </c>
      <c r="V3682" s="2" t="s">
        <v>473</v>
      </c>
      <c r="W3682" s="2" t="s">
        <v>493</v>
      </c>
      <c r="X3682" s="2" t="s">
        <v>1136</v>
      </c>
      <c r="Y3682" s="2" t="s">
        <v>11741</v>
      </c>
      <c r="Z3682" s="4">
        <v>21</v>
      </c>
      <c r="AA3682" s="4">
        <f>=ROUNDDOWN(1.3125,0)</f>
      </c>
      <c r="AB3682" s="5">
        <v>16</v>
      </c>
      <c r="AC3682" s="2" t="s">
        <v>145</v>
      </c>
      <c r="AD3682" s="4">
        <v>130</v>
      </c>
      <c r="AE3682" s="4">
        <v>580</v>
      </c>
      <c r="AF3682" s="6">
        <v>64</v>
      </c>
      <c r="AG3682" s="6"/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/>
      <c r="AQ3682" s="8"/>
      <c r="AR3682" s="4"/>
      <c r="AS3682" s="8"/>
      <c r="AT3682" s="7"/>
      <c r="AU3682" s="7"/>
      <c r="AV3682" s="4" t="s">
        <v>100</v>
      </c>
      <c r="AW3682" s="8" t="s">
        <v>100</v>
      </c>
      <c r="AX3682" s="4" t="s">
        <v>100</v>
      </c>
      <c r="AY3682" s="8" t="s">
        <v>100</v>
      </c>
      <c r="AZ3682" s="7" t="s">
        <v>100</v>
      </c>
      <c r="BA3682" s="7" t="s">
        <v>100</v>
      </c>
      <c r="BB3682" s="7"/>
      <c r="BC3682" s="4" t="s">
        <v>100</v>
      </c>
      <c r="BD3682" s="8" t="s">
        <v>100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/>
      <c r="BJ3682" s="4">
        <v>75</v>
      </c>
      <c r="BK3682" s="8">
        <v>3925.19</v>
      </c>
      <c r="BL3682" s="2" t="s">
        <v>11654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171</v>
      </c>
      <c r="BV3682" s="2" t="s">
        <v>97</v>
      </c>
      <c r="BW3682" s="2" t="s">
        <v>100</v>
      </c>
      <c r="BX3682" s="2" t="s">
        <v>100</v>
      </c>
      <c r="BY3682" s="2" t="s">
        <v>112</v>
      </c>
      <c r="BZ3682" s="2" t="s">
        <v>100</v>
      </c>
    </row>
    <row r="3683">
      <c r="A3683" s="2" t="s">
        <v>11746</v>
      </c>
      <c r="B3683" s="2" t="s">
        <v>11630</v>
      </c>
      <c r="C3683" s="2" t="s">
        <v>3449</v>
      </c>
      <c r="D3683" s="2" t="s">
        <v>89</v>
      </c>
      <c r="E3683" s="2" t="s">
        <v>90</v>
      </c>
      <c r="F3683" s="2" t="s">
        <v>615</v>
      </c>
      <c r="G3683" s="2" t="s">
        <v>917</v>
      </c>
      <c r="H3683" s="2" t="s">
        <v>5460</v>
      </c>
      <c r="I3683" s="2" t="s">
        <v>11747</v>
      </c>
      <c r="J3683" s="2" t="s">
        <v>352</v>
      </c>
      <c r="K3683" s="2" t="s">
        <v>223</v>
      </c>
      <c r="L3683" s="3">
        <v>28.57</v>
      </c>
      <c r="M3683" s="3">
        <v>30</v>
      </c>
      <c r="N3683" s="3">
        <v>59.99</v>
      </c>
      <c r="O3683" s="2" t="s">
        <v>97</v>
      </c>
      <c r="P3683" s="2" t="s">
        <v>98</v>
      </c>
      <c r="Q3683" s="2" t="s">
        <v>99</v>
      </c>
      <c r="R3683" s="2" t="s">
        <v>100</v>
      </c>
      <c r="S3683" s="2" t="s">
        <v>11748</v>
      </c>
      <c r="T3683" s="2" t="s">
        <v>438</v>
      </c>
      <c r="U3683" s="2" t="s">
        <v>901</v>
      </c>
      <c r="V3683" s="2" t="s">
        <v>4636</v>
      </c>
      <c r="W3683" s="2" t="s">
        <v>493</v>
      </c>
      <c r="X3683" s="2" t="s">
        <v>271</v>
      </c>
      <c r="Y3683" s="2" t="s">
        <v>6762</v>
      </c>
      <c r="Z3683" s="4">
        <v>228</v>
      </c>
      <c r="AA3683" s="4">
        <f>=ROUNDDOWN(45.6,0)</f>
      </c>
      <c r="AB3683" s="5">
        <v>5</v>
      </c>
      <c r="AC3683" s="2" t="s">
        <v>1094</v>
      </c>
      <c r="AD3683" s="4">
        <v>40</v>
      </c>
      <c r="AE3683" s="4">
        <v>220</v>
      </c>
      <c r="AF3683" s="6">
        <v>64</v>
      </c>
      <c r="AG3683" s="6"/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/>
      <c r="AQ3683" s="8"/>
      <c r="AR3683" s="4"/>
      <c r="AS3683" s="8"/>
      <c r="AT3683" s="7"/>
      <c r="AU3683" s="7"/>
      <c r="AV3683" s="4" t="s">
        <v>100</v>
      </c>
      <c r="AW3683" s="8" t="s">
        <v>100</v>
      </c>
      <c r="AX3683" s="4" t="s">
        <v>100</v>
      </c>
      <c r="AY3683" s="8" t="s">
        <v>100</v>
      </c>
      <c r="AZ3683" s="7" t="s">
        <v>100</v>
      </c>
      <c r="BA3683" s="7" t="s">
        <v>100</v>
      </c>
      <c r="BB3683" s="7"/>
      <c r="BC3683" s="4" t="s">
        <v>100</v>
      </c>
      <c r="BD3683" s="8" t="s">
        <v>100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/>
      <c r="BJ3683" s="4">
        <v>12</v>
      </c>
      <c r="BK3683" s="8">
        <v>391.24</v>
      </c>
      <c r="BL3683" s="2" t="s">
        <v>10060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171</v>
      </c>
      <c r="BV3683" s="2" t="s">
        <v>97</v>
      </c>
      <c r="BW3683" s="2" t="s">
        <v>100</v>
      </c>
      <c r="BX3683" s="2" t="s">
        <v>100</v>
      </c>
      <c r="BY3683" s="2" t="s">
        <v>112</v>
      </c>
      <c r="BZ3683" s="2" t="s">
        <v>149</v>
      </c>
    </row>
    <row r="3684">
      <c r="A3684" s="2" t="s">
        <v>11749</v>
      </c>
      <c r="B3684" s="2" t="s">
        <v>11630</v>
      </c>
      <c r="C3684" s="2" t="s">
        <v>3449</v>
      </c>
      <c r="D3684" s="2" t="s">
        <v>89</v>
      </c>
      <c r="E3684" s="2" t="s">
        <v>90</v>
      </c>
      <c r="F3684" s="2" t="s">
        <v>615</v>
      </c>
      <c r="G3684" s="2" t="s">
        <v>917</v>
      </c>
      <c r="H3684" s="2" t="s">
        <v>5460</v>
      </c>
      <c r="I3684" s="2" t="s">
        <v>11747</v>
      </c>
      <c r="J3684" s="2" t="s">
        <v>522</v>
      </c>
      <c r="K3684" s="2" t="s">
        <v>223</v>
      </c>
      <c r="L3684" s="3">
        <v>33.33</v>
      </c>
      <c r="M3684" s="3">
        <v>35</v>
      </c>
      <c r="N3684" s="3">
        <v>69.99</v>
      </c>
      <c r="O3684" s="2" t="s">
        <v>97</v>
      </c>
      <c r="P3684" s="2" t="s">
        <v>98</v>
      </c>
      <c r="Q3684" s="2" t="s">
        <v>99</v>
      </c>
      <c r="R3684" s="2" t="s">
        <v>100</v>
      </c>
      <c r="S3684" s="2" t="s">
        <v>11748</v>
      </c>
      <c r="T3684" s="2" t="s">
        <v>438</v>
      </c>
      <c r="U3684" s="2" t="s">
        <v>1228</v>
      </c>
      <c r="V3684" s="2" t="s">
        <v>4636</v>
      </c>
      <c r="W3684" s="2" t="s">
        <v>493</v>
      </c>
      <c r="X3684" s="2" t="s">
        <v>271</v>
      </c>
      <c r="Y3684" s="2" t="s">
        <v>11750</v>
      </c>
      <c r="Z3684" s="4">
        <v>309</v>
      </c>
      <c r="AA3684" s="4">
        <f>=ROUNDDOWN(19.3125,0)</f>
      </c>
      <c r="AB3684" s="5">
        <v>16</v>
      </c>
      <c r="AC3684" s="2" t="s">
        <v>1094</v>
      </c>
      <c r="AD3684" s="4">
        <v>200</v>
      </c>
      <c r="AE3684" s="4">
        <v>690</v>
      </c>
      <c r="AF3684" s="6">
        <v>64</v>
      </c>
      <c r="AG3684" s="6"/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/>
      <c r="AQ3684" s="8"/>
      <c r="AR3684" s="4"/>
      <c r="AS3684" s="8"/>
      <c r="AT3684" s="7"/>
      <c r="AU3684" s="7"/>
      <c r="AV3684" s="4" t="s">
        <v>100</v>
      </c>
      <c r="AW3684" s="8" t="s">
        <v>100</v>
      </c>
      <c r="AX3684" s="4" t="s">
        <v>100</v>
      </c>
      <c r="AY3684" s="8" t="s">
        <v>100</v>
      </c>
      <c r="AZ3684" s="7" t="s">
        <v>100</v>
      </c>
      <c r="BA3684" s="7" t="s">
        <v>100</v>
      </c>
      <c r="BB3684" s="7"/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/>
      <c r="BJ3684" s="4">
        <v>68</v>
      </c>
      <c r="BK3684" s="8">
        <v>2617.27</v>
      </c>
      <c r="BL3684" s="2" t="s">
        <v>11751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171</v>
      </c>
      <c r="BV3684" s="2" t="s">
        <v>97</v>
      </c>
      <c r="BW3684" s="2" t="s">
        <v>100</v>
      </c>
      <c r="BX3684" s="2" t="s">
        <v>100</v>
      </c>
      <c r="BY3684" s="2" t="s">
        <v>112</v>
      </c>
      <c r="BZ3684" s="2" t="s">
        <v>149</v>
      </c>
    </row>
    <row r="3685">
      <c r="A3685" s="2" t="s">
        <v>11752</v>
      </c>
      <c r="B3685" s="2" t="s">
        <v>11630</v>
      </c>
      <c r="C3685" s="2" t="s">
        <v>3449</v>
      </c>
      <c r="D3685" s="2" t="s">
        <v>89</v>
      </c>
      <c r="E3685" s="2" t="s">
        <v>811</v>
      </c>
      <c r="F3685" s="2" t="s">
        <v>11753</v>
      </c>
      <c r="G3685" s="2" t="s">
        <v>11754</v>
      </c>
      <c r="H3685" s="2" t="s">
        <v>11755</v>
      </c>
      <c r="I3685" s="2" t="s">
        <v>11756</v>
      </c>
      <c r="J3685" s="2" t="s">
        <v>1806</v>
      </c>
      <c r="K3685" s="2" t="s">
        <v>8195</v>
      </c>
      <c r="L3685" s="3">
        <v>35.52</v>
      </c>
      <c r="M3685" s="3">
        <v>37.3</v>
      </c>
      <c r="N3685" s="3">
        <v>78.99</v>
      </c>
      <c r="O3685" s="2" t="s">
        <v>97</v>
      </c>
      <c r="P3685" s="2" t="s">
        <v>139</v>
      </c>
      <c r="Q3685" s="2" t="s">
        <v>99</v>
      </c>
      <c r="R3685" s="2" t="s">
        <v>100</v>
      </c>
      <c r="S3685" s="2" t="s">
        <v>11757</v>
      </c>
      <c r="T3685" s="2" t="s">
        <v>438</v>
      </c>
      <c r="U3685" s="2" t="s">
        <v>102</v>
      </c>
      <c r="V3685" s="2" t="s">
        <v>269</v>
      </c>
      <c r="W3685" s="2" t="s">
        <v>609</v>
      </c>
      <c r="X3685" s="2" t="s">
        <v>270</v>
      </c>
      <c r="Y3685" s="2" t="s">
        <v>11758</v>
      </c>
      <c r="Z3685" s="4">
        <v>674</v>
      </c>
      <c r="AA3685" s="4">
        <f>=ROUNDDOWN(33.7,0)</f>
      </c>
      <c r="AB3685" s="5">
        <v>20</v>
      </c>
      <c r="AC3685" s="2" t="s">
        <v>7789</v>
      </c>
      <c r="AD3685" s="4">
        <v>150</v>
      </c>
      <c r="AE3685" s="4">
        <v>410</v>
      </c>
      <c r="AF3685" s="6">
        <v>64</v>
      </c>
      <c r="AG3685" s="6">
        <v>47</v>
      </c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>
        <v>4</v>
      </c>
      <c r="AQ3685" s="8">
        <v>119.08</v>
      </c>
      <c r="AR3685" s="4"/>
      <c r="AS3685" s="8"/>
      <c r="AT3685" s="7"/>
      <c r="AU3685" s="7"/>
      <c r="AV3685" s="4">
        <v>37</v>
      </c>
      <c r="AW3685" s="8">
        <v>1337.45</v>
      </c>
      <c r="AX3685" s="4" t="s">
        <v>100</v>
      </c>
      <c r="AY3685" s="8" t="s">
        <v>100</v>
      </c>
      <c r="AZ3685" s="7" t="s">
        <v>100</v>
      </c>
      <c r="BA3685" s="7" t="s">
        <v>100</v>
      </c>
      <c r="BB3685" s="7">
        <v>0.089</v>
      </c>
      <c r="BC3685" s="4">
        <v>37</v>
      </c>
      <c r="BD3685" s="8">
        <v>1337.45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>
        <v>1</v>
      </c>
      <c r="BJ3685" s="4">
        <v>43</v>
      </c>
      <c r="BK3685" s="8">
        <v>1669.56</v>
      </c>
      <c r="BL3685" s="2" t="s">
        <v>11759</v>
      </c>
      <c r="BM3685" s="7">
        <v>0.093</v>
      </c>
      <c r="BN3685" s="7">
        <v>0.0713</v>
      </c>
      <c r="BO3685" s="4">
        <v>4</v>
      </c>
      <c r="BP3685" s="8">
        <v>119.08</v>
      </c>
      <c r="BQ3685" s="4"/>
      <c r="BR3685" s="8"/>
      <c r="BS3685" s="7"/>
      <c r="BT3685" s="7"/>
      <c r="BU3685" s="2" t="s">
        <v>109</v>
      </c>
      <c r="BV3685" s="2" t="s">
        <v>97</v>
      </c>
      <c r="BW3685" s="2" t="s">
        <v>147</v>
      </c>
      <c r="BX3685" s="2" t="s">
        <v>7639</v>
      </c>
      <c r="BY3685" s="2" t="s">
        <v>112</v>
      </c>
      <c r="BZ3685" s="2" t="s">
        <v>100</v>
      </c>
    </row>
    <row r="3686">
      <c r="A3686" s="2" t="s">
        <v>11760</v>
      </c>
      <c r="B3686" s="2" t="s">
        <v>11630</v>
      </c>
      <c r="C3686" s="2" t="s">
        <v>3449</v>
      </c>
      <c r="D3686" s="2" t="s">
        <v>89</v>
      </c>
      <c r="E3686" s="2" t="s">
        <v>811</v>
      </c>
      <c r="F3686" s="2" t="s">
        <v>11753</v>
      </c>
      <c r="G3686" s="2" t="s">
        <v>11754</v>
      </c>
      <c r="H3686" s="2" t="s">
        <v>11755</v>
      </c>
      <c r="I3686" s="2" t="s">
        <v>11756</v>
      </c>
      <c r="J3686" s="2" t="s">
        <v>490</v>
      </c>
      <c r="K3686" s="2" t="s">
        <v>8195</v>
      </c>
      <c r="L3686" s="3">
        <v>38.4</v>
      </c>
      <c r="M3686" s="3">
        <v>40.32</v>
      </c>
      <c r="N3686" s="3">
        <v>84.99</v>
      </c>
      <c r="O3686" s="2" t="s">
        <v>97</v>
      </c>
      <c r="P3686" s="2" t="s">
        <v>139</v>
      </c>
      <c r="Q3686" s="2" t="s">
        <v>99</v>
      </c>
      <c r="R3686" s="2" t="s">
        <v>100</v>
      </c>
      <c r="S3686" s="2" t="s">
        <v>11757</v>
      </c>
      <c r="T3686" s="2" t="s">
        <v>438</v>
      </c>
      <c r="U3686" s="2" t="s">
        <v>618</v>
      </c>
      <c r="V3686" s="2" t="s">
        <v>269</v>
      </c>
      <c r="W3686" s="2" t="s">
        <v>609</v>
      </c>
      <c r="X3686" s="2" t="s">
        <v>270</v>
      </c>
      <c r="Y3686" s="2" t="s">
        <v>11758</v>
      </c>
      <c r="Z3686" s="4">
        <v>1111</v>
      </c>
      <c r="AA3686" s="4">
        <f>=ROUNDDOWN(34.71875,0)</f>
      </c>
      <c r="AB3686" s="5">
        <v>32</v>
      </c>
      <c r="AC3686" s="2" t="s">
        <v>7789</v>
      </c>
      <c r="AD3686" s="4">
        <v>100</v>
      </c>
      <c r="AE3686" s="4">
        <v>300</v>
      </c>
      <c r="AF3686" s="6">
        <v>64</v>
      </c>
      <c r="AG3686" s="6">
        <v>47</v>
      </c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>
        <v>10</v>
      </c>
      <c r="AQ3686" s="8">
        <v>330.8</v>
      </c>
      <c r="AR3686" s="4"/>
      <c r="AS3686" s="8"/>
      <c r="AT3686" s="7"/>
      <c r="AU3686" s="7"/>
      <c r="AV3686" s="4" t="s">
        <v>100</v>
      </c>
      <c r="AW3686" s="8" t="s">
        <v>100</v>
      </c>
      <c r="AX3686" s="4" t="s">
        <v>100</v>
      </c>
      <c r="AY3686" s="8" t="s">
        <v>100</v>
      </c>
      <c r="AZ3686" s="7" t="s">
        <v>100</v>
      </c>
      <c r="BA3686" s="7" t="s">
        <v>100</v>
      </c>
      <c r="BB3686" s="7">
        <v>0.2473</v>
      </c>
      <c r="BC3686" s="4" t="s">
        <v>100</v>
      </c>
      <c r="BD3686" s="8" t="s">
        <v>100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 t="s">
        <v>100</v>
      </c>
      <c r="BJ3686" s="4">
        <v>106</v>
      </c>
      <c r="BK3686" s="8">
        <v>4314.17</v>
      </c>
      <c r="BL3686" s="2" t="s">
        <v>11761</v>
      </c>
      <c r="BM3686" s="7">
        <v>0.0943</v>
      </c>
      <c r="BN3686" s="7">
        <v>0.0767</v>
      </c>
      <c r="BO3686" s="4">
        <v>10</v>
      </c>
      <c r="BP3686" s="8">
        <v>330.8</v>
      </c>
      <c r="BQ3686" s="4"/>
      <c r="BR3686" s="8"/>
      <c r="BS3686" s="7"/>
      <c r="BT3686" s="7"/>
      <c r="BU3686" s="2" t="s">
        <v>109</v>
      </c>
      <c r="BV3686" s="2" t="s">
        <v>97</v>
      </c>
      <c r="BW3686" s="2" t="s">
        <v>147</v>
      </c>
      <c r="BX3686" s="2" t="s">
        <v>4146</v>
      </c>
      <c r="BY3686" s="2" t="s">
        <v>112</v>
      </c>
      <c r="BZ3686" s="2" t="s">
        <v>100</v>
      </c>
    </row>
    <row r="3687">
      <c r="A3687" s="2" t="s">
        <v>11762</v>
      </c>
      <c r="B3687" s="2" t="s">
        <v>11630</v>
      </c>
      <c r="C3687" s="2" t="s">
        <v>3449</v>
      </c>
      <c r="D3687" s="2" t="s">
        <v>89</v>
      </c>
      <c r="E3687" s="2" t="s">
        <v>811</v>
      </c>
      <c r="F3687" s="2" t="s">
        <v>11753</v>
      </c>
      <c r="G3687" s="2" t="s">
        <v>11754</v>
      </c>
      <c r="H3687" s="2" t="s">
        <v>11755</v>
      </c>
      <c r="I3687" s="2" t="s">
        <v>11756</v>
      </c>
      <c r="J3687" s="2" t="s">
        <v>95</v>
      </c>
      <c r="K3687" s="2" t="s">
        <v>8195</v>
      </c>
      <c r="L3687" s="3">
        <v>44.1</v>
      </c>
      <c r="M3687" s="3">
        <v>46.3</v>
      </c>
      <c r="N3687" s="3">
        <v>94.99</v>
      </c>
      <c r="O3687" s="2" t="s">
        <v>97</v>
      </c>
      <c r="P3687" s="2" t="s">
        <v>139</v>
      </c>
      <c r="Q3687" s="2" t="s">
        <v>99</v>
      </c>
      <c r="R3687" s="2" t="s">
        <v>100</v>
      </c>
      <c r="S3687" s="2" t="s">
        <v>11757</v>
      </c>
      <c r="T3687" s="2" t="s">
        <v>438</v>
      </c>
      <c r="U3687" s="2" t="s">
        <v>618</v>
      </c>
      <c r="V3687" s="2" t="s">
        <v>269</v>
      </c>
      <c r="W3687" s="2" t="s">
        <v>609</v>
      </c>
      <c r="X3687" s="2" t="s">
        <v>270</v>
      </c>
      <c r="Y3687" s="2" t="s">
        <v>11758</v>
      </c>
      <c r="Z3687" s="4">
        <v>575</v>
      </c>
      <c r="AA3687" s="4">
        <f>=ROUNDDOWN(17.4242424242424,0)</f>
      </c>
      <c r="AB3687" s="5">
        <v>33</v>
      </c>
      <c r="AC3687" s="2" t="s">
        <v>7789</v>
      </c>
      <c r="AD3687" s="4">
        <v>100</v>
      </c>
      <c r="AE3687" s="4">
        <v>1000</v>
      </c>
      <c r="AF3687" s="6">
        <v>64</v>
      </c>
      <c r="AG3687" s="6">
        <v>47</v>
      </c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>
        <v>0</v>
      </c>
      <c r="AP3687" s="4">
        <v>23</v>
      </c>
      <c r="AQ3687" s="8">
        <v>887.57</v>
      </c>
      <c r="AR3687" s="4"/>
      <c r="AS3687" s="8"/>
      <c r="AT3687" s="7"/>
      <c r="AU3687" s="7"/>
      <c r="AV3687" s="4" t="s">
        <v>100</v>
      </c>
      <c r="AW3687" s="8" t="s">
        <v>100</v>
      </c>
      <c r="AX3687" s="4" t="s">
        <v>100</v>
      </c>
      <c r="AY3687" s="8" t="s">
        <v>100</v>
      </c>
      <c r="AZ3687" s="7" t="s">
        <v>100</v>
      </c>
      <c r="BA3687" s="7" t="s">
        <v>100</v>
      </c>
      <c r="BB3687" s="7">
        <v>0.6636</v>
      </c>
      <c r="BC3687" s="4" t="s">
        <v>100</v>
      </c>
      <c r="BD3687" s="8" t="s">
        <v>100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 t="s">
        <v>100</v>
      </c>
      <c r="BJ3687" s="4">
        <v>114</v>
      </c>
      <c r="BK3687" s="8">
        <v>5378.21</v>
      </c>
      <c r="BL3687" s="2" t="s">
        <v>11763</v>
      </c>
      <c r="BM3687" s="7">
        <v>0.2018</v>
      </c>
      <c r="BN3687" s="7">
        <v>0.165</v>
      </c>
      <c r="BO3687" s="4">
        <v>23</v>
      </c>
      <c r="BP3687" s="8">
        <v>887.57</v>
      </c>
      <c r="BQ3687" s="4"/>
      <c r="BR3687" s="8"/>
      <c r="BS3687" s="7"/>
      <c r="BT3687" s="7"/>
      <c r="BU3687" s="2" t="s">
        <v>109</v>
      </c>
      <c r="BV3687" s="2" t="s">
        <v>97</v>
      </c>
      <c r="BW3687" s="2" t="s">
        <v>147</v>
      </c>
      <c r="BX3687" s="2" t="s">
        <v>973</v>
      </c>
      <c r="BY3687" s="2" t="s">
        <v>112</v>
      </c>
      <c r="BZ3687" s="2" t="s">
        <v>100</v>
      </c>
    </row>
    <row r="3688">
      <c r="A3688" s="2" t="s">
        <v>11764</v>
      </c>
      <c r="B3688" s="2" t="s">
        <v>11630</v>
      </c>
      <c r="C3688" s="2" t="s">
        <v>3449</v>
      </c>
      <c r="D3688" s="2" t="s">
        <v>89</v>
      </c>
      <c r="E3688" s="2" t="s">
        <v>811</v>
      </c>
      <c r="F3688" s="2" t="s">
        <v>11753</v>
      </c>
      <c r="G3688" s="2" t="s">
        <v>11754</v>
      </c>
      <c r="H3688" s="2" t="s">
        <v>11755</v>
      </c>
      <c r="I3688" s="2" t="s">
        <v>11756</v>
      </c>
      <c r="J3688" s="2" t="s">
        <v>1443</v>
      </c>
      <c r="K3688" s="2" t="s">
        <v>11765</v>
      </c>
      <c r="L3688" s="3">
        <v>33.6</v>
      </c>
      <c r="M3688" s="3">
        <v>35.28</v>
      </c>
      <c r="N3688" s="3">
        <v>74.99</v>
      </c>
      <c r="O3688" s="2" t="s">
        <v>97</v>
      </c>
      <c r="P3688" s="2" t="s">
        <v>98</v>
      </c>
      <c r="Q3688" s="2" t="s">
        <v>99</v>
      </c>
      <c r="R3688" s="2" t="s">
        <v>100</v>
      </c>
      <c r="S3688" s="2" t="s">
        <v>11766</v>
      </c>
      <c r="T3688" s="2" t="s">
        <v>438</v>
      </c>
      <c r="U3688" s="2" t="s">
        <v>102</v>
      </c>
      <c r="V3688" s="2" t="s">
        <v>269</v>
      </c>
      <c r="W3688" s="2" t="s">
        <v>609</v>
      </c>
      <c r="X3688" s="2" t="s">
        <v>270</v>
      </c>
      <c r="Y3688" s="2" t="s">
        <v>100</v>
      </c>
      <c r="Z3688" s="4"/>
      <c r="AA3688" s="4">
        <f>=ROUNDDOWN({0},0)</f>
      </c>
      <c r="AB3688" s="5"/>
      <c r="AC3688" s="2" t="s">
        <v>312</v>
      </c>
      <c r="AD3688" s="4">
        <v>100</v>
      </c>
      <c r="AE3688" s="4">
        <v>200</v>
      </c>
      <c r="AF3688" s="6"/>
      <c r="AG3688" s="6"/>
      <c r="AH3688" s="7">
        <v>0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>
        <v>0</v>
      </c>
      <c r="AP3688" s="4"/>
      <c r="AQ3688" s="8"/>
      <c r="AR3688" s="4"/>
      <c r="AS3688" s="8"/>
      <c r="AT3688" s="7"/>
      <c r="AU3688" s="7"/>
      <c r="AV3688" s="4" t="s">
        <v>100</v>
      </c>
      <c r="AW3688" s="8" t="s">
        <v>100</v>
      </c>
      <c r="AX3688" s="4" t="s">
        <v>100</v>
      </c>
      <c r="AY3688" s="8" t="s">
        <v>100</v>
      </c>
      <c r="AZ3688" s="7" t="s">
        <v>100</v>
      </c>
      <c r="BA3688" s="7" t="s">
        <v>100</v>
      </c>
      <c r="BB3688" s="7"/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 t="s">
        <v>100</v>
      </c>
      <c r="BJ3688" s="4"/>
      <c r="BK3688" s="8"/>
      <c r="BL3688" s="2" t="s">
        <v>100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2526</v>
      </c>
      <c r="BV3688" s="2" t="s">
        <v>97</v>
      </c>
      <c r="BW3688" s="2" t="s">
        <v>100</v>
      </c>
      <c r="BX3688" s="2" t="s">
        <v>100</v>
      </c>
      <c r="BY3688" s="2" t="s">
        <v>112</v>
      </c>
      <c r="BZ3688" s="2" t="s">
        <v>100</v>
      </c>
    </row>
    <row r="3689">
      <c r="A3689" s="2" t="s">
        <v>11767</v>
      </c>
      <c r="B3689" s="2" t="s">
        <v>11630</v>
      </c>
      <c r="C3689" s="2" t="s">
        <v>3449</v>
      </c>
      <c r="D3689" s="2" t="s">
        <v>89</v>
      </c>
      <c r="E3689" s="2" t="s">
        <v>811</v>
      </c>
      <c r="F3689" s="2" t="s">
        <v>11753</v>
      </c>
      <c r="G3689" s="2" t="s">
        <v>11754</v>
      </c>
      <c r="H3689" s="2" t="s">
        <v>11755</v>
      </c>
      <c r="I3689" s="2" t="s">
        <v>11756</v>
      </c>
      <c r="J3689" s="2" t="s">
        <v>1806</v>
      </c>
      <c r="K3689" s="2" t="s">
        <v>11765</v>
      </c>
      <c r="L3689" s="3">
        <v>35.52</v>
      </c>
      <c r="M3689" s="3">
        <v>37.3</v>
      </c>
      <c r="N3689" s="3">
        <v>78.99</v>
      </c>
      <c r="O3689" s="2" t="s">
        <v>97</v>
      </c>
      <c r="P3689" s="2" t="s">
        <v>98</v>
      </c>
      <c r="Q3689" s="2" t="s">
        <v>99</v>
      </c>
      <c r="R3689" s="2" t="s">
        <v>100</v>
      </c>
      <c r="S3689" s="2" t="s">
        <v>11766</v>
      </c>
      <c r="T3689" s="2" t="s">
        <v>438</v>
      </c>
      <c r="U3689" s="2" t="s">
        <v>102</v>
      </c>
      <c r="V3689" s="2" t="s">
        <v>269</v>
      </c>
      <c r="W3689" s="2" t="s">
        <v>609</v>
      </c>
      <c r="X3689" s="2" t="s">
        <v>270</v>
      </c>
      <c r="Y3689" s="2" t="s">
        <v>100</v>
      </c>
      <c r="Z3689" s="4"/>
      <c r="AA3689" s="4">
        <f>=ROUNDDOWN({0},0)</f>
      </c>
      <c r="AB3689" s="5"/>
      <c r="AC3689" s="2" t="s">
        <v>312</v>
      </c>
      <c r="AD3689" s="4">
        <v>140</v>
      </c>
      <c r="AE3689" s="4">
        <v>280</v>
      </c>
      <c r="AF3689" s="6"/>
      <c r="AG3689" s="6"/>
      <c r="AH3689" s="7">
        <v>0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/>
      <c r="AQ3689" s="8"/>
      <c r="AR3689" s="4"/>
      <c r="AS3689" s="8"/>
      <c r="AT3689" s="7"/>
      <c r="AU3689" s="7"/>
      <c r="AV3689" s="4" t="s">
        <v>100</v>
      </c>
      <c r="AW3689" s="8" t="s">
        <v>100</v>
      </c>
      <c r="AX3689" s="4" t="s">
        <v>100</v>
      </c>
      <c r="AY3689" s="8" t="s">
        <v>100</v>
      </c>
      <c r="AZ3689" s="7" t="s">
        <v>100</v>
      </c>
      <c r="BA3689" s="7" t="s">
        <v>100</v>
      </c>
      <c r="BB3689" s="7"/>
      <c r="BC3689" s="4" t="s">
        <v>100</v>
      </c>
      <c r="BD3689" s="8" t="s">
        <v>100</v>
      </c>
      <c r="BE3689" s="4" t="s">
        <v>100</v>
      </c>
      <c r="BF3689" s="8" t="s">
        <v>100</v>
      </c>
      <c r="BG3689" s="7" t="s">
        <v>100</v>
      </c>
      <c r="BH3689" s="7" t="s">
        <v>100</v>
      </c>
      <c r="BI3689" s="7" t="s">
        <v>100</v>
      </c>
      <c r="BJ3689" s="4"/>
      <c r="BK3689" s="8"/>
      <c r="BL3689" s="2" t="s">
        <v>100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2526</v>
      </c>
      <c r="BV3689" s="2" t="s">
        <v>97</v>
      </c>
      <c r="BW3689" s="2" t="s">
        <v>100</v>
      </c>
      <c r="BX3689" s="2" t="s">
        <v>100</v>
      </c>
      <c r="BY3689" s="2" t="s">
        <v>112</v>
      </c>
      <c r="BZ3689" s="2" t="s">
        <v>100</v>
      </c>
    </row>
    <row r="3690">
      <c r="A3690" s="2" t="s">
        <v>11768</v>
      </c>
      <c r="B3690" s="2" t="s">
        <v>11630</v>
      </c>
      <c r="C3690" s="2" t="s">
        <v>3449</v>
      </c>
      <c r="D3690" s="2" t="s">
        <v>89</v>
      </c>
      <c r="E3690" s="2" t="s">
        <v>811</v>
      </c>
      <c r="F3690" s="2" t="s">
        <v>11753</v>
      </c>
      <c r="G3690" s="2" t="s">
        <v>11754</v>
      </c>
      <c r="H3690" s="2" t="s">
        <v>11755</v>
      </c>
      <c r="I3690" s="2" t="s">
        <v>11756</v>
      </c>
      <c r="J3690" s="2" t="s">
        <v>490</v>
      </c>
      <c r="K3690" s="2" t="s">
        <v>11765</v>
      </c>
      <c r="L3690" s="3">
        <v>38.4</v>
      </c>
      <c r="M3690" s="3">
        <v>40.32</v>
      </c>
      <c r="N3690" s="3">
        <v>84.99</v>
      </c>
      <c r="O3690" s="2" t="s">
        <v>97</v>
      </c>
      <c r="P3690" s="2" t="s">
        <v>98</v>
      </c>
      <c r="Q3690" s="2" t="s">
        <v>99</v>
      </c>
      <c r="R3690" s="2" t="s">
        <v>100</v>
      </c>
      <c r="S3690" s="2" t="s">
        <v>11766</v>
      </c>
      <c r="T3690" s="2" t="s">
        <v>438</v>
      </c>
      <c r="U3690" s="2" t="s">
        <v>618</v>
      </c>
      <c r="V3690" s="2" t="s">
        <v>269</v>
      </c>
      <c r="W3690" s="2" t="s">
        <v>609</v>
      </c>
      <c r="X3690" s="2" t="s">
        <v>270</v>
      </c>
      <c r="Y3690" s="2" t="s">
        <v>100</v>
      </c>
      <c r="Z3690" s="4"/>
      <c r="AA3690" s="4">
        <f>=ROUNDDOWN({0},0)</f>
      </c>
      <c r="AB3690" s="5"/>
      <c r="AC3690" s="2" t="s">
        <v>312</v>
      </c>
      <c r="AD3690" s="4">
        <v>170</v>
      </c>
      <c r="AE3690" s="4">
        <v>340</v>
      </c>
      <c r="AF3690" s="6"/>
      <c r="AG3690" s="6"/>
      <c r="AH3690" s="7">
        <v>0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/>
      <c r="AQ3690" s="8"/>
      <c r="AR3690" s="4"/>
      <c r="AS3690" s="8"/>
      <c r="AT3690" s="7"/>
      <c r="AU3690" s="7"/>
      <c r="AV3690" s="4" t="s">
        <v>100</v>
      </c>
      <c r="AW3690" s="8" t="s">
        <v>100</v>
      </c>
      <c r="AX3690" s="4" t="s">
        <v>100</v>
      </c>
      <c r="AY3690" s="8" t="s">
        <v>100</v>
      </c>
      <c r="AZ3690" s="7" t="s">
        <v>100</v>
      </c>
      <c r="BA3690" s="7" t="s">
        <v>100</v>
      </c>
      <c r="BB3690" s="7"/>
      <c r="BC3690" s="4" t="s">
        <v>100</v>
      </c>
      <c r="BD3690" s="8" t="s">
        <v>100</v>
      </c>
      <c r="BE3690" s="4" t="s">
        <v>100</v>
      </c>
      <c r="BF3690" s="8" t="s">
        <v>100</v>
      </c>
      <c r="BG3690" s="7" t="s">
        <v>100</v>
      </c>
      <c r="BH3690" s="7" t="s">
        <v>100</v>
      </c>
      <c r="BI3690" s="7" t="s">
        <v>100</v>
      </c>
      <c r="BJ3690" s="4"/>
      <c r="BK3690" s="8"/>
      <c r="BL3690" s="2" t="s">
        <v>100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2526</v>
      </c>
      <c r="BV3690" s="2" t="s">
        <v>97</v>
      </c>
      <c r="BW3690" s="2" t="s">
        <v>100</v>
      </c>
      <c r="BX3690" s="2" t="s">
        <v>100</v>
      </c>
      <c r="BY3690" s="2" t="s">
        <v>112</v>
      </c>
      <c r="BZ3690" s="2" t="s">
        <v>100</v>
      </c>
    </row>
    <row r="3691">
      <c r="A3691" s="2" t="s">
        <v>11769</v>
      </c>
      <c r="B3691" s="2" t="s">
        <v>11630</v>
      </c>
      <c r="C3691" s="2" t="s">
        <v>3449</v>
      </c>
      <c r="D3691" s="2" t="s">
        <v>89</v>
      </c>
      <c r="E3691" s="2" t="s">
        <v>811</v>
      </c>
      <c r="F3691" s="2" t="s">
        <v>11753</v>
      </c>
      <c r="G3691" s="2" t="s">
        <v>11754</v>
      </c>
      <c r="H3691" s="2" t="s">
        <v>11755</v>
      </c>
      <c r="I3691" s="2" t="s">
        <v>11756</v>
      </c>
      <c r="J3691" s="2" t="s">
        <v>95</v>
      </c>
      <c r="K3691" s="2" t="s">
        <v>11765</v>
      </c>
      <c r="L3691" s="3">
        <v>44.1</v>
      </c>
      <c r="M3691" s="3">
        <v>46.31</v>
      </c>
      <c r="N3691" s="3">
        <v>94.99</v>
      </c>
      <c r="O3691" s="2" t="s">
        <v>97</v>
      </c>
      <c r="P3691" s="2" t="s">
        <v>98</v>
      </c>
      <c r="Q3691" s="2" t="s">
        <v>99</v>
      </c>
      <c r="R3691" s="2" t="s">
        <v>100</v>
      </c>
      <c r="S3691" s="2" t="s">
        <v>11766</v>
      </c>
      <c r="T3691" s="2" t="s">
        <v>438</v>
      </c>
      <c r="U3691" s="2" t="s">
        <v>618</v>
      </c>
      <c r="V3691" s="2" t="s">
        <v>269</v>
      </c>
      <c r="W3691" s="2" t="s">
        <v>609</v>
      </c>
      <c r="X3691" s="2" t="s">
        <v>270</v>
      </c>
      <c r="Y3691" s="2" t="s">
        <v>100</v>
      </c>
      <c r="Z3691" s="4"/>
      <c r="AA3691" s="4">
        <f>=ROUNDDOWN({0},0)</f>
      </c>
      <c r="AB3691" s="5"/>
      <c r="AC3691" s="2" t="s">
        <v>312</v>
      </c>
      <c r="AD3691" s="4">
        <v>190</v>
      </c>
      <c r="AE3691" s="4">
        <v>380</v>
      </c>
      <c r="AF3691" s="6"/>
      <c r="AG3691" s="6"/>
      <c r="AH3691" s="7">
        <v>0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/>
      <c r="AQ3691" s="8"/>
      <c r="AR3691" s="4"/>
      <c r="AS3691" s="8"/>
      <c r="AT3691" s="7"/>
      <c r="AU3691" s="7"/>
      <c r="AV3691" s="4" t="s">
        <v>100</v>
      </c>
      <c r="AW3691" s="8" t="s">
        <v>100</v>
      </c>
      <c r="AX3691" s="4" t="s">
        <v>100</v>
      </c>
      <c r="AY3691" s="8" t="s">
        <v>100</v>
      </c>
      <c r="AZ3691" s="7" t="s">
        <v>100</v>
      </c>
      <c r="BA3691" s="7" t="s">
        <v>100</v>
      </c>
      <c r="BB3691" s="7"/>
      <c r="BC3691" s="4" t="s">
        <v>100</v>
      </c>
      <c r="BD3691" s="8" t="s">
        <v>100</v>
      </c>
      <c r="BE3691" s="4" t="s">
        <v>100</v>
      </c>
      <c r="BF3691" s="8" t="s">
        <v>100</v>
      </c>
      <c r="BG3691" s="7" t="s">
        <v>100</v>
      </c>
      <c r="BH3691" s="7" t="s">
        <v>100</v>
      </c>
      <c r="BI3691" s="7" t="s">
        <v>100</v>
      </c>
      <c r="BJ3691" s="4"/>
      <c r="BK3691" s="8"/>
      <c r="BL3691" s="2" t="s">
        <v>100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2526</v>
      </c>
      <c r="BV3691" s="2" t="s">
        <v>97</v>
      </c>
      <c r="BW3691" s="2" t="s">
        <v>100</v>
      </c>
      <c r="BX3691" s="2" t="s">
        <v>100</v>
      </c>
      <c r="BY3691" s="2" t="s">
        <v>112</v>
      </c>
      <c r="BZ3691" s="2" t="s">
        <v>100</v>
      </c>
    </row>
    <row r="3692">
      <c r="A3692" s="2" t="s">
        <v>11770</v>
      </c>
      <c r="B3692" s="2" t="s">
        <v>11630</v>
      </c>
      <c r="C3692" s="2" t="s">
        <v>3449</v>
      </c>
      <c r="D3692" s="2" t="s">
        <v>89</v>
      </c>
      <c r="E3692" s="2" t="s">
        <v>811</v>
      </c>
      <c r="F3692" s="2" t="s">
        <v>11771</v>
      </c>
      <c r="G3692" s="2" t="s">
        <v>11772</v>
      </c>
      <c r="H3692" s="2" t="s">
        <v>11773</v>
      </c>
      <c r="I3692" s="2" t="s">
        <v>11774</v>
      </c>
      <c r="J3692" s="2" t="s">
        <v>1443</v>
      </c>
      <c r="K3692" s="2" t="s">
        <v>2055</v>
      </c>
      <c r="L3692" s="3">
        <v>29.61</v>
      </c>
      <c r="M3692" s="3">
        <v>31.09</v>
      </c>
      <c r="N3692" s="3">
        <v>59.99</v>
      </c>
      <c r="O3692" s="2" t="s">
        <v>97</v>
      </c>
      <c r="P3692" s="2" t="s">
        <v>98</v>
      </c>
      <c r="Q3692" s="2" t="s">
        <v>99</v>
      </c>
      <c r="R3692" s="2" t="s">
        <v>100</v>
      </c>
      <c r="S3692" s="2" t="s">
        <v>11775</v>
      </c>
      <c r="T3692" s="2" t="s">
        <v>438</v>
      </c>
      <c r="U3692" s="2" t="s">
        <v>355</v>
      </c>
      <c r="V3692" s="2" t="s">
        <v>367</v>
      </c>
      <c r="W3692" s="2" t="s">
        <v>609</v>
      </c>
      <c r="X3692" s="2" t="s">
        <v>142</v>
      </c>
      <c r="Y3692" s="2" t="s">
        <v>11383</v>
      </c>
      <c r="Z3692" s="4">
        <v>389</v>
      </c>
      <c r="AA3692" s="4">
        <f>=ROUNDDOWN(55.5714285714286,0)</f>
      </c>
      <c r="AB3692" s="5">
        <v>7</v>
      </c>
      <c r="AC3692" s="2" t="s">
        <v>100</v>
      </c>
      <c r="AD3692" s="4"/>
      <c r="AE3692" s="4"/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>
        <v>2</v>
      </c>
      <c r="AQ3692" s="8">
        <v>66.16</v>
      </c>
      <c r="AR3692" s="4"/>
      <c r="AS3692" s="8"/>
      <c r="AT3692" s="7"/>
      <c r="AU3692" s="7"/>
      <c r="AV3692" s="4">
        <v>3</v>
      </c>
      <c r="AW3692" s="8">
        <v>104.75</v>
      </c>
      <c r="AX3692" s="4" t="s">
        <v>100</v>
      </c>
      <c r="AY3692" s="8" t="s">
        <v>100</v>
      </c>
      <c r="AZ3692" s="7" t="s">
        <v>100</v>
      </c>
      <c r="BA3692" s="7" t="s">
        <v>100</v>
      </c>
      <c r="BB3692" s="7">
        <v>0.6316</v>
      </c>
      <c r="BC3692" s="4">
        <v>3</v>
      </c>
      <c r="BD3692" s="8">
        <v>104.75</v>
      </c>
      <c r="BE3692" s="4" t="s">
        <v>100</v>
      </c>
      <c r="BF3692" s="8" t="s">
        <v>100</v>
      </c>
      <c r="BG3692" s="7" t="s">
        <v>100</v>
      </c>
      <c r="BH3692" s="7" t="s">
        <v>100</v>
      </c>
      <c r="BI3692" s="7">
        <v>1</v>
      </c>
      <c r="BJ3692" s="4">
        <v>18</v>
      </c>
      <c r="BK3692" s="8">
        <v>615.78</v>
      </c>
      <c r="BL3692" s="2" t="s">
        <v>1522</v>
      </c>
      <c r="BM3692" s="7">
        <v>0.1111</v>
      </c>
      <c r="BN3692" s="7">
        <v>0.1074</v>
      </c>
      <c r="BO3692" s="4">
        <v>2</v>
      </c>
      <c r="BP3692" s="8">
        <v>66.16</v>
      </c>
      <c r="BQ3692" s="4"/>
      <c r="BR3692" s="8"/>
      <c r="BS3692" s="7"/>
      <c r="BT3692" s="7"/>
      <c r="BU3692" s="2" t="s">
        <v>109</v>
      </c>
      <c r="BV3692" s="2" t="s">
        <v>97</v>
      </c>
      <c r="BW3692" s="2" t="s">
        <v>11776</v>
      </c>
      <c r="BX3692" s="2" t="s">
        <v>7835</v>
      </c>
      <c r="BY3692" s="2" t="s">
        <v>112</v>
      </c>
      <c r="BZ3692" s="2" t="s">
        <v>100</v>
      </c>
    </row>
    <row r="3693">
      <c r="A3693" s="2" t="s">
        <v>11777</v>
      </c>
      <c r="B3693" s="2" t="s">
        <v>11630</v>
      </c>
      <c r="C3693" s="2" t="s">
        <v>3449</v>
      </c>
      <c r="D3693" s="2" t="s">
        <v>89</v>
      </c>
      <c r="E3693" s="2" t="s">
        <v>811</v>
      </c>
      <c r="F3693" s="2" t="s">
        <v>11771</v>
      </c>
      <c r="G3693" s="2" t="s">
        <v>11772</v>
      </c>
      <c r="H3693" s="2" t="s">
        <v>11773</v>
      </c>
      <c r="I3693" s="2" t="s">
        <v>11774</v>
      </c>
      <c r="J3693" s="2" t="s">
        <v>1806</v>
      </c>
      <c r="K3693" s="2" t="s">
        <v>2055</v>
      </c>
      <c r="L3693" s="3">
        <v>32.4</v>
      </c>
      <c r="M3693" s="3">
        <v>34.02</v>
      </c>
      <c r="N3693" s="3">
        <v>64.99</v>
      </c>
      <c r="O3693" s="2" t="s">
        <v>97</v>
      </c>
      <c r="P3693" s="2" t="s">
        <v>98</v>
      </c>
      <c r="Q3693" s="2" t="s">
        <v>99</v>
      </c>
      <c r="R3693" s="2" t="s">
        <v>100</v>
      </c>
      <c r="S3693" s="2" t="s">
        <v>11775</v>
      </c>
      <c r="T3693" s="2" t="s">
        <v>438</v>
      </c>
      <c r="U3693" s="2" t="s">
        <v>355</v>
      </c>
      <c r="V3693" s="2" t="s">
        <v>367</v>
      </c>
      <c r="W3693" s="2" t="s">
        <v>609</v>
      </c>
      <c r="X3693" s="2" t="s">
        <v>142</v>
      </c>
      <c r="Y3693" s="2" t="s">
        <v>11383</v>
      </c>
      <c r="Z3693" s="4">
        <v>343</v>
      </c>
      <c r="AA3693" s="4">
        <f>=ROUNDDOWN(49,0)</f>
      </c>
      <c r="AB3693" s="5">
        <v>7</v>
      </c>
      <c r="AC3693" s="2" t="s">
        <v>206</v>
      </c>
      <c r="AD3693" s="4">
        <v>180</v>
      </c>
      <c r="AE3693" s="4">
        <v>180</v>
      </c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/>
      <c r="AQ3693" s="8"/>
      <c r="AR3693" s="4"/>
      <c r="AS3693" s="8"/>
      <c r="AT3693" s="7"/>
      <c r="AU3693" s="7"/>
      <c r="AV3693" s="4" t="s">
        <v>100</v>
      </c>
      <c r="AW3693" s="8" t="s">
        <v>100</v>
      </c>
      <c r="AX3693" s="4" t="s">
        <v>100</v>
      </c>
      <c r="AY3693" s="8" t="s">
        <v>100</v>
      </c>
      <c r="AZ3693" s="7" t="s">
        <v>100</v>
      </c>
      <c r="BA3693" s="7" t="s">
        <v>100</v>
      </c>
      <c r="BB3693" s="7"/>
      <c r="BC3693" s="4" t="s">
        <v>100</v>
      </c>
      <c r="BD3693" s="8" t="s">
        <v>100</v>
      </c>
      <c r="BE3693" s="4" t="s">
        <v>100</v>
      </c>
      <c r="BF3693" s="8" t="s">
        <v>100</v>
      </c>
      <c r="BG3693" s="7" t="s">
        <v>100</v>
      </c>
      <c r="BH3693" s="7" t="s">
        <v>100</v>
      </c>
      <c r="BI3693" s="7" t="s">
        <v>100</v>
      </c>
      <c r="BJ3693" s="4">
        <v>16</v>
      </c>
      <c r="BK3693" s="8">
        <v>598.12</v>
      </c>
      <c r="BL3693" s="2" t="s">
        <v>788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11776</v>
      </c>
      <c r="BX3693" s="2" t="s">
        <v>8561</v>
      </c>
      <c r="BY3693" s="2" t="s">
        <v>112</v>
      </c>
      <c r="BZ3693" s="2" t="s">
        <v>100</v>
      </c>
    </row>
    <row r="3694">
      <c r="A3694" s="2" t="s">
        <v>11778</v>
      </c>
      <c r="B3694" s="2" t="s">
        <v>11630</v>
      </c>
      <c r="C3694" s="2" t="s">
        <v>3449</v>
      </c>
      <c r="D3694" s="2" t="s">
        <v>89</v>
      </c>
      <c r="E3694" s="2" t="s">
        <v>811</v>
      </c>
      <c r="F3694" s="2" t="s">
        <v>11771</v>
      </c>
      <c r="G3694" s="2" t="s">
        <v>11772</v>
      </c>
      <c r="H3694" s="2" t="s">
        <v>11773</v>
      </c>
      <c r="I3694" s="2" t="s">
        <v>11774</v>
      </c>
      <c r="J3694" s="2" t="s">
        <v>490</v>
      </c>
      <c r="K3694" s="2" t="s">
        <v>2055</v>
      </c>
      <c r="L3694" s="3">
        <v>34.56</v>
      </c>
      <c r="M3694" s="3">
        <v>36.29</v>
      </c>
      <c r="N3694" s="3">
        <v>69.99</v>
      </c>
      <c r="O3694" s="2" t="s">
        <v>97</v>
      </c>
      <c r="P3694" s="2" t="s">
        <v>98</v>
      </c>
      <c r="Q3694" s="2" t="s">
        <v>99</v>
      </c>
      <c r="R3694" s="2" t="s">
        <v>100</v>
      </c>
      <c r="S3694" s="2" t="s">
        <v>11775</v>
      </c>
      <c r="T3694" s="2" t="s">
        <v>438</v>
      </c>
      <c r="U3694" s="2" t="s">
        <v>191</v>
      </c>
      <c r="V3694" s="2" t="s">
        <v>367</v>
      </c>
      <c r="W3694" s="2" t="s">
        <v>609</v>
      </c>
      <c r="X3694" s="2" t="s">
        <v>142</v>
      </c>
      <c r="Y3694" s="2" t="s">
        <v>11383</v>
      </c>
      <c r="Z3694" s="4">
        <v>495</v>
      </c>
      <c r="AA3694" s="4">
        <f>=ROUNDDOWN(70.7142857142857,0)</f>
      </c>
      <c r="AB3694" s="5">
        <v>7</v>
      </c>
      <c r="AC3694" s="2" t="s">
        <v>100</v>
      </c>
      <c r="AD3694" s="4"/>
      <c r="AE3694" s="4"/>
      <c r="AF3694" s="6">
        <v>65</v>
      </c>
      <c r="AG3694" s="6"/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>
        <v>1</v>
      </c>
      <c r="AQ3694" s="8">
        <v>38.59</v>
      </c>
      <c r="AR3694" s="4"/>
      <c r="AS3694" s="8"/>
      <c r="AT3694" s="7"/>
      <c r="AU3694" s="7"/>
      <c r="AV3694" s="4" t="s">
        <v>100</v>
      </c>
      <c r="AW3694" s="8" t="s">
        <v>100</v>
      </c>
      <c r="AX3694" s="4" t="s">
        <v>100</v>
      </c>
      <c r="AY3694" s="8" t="s">
        <v>100</v>
      </c>
      <c r="AZ3694" s="7" t="s">
        <v>100</v>
      </c>
      <c r="BA3694" s="7" t="s">
        <v>100</v>
      </c>
      <c r="BB3694" s="7">
        <v>0.3684</v>
      </c>
      <c r="BC3694" s="4" t="s">
        <v>100</v>
      </c>
      <c r="BD3694" s="8" t="s">
        <v>100</v>
      </c>
      <c r="BE3694" s="4" t="s">
        <v>100</v>
      </c>
      <c r="BF3694" s="8" t="s">
        <v>100</v>
      </c>
      <c r="BG3694" s="7" t="s">
        <v>100</v>
      </c>
      <c r="BH3694" s="7" t="s">
        <v>100</v>
      </c>
      <c r="BI3694" s="7" t="s">
        <v>100</v>
      </c>
      <c r="BJ3694" s="4">
        <v>24</v>
      </c>
      <c r="BK3694" s="8">
        <v>958.38</v>
      </c>
      <c r="BL3694" s="2" t="s">
        <v>11779</v>
      </c>
      <c r="BM3694" s="7">
        <v>0.0417</v>
      </c>
      <c r="BN3694" s="7">
        <v>0.0403</v>
      </c>
      <c r="BO3694" s="4">
        <v>1</v>
      </c>
      <c r="BP3694" s="8">
        <v>38.59</v>
      </c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3720</v>
      </c>
      <c r="BX3694" s="2" t="s">
        <v>9927</v>
      </c>
      <c r="BY3694" s="2" t="s">
        <v>112</v>
      </c>
      <c r="BZ3694" s="2" t="s">
        <v>100</v>
      </c>
    </row>
    <row r="3695">
      <c r="A3695" s="2" t="s">
        <v>11780</v>
      </c>
      <c r="B3695" s="2" t="s">
        <v>11630</v>
      </c>
      <c r="C3695" s="2" t="s">
        <v>3449</v>
      </c>
      <c r="D3695" s="2" t="s">
        <v>89</v>
      </c>
      <c r="E3695" s="2" t="s">
        <v>811</v>
      </c>
      <c r="F3695" s="2" t="s">
        <v>11771</v>
      </c>
      <c r="G3695" s="2" t="s">
        <v>11772</v>
      </c>
      <c r="H3695" s="2" t="s">
        <v>11773</v>
      </c>
      <c r="I3695" s="2" t="s">
        <v>11774</v>
      </c>
      <c r="J3695" s="2" t="s">
        <v>95</v>
      </c>
      <c r="K3695" s="2" t="s">
        <v>2055</v>
      </c>
      <c r="L3695" s="3">
        <v>39.69</v>
      </c>
      <c r="M3695" s="3">
        <v>41.67</v>
      </c>
      <c r="N3695" s="3">
        <v>79.99</v>
      </c>
      <c r="O3695" s="2" t="s">
        <v>97</v>
      </c>
      <c r="P3695" s="2" t="s">
        <v>98</v>
      </c>
      <c r="Q3695" s="2" t="s">
        <v>99</v>
      </c>
      <c r="R3695" s="2" t="s">
        <v>100</v>
      </c>
      <c r="S3695" s="2" t="s">
        <v>11775</v>
      </c>
      <c r="T3695" s="2" t="s">
        <v>438</v>
      </c>
      <c r="U3695" s="2" t="s">
        <v>191</v>
      </c>
      <c r="V3695" s="2" t="s">
        <v>367</v>
      </c>
      <c r="W3695" s="2" t="s">
        <v>609</v>
      </c>
      <c r="X3695" s="2" t="s">
        <v>142</v>
      </c>
      <c r="Y3695" s="2" t="s">
        <v>11383</v>
      </c>
      <c r="Z3695" s="4">
        <v>292</v>
      </c>
      <c r="AA3695" s="4">
        <f>=ROUNDDOWN(32.4444444444444,0)</f>
      </c>
      <c r="AB3695" s="5">
        <v>9</v>
      </c>
      <c r="AC3695" s="2" t="s">
        <v>100</v>
      </c>
      <c r="AD3695" s="4"/>
      <c r="AE3695" s="4"/>
      <c r="AF3695" s="6">
        <v>65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/>
      <c r="AQ3695" s="8"/>
      <c r="AR3695" s="4"/>
      <c r="AS3695" s="8"/>
      <c r="AT3695" s="7"/>
      <c r="AU3695" s="7"/>
      <c r="AV3695" s="4" t="s">
        <v>100</v>
      </c>
      <c r="AW3695" s="8" t="s">
        <v>100</v>
      </c>
      <c r="AX3695" s="4" t="s">
        <v>100</v>
      </c>
      <c r="AY3695" s="8" t="s">
        <v>100</v>
      </c>
      <c r="AZ3695" s="7" t="s">
        <v>100</v>
      </c>
      <c r="BA3695" s="7" t="s">
        <v>100</v>
      </c>
      <c r="BB3695" s="7"/>
      <c r="BC3695" s="4" t="s">
        <v>100</v>
      </c>
      <c r="BD3695" s="8" t="s">
        <v>100</v>
      </c>
      <c r="BE3695" s="4" t="s">
        <v>100</v>
      </c>
      <c r="BF3695" s="8" t="s">
        <v>100</v>
      </c>
      <c r="BG3695" s="7" t="s">
        <v>100</v>
      </c>
      <c r="BH3695" s="7" t="s">
        <v>100</v>
      </c>
      <c r="BI3695" s="7" t="s">
        <v>100</v>
      </c>
      <c r="BJ3695" s="4">
        <v>34</v>
      </c>
      <c r="BK3695" s="8">
        <v>1544.71</v>
      </c>
      <c r="BL3695" s="2" t="s">
        <v>788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109</v>
      </c>
      <c r="BV3695" s="2" t="s">
        <v>97</v>
      </c>
      <c r="BW3695" s="2" t="s">
        <v>11776</v>
      </c>
      <c r="BX3695" s="2" t="s">
        <v>11781</v>
      </c>
      <c r="BY3695" s="2" t="s">
        <v>112</v>
      </c>
      <c r="BZ3695" s="2" t="s">
        <v>100</v>
      </c>
    </row>
    <row r="3696">
      <c r="A3696" s="2" t="s">
        <v>11782</v>
      </c>
      <c r="B3696" s="2" t="s">
        <v>11630</v>
      </c>
      <c r="C3696" s="2" t="s">
        <v>3449</v>
      </c>
      <c r="D3696" s="2" t="s">
        <v>89</v>
      </c>
      <c r="E3696" s="2" t="s">
        <v>887</v>
      </c>
      <c r="F3696" s="2" t="s">
        <v>7644</v>
      </c>
      <c r="G3696" s="2" t="s">
        <v>4752</v>
      </c>
      <c r="H3696" s="2" t="s">
        <v>7966</v>
      </c>
      <c r="I3696" s="2" t="s">
        <v>11783</v>
      </c>
      <c r="J3696" s="2" t="s">
        <v>352</v>
      </c>
      <c r="K3696" s="2" t="s">
        <v>11784</v>
      </c>
      <c r="L3696" s="3">
        <v>30.95</v>
      </c>
      <c r="M3696" s="3">
        <v>32.5</v>
      </c>
      <c r="N3696" s="3">
        <v>64.99</v>
      </c>
      <c r="O3696" s="2" t="s">
        <v>97</v>
      </c>
      <c r="P3696" s="2" t="s">
        <v>156</v>
      </c>
      <c r="Q3696" s="2" t="s">
        <v>99</v>
      </c>
      <c r="R3696" s="2" t="s">
        <v>100</v>
      </c>
      <c r="S3696" s="2" t="s">
        <v>11785</v>
      </c>
      <c r="T3696" s="2" t="s">
        <v>5436</v>
      </c>
      <c r="U3696" s="2" t="s">
        <v>894</v>
      </c>
      <c r="V3696" s="2" t="s">
        <v>547</v>
      </c>
      <c r="W3696" s="2" t="s">
        <v>493</v>
      </c>
      <c r="X3696" s="2" t="s">
        <v>100</v>
      </c>
      <c r="Y3696" s="2" t="s">
        <v>11786</v>
      </c>
      <c r="Z3696" s="4">
        <v>681</v>
      </c>
      <c r="AA3696" s="4">
        <f>=ROUNDDOWN(42.5625,0)</f>
      </c>
      <c r="AB3696" s="5">
        <v>16</v>
      </c>
      <c r="AC3696" s="2" t="s">
        <v>107</v>
      </c>
      <c r="AD3696" s="4">
        <v>500</v>
      </c>
      <c r="AE3696" s="4">
        <v>1020</v>
      </c>
      <c r="AF3696" s="6">
        <v>64</v>
      </c>
      <c r="AG3696" s="6"/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/>
      <c r="AQ3696" s="8"/>
      <c r="AR3696" s="4"/>
      <c r="AS3696" s="8"/>
      <c r="AT3696" s="7"/>
      <c r="AU3696" s="7"/>
      <c r="AV3696" s="4" t="s">
        <v>100</v>
      </c>
      <c r="AW3696" s="8" t="s">
        <v>100</v>
      </c>
      <c r="AX3696" s="4" t="s">
        <v>100</v>
      </c>
      <c r="AY3696" s="8" t="s">
        <v>100</v>
      </c>
      <c r="AZ3696" s="7" t="s">
        <v>100</v>
      </c>
      <c r="BA3696" s="7" t="s">
        <v>100</v>
      </c>
      <c r="BB3696" s="7"/>
      <c r="BC3696" s="4" t="s">
        <v>100</v>
      </c>
      <c r="BD3696" s="8" t="s">
        <v>100</v>
      </c>
      <c r="BE3696" s="4" t="s">
        <v>100</v>
      </c>
      <c r="BF3696" s="8" t="s">
        <v>100</v>
      </c>
      <c r="BG3696" s="7" t="s">
        <v>100</v>
      </c>
      <c r="BH3696" s="7" t="s">
        <v>100</v>
      </c>
      <c r="BI3696" s="7"/>
      <c r="BJ3696" s="4">
        <v>38</v>
      </c>
      <c r="BK3696" s="8">
        <v>1419.47</v>
      </c>
      <c r="BL3696" s="2" t="s">
        <v>11787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171</v>
      </c>
      <c r="BV3696" s="2" t="s">
        <v>97</v>
      </c>
      <c r="BW3696" s="2" t="s">
        <v>100</v>
      </c>
      <c r="BX3696" s="2" t="s">
        <v>100</v>
      </c>
      <c r="BY3696" s="2" t="s">
        <v>112</v>
      </c>
      <c r="BZ3696" s="2" t="s">
        <v>149</v>
      </c>
    </row>
    <row r="3697">
      <c r="A3697" s="2" t="s">
        <v>11788</v>
      </c>
      <c r="B3697" s="2" t="s">
        <v>11630</v>
      </c>
      <c r="C3697" s="2" t="s">
        <v>3449</v>
      </c>
      <c r="D3697" s="2" t="s">
        <v>89</v>
      </c>
      <c r="E3697" s="2" t="s">
        <v>887</v>
      </c>
      <c r="F3697" s="2" t="s">
        <v>7644</v>
      </c>
      <c r="G3697" s="2" t="s">
        <v>4752</v>
      </c>
      <c r="H3697" s="2" t="s">
        <v>7966</v>
      </c>
      <c r="I3697" s="2" t="s">
        <v>11783</v>
      </c>
      <c r="J3697" s="2" t="s">
        <v>522</v>
      </c>
      <c r="K3697" s="2" t="s">
        <v>11784</v>
      </c>
      <c r="L3697" s="3">
        <v>40.47</v>
      </c>
      <c r="M3697" s="3">
        <v>42.49</v>
      </c>
      <c r="N3697" s="3">
        <v>84.99</v>
      </c>
      <c r="O3697" s="2" t="s">
        <v>97</v>
      </c>
      <c r="P3697" s="2" t="s">
        <v>156</v>
      </c>
      <c r="Q3697" s="2" t="s">
        <v>99</v>
      </c>
      <c r="R3697" s="2" t="s">
        <v>100</v>
      </c>
      <c r="S3697" s="2" t="s">
        <v>11785</v>
      </c>
      <c r="T3697" s="2" t="s">
        <v>5436</v>
      </c>
      <c r="U3697" s="2" t="s">
        <v>901</v>
      </c>
      <c r="V3697" s="2" t="s">
        <v>547</v>
      </c>
      <c r="W3697" s="2" t="s">
        <v>493</v>
      </c>
      <c r="X3697" s="2" t="s">
        <v>100</v>
      </c>
      <c r="Y3697" s="2" t="s">
        <v>11786</v>
      </c>
      <c r="Z3697" s="4">
        <v>1260</v>
      </c>
      <c r="AA3697" s="4">
        <f>=ROUNDDOWN(26.25,0)</f>
      </c>
      <c r="AB3697" s="5">
        <v>48</v>
      </c>
      <c r="AC3697" s="2" t="s">
        <v>107</v>
      </c>
      <c r="AD3697" s="4">
        <v>888</v>
      </c>
      <c r="AE3697" s="4">
        <v>1168</v>
      </c>
      <c r="AF3697" s="6">
        <v>64</v>
      </c>
      <c r="AG3697" s="6"/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/>
      <c r="AQ3697" s="8"/>
      <c r="AR3697" s="4"/>
      <c r="AS3697" s="8"/>
      <c r="AT3697" s="7"/>
      <c r="AU3697" s="7"/>
      <c r="AV3697" s="4" t="s">
        <v>100</v>
      </c>
      <c r="AW3697" s="8" t="s">
        <v>100</v>
      </c>
      <c r="AX3697" s="4" t="s">
        <v>100</v>
      </c>
      <c r="AY3697" s="8" t="s">
        <v>100</v>
      </c>
      <c r="AZ3697" s="7" t="s">
        <v>100</v>
      </c>
      <c r="BA3697" s="7" t="s">
        <v>100</v>
      </c>
      <c r="BB3697" s="7"/>
      <c r="BC3697" s="4" t="s">
        <v>100</v>
      </c>
      <c r="BD3697" s="8" t="s">
        <v>100</v>
      </c>
      <c r="BE3697" s="4" t="s">
        <v>100</v>
      </c>
      <c r="BF3697" s="8" t="s">
        <v>100</v>
      </c>
      <c r="BG3697" s="7" t="s">
        <v>100</v>
      </c>
      <c r="BH3697" s="7" t="s">
        <v>100</v>
      </c>
      <c r="BI3697" s="7"/>
      <c r="BJ3697" s="4">
        <v>168</v>
      </c>
      <c r="BK3697" s="8">
        <v>7620.23</v>
      </c>
      <c r="BL3697" s="2" t="s">
        <v>11789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171</v>
      </c>
      <c r="BV3697" s="2" t="s">
        <v>97</v>
      </c>
      <c r="BW3697" s="2" t="s">
        <v>100</v>
      </c>
      <c r="BX3697" s="2" t="s">
        <v>100</v>
      </c>
      <c r="BY3697" s="2" t="s">
        <v>112</v>
      </c>
      <c r="BZ3697" s="2" t="s">
        <v>149</v>
      </c>
    </row>
    <row r="3698">
      <c r="A3698" s="2" t="s">
        <v>11790</v>
      </c>
      <c r="B3698" s="2" t="s">
        <v>11630</v>
      </c>
      <c r="C3698" s="2" t="s">
        <v>3449</v>
      </c>
      <c r="D3698" s="2" t="s">
        <v>89</v>
      </c>
      <c r="E3698" s="2" t="s">
        <v>887</v>
      </c>
      <c r="F3698" s="2" t="s">
        <v>7644</v>
      </c>
      <c r="G3698" s="2" t="s">
        <v>4752</v>
      </c>
      <c r="H3698" s="2" t="s">
        <v>7966</v>
      </c>
      <c r="I3698" s="2" t="s">
        <v>11783</v>
      </c>
      <c r="J3698" s="2" t="s">
        <v>529</v>
      </c>
      <c r="K3698" s="2" t="s">
        <v>11784</v>
      </c>
      <c r="L3698" s="3">
        <v>45.23</v>
      </c>
      <c r="M3698" s="3">
        <v>47.49</v>
      </c>
      <c r="N3698" s="3">
        <v>94.99</v>
      </c>
      <c r="O3698" s="2" t="s">
        <v>97</v>
      </c>
      <c r="P3698" s="2" t="s">
        <v>156</v>
      </c>
      <c r="Q3698" s="2" t="s">
        <v>99</v>
      </c>
      <c r="R3698" s="2" t="s">
        <v>100</v>
      </c>
      <c r="S3698" s="2" t="s">
        <v>11785</v>
      </c>
      <c r="T3698" s="2" t="s">
        <v>5436</v>
      </c>
      <c r="U3698" s="2" t="s">
        <v>901</v>
      </c>
      <c r="V3698" s="2" t="s">
        <v>547</v>
      </c>
      <c r="W3698" s="2" t="s">
        <v>493</v>
      </c>
      <c r="X3698" s="2" t="s">
        <v>100</v>
      </c>
      <c r="Y3698" s="2" t="s">
        <v>11791</v>
      </c>
      <c r="Z3698" s="4">
        <v>230</v>
      </c>
      <c r="AA3698" s="4">
        <f>=ROUNDDOWN(10.952380952381,0)</f>
      </c>
      <c r="AB3698" s="5">
        <v>21</v>
      </c>
      <c r="AC3698" s="2" t="s">
        <v>130</v>
      </c>
      <c r="AD3698" s="4">
        <v>250</v>
      </c>
      <c r="AE3698" s="4">
        <v>250</v>
      </c>
      <c r="AF3698" s="6">
        <v>64</v>
      </c>
      <c r="AG3698" s="6"/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/>
      <c r="AQ3698" s="8"/>
      <c r="AR3698" s="4"/>
      <c r="AS3698" s="8"/>
      <c r="AT3698" s="7"/>
      <c r="AU3698" s="7"/>
      <c r="AV3698" s="4" t="s">
        <v>100</v>
      </c>
      <c r="AW3698" s="8" t="s">
        <v>100</v>
      </c>
      <c r="AX3698" s="4" t="s">
        <v>100</v>
      </c>
      <c r="AY3698" s="8" t="s">
        <v>100</v>
      </c>
      <c r="AZ3698" s="7" t="s">
        <v>100</v>
      </c>
      <c r="BA3698" s="7" t="s">
        <v>100</v>
      </c>
      <c r="BB3698" s="7"/>
      <c r="BC3698" s="4" t="s">
        <v>100</v>
      </c>
      <c r="BD3698" s="8" t="s">
        <v>100</v>
      </c>
      <c r="BE3698" s="4" t="s">
        <v>100</v>
      </c>
      <c r="BF3698" s="8" t="s">
        <v>100</v>
      </c>
      <c r="BG3698" s="7" t="s">
        <v>100</v>
      </c>
      <c r="BH3698" s="7" t="s">
        <v>100</v>
      </c>
      <c r="BI3698" s="7"/>
      <c r="BJ3698" s="4">
        <v>2</v>
      </c>
      <c r="BK3698" s="8">
        <v>102.11</v>
      </c>
      <c r="BL3698" s="2" t="s">
        <v>11792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2526</v>
      </c>
      <c r="BV3698" s="2" t="s">
        <v>97</v>
      </c>
      <c r="BW3698" s="2" t="s">
        <v>100</v>
      </c>
      <c r="BX3698" s="2" t="s">
        <v>100</v>
      </c>
      <c r="BY3698" s="2" t="s">
        <v>112</v>
      </c>
      <c r="BZ3698" s="2" t="s">
        <v>100</v>
      </c>
    </row>
    <row r="3699">
      <c r="A3699" s="2" t="s">
        <v>11793</v>
      </c>
      <c r="B3699" s="2" t="s">
        <v>11630</v>
      </c>
      <c r="C3699" s="2" t="s">
        <v>3449</v>
      </c>
      <c r="D3699" s="2" t="s">
        <v>89</v>
      </c>
      <c r="E3699" s="2" t="s">
        <v>887</v>
      </c>
      <c r="F3699" s="2" t="s">
        <v>7644</v>
      </c>
      <c r="G3699" s="2" t="s">
        <v>4752</v>
      </c>
      <c r="H3699" s="2" t="s">
        <v>7966</v>
      </c>
      <c r="I3699" s="2" t="s">
        <v>11783</v>
      </c>
      <c r="J3699" s="2" t="s">
        <v>352</v>
      </c>
      <c r="K3699" s="2" t="s">
        <v>96</v>
      </c>
      <c r="L3699" s="3">
        <v>30.95</v>
      </c>
      <c r="M3699" s="3">
        <v>32.5</v>
      </c>
      <c r="N3699" s="3">
        <v>64.99</v>
      </c>
      <c r="O3699" s="2" t="s">
        <v>97</v>
      </c>
      <c r="P3699" s="2" t="s">
        <v>98</v>
      </c>
      <c r="Q3699" s="2" t="s">
        <v>99</v>
      </c>
      <c r="R3699" s="2" t="s">
        <v>100</v>
      </c>
      <c r="S3699" s="2" t="s">
        <v>11794</v>
      </c>
      <c r="T3699" s="2" t="s">
        <v>5436</v>
      </c>
      <c r="U3699" s="2" t="s">
        <v>894</v>
      </c>
      <c r="V3699" s="2" t="s">
        <v>547</v>
      </c>
      <c r="W3699" s="2" t="s">
        <v>493</v>
      </c>
      <c r="X3699" s="2" t="s">
        <v>100</v>
      </c>
      <c r="Y3699" s="2" t="s">
        <v>11795</v>
      </c>
      <c r="Z3699" s="4">
        <v>141</v>
      </c>
      <c r="AA3699" s="4">
        <f>=ROUNDDOWN(14.1,0)</f>
      </c>
      <c r="AB3699" s="5">
        <v>10</v>
      </c>
      <c r="AC3699" s="2" t="s">
        <v>2363</v>
      </c>
      <c r="AD3699" s="4">
        <v>190</v>
      </c>
      <c r="AE3699" s="4">
        <v>470</v>
      </c>
      <c r="AF3699" s="6">
        <v>64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/>
      <c r="AQ3699" s="8"/>
      <c r="AR3699" s="4"/>
      <c r="AS3699" s="8"/>
      <c r="AT3699" s="7"/>
      <c r="AU3699" s="7"/>
      <c r="AV3699" s="4" t="s">
        <v>100</v>
      </c>
      <c r="AW3699" s="8" t="s">
        <v>100</v>
      </c>
      <c r="AX3699" s="4" t="s">
        <v>100</v>
      </c>
      <c r="AY3699" s="8" t="s">
        <v>100</v>
      </c>
      <c r="AZ3699" s="7" t="s">
        <v>100</v>
      </c>
      <c r="BA3699" s="7" t="s">
        <v>100</v>
      </c>
      <c r="BB3699" s="7"/>
      <c r="BC3699" s="4" t="s">
        <v>100</v>
      </c>
      <c r="BD3699" s="8" t="s">
        <v>100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/>
      <c r="BJ3699" s="4">
        <v>16</v>
      </c>
      <c r="BK3699" s="8">
        <v>563.9</v>
      </c>
      <c r="BL3699" s="2" t="s">
        <v>11796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171</v>
      </c>
      <c r="BV3699" s="2" t="s">
        <v>97</v>
      </c>
      <c r="BW3699" s="2" t="s">
        <v>100</v>
      </c>
      <c r="BX3699" s="2" t="s">
        <v>100</v>
      </c>
      <c r="BY3699" s="2" t="s">
        <v>112</v>
      </c>
      <c r="BZ3699" s="2" t="s">
        <v>100</v>
      </c>
    </row>
    <row r="3700">
      <c r="A3700" s="2" t="s">
        <v>11797</v>
      </c>
      <c r="B3700" s="2" t="s">
        <v>11630</v>
      </c>
      <c r="C3700" s="2" t="s">
        <v>3449</v>
      </c>
      <c r="D3700" s="2" t="s">
        <v>89</v>
      </c>
      <c r="E3700" s="2" t="s">
        <v>887</v>
      </c>
      <c r="F3700" s="2" t="s">
        <v>7644</v>
      </c>
      <c r="G3700" s="2" t="s">
        <v>4752</v>
      </c>
      <c r="H3700" s="2" t="s">
        <v>7966</v>
      </c>
      <c r="I3700" s="2" t="s">
        <v>11783</v>
      </c>
      <c r="J3700" s="2" t="s">
        <v>522</v>
      </c>
      <c r="K3700" s="2" t="s">
        <v>96</v>
      </c>
      <c r="L3700" s="3">
        <v>40.47</v>
      </c>
      <c r="M3700" s="3">
        <v>42.49</v>
      </c>
      <c r="N3700" s="3">
        <v>84.99</v>
      </c>
      <c r="O3700" s="2" t="s">
        <v>97</v>
      </c>
      <c r="P3700" s="2" t="s">
        <v>98</v>
      </c>
      <c r="Q3700" s="2" t="s">
        <v>99</v>
      </c>
      <c r="R3700" s="2" t="s">
        <v>100</v>
      </c>
      <c r="S3700" s="2" t="s">
        <v>11794</v>
      </c>
      <c r="T3700" s="2" t="s">
        <v>5436</v>
      </c>
      <c r="U3700" s="2" t="s">
        <v>901</v>
      </c>
      <c r="V3700" s="2" t="s">
        <v>547</v>
      </c>
      <c r="W3700" s="2" t="s">
        <v>493</v>
      </c>
      <c r="X3700" s="2" t="s">
        <v>100</v>
      </c>
      <c r="Y3700" s="2" t="s">
        <v>11795</v>
      </c>
      <c r="Z3700" s="4">
        <v>80</v>
      </c>
      <c r="AA3700" s="4">
        <f>=ROUNDDOWN(2.75862068965517,0)</f>
      </c>
      <c r="AB3700" s="5">
        <v>29</v>
      </c>
      <c r="AC3700" s="2" t="s">
        <v>2363</v>
      </c>
      <c r="AD3700" s="4">
        <v>210</v>
      </c>
      <c r="AE3700" s="4">
        <v>1230</v>
      </c>
      <c r="AF3700" s="6">
        <v>64</v>
      </c>
      <c r="AG3700" s="6"/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/>
      <c r="AQ3700" s="8"/>
      <c r="AR3700" s="4"/>
      <c r="AS3700" s="8"/>
      <c r="AT3700" s="7"/>
      <c r="AU3700" s="7"/>
      <c r="AV3700" s="4" t="s">
        <v>100</v>
      </c>
      <c r="AW3700" s="8" t="s">
        <v>100</v>
      </c>
      <c r="AX3700" s="4" t="s">
        <v>100</v>
      </c>
      <c r="AY3700" s="8" t="s">
        <v>100</v>
      </c>
      <c r="AZ3700" s="7" t="s">
        <v>100</v>
      </c>
      <c r="BA3700" s="7" t="s">
        <v>100</v>
      </c>
      <c r="BB3700" s="7"/>
      <c r="BC3700" s="4" t="s">
        <v>100</v>
      </c>
      <c r="BD3700" s="8" t="s">
        <v>100</v>
      </c>
      <c r="BE3700" s="4" t="s">
        <v>100</v>
      </c>
      <c r="BF3700" s="8" t="s">
        <v>100</v>
      </c>
      <c r="BG3700" s="7" t="s">
        <v>100</v>
      </c>
      <c r="BH3700" s="7" t="s">
        <v>100</v>
      </c>
      <c r="BI3700" s="7"/>
      <c r="BJ3700" s="4">
        <v>47</v>
      </c>
      <c r="BK3700" s="8">
        <v>2164.89</v>
      </c>
      <c r="BL3700" s="2" t="s">
        <v>392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171</v>
      </c>
      <c r="BV3700" s="2" t="s">
        <v>97</v>
      </c>
      <c r="BW3700" s="2" t="s">
        <v>100</v>
      </c>
      <c r="BX3700" s="2" t="s">
        <v>100</v>
      </c>
      <c r="BY3700" s="2" t="s">
        <v>112</v>
      </c>
      <c r="BZ3700" s="2" t="s">
        <v>100</v>
      </c>
    </row>
    <row r="3701">
      <c r="A3701" s="2" t="s">
        <v>11798</v>
      </c>
      <c r="B3701" s="2" t="s">
        <v>11630</v>
      </c>
      <c r="C3701" s="2" t="s">
        <v>3449</v>
      </c>
      <c r="D3701" s="2" t="s">
        <v>89</v>
      </c>
      <c r="E3701" s="2" t="s">
        <v>887</v>
      </c>
      <c r="F3701" s="2" t="s">
        <v>1257</v>
      </c>
      <c r="G3701" s="2" t="s">
        <v>4602</v>
      </c>
      <c r="H3701" s="2" t="s">
        <v>11799</v>
      </c>
      <c r="I3701" s="2" t="s">
        <v>11800</v>
      </c>
      <c r="J3701" s="2" t="s">
        <v>352</v>
      </c>
      <c r="K3701" s="2" t="s">
        <v>165</v>
      </c>
      <c r="L3701" s="3">
        <v>33.33</v>
      </c>
      <c r="M3701" s="3">
        <v>35</v>
      </c>
      <c r="N3701" s="3">
        <v>69.99</v>
      </c>
      <c r="O3701" s="2" t="s">
        <v>97</v>
      </c>
      <c r="P3701" s="2" t="s">
        <v>98</v>
      </c>
      <c r="Q3701" s="2" t="s">
        <v>99</v>
      </c>
      <c r="R3701" s="2" t="s">
        <v>100</v>
      </c>
      <c r="S3701" s="2" t="s">
        <v>11801</v>
      </c>
      <c r="T3701" s="2" t="s">
        <v>844</v>
      </c>
      <c r="U3701" s="2" t="s">
        <v>894</v>
      </c>
      <c r="V3701" s="2" t="s">
        <v>461</v>
      </c>
      <c r="W3701" s="2" t="s">
        <v>493</v>
      </c>
      <c r="X3701" s="2" t="s">
        <v>609</v>
      </c>
      <c r="Y3701" s="2" t="s">
        <v>100</v>
      </c>
      <c r="Z3701" s="4"/>
      <c r="AA3701" s="4">
        <f>=ROUNDDOWN({0},0)</f>
      </c>
      <c r="AB3701" s="5"/>
      <c r="AC3701" s="2" t="s">
        <v>676</v>
      </c>
      <c r="AD3701" s="4">
        <v>150</v>
      </c>
      <c r="AE3701" s="4">
        <v>300</v>
      </c>
      <c r="AF3701" s="6">
        <v>66</v>
      </c>
      <c r="AG3701" s="6"/>
      <c r="AH3701" s="7">
        <v>0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/>
      <c r="AQ3701" s="8"/>
      <c r="AR3701" s="4"/>
      <c r="AS3701" s="8"/>
      <c r="AT3701" s="7"/>
      <c r="AU3701" s="7"/>
      <c r="AV3701" s="4" t="s">
        <v>100</v>
      </c>
      <c r="AW3701" s="8" t="s">
        <v>100</v>
      </c>
      <c r="AX3701" s="4" t="s">
        <v>100</v>
      </c>
      <c r="AY3701" s="8" t="s">
        <v>100</v>
      </c>
      <c r="AZ3701" s="7" t="s">
        <v>100</v>
      </c>
      <c r="BA3701" s="7" t="s">
        <v>100</v>
      </c>
      <c r="BB3701" s="7"/>
      <c r="BC3701" s="4" t="s">
        <v>100</v>
      </c>
      <c r="BD3701" s="8" t="s">
        <v>100</v>
      </c>
      <c r="BE3701" s="4" t="s">
        <v>100</v>
      </c>
      <c r="BF3701" s="8" t="s">
        <v>100</v>
      </c>
      <c r="BG3701" s="7" t="s">
        <v>100</v>
      </c>
      <c r="BH3701" s="7" t="s">
        <v>100</v>
      </c>
      <c r="BI3701" s="7"/>
      <c r="BJ3701" s="4"/>
      <c r="BK3701" s="8"/>
      <c r="BL3701" s="2" t="s">
        <v>100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2526</v>
      </c>
      <c r="BV3701" s="2" t="s">
        <v>97</v>
      </c>
      <c r="BW3701" s="2" t="s">
        <v>100</v>
      </c>
      <c r="BX3701" s="2" t="s">
        <v>100</v>
      </c>
      <c r="BY3701" s="2" t="s">
        <v>112</v>
      </c>
      <c r="BZ3701" s="2" t="s">
        <v>100</v>
      </c>
    </row>
    <row r="3702">
      <c r="A3702" s="2" t="s">
        <v>11802</v>
      </c>
      <c r="B3702" s="2" t="s">
        <v>11630</v>
      </c>
      <c r="C3702" s="2" t="s">
        <v>3449</v>
      </c>
      <c r="D3702" s="2" t="s">
        <v>89</v>
      </c>
      <c r="E3702" s="2" t="s">
        <v>887</v>
      </c>
      <c r="F3702" s="2" t="s">
        <v>1257</v>
      </c>
      <c r="G3702" s="2" t="s">
        <v>4602</v>
      </c>
      <c r="H3702" s="2" t="s">
        <v>11799</v>
      </c>
      <c r="I3702" s="2" t="s">
        <v>11800</v>
      </c>
      <c r="J3702" s="2" t="s">
        <v>522</v>
      </c>
      <c r="K3702" s="2" t="s">
        <v>165</v>
      </c>
      <c r="L3702" s="3">
        <v>38.09</v>
      </c>
      <c r="M3702" s="3">
        <v>40</v>
      </c>
      <c r="N3702" s="3">
        <v>79.99</v>
      </c>
      <c r="O3702" s="2" t="s">
        <v>97</v>
      </c>
      <c r="P3702" s="2" t="s">
        <v>98</v>
      </c>
      <c r="Q3702" s="2" t="s">
        <v>99</v>
      </c>
      <c r="R3702" s="2" t="s">
        <v>100</v>
      </c>
      <c r="S3702" s="2" t="s">
        <v>11801</v>
      </c>
      <c r="T3702" s="2" t="s">
        <v>844</v>
      </c>
      <c r="U3702" s="2" t="s">
        <v>901</v>
      </c>
      <c r="V3702" s="2" t="s">
        <v>461</v>
      </c>
      <c r="W3702" s="2" t="s">
        <v>493</v>
      </c>
      <c r="X3702" s="2" t="s">
        <v>609</v>
      </c>
      <c r="Y3702" s="2" t="s">
        <v>100</v>
      </c>
      <c r="Z3702" s="4"/>
      <c r="AA3702" s="4">
        <f>=ROUNDDOWN({0},0)</f>
      </c>
      <c r="AB3702" s="5"/>
      <c r="AC3702" s="2" t="s">
        <v>676</v>
      </c>
      <c r="AD3702" s="4">
        <v>160</v>
      </c>
      <c r="AE3702" s="4">
        <v>320</v>
      </c>
      <c r="AF3702" s="6">
        <v>66</v>
      </c>
      <c r="AG3702" s="6"/>
      <c r="AH3702" s="7">
        <v>0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>
        <v>0</v>
      </c>
      <c r="AP3702" s="4"/>
      <c r="AQ3702" s="8"/>
      <c r="AR3702" s="4"/>
      <c r="AS3702" s="8"/>
      <c r="AT3702" s="7"/>
      <c r="AU3702" s="7"/>
      <c r="AV3702" s="4" t="s">
        <v>100</v>
      </c>
      <c r="AW3702" s="8" t="s">
        <v>100</v>
      </c>
      <c r="AX3702" s="4" t="s">
        <v>100</v>
      </c>
      <c r="AY3702" s="8" t="s">
        <v>100</v>
      </c>
      <c r="AZ3702" s="7" t="s">
        <v>100</v>
      </c>
      <c r="BA3702" s="7" t="s">
        <v>100</v>
      </c>
      <c r="BB3702" s="7"/>
      <c r="BC3702" s="4" t="s">
        <v>100</v>
      </c>
      <c r="BD3702" s="8" t="s">
        <v>100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/>
      <c r="BJ3702" s="4"/>
      <c r="BK3702" s="8"/>
      <c r="BL3702" s="2" t="s">
        <v>100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2526</v>
      </c>
      <c r="BV3702" s="2" t="s">
        <v>97</v>
      </c>
      <c r="BW3702" s="2" t="s">
        <v>100</v>
      </c>
      <c r="BX3702" s="2" t="s">
        <v>100</v>
      </c>
      <c r="BY3702" s="2" t="s">
        <v>112</v>
      </c>
      <c r="BZ3702" s="2" t="s">
        <v>100</v>
      </c>
    </row>
    <row r="3703">
      <c r="A3703" s="2" t="s">
        <v>11803</v>
      </c>
      <c r="B3703" s="2" t="s">
        <v>11630</v>
      </c>
      <c r="C3703" s="2" t="s">
        <v>3449</v>
      </c>
      <c r="D3703" s="2" t="s">
        <v>89</v>
      </c>
      <c r="E3703" s="2" t="s">
        <v>887</v>
      </c>
      <c r="F3703" s="2" t="s">
        <v>1257</v>
      </c>
      <c r="G3703" s="2" t="s">
        <v>4602</v>
      </c>
      <c r="H3703" s="2" t="s">
        <v>11799</v>
      </c>
      <c r="I3703" s="2" t="s">
        <v>11800</v>
      </c>
      <c r="J3703" s="2" t="s">
        <v>529</v>
      </c>
      <c r="K3703" s="2" t="s">
        <v>165</v>
      </c>
      <c r="L3703" s="3">
        <v>42.85</v>
      </c>
      <c r="M3703" s="3">
        <v>44.99</v>
      </c>
      <c r="N3703" s="3">
        <v>89.99</v>
      </c>
      <c r="O3703" s="2" t="s">
        <v>97</v>
      </c>
      <c r="P3703" s="2" t="s">
        <v>98</v>
      </c>
      <c r="Q3703" s="2" t="s">
        <v>99</v>
      </c>
      <c r="R3703" s="2" t="s">
        <v>100</v>
      </c>
      <c r="S3703" s="2" t="s">
        <v>11801</v>
      </c>
      <c r="T3703" s="2" t="s">
        <v>844</v>
      </c>
      <c r="U3703" s="2" t="s">
        <v>901</v>
      </c>
      <c r="V3703" s="2" t="s">
        <v>461</v>
      </c>
      <c r="W3703" s="2" t="s">
        <v>493</v>
      </c>
      <c r="X3703" s="2" t="s">
        <v>609</v>
      </c>
      <c r="Y3703" s="2" t="s">
        <v>100</v>
      </c>
      <c r="Z3703" s="4"/>
      <c r="AA3703" s="4">
        <f>=ROUNDDOWN({0},0)</f>
      </c>
      <c r="AB3703" s="5"/>
      <c r="AC3703" s="2" t="s">
        <v>676</v>
      </c>
      <c r="AD3703" s="4">
        <v>90</v>
      </c>
      <c r="AE3703" s="4">
        <v>180</v>
      </c>
      <c r="AF3703" s="6">
        <v>66</v>
      </c>
      <c r="AG3703" s="6"/>
      <c r="AH3703" s="7">
        <v>0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/>
      <c r="AQ3703" s="8"/>
      <c r="AR3703" s="4"/>
      <c r="AS3703" s="8"/>
      <c r="AT3703" s="7"/>
      <c r="AU3703" s="7"/>
      <c r="AV3703" s="4" t="s">
        <v>100</v>
      </c>
      <c r="AW3703" s="8" t="s">
        <v>100</v>
      </c>
      <c r="AX3703" s="4" t="s">
        <v>100</v>
      </c>
      <c r="AY3703" s="8" t="s">
        <v>100</v>
      </c>
      <c r="AZ3703" s="7" t="s">
        <v>100</v>
      </c>
      <c r="BA3703" s="7" t="s">
        <v>100</v>
      </c>
      <c r="BB3703" s="7"/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/>
      <c r="BJ3703" s="4"/>
      <c r="BK3703" s="8"/>
      <c r="BL3703" s="2" t="s">
        <v>100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2526</v>
      </c>
      <c r="BV3703" s="2" t="s">
        <v>97</v>
      </c>
      <c r="BW3703" s="2" t="s">
        <v>100</v>
      </c>
      <c r="BX3703" s="2" t="s">
        <v>100</v>
      </c>
      <c r="BY3703" s="2" t="s">
        <v>112</v>
      </c>
      <c r="BZ3703" s="2" t="s">
        <v>100</v>
      </c>
    </row>
    <row r="3704">
      <c r="A3704" s="2" t="s">
        <v>11804</v>
      </c>
      <c r="B3704" s="2" t="s">
        <v>11630</v>
      </c>
      <c r="C3704" s="2" t="s">
        <v>3449</v>
      </c>
      <c r="D3704" s="2" t="s">
        <v>89</v>
      </c>
      <c r="E3704" s="2" t="s">
        <v>887</v>
      </c>
      <c r="F3704" s="2" t="s">
        <v>1257</v>
      </c>
      <c r="G3704" s="2" t="s">
        <v>4602</v>
      </c>
      <c r="H3704" s="2" t="s">
        <v>11799</v>
      </c>
      <c r="I3704" s="2" t="s">
        <v>11800</v>
      </c>
      <c r="J3704" s="2" t="s">
        <v>352</v>
      </c>
      <c r="K3704" s="2" t="s">
        <v>179</v>
      </c>
      <c r="L3704" s="3">
        <v>33.33</v>
      </c>
      <c r="M3704" s="3">
        <v>35</v>
      </c>
      <c r="N3704" s="3">
        <v>69.99</v>
      </c>
      <c r="O3704" s="2" t="s">
        <v>97</v>
      </c>
      <c r="P3704" s="2" t="s">
        <v>98</v>
      </c>
      <c r="Q3704" s="2" t="s">
        <v>99</v>
      </c>
      <c r="R3704" s="2" t="s">
        <v>100</v>
      </c>
      <c r="S3704" s="2" t="s">
        <v>11805</v>
      </c>
      <c r="T3704" s="2" t="s">
        <v>844</v>
      </c>
      <c r="U3704" s="2" t="s">
        <v>894</v>
      </c>
      <c r="V3704" s="2" t="s">
        <v>461</v>
      </c>
      <c r="W3704" s="2" t="s">
        <v>493</v>
      </c>
      <c r="X3704" s="2" t="s">
        <v>609</v>
      </c>
      <c r="Y3704" s="2" t="s">
        <v>100</v>
      </c>
      <c r="Z3704" s="4"/>
      <c r="AA3704" s="4">
        <f>=ROUNDDOWN({0},0)</f>
      </c>
      <c r="AB3704" s="5"/>
      <c r="AC3704" s="2" t="s">
        <v>676</v>
      </c>
      <c r="AD3704" s="4">
        <v>145</v>
      </c>
      <c r="AE3704" s="4">
        <v>290</v>
      </c>
      <c r="AF3704" s="6">
        <v>66</v>
      </c>
      <c r="AG3704" s="6"/>
      <c r="AH3704" s="7">
        <v>0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/>
      <c r="AQ3704" s="8"/>
      <c r="AR3704" s="4"/>
      <c r="AS3704" s="8"/>
      <c r="AT3704" s="7"/>
      <c r="AU3704" s="7"/>
      <c r="AV3704" s="4" t="s">
        <v>100</v>
      </c>
      <c r="AW3704" s="8" t="s">
        <v>100</v>
      </c>
      <c r="AX3704" s="4" t="s">
        <v>100</v>
      </c>
      <c r="AY3704" s="8" t="s">
        <v>100</v>
      </c>
      <c r="AZ3704" s="7" t="s">
        <v>100</v>
      </c>
      <c r="BA3704" s="7" t="s">
        <v>100</v>
      </c>
      <c r="BB3704" s="7"/>
      <c r="BC3704" s="4" t="s">
        <v>100</v>
      </c>
      <c r="BD3704" s="8" t="s">
        <v>100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/>
      <c r="BJ3704" s="4"/>
      <c r="BK3704" s="8"/>
      <c r="BL3704" s="2" t="s">
        <v>100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2526</v>
      </c>
      <c r="BV3704" s="2" t="s">
        <v>97</v>
      </c>
      <c r="BW3704" s="2" t="s">
        <v>100</v>
      </c>
      <c r="BX3704" s="2" t="s">
        <v>100</v>
      </c>
      <c r="BY3704" s="2" t="s">
        <v>112</v>
      </c>
      <c r="BZ3704" s="2" t="s">
        <v>100</v>
      </c>
    </row>
    <row r="3705">
      <c r="A3705" s="2" t="s">
        <v>11806</v>
      </c>
      <c r="B3705" s="2" t="s">
        <v>11630</v>
      </c>
      <c r="C3705" s="2" t="s">
        <v>3449</v>
      </c>
      <c r="D3705" s="2" t="s">
        <v>89</v>
      </c>
      <c r="E3705" s="2" t="s">
        <v>887</v>
      </c>
      <c r="F3705" s="2" t="s">
        <v>1257</v>
      </c>
      <c r="G3705" s="2" t="s">
        <v>4602</v>
      </c>
      <c r="H3705" s="2" t="s">
        <v>11799</v>
      </c>
      <c r="I3705" s="2" t="s">
        <v>11800</v>
      </c>
      <c r="J3705" s="2" t="s">
        <v>522</v>
      </c>
      <c r="K3705" s="2" t="s">
        <v>179</v>
      </c>
      <c r="L3705" s="3">
        <v>38.09</v>
      </c>
      <c r="M3705" s="3">
        <v>40</v>
      </c>
      <c r="N3705" s="3">
        <v>79.99</v>
      </c>
      <c r="O3705" s="2" t="s">
        <v>97</v>
      </c>
      <c r="P3705" s="2" t="s">
        <v>98</v>
      </c>
      <c r="Q3705" s="2" t="s">
        <v>99</v>
      </c>
      <c r="R3705" s="2" t="s">
        <v>100</v>
      </c>
      <c r="S3705" s="2" t="s">
        <v>11805</v>
      </c>
      <c r="T3705" s="2" t="s">
        <v>844</v>
      </c>
      <c r="U3705" s="2" t="s">
        <v>901</v>
      </c>
      <c r="V3705" s="2" t="s">
        <v>461</v>
      </c>
      <c r="W3705" s="2" t="s">
        <v>493</v>
      </c>
      <c r="X3705" s="2" t="s">
        <v>609</v>
      </c>
      <c r="Y3705" s="2" t="s">
        <v>100</v>
      </c>
      <c r="Z3705" s="4"/>
      <c r="AA3705" s="4">
        <f>=ROUNDDOWN({0},0)</f>
      </c>
      <c r="AB3705" s="5"/>
      <c r="AC3705" s="2" t="s">
        <v>676</v>
      </c>
      <c r="AD3705" s="4">
        <v>150</v>
      </c>
      <c r="AE3705" s="4">
        <v>300</v>
      </c>
      <c r="AF3705" s="6">
        <v>66</v>
      </c>
      <c r="AG3705" s="6"/>
      <c r="AH3705" s="7">
        <v>0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/>
      <c r="AQ3705" s="8"/>
      <c r="AR3705" s="4"/>
      <c r="AS3705" s="8"/>
      <c r="AT3705" s="7"/>
      <c r="AU3705" s="7"/>
      <c r="AV3705" s="4" t="s">
        <v>100</v>
      </c>
      <c r="AW3705" s="8" t="s">
        <v>100</v>
      </c>
      <c r="AX3705" s="4" t="s">
        <v>100</v>
      </c>
      <c r="AY3705" s="8" t="s">
        <v>100</v>
      </c>
      <c r="AZ3705" s="7" t="s">
        <v>100</v>
      </c>
      <c r="BA3705" s="7" t="s">
        <v>100</v>
      </c>
      <c r="BB3705" s="7"/>
      <c r="BC3705" s="4" t="s">
        <v>100</v>
      </c>
      <c r="BD3705" s="8" t="s">
        <v>100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/>
      <c r="BJ3705" s="4"/>
      <c r="BK3705" s="8"/>
      <c r="BL3705" s="2" t="s">
        <v>100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2526</v>
      </c>
      <c r="BV3705" s="2" t="s">
        <v>97</v>
      </c>
      <c r="BW3705" s="2" t="s">
        <v>100</v>
      </c>
      <c r="BX3705" s="2" t="s">
        <v>100</v>
      </c>
      <c r="BY3705" s="2" t="s">
        <v>112</v>
      </c>
      <c r="BZ3705" s="2" t="s">
        <v>100</v>
      </c>
    </row>
    <row r="3706">
      <c r="A3706" s="2" t="s">
        <v>11807</v>
      </c>
      <c r="B3706" s="2" t="s">
        <v>11630</v>
      </c>
      <c r="C3706" s="2" t="s">
        <v>3449</v>
      </c>
      <c r="D3706" s="2" t="s">
        <v>89</v>
      </c>
      <c r="E3706" s="2" t="s">
        <v>887</v>
      </c>
      <c r="F3706" s="2" t="s">
        <v>1257</v>
      </c>
      <c r="G3706" s="2" t="s">
        <v>4602</v>
      </c>
      <c r="H3706" s="2" t="s">
        <v>11799</v>
      </c>
      <c r="I3706" s="2" t="s">
        <v>11800</v>
      </c>
      <c r="J3706" s="2" t="s">
        <v>529</v>
      </c>
      <c r="K3706" s="2" t="s">
        <v>179</v>
      </c>
      <c r="L3706" s="3">
        <v>42.85</v>
      </c>
      <c r="M3706" s="3">
        <v>44.99</v>
      </c>
      <c r="N3706" s="3">
        <v>89.99</v>
      </c>
      <c r="O3706" s="2" t="s">
        <v>97</v>
      </c>
      <c r="P3706" s="2" t="s">
        <v>98</v>
      </c>
      <c r="Q3706" s="2" t="s">
        <v>99</v>
      </c>
      <c r="R3706" s="2" t="s">
        <v>100</v>
      </c>
      <c r="S3706" s="2" t="s">
        <v>11805</v>
      </c>
      <c r="T3706" s="2" t="s">
        <v>844</v>
      </c>
      <c r="U3706" s="2" t="s">
        <v>901</v>
      </c>
      <c r="V3706" s="2" t="s">
        <v>461</v>
      </c>
      <c r="W3706" s="2" t="s">
        <v>493</v>
      </c>
      <c r="X3706" s="2" t="s">
        <v>609</v>
      </c>
      <c r="Y3706" s="2" t="s">
        <v>100</v>
      </c>
      <c r="Z3706" s="4"/>
      <c r="AA3706" s="4">
        <f>=ROUNDDOWN({0},0)</f>
      </c>
      <c r="AB3706" s="5"/>
      <c r="AC3706" s="2" t="s">
        <v>676</v>
      </c>
      <c r="AD3706" s="4">
        <v>85</v>
      </c>
      <c r="AE3706" s="4">
        <v>170</v>
      </c>
      <c r="AF3706" s="6">
        <v>66</v>
      </c>
      <c r="AG3706" s="6"/>
      <c r="AH3706" s="7">
        <v>0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/>
      <c r="AQ3706" s="8"/>
      <c r="AR3706" s="4"/>
      <c r="AS3706" s="8"/>
      <c r="AT3706" s="7"/>
      <c r="AU3706" s="7"/>
      <c r="AV3706" s="4" t="s">
        <v>100</v>
      </c>
      <c r="AW3706" s="8" t="s">
        <v>100</v>
      </c>
      <c r="AX3706" s="4" t="s">
        <v>100</v>
      </c>
      <c r="AY3706" s="8" t="s">
        <v>100</v>
      </c>
      <c r="AZ3706" s="7" t="s">
        <v>100</v>
      </c>
      <c r="BA3706" s="7" t="s">
        <v>100</v>
      </c>
      <c r="BB3706" s="7"/>
      <c r="BC3706" s="4" t="s">
        <v>100</v>
      </c>
      <c r="BD3706" s="8" t="s">
        <v>100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/>
      <c r="BJ3706" s="4"/>
      <c r="BK3706" s="8"/>
      <c r="BL3706" s="2" t="s">
        <v>100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2526</v>
      </c>
      <c r="BV3706" s="2" t="s">
        <v>97</v>
      </c>
      <c r="BW3706" s="2" t="s">
        <v>100</v>
      </c>
      <c r="BX3706" s="2" t="s">
        <v>100</v>
      </c>
      <c r="BY3706" s="2" t="s">
        <v>112</v>
      </c>
      <c r="BZ3706" s="2" t="s">
        <v>100</v>
      </c>
    </row>
    <row r="3707">
      <c r="A3707" s="2" t="s">
        <v>11808</v>
      </c>
      <c r="B3707" s="2" t="s">
        <v>11630</v>
      </c>
      <c r="C3707" s="2" t="s">
        <v>3449</v>
      </c>
      <c r="D3707" s="2" t="s">
        <v>89</v>
      </c>
      <c r="E3707" s="2" t="s">
        <v>887</v>
      </c>
      <c r="F3707" s="2" t="s">
        <v>1257</v>
      </c>
      <c r="G3707" s="2" t="s">
        <v>4602</v>
      </c>
      <c r="H3707" s="2" t="s">
        <v>11799</v>
      </c>
      <c r="I3707" s="2" t="s">
        <v>11800</v>
      </c>
      <c r="J3707" s="2" t="s">
        <v>352</v>
      </c>
      <c r="K3707" s="2" t="s">
        <v>96</v>
      </c>
      <c r="L3707" s="3">
        <v>33.33</v>
      </c>
      <c r="M3707" s="3">
        <v>35</v>
      </c>
      <c r="N3707" s="3">
        <v>69.99</v>
      </c>
      <c r="O3707" s="2" t="s">
        <v>97</v>
      </c>
      <c r="P3707" s="2" t="s">
        <v>98</v>
      </c>
      <c r="Q3707" s="2" t="s">
        <v>99</v>
      </c>
      <c r="R3707" s="2" t="s">
        <v>100</v>
      </c>
      <c r="S3707" s="2" t="s">
        <v>11809</v>
      </c>
      <c r="T3707" s="2" t="s">
        <v>844</v>
      </c>
      <c r="U3707" s="2" t="s">
        <v>894</v>
      </c>
      <c r="V3707" s="2" t="s">
        <v>461</v>
      </c>
      <c r="W3707" s="2" t="s">
        <v>493</v>
      </c>
      <c r="X3707" s="2" t="s">
        <v>609</v>
      </c>
      <c r="Y3707" s="2" t="s">
        <v>11810</v>
      </c>
      <c r="Z3707" s="4">
        <v>264</v>
      </c>
      <c r="AA3707" s="4">
        <f>=ROUNDDOWN(52.8,0)</f>
      </c>
      <c r="AB3707" s="5">
        <v>5</v>
      </c>
      <c r="AC3707" s="2" t="s">
        <v>676</v>
      </c>
      <c r="AD3707" s="4">
        <v>200</v>
      </c>
      <c r="AE3707" s="4">
        <v>200</v>
      </c>
      <c r="AF3707" s="6">
        <v>66</v>
      </c>
      <c r="AG3707" s="6"/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/>
      <c r="AQ3707" s="8"/>
      <c r="AR3707" s="4"/>
      <c r="AS3707" s="8"/>
      <c r="AT3707" s="7"/>
      <c r="AU3707" s="7"/>
      <c r="AV3707" s="4" t="s">
        <v>100</v>
      </c>
      <c r="AW3707" s="8" t="s">
        <v>100</v>
      </c>
      <c r="AX3707" s="4" t="s">
        <v>100</v>
      </c>
      <c r="AY3707" s="8" t="s">
        <v>100</v>
      </c>
      <c r="AZ3707" s="7" t="s">
        <v>100</v>
      </c>
      <c r="BA3707" s="7" t="s">
        <v>100</v>
      </c>
      <c r="BB3707" s="7"/>
      <c r="BC3707" s="4" t="s">
        <v>100</v>
      </c>
      <c r="BD3707" s="8" t="s">
        <v>100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/>
      <c r="BJ3707" s="4">
        <v>9</v>
      </c>
      <c r="BK3707" s="8">
        <v>332.33</v>
      </c>
      <c r="BL3707" s="2" t="s">
        <v>2053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171</v>
      </c>
      <c r="BV3707" s="2" t="s">
        <v>97</v>
      </c>
      <c r="BW3707" s="2" t="s">
        <v>100</v>
      </c>
      <c r="BX3707" s="2" t="s">
        <v>100</v>
      </c>
      <c r="BY3707" s="2" t="s">
        <v>112</v>
      </c>
      <c r="BZ3707" s="2" t="s">
        <v>100</v>
      </c>
    </row>
    <row r="3708">
      <c r="A3708" s="2" t="s">
        <v>11811</v>
      </c>
      <c r="B3708" s="2" t="s">
        <v>11630</v>
      </c>
      <c r="C3708" s="2" t="s">
        <v>3449</v>
      </c>
      <c r="D3708" s="2" t="s">
        <v>89</v>
      </c>
      <c r="E3708" s="2" t="s">
        <v>887</v>
      </c>
      <c r="F3708" s="2" t="s">
        <v>1257</v>
      </c>
      <c r="G3708" s="2" t="s">
        <v>4602</v>
      </c>
      <c r="H3708" s="2" t="s">
        <v>11799</v>
      </c>
      <c r="I3708" s="2" t="s">
        <v>11800</v>
      </c>
      <c r="J3708" s="2" t="s">
        <v>522</v>
      </c>
      <c r="K3708" s="2" t="s">
        <v>96</v>
      </c>
      <c r="L3708" s="3">
        <v>38.09</v>
      </c>
      <c r="M3708" s="3">
        <v>40</v>
      </c>
      <c r="N3708" s="3">
        <v>79.99</v>
      </c>
      <c r="O3708" s="2" t="s">
        <v>97</v>
      </c>
      <c r="P3708" s="2" t="s">
        <v>98</v>
      </c>
      <c r="Q3708" s="2" t="s">
        <v>99</v>
      </c>
      <c r="R3708" s="2" t="s">
        <v>100</v>
      </c>
      <c r="S3708" s="2" t="s">
        <v>11809</v>
      </c>
      <c r="T3708" s="2" t="s">
        <v>844</v>
      </c>
      <c r="U3708" s="2" t="s">
        <v>901</v>
      </c>
      <c r="V3708" s="2" t="s">
        <v>461</v>
      </c>
      <c r="W3708" s="2" t="s">
        <v>493</v>
      </c>
      <c r="X3708" s="2" t="s">
        <v>609</v>
      </c>
      <c r="Y3708" s="2" t="s">
        <v>11810</v>
      </c>
      <c r="Z3708" s="4">
        <v>635</v>
      </c>
      <c r="AA3708" s="4">
        <f>=ROUNDDOWN(79.375,0)</f>
      </c>
      <c r="AB3708" s="5">
        <v>8</v>
      </c>
      <c r="AC3708" s="2" t="s">
        <v>100</v>
      </c>
      <c r="AD3708" s="4"/>
      <c r="AE3708" s="4"/>
      <c r="AF3708" s="6">
        <v>66</v>
      </c>
      <c r="AG3708" s="6"/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/>
      <c r="AQ3708" s="8"/>
      <c r="AR3708" s="4"/>
      <c r="AS3708" s="8"/>
      <c r="AT3708" s="7"/>
      <c r="AU3708" s="7"/>
      <c r="AV3708" s="4" t="s">
        <v>100</v>
      </c>
      <c r="AW3708" s="8" t="s">
        <v>100</v>
      </c>
      <c r="AX3708" s="4" t="s">
        <v>100</v>
      </c>
      <c r="AY3708" s="8" t="s">
        <v>100</v>
      </c>
      <c r="AZ3708" s="7" t="s">
        <v>100</v>
      </c>
      <c r="BA3708" s="7" t="s">
        <v>100</v>
      </c>
      <c r="BB3708" s="7"/>
      <c r="BC3708" s="4" t="s">
        <v>100</v>
      </c>
      <c r="BD3708" s="8" t="s">
        <v>100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/>
      <c r="BJ3708" s="4">
        <v>8</v>
      </c>
      <c r="BK3708" s="8">
        <v>341.13</v>
      </c>
      <c r="BL3708" s="2" t="s">
        <v>4137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171</v>
      </c>
      <c r="BV3708" s="2" t="s">
        <v>97</v>
      </c>
      <c r="BW3708" s="2" t="s">
        <v>100</v>
      </c>
      <c r="BX3708" s="2" t="s">
        <v>100</v>
      </c>
      <c r="BY3708" s="2" t="s">
        <v>112</v>
      </c>
      <c r="BZ3708" s="2" t="s">
        <v>100</v>
      </c>
    </row>
    <row r="3709">
      <c r="A3709" s="2" t="s">
        <v>11812</v>
      </c>
      <c r="B3709" s="2" t="s">
        <v>11630</v>
      </c>
      <c r="C3709" s="2" t="s">
        <v>3449</v>
      </c>
      <c r="D3709" s="2" t="s">
        <v>89</v>
      </c>
      <c r="E3709" s="2" t="s">
        <v>887</v>
      </c>
      <c r="F3709" s="2" t="s">
        <v>1257</v>
      </c>
      <c r="G3709" s="2" t="s">
        <v>4602</v>
      </c>
      <c r="H3709" s="2" t="s">
        <v>11799</v>
      </c>
      <c r="I3709" s="2" t="s">
        <v>11800</v>
      </c>
      <c r="J3709" s="2" t="s">
        <v>529</v>
      </c>
      <c r="K3709" s="2" t="s">
        <v>96</v>
      </c>
      <c r="L3709" s="3">
        <v>42.85</v>
      </c>
      <c r="M3709" s="3">
        <v>44.99</v>
      </c>
      <c r="N3709" s="3">
        <v>89.99</v>
      </c>
      <c r="O3709" s="2" t="s">
        <v>97</v>
      </c>
      <c r="P3709" s="2" t="s">
        <v>98</v>
      </c>
      <c r="Q3709" s="2" t="s">
        <v>99</v>
      </c>
      <c r="R3709" s="2" t="s">
        <v>100</v>
      </c>
      <c r="S3709" s="2" t="s">
        <v>11809</v>
      </c>
      <c r="T3709" s="2" t="s">
        <v>844</v>
      </c>
      <c r="U3709" s="2" t="s">
        <v>901</v>
      </c>
      <c r="V3709" s="2" t="s">
        <v>461</v>
      </c>
      <c r="W3709" s="2" t="s">
        <v>493</v>
      </c>
      <c r="X3709" s="2" t="s">
        <v>609</v>
      </c>
      <c r="Y3709" s="2" t="s">
        <v>10289</v>
      </c>
      <c r="Z3709" s="4">
        <v>279</v>
      </c>
      <c r="AA3709" s="4">
        <f>=ROUNDDOWN(55.8,0)</f>
      </c>
      <c r="AB3709" s="5">
        <v>5</v>
      </c>
      <c r="AC3709" s="2" t="s">
        <v>100</v>
      </c>
      <c r="AD3709" s="4"/>
      <c r="AE3709" s="4"/>
      <c r="AF3709" s="6">
        <v>66</v>
      </c>
      <c r="AG3709" s="6"/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/>
      <c r="AQ3709" s="8"/>
      <c r="AR3709" s="4"/>
      <c r="AS3709" s="8"/>
      <c r="AT3709" s="7"/>
      <c r="AU3709" s="7"/>
      <c r="AV3709" s="4" t="s">
        <v>100</v>
      </c>
      <c r="AW3709" s="8" t="s">
        <v>100</v>
      </c>
      <c r="AX3709" s="4" t="s">
        <v>100</v>
      </c>
      <c r="AY3709" s="8" t="s">
        <v>100</v>
      </c>
      <c r="AZ3709" s="7" t="s">
        <v>100</v>
      </c>
      <c r="BA3709" s="7" t="s">
        <v>100</v>
      </c>
      <c r="BB3709" s="7"/>
      <c r="BC3709" s="4" t="s">
        <v>100</v>
      </c>
      <c r="BD3709" s="8" t="s">
        <v>100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/>
      <c r="BJ3709" s="4">
        <v>16</v>
      </c>
      <c r="BK3709" s="8">
        <v>731.44</v>
      </c>
      <c r="BL3709" s="2" t="s">
        <v>11813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171</v>
      </c>
      <c r="BV3709" s="2" t="s">
        <v>97</v>
      </c>
      <c r="BW3709" s="2" t="s">
        <v>100</v>
      </c>
      <c r="BX3709" s="2" t="s">
        <v>100</v>
      </c>
      <c r="BY3709" s="2" t="s">
        <v>112</v>
      </c>
      <c r="BZ3709" s="2" t="s">
        <v>100</v>
      </c>
    </row>
    <row r="3710">
      <c r="A3710" s="2" t="s">
        <v>11814</v>
      </c>
      <c r="B3710" s="2" t="s">
        <v>11630</v>
      </c>
      <c r="C3710" s="2" t="s">
        <v>3449</v>
      </c>
      <c r="D3710" s="2" t="s">
        <v>89</v>
      </c>
      <c r="E3710" s="2" t="s">
        <v>887</v>
      </c>
      <c r="F3710" s="2" t="s">
        <v>1257</v>
      </c>
      <c r="G3710" s="2" t="s">
        <v>4602</v>
      </c>
      <c r="H3710" s="2" t="s">
        <v>11799</v>
      </c>
      <c r="I3710" s="2" t="s">
        <v>11800</v>
      </c>
      <c r="J3710" s="2" t="s">
        <v>352</v>
      </c>
      <c r="K3710" s="2" t="s">
        <v>1373</v>
      </c>
      <c r="L3710" s="3">
        <v>33.33</v>
      </c>
      <c r="M3710" s="3">
        <v>35</v>
      </c>
      <c r="N3710" s="3">
        <v>69.99</v>
      </c>
      <c r="O3710" s="2" t="s">
        <v>97</v>
      </c>
      <c r="P3710" s="2" t="s">
        <v>98</v>
      </c>
      <c r="Q3710" s="2" t="s">
        <v>99</v>
      </c>
      <c r="R3710" s="2" t="s">
        <v>100</v>
      </c>
      <c r="S3710" s="2" t="s">
        <v>11815</v>
      </c>
      <c r="T3710" s="2" t="s">
        <v>844</v>
      </c>
      <c r="U3710" s="2" t="s">
        <v>894</v>
      </c>
      <c r="V3710" s="2" t="s">
        <v>461</v>
      </c>
      <c r="W3710" s="2" t="s">
        <v>493</v>
      </c>
      <c r="X3710" s="2" t="s">
        <v>609</v>
      </c>
      <c r="Y3710" s="2" t="s">
        <v>4356</v>
      </c>
      <c r="Z3710" s="4">
        <v>901</v>
      </c>
      <c r="AA3710" s="4">
        <f>=ROUNDDOWN(53,0)</f>
      </c>
      <c r="AB3710" s="5">
        <v>17</v>
      </c>
      <c r="AC3710" s="2" t="s">
        <v>100</v>
      </c>
      <c r="AD3710" s="4"/>
      <c r="AE3710" s="4"/>
      <c r="AF3710" s="6">
        <v>66</v>
      </c>
      <c r="AG3710" s="6"/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/>
      <c r="AQ3710" s="8"/>
      <c r="AR3710" s="4"/>
      <c r="AS3710" s="8"/>
      <c r="AT3710" s="7"/>
      <c r="AU3710" s="7"/>
      <c r="AV3710" s="4" t="s">
        <v>100</v>
      </c>
      <c r="AW3710" s="8" t="s">
        <v>100</v>
      </c>
      <c r="AX3710" s="4" t="s">
        <v>100</v>
      </c>
      <c r="AY3710" s="8" t="s">
        <v>100</v>
      </c>
      <c r="AZ3710" s="7" t="s">
        <v>100</v>
      </c>
      <c r="BA3710" s="7" t="s">
        <v>100</v>
      </c>
      <c r="BB3710" s="7"/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/>
      <c r="BJ3710" s="4">
        <v>40</v>
      </c>
      <c r="BK3710" s="8">
        <v>1501.94</v>
      </c>
      <c r="BL3710" s="2" t="s">
        <v>11816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171</v>
      </c>
      <c r="BV3710" s="2" t="s">
        <v>97</v>
      </c>
      <c r="BW3710" s="2" t="s">
        <v>100</v>
      </c>
      <c r="BX3710" s="2" t="s">
        <v>100</v>
      </c>
      <c r="BY3710" s="2" t="s">
        <v>112</v>
      </c>
      <c r="BZ3710" s="2" t="s">
        <v>100</v>
      </c>
    </row>
    <row r="3711">
      <c r="A3711" s="2" t="s">
        <v>11817</v>
      </c>
      <c r="B3711" s="2" t="s">
        <v>11630</v>
      </c>
      <c r="C3711" s="2" t="s">
        <v>3449</v>
      </c>
      <c r="D3711" s="2" t="s">
        <v>89</v>
      </c>
      <c r="E3711" s="2" t="s">
        <v>887</v>
      </c>
      <c r="F3711" s="2" t="s">
        <v>1257</v>
      </c>
      <c r="G3711" s="2" t="s">
        <v>4602</v>
      </c>
      <c r="H3711" s="2" t="s">
        <v>11799</v>
      </c>
      <c r="I3711" s="2" t="s">
        <v>11800</v>
      </c>
      <c r="J3711" s="2" t="s">
        <v>522</v>
      </c>
      <c r="K3711" s="2" t="s">
        <v>1373</v>
      </c>
      <c r="L3711" s="3">
        <v>38.09</v>
      </c>
      <c r="M3711" s="3">
        <v>40</v>
      </c>
      <c r="N3711" s="3">
        <v>79.99</v>
      </c>
      <c r="O3711" s="2" t="s">
        <v>97</v>
      </c>
      <c r="P3711" s="2" t="s">
        <v>98</v>
      </c>
      <c r="Q3711" s="2" t="s">
        <v>99</v>
      </c>
      <c r="R3711" s="2" t="s">
        <v>100</v>
      </c>
      <c r="S3711" s="2" t="s">
        <v>11815</v>
      </c>
      <c r="T3711" s="2" t="s">
        <v>844</v>
      </c>
      <c r="U3711" s="2" t="s">
        <v>901</v>
      </c>
      <c r="V3711" s="2" t="s">
        <v>461</v>
      </c>
      <c r="W3711" s="2" t="s">
        <v>493</v>
      </c>
      <c r="X3711" s="2" t="s">
        <v>609</v>
      </c>
      <c r="Y3711" s="2" t="s">
        <v>4356</v>
      </c>
      <c r="Z3711" s="4">
        <v>906</v>
      </c>
      <c r="AA3711" s="4">
        <f>=ROUNDDOWN(33.5555555555556,0)</f>
      </c>
      <c r="AB3711" s="5">
        <v>27</v>
      </c>
      <c r="AC3711" s="2" t="s">
        <v>958</v>
      </c>
      <c r="AD3711" s="4">
        <v>420</v>
      </c>
      <c r="AE3711" s="4">
        <v>420</v>
      </c>
      <c r="AF3711" s="6">
        <v>66</v>
      </c>
      <c r="AG3711" s="6"/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/>
      <c r="AQ3711" s="8"/>
      <c r="AR3711" s="4"/>
      <c r="AS3711" s="8"/>
      <c r="AT3711" s="7"/>
      <c r="AU3711" s="7"/>
      <c r="AV3711" s="4" t="s">
        <v>100</v>
      </c>
      <c r="AW3711" s="8" t="s">
        <v>100</v>
      </c>
      <c r="AX3711" s="4" t="s">
        <v>100</v>
      </c>
      <c r="AY3711" s="8" t="s">
        <v>100</v>
      </c>
      <c r="AZ3711" s="7" t="s">
        <v>100</v>
      </c>
      <c r="BA3711" s="7" t="s">
        <v>100</v>
      </c>
      <c r="BB3711" s="7"/>
      <c r="BC3711" s="4" t="s">
        <v>100</v>
      </c>
      <c r="BD3711" s="8" t="s">
        <v>100</v>
      </c>
      <c r="BE3711" s="4" t="s">
        <v>100</v>
      </c>
      <c r="BF3711" s="8" t="s">
        <v>100</v>
      </c>
      <c r="BG3711" s="7" t="s">
        <v>100</v>
      </c>
      <c r="BH3711" s="7" t="s">
        <v>100</v>
      </c>
      <c r="BI3711" s="7"/>
      <c r="BJ3711" s="4">
        <v>89</v>
      </c>
      <c r="BK3711" s="8">
        <v>3760.57</v>
      </c>
      <c r="BL3711" s="2" t="s">
        <v>11818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171</v>
      </c>
      <c r="BV3711" s="2" t="s">
        <v>97</v>
      </c>
      <c r="BW3711" s="2" t="s">
        <v>100</v>
      </c>
      <c r="BX3711" s="2" t="s">
        <v>100</v>
      </c>
      <c r="BY3711" s="2" t="s">
        <v>112</v>
      </c>
      <c r="BZ3711" s="2" t="s">
        <v>100</v>
      </c>
    </row>
    <row r="3712">
      <c r="A3712" s="2" t="s">
        <v>11819</v>
      </c>
      <c r="B3712" s="2" t="s">
        <v>11630</v>
      </c>
      <c r="C3712" s="2" t="s">
        <v>3449</v>
      </c>
      <c r="D3712" s="2" t="s">
        <v>89</v>
      </c>
      <c r="E3712" s="2" t="s">
        <v>887</v>
      </c>
      <c r="F3712" s="2" t="s">
        <v>1257</v>
      </c>
      <c r="G3712" s="2" t="s">
        <v>4602</v>
      </c>
      <c r="H3712" s="2" t="s">
        <v>11799</v>
      </c>
      <c r="I3712" s="2" t="s">
        <v>11800</v>
      </c>
      <c r="J3712" s="2" t="s">
        <v>529</v>
      </c>
      <c r="K3712" s="2" t="s">
        <v>1373</v>
      </c>
      <c r="L3712" s="3">
        <v>42.85</v>
      </c>
      <c r="M3712" s="3">
        <v>44.99</v>
      </c>
      <c r="N3712" s="3">
        <v>89.99</v>
      </c>
      <c r="O3712" s="2" t="s">
        <v>97</v>
      </c>
      <c r="P3712" s="2" t="s">
        <v>98</v>
      </c>
      <c r="Q3712" s="2" t="s">
        <v>99</v>
      </c>
      <c r="R3712" s="2" t="s">
        <v>100</v>
      </c>
      <c r="S3712" s="2" t="s">
        <v>11815</v>
      </c>
      <c r="T3712" s="2" t="s">
        <v>844</v>
      </c>
      <c r="U3712" s="2" t="s">
        <v>901</v>
      </c>
      <c r="V3712" s="2" t="s">
        <v>461</v>
      </c>
      <c r="W3712" s="2" t="s">
        <v>493</v>
      </c>
      <c r="X3712" s="2" t="s">
        <v>609</v>
      </c>
      <c r="Y3712" s="2" t="s">
        <v>11820</v>
      </c>
      <c r="Z3712" s="4">
        <v>480</v>
      </c>
      <c r="AA3712" s="4">
        <f>=ROUNDDOWN(68.5714285714286,0)</f>
      </c>
      <c r="AB3712" s="5">
        <v>7</v>
      </c>
      <c r="AC3712" s="2" t="s">
        <v>100</v>
      </c>
      <c r="AD3712" s="4"/>
      <c r="AE3712" s="4"/>
      <c r="AF3712" s="6">
        <v>66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/>
      <c r="AQ3712" s="8"/>
      <c r="AR3712" s="4"/>
      <c r="AS3712" s="8"/>
      <c r="AT3712" s="7"/>
      <c r="AU3712" s="7"/>
      <c r="AV3712" s="4" t="s">
        <v>100</v>
      </c>
      <c r="AW3712" s="8" t="s">
        <v>100</v>
      </c>
      <c r="AX3712" s="4" t="s">
        <v>100</v>
      </c>
      <c r="AY3712" s="8" t="s">
        <v>100</v>
      </c>
      <c r="AZ3712" s="7" t="s">
        <v>100</v>
      </c>
      <c r="BA3712" s="7" t="s">
        <v>100</v>
      </c>
      <c r="BB3712" s="7"/>
      <c r="BC3712" s="4" t="s">
        <v>100</v>
      </c>
      <c r="BD3712" s="8" t="s">
        <v>100</v>
      </c>
      <c r="BE3712" s="4" t="s">
        <v>100</v>
      </c>
      <c r="BF3712" s="8" t="s">
        <v>100</v>
      </c>
      <c r="BG3712" s="7" t="s">
        <v>100</v>
      </c>
      <c r="BH3712" s="7" t="s">
        <v>100</v>
      </c>
      <c r="BI3712" s="7"/>
      <c r="BJ3712" s="4">
        <v>18</v>
      </c>
      <c r="BK3712" s="8">
        <v>832.32</v>
      </c>
      <c r="BL3712" s="2" t="s">
        <v>644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171</v>
      </c>
      <c r="BV3712" s="2" t="s">
        <v>97</v>
      </c>
      <c r="BW3712" s="2" t="s">
        <v>100</v>
      </c>
      <c r="BX3712" s="2" t="s">
        <v>100</v>
      </c>
      <c r="BY3712" s="2" t="s">
        <v>112</v>
      </c>
      <c r="BZ3712" s="2" t="s">
        <v>100</v>
      </c>
    </row>
    <row r="3713">
      <c r="A3713" s="2" t="s">
        <v>11821</v>
      </c>
      <c r="B3713" s="2" t="s">
        <v>11630</v>
      </c>
      <c r="C3713" s="2" t="s">
        <v>3449</v>
      </c>
      <c r="D3713" s="2" t="s">
        <v>89</v>
      </c>
      <c r="E3713" s="2" t="s">
        <v>887</v>
      </c>
      <c r="F3713" s="2" t="s">
        <v>1257</v>
      </c>
      <c r="G3713" s="2" t="s">
        <v>4602</v>
      </c>
      <c r="H3713" s="2" t="s">
        <v>11799</v>
      </c>
      <c r="I3713" s="2" t="s">
        <v>11800</v>
      </c>
      <c r="J3713" s="2" t="s">
        <v>352</v>
      </c>
      <c r="K3713" s="2" t="s">
        <v>223</v>
      </c>
      <c r="L3713" s="3">
        <v>33.33</v>
      </c>
      <c r="M3713" s="3">
        <v>35</v>
      </c>
      <c r="N3713" s="3">
        <v>69.99</v>
      </c>
      <c r="O3713" s="2" t="s">
        <v>97</v>
      </c>
      <c r="P3713" s="2" t="s">
        <v>98</v>
      </c>
      <c r="Q3713" s="2" t="s">
        <v>99</v>
      </c>
      <c r="R3713" s="2" t="s">
        <v>100</v>
      </c>
      <c r="S3713" s="2" t="s">
        <v>11822</v>
      </c>
      <c r="T3713" s="2" t="s">
        <v>844</v>
      </c>
      <c r="U3713" s="2" t="s">
        <v>894</v>
      </c>
      <c r="V3713" s="2" t="s">
        <v>461</v>
      </c>
      <c r="W3713" s="2" t="s">
        <v>493</v>
      </c>
      <c r="X3713" s="2" t="s">
        <v>609</v>
      </c>
      <c r="Y3713" s="2" t="s">
        <v>11810</v>
      </c>
      <c r="Z3713" s="4">
        <v>442</v>
      </c>
      <c r="AA3713" s="4">
        <f>=ROUNDDOWN(88.4,0)</f>
      </c>
      <c r="AB3713" s="5">
        <v>5</v>
      </c>
      <c r="AC3713" s="2" t="s">
        <v>100</v>
      </c>
      <c r="AD3713" s="4"/>
      <c r="AE3713" s="4"/>
      <c r="AF3713" s="6">
        <v>66</v>
      </c>
      <c r="AG3713" s="6"/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/>
      <c r="AQ3713" s="8"/>
      <c r="AR3713" s="4"/>
      <c r="AS3713" s="8"/>
      <c r="AT3713" s="7"/>
      <c r="AU3713" s="7"/>
      <c r="AV3713" s="4" t="s">
        <v>100</v>
      </c>
      <c r="AW3713" s="8" t="s">
        <v>100</v>
      </c>
      <c r="AX3713" s="4" t="s">
        <v>100</v>
      </c>
      <c r="AY3713" s="8" t="s">
        <v>100</v>
      </c>
      <c r="AZ3713" s="7" t="s">
        <v>100</v>
      </c>
      <c r="BA3713" s="7" t="s">
        <v>100</v>
      </c>
      <c r="BB3713" s="7"/>
      <c r="BC3713" s="4" t="s">
        <v>100</v>
      </c>
      <c r="BD3713" s="8" t="s">
        <v>100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/>
      <c r="BJ3713" s="4">
        <v>16</v>
      </c>
      <c r="BK3713" s="8">
        <v>596.06</v>
      </c>
      <c r="BL3713" s="2" t="s">
        <v>6609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171</v>
      </c>
      <c r="BV3713" s="2" t="s">
        <v>97</v>
      </c>
      <c r="BW3713" s="2" t="s">
        <v>100</v>
      </c>
      <c r="BX3713" s="2" t="s">
        <v>100</v>
      </c>
      <c r="BY3713" s="2" t="s">
        <v>112</v>
      </c>
      <c r="BZ3713" s="2" t="s">
        <v>100</v>
      </c>
    </row>
    <row r="3714">
      <c r="A3714" s="2" t="s">
        <v>11823</v>
      </c>
      <c r="B3714" s="2" t="s">
        <v>11630</v>
      </c>
      <c r="C3714" s="2" t="s">
        <v>3449</v>
      </c>
      <c r="D3714" s="2" t="s">
        <v>89</v>
      </c>
      <c r="E3714" s="2" t="s">
        <v>887</v>
      </c>
      <c r="F3714" s="2" t="s">
        <v>1257</v>
      </c>
      <c r="G3714" s="2" t="s">
        <v>4602</v>
      </c>
      <c r="H3714" s="2" t="s">
        <v>11799</v>
      </c>
      <c r="I3714" s="2" t="s">
        <v>11800</v>
      </c>
      <c r="J3714" s="2" t="s">
        <v>522</v>
      </c>
      <c r="K3714" s="2" t="s">
        <v>223</v>
      </c>
      <c r="L3714" s="3">
        <v>38.09</v>
      </c>
      <c r="M3714" s="3">
        <v>40</v>
      </c>
      <c r="N3714" s="3">
        <v>79.99</v>
      </c>
      <c r="O3714" s="2" t="s">
        <v>97</v>
      </c>
      <c r="P3714" s="2" t="s">
        <v>98</v>
      </c>
      <c r="Q3714" s="2" t="s">
        <v>99</v>
      </c>
      <c r="R3714" s="2" t="s">
        <v>100</v>
      </c>
      <c r="S3714" s="2" t="s">
        <v>11822</v>
      </c>
      <c r="T3714" s="2" t="s">
        <v>844</v>
      </c>
      <c r="U3714" s="2" t="s">
        <v>901</v>
      </c>
      <c r="V3714" s="2" t="s">
        <v>461</v>
      </c>
      <c r="W3714" s="2" t="s">
        <v>493</v>
      </c>
      <c r="X3714" s="2" t="s">
        <v>609</v>
      </c>
      <c r="Y3714" s="2" t="s">
        <v>10289</v>
      </c>
      <c r="Z3714" s="4">
        <v>878</v>
      </c>
      <c r="AA3714" s="4">
        <f>=ROUNDDOWN(79.8181818181818,0)</f>
      </c>
      <c r="AB3714" s="5">
        <v>11</v>
      </c>
      <c r="AC3714" s="2" t="s">
        <v>100</v>
      </c>
      <c r="AD3714" s="4"/>
      <c r="AE3714" s="4"/>
      <c r="AF3714" s="6">
        <v>66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/>
      <c r="AQ3714" s="8"/>
      <c r="AR3714" s="4"/>
      <c r="AS3714" s="8"/>
      <c r="AT3714" s="7"/>
      <c r="AU3714" s="7"/>
      <c r="AV3714" s="4" t="s">
        <v>100</v>
      </c>
      <c r="AW3714" s="8" t="s">
        <v>100</v>
      </c>
      <c r="AX3714" s="4" t="s">
        <v>100</v>
      </c>
      <c r="AY3714" s="8" t="s">
        <v>100</v>
      </c>
      <c r="AZ3714" s="7" t="s">
        <v>100</v>
      </c>
      <c r="BA3714" s="7" t="s">
        <v>100</v>
      </c>
      <c r="BB3714" s="7"/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/>
      <c r="BJ3714" s="4">
        <v>15</v>
      </c>
      <c r="BK3714" s="8">
        <v>627.05</v>
      </c>
      <c r="BL3714" s="2" t="s">
        <v>1823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171</v>
      </c>
      <c r="BV3714" s="2" t="s">
        <v>97</v>
      </c>
      <c r="BW3714" s="2" t="s">
        <v>100</v>
      </c>
      <c r="BX3714" s="2" t="s">
        <v>100</v>
      </c>
      <c r="BY3714" s="2" t="s">
        <v>112</v>
      </c>
      <c r="BZ3714" s="2" t="s">
        <v>100</v>
      </c>
    </row>
    <row r="3715">
      <c r="A3715" s="2" t="s">
        <v>11824</v>
      </c>
      <c r="B3715" s="2" t="s">
        <v>11630</v>
      </c>
      <c r="C3715" s="2" t="s">
        <v>3449</v>
      </c>
      <c r="D3715" s="2" t="s">
        <v>89</v>
      </c>
      <c r="E3715" s="2" t="s">
        <v>887</v>
      </c>
      <c r="F3715" s="2" t="s">
        <v>1257</v>
      </c>
      <c r="G3715" s="2" t="s">
        <v>4602</v>
      </c>
      <c r="H3715" s="2" t="s">
        <v>11799</v>
      </c>
      <c r="I3715" s="2" t="s">
        <v>11800</v>
      </c>
      <c r="J3715" s="2" t="s">
        <v>529</v>
      </c>
      <c r="K3715" s="2" t="s">
        <v>223</v>
      </c>
      <c r="L3715" s="3">
        <v>42.85</v>
      </c>
      <c r="M3715" s="3">
        <v>44.99</v>
      </c>
      <c r="N3715" s="3">
        <v>89.99</v>
      </c>
      <c r="O3715" s="2" t="s">
        <v>97</v>
      </c>
      <c r="P3715" s="2" t="s">
        <v>98</v>
      </c>
      <c r="Q3715" s="2" t="s">
        <v>99</v>
      </c>
      <c r="R3715" s="2" t="s">
        <v>100</v>
      </c>
      <c r="S3715" s="2" t="s">
        <v>11822</v>
      </c>
      <c r="T3715" s="2" t="s">
        <v>844</v>
      </c>
      <c r="U3715" s="2" t="s">
        <v>901</v>
      </c>
      <c r="V3715" s="2" t="s">
        <v>461</v>
      </c>
      <c r="W3715" s="2" t="s">
        <v>493</v>
      </c>
      <c r="X3715" s="2" t="s">
        <v>609</v>
      </c>
      <c r="Y3715" s="2" t="s">
        <v>10289</v>
      </c>
      <c r="Z3715" s="4">
        <v>373</v>
      </c>
      <c r="AA3715" s="4">
        <f>=ROUNDDOWN(46.625,0)</f>
      </c>
      <c r="AB3715" s="5">
        <v>8</v>
      </c>
      <c r="AC3715" s="2" t="s">
        <v>100</v>
      </c>
      <c r="AD3715" s="4"/>
      <c r="AE3715" s="4"/>
      <c r="AF3715" s="6">
        <v>66</v>
      </c>
      <c r="AG3715" s="6"/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>
        <v>0</v>
      </c>
      <c r="AP3715" s="4"/>
      <c r="AQ3715" s="8"/>
      <c r="AR3715" s="4"/>
      <c r="AS3715" s="8"/>
      <c r="AT3715" s="7"/>
      <c r="AU3715" s="7"/>
      <c r="AV3715" s="4" t="s">
        <v>100</v>
      </c>
      <c r="AW3715" s="8" t="s">
        <v>100</v>
      </c>
      <c r="AX3715" s="4" t="s">
        <v>100</v>
      </c>
      <c r="AY3715" s="8" t="s">
        <v>100</v>
      </c>
      <c r="AZ3715" s="7" t="s">
        <v>100</v>
      </c>
      <c r="BA3715" s="7" t="s">
        <v>100</v>
      </c>
      <c r="BB3715" s="7"/>
      <c r="BC3715" s="4" t="s">
        <v>100</v>
      </c>
      <c r="BD3715" s="8" t="s">
        <v>100</v>
      </c>
      <c r="BE3715" s="4" t="s">
        <v>100</v>
      </c>
      <c r="BF3715" s="8" t="s">
        <v>100</v>
      </c>
      <c r="BG3715" s="7" t="s">
        <v>100</v>
      </c>
      <c r="BH3715" s="7" t="s">
        <v>100</v>
      </c>
      <c r="BI3715" s="7"/>
      <c r="BJ3715" s="4">
        <v>28</v>
      </c>
      <c r="BK3715" s="8">
        <v>1308.02</v>
      </c>
      <c r="BL3715" s="2" t="s">
        <v>296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171</v>
      </c>
      <c r="BV3715" s="2" t="s">
        <v>97</v>
      </c>
      <c r="BW3715" s="2" t="s">
        <v>100</v>
      </c>
      <c r="BX3715" s="2" t="s">
        <v>100</v>
      </c>
      <c r="BY3715" s="2" t="s">
        <v>112</v>
      </c>
      <c r="BZ3715" s="2" t="s">
        <v>100</v>
      </c>
    </row>
    <row r="3716">
      <c r="A3716" s="2" t="s">
        <v>11825</v>
      </c>
      <c r="B3716" s="2" t="s">
        <v>11630</v>
      </c>
      <c r="C3716" s="2" t="s">
        <v>3449</v>
      </c>
      <c r="D3716" s="2" t="s">
        <v>89</v>
      </c>
      <c r="E3716" s="2" t="s">
        <v>887</v>
      </c>
      <c r="F3716" s="2" t="s">
        <v>1257</v>
      </c>
      <c r="G3716" s="2" t="s">
        <v>4602</v>
      </c>
      <c r="H3716" s="2" t="s">
        <v>11799</v>
      </c>
      <c r="I3716" s="2" t="s">
        <v>11800</v>
      </c>
      <c r="J3716" s="2" t="s">
        <v>352</v>
      </c>
      <c r="K3716" s="2" t="s">
        <v>4816</v>
      </c>
      <c r="L3716" s="3">
        <v>33.33</v>
      </c>
      <c r="M3716" s="3">
        <v>35</v>
      </c>
      <c r="N3716" s="3">
        <v>69.99</v>
      </c>
      <c r="O3716" s="2" t="s">
        <v>97</v>
      </c>
      <c r="P3716" s="2" t="s">
        <v>123</v>
      </c>
      <c r="Q3716" s="2" t="s">
        <v>99</v>
      </c>
      <c r="R3716" s="2" t="s">
        <v>100</v>
      </c>
      <c r="S3716" s="2" t="s">
        <v>11826</v>
      </c>
      <c r="T3716" s="2" t="s">
        <v>844</v>
      </c>
      <c r="U3716" s="2" t="s">
        <v>894</v>
      </c>
      <c r="V3716" s="2" t="s">
        <v>461</v>
      </c>
      <c r="W3716" s="2" t="s">
        <v>493</v>
      </c>
      <c r="X3716" s="2" t="s">
        <v>609</v>
      </c>
      <c r="Y3716" s="2" t="s">
        <v>4356</v>
      </c>
      <c r="Z3716" s="4">
        <v>606</v>
      </c>
      <c r="AA3716" s="4">
        <f>=ROUNDDOWN(21.6428571428571,0)</f>
      </c>
      <c r="AB3716" s="5">
        <v>28</v>
      </c>
      <c r="AC3716" s="2" t="s">
        <v>676</v>
      </c>
      <c r="AD3716" s="4">
        <v>440</v>
      </c>
      <c r="AE3716" s="4">
        <v>1010</v>
      </c>
      <c r="AF3716" s="6">
        <v>66</v>
      </c>
      <c r="AG3716" s="6"/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/>
      <c r="AQ3716" s="8"/>
      <c r="AR3716" s="4"/>
      <c r="AS3716" s="8"/>
      <c r="AT3716" s="7"/>
      <c r="AU3716" s="7"/>
      <c r="AV3716" s="4" t="s">
        <v>100</v>
      </c>
      <c r="AW3716" s="8" t="s">
        <v>100</v>
      </c>
      <c r="AX3716" s="4" t="s">
        <v>100</v>
      </c>
      <c r="AY3716" s="8" t="s">
        <v>100</v>
      </c>
      <c r="AZ3716" s="7" t="s">
        <v>100</v>
      </c>
      <c r="BA3716" s="7" t="s">
        <v>100</v>
      </c>
      <c r="BB3716" s="7"/>
      <c r="BC3716" s="4" t="s">
        <v>100</v>
      </c>
      <c r="BD3716" s="8" t="s">
        <v>100</v>
      </c>
      <c r="BE3716" s="4" t="s">
        <v>100</v>
      </c>
      <c r="BF3716" s="8" t="s">
        <v>100</v>
      </c>
      <c r="BG3716" s="7" t="s">
        <v>100</v>
      </c>
      <c r="BH3716" s="7" t="s">
        <v>100</v>
      </c>
      <c r="BI3716" s="7"/>
      <c r="BJ3716" s="4">
        <v>88</v>
      </c>
      <c r="BK3716" s="8">
        <v>3279.16</v>
      </c>
      <c r="BL3716" s="2" t="s">
        <v>11827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171</v>
      </c>
      <c r="BV3716" s="2" t="s">
        <v>97</v>
      </c>
      <c r="BW3716" s="2" t="s">
        <v>100</v>
      </c>
      <c r="BX3716" s="2" t="s">
        <v>100</v>
      </c>
      <c r="BY3716" s="2" t="s">
        <v>112</v>
      </c>
      <c r="BZ3716" s="2" t="s">
        <v>100</v>
      </c>
    </row>
    <row r="3717">
      <c r="A3717" s="2" t="s">
        <v>11828</v>
      </c>
      <c r="B3717" s="2" t="s">
        <v>11630</v>
      </c>
      <c r="C3717" s="2" t="s">
        <v>3449</v>
      </c>
      <c r="D3717" s="2" t="s">
        <v>89</v>
      </c>
      <c r="E3717" s="2" t="s">
        <v>887</v>
      </c>
      <c r="F3717" s="2" t="s">
        <v>1257</v>
      </c>
      <c r="G3717" s="2" t="s">
        <v>4602</v>
      </c>
      <c r="H3717" s="2" t="s">
        <v>11799</v>
      </c>
      <c r="I3717" s="2" t="s">
        <v>11800</v>
      </c>
      <c r="J3717" s="2" t="s">
        <v>522</v>
      </c>
      <c r="K3717" s="2" t="s">
        <v>4816</v>
      </c>
      <c r="L3717" s="3">
        <v>38.09</v>
      </c>
      <c r="M3717" s="3">
        <v>40</v>
      </c>
      <c r="N3717" s="3">
        <v>79.99</v>
      </c>
      <c r="O3717" s="2" t="s">
        <v>97</v>
      </c>
      <c r="P3717" s="2" t="s">
        <v>123</v>
      </c>
      <c r="Q3717" s="2" t="s">
        <v>99</v>
      </c>
      <c r="R3717" s="2" t="s">
        <v>100</v>
      </c>
      <c r="S3717" s="2" t="s">
        <v>11826</v>
      </c>
      <c r="T3717" s="2" t="s">
        <v>844</v>
      </c>
      <c r="U3717" s="2" t="s">
        <v>901</v>
      </c>
      <c r="V3717" s="2" t="s">
        <v>461</v>
      </c>
      <c r="W3717" s="2" t="s">
        <v>493</v>
      </c>
      <c r="X3717" s="2" t="s">
        <v>609</v>
      </c>
      <c r="Y3717" s="2" t="s">
        <v>4356</v>
      </c>
      <c r="Z3717" s="4">
        <v>1007</v>
      </c>
      <c r="AA3717" s="4">
        <f>=ROUNDDOWN(24.5609756097561,0)</f>
      </c>
      <c r="AB3717" s="5">
        <v>41</v>
      </c>
      <c r="AC3717" s="2" t="s">
        <v>11829</v>
      </c>
      <c r="AD3717" s="4">
        <v>530</v>
      </c>
      <c r="AE3717" s="4">
        <v>770</v>
      </c>
      <c r="AF3717" s="6">
        <v>66</v>
      </c>
      <c r="AG3717" s="6"/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/>
      <c r="AQ3717" s="8"/>
      <c r="AR3717" s="4"/>
      <c r="AS3717" s="8"/>
      <c r="AT3717" s="7"/>
      <c r="AU3717" s="7"/>
      <c r="AV3717" s="4" t="s">
        <v>100</v>
      </c>
      <c r="AW3717" s="8" t="s">
        <v>100</v>
      </c>
      <c r="AX3717" s="4" t="s">
        <v>100</v>
      </c>
      <c r="AY3717" s="8" t="s">
        <v>100</v>
      </c>
      <c r="AZ3717" s="7" t="s">
        <v>100</v>
      </c>
      <c r="BA3717" s="7" t="s">
        <v>100</v>
      </c>
      <c r="BB3717" s="7"/>
      <c r="BC3717" s="4" t="s">
        <v>100</v>
      </c>
      <c r="BD3717" s="8" t="s">
        <v>100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/>
      <c r="BJ3717" s="4">
        <v>133</v>
      </c>
      <c r="BK3717" s="8">
        <v>5638.15</v>
      </c>
      <c r="BL3717" s="2" t="s">
        <v>11830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171</v>
      </c>
      <c r="BV3717" s="2" t="s">
        <v>97</v>
      </c>
      <c r="BW3717" s="2" t="s">
        <v>100</v>
      </c>
      <c r="BX3717" s="2" t="s">
        <v>100</v>
      </c>
      <c r="BY3717" s="2" t="s">
        <v>112</v>
      </c>
      <c r="BZ3717" s="2" t="s">
        <v>100</v>
      </c>
    </row>
    <row r="3718">
      <c r="A3718" s="2" t="s">
        <v>11831</v>
      </c>
      <c r="B3718" s="2" t="s">
        <v>11630</v>
      </c>
      <c r="C3718" s="2" t="s">
        <v>3449</v>
      </c>
      <c r="D3718" s="2" t="s">
        <v>89</v>
      </c>
      <c r="E3718" s="2" t="s">
        <v>887</v>
      </c>
      <c r="F3718" s="2" t="s">
        <v>1257</v>
      </c>
      <c r="G3718" s="2" t="s">
        <v>4602</v>
      </c>
      <c r="H3718" s="2" t="s">
        <v>11799</v>
      </c>
      <c r="I3718" s="2" t="s">
        <v>11800</v>
      </c>
      <c r="J3718" s="2" t="s">
        <v>529</v>
      </c>
      <c r="K3718" s="2" t="s">
        <v>4816</v>
      </c>
      <c r="L3718" s="3">
        <v>42.85</v>
      </c>
      <c r="M3718" s="3">
        <v>44.99</v>
      </c>
      <c r="N3718" s="3">
        <v>89.99</v>
      </c>
      <c r="O3718" s="2" t="s">
        <v>97</v>
      </c>
      <c r="P3718" s="2" t="s">
        <v>123</v>
      </c>
      <c r="Q3718" s="2" t="s">
        <v>99</v>
      </c>
      <c r="R3718" s="2" t="s">
        <v>100</v>
      </c>
      <c r="S3718" s="2" t="s">
        <v>11826</v>
      </c>
      <c r="T3718" s="2" t="s">
        <v>844</v>
      </c>
      <c r="U3718" s="2" t="s">
        <v>901</v>
      </c>
      <c r="V3718" s="2" t="s">
        <v>461</v>
      </c>
      <c r="W3718" s="2" t="s">
        <v>493</v>
      </c>
      <c r="X3718" s="2" t="s">
        <v>609</v>
      </c>
      <c r="Y3718" s="2" t="s">
        <v>11810</v>
      </c>
      <c r="Z3718" s="4">
        <v>339</v>
      </c>
      <c r="AA3718" s="4">
        <f>=ROUNDDOWN(56.5,0)</f>
      </c>
      <c r="AB3718" s="5">
        <v>6</v>
      </c>
      <c r="AC3718" s="2" t="s">
        <v>100</v>
      </c>
      <c r="AD3718" s="4"/>
      <c r="AE3718" s="4"/>
      <c r="AF3718" s="6">
        <v>66</v>
      </c>
      <c r="AG3718" s="6"/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>
        <v>0</v>
      </c>
      <c r="AP3718" s="4"/>
      <c r="AQ3718" s="8"/>
      <c r="AR3718" s="4"/>
      <c r="AS3718" s="8"/>
      <c r="AT3718" s="7"/>
      <c r="AU3718" s="7"/>
      <c r="AV3718" s="4" t="s">
        <v>100</v>
      </c>
      <c r="AW3718" s="8" t="s">
        <v>100</v>
      </c>
      <c r="AX3718" s="4" t="s">
        <v>100</v>
      </c>
      <c r="AY3718" s="8" t="s">
        <v>100</v>
      </c>
      <c r="AZ3718" s="7" t="s">
        <v>100</v>
      </c>
      <c r="BA3718" s="7" t="s">
        <v>100</v>
      </c>
      <c r="BB3718" s="7"/>
      <c r="BC3718" s="4" t="s">
        <v>100</v>
      </c>
      <c r="BD3718" s="8" t="s">
        <v>100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/>
      <c r="BJ3718" s="4">
        <v>16</v>
      </c>
      <c r="BK3718" s="8">
        <v>734.24</v>
      </c>
      <c r="BL3718" s="2" t="s">
        <v>11816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171</v>
      </c>
      <c r="BV3718" s="2" t="s">
        <v>97</v>
      </c>
      <c r="BW3718" s="2" t="s">
        <v>100</v>
      </c>
      <c r="BX3718" s="2" t="s">
        <v>100</v>
      </c>
      <c r="BY3718" s="2" t="s">
        <v>112</v>
      </c>
      <c r="BZ3718" s="2" t="s">
        <v>100</v>
      </c>
    </row>
    <row r="3719">
      <c r="A3719" s="2" t="s">
        <v>11832</v>
      </c>
      <c r="B3719" s="2" t="s">
        <v>11630</v>
      </c>
      <c r="C3719" s="2" t="s">
        <v>3449</v>
      </c>
      <c r="D3719" s="2" t="s">
        <v>89</v>
      </c>
      <c r="E3719" s="2" t="s">
        <v>887</v>
      </c>
      <c r="F3719" s="2" t="s">
        <v>1257</v>
      </c>
      <c r="G3719" s="2" t="s">
        <v>4602</v>
      </c>
      <c r="H3719" s="2" t="s">
        <v>11799</v>
      </c>
      <c r="I3719" s="2" t="s">
        <v>11800</v>
      </c>
      <c r="J3719" s="2" t="s">
        <v>352</v>
      </c>
      <c r="K3719" s="2" t="s">
        <v>1152</v>
      </c>
      <c r="L3719" s="3">
        <v>33.33</v>
      </c>
      <c r="M3719" s="3">
        <v>35</v>
      </c>
      <c r="N3719" s="3">
        <v>69.99</v>
      </c>
      <c r="O3719" s="2" t="s">
        <v>97</v>
      </c>
      <c r="P3719" s="2" t="s">
        <v>98</v>
      </c>
      <c r="Q3719" s="2" t="s">
        <v>99</v>
      </c>
      <c r="R3719" s="2" t="s">
        <v>100</v>
      </c>
      <c r="S3719" s="2" t="s">
        <v>11833</v>
      </c>
      <c r="T3719" s="2" t="s">
        <v>844</v>
      </c>
      <c r="U3719" s="2" t="s">
        <v>894</v>
      </c>
      <c r="V3719" s="2" t="s">
        <v>461</v>
      </c>
      <c r="W3719" s="2" t="s">
        <v>493</v>
      </c>
      <c r="X3719" s="2" t="s">
        <v>609</v>
      </c>
      <c r="Y3719" s="2" t="s">
        <v>11810</v>
      </c>
      <c r="Z3719" s="4">
        <v>437</v>
      </c>
      <c r="AA3719" s="4">
        <f>=ROUNDDOWN(109.25,0)</f>
      </c>
      <c r="AB3719" s="5">
        <v>4</v>
      </c>
      <c r="AC3719" s="2" t="s">
        <v>100</v>
      </c>
      <c r="AD3719" s="4"/>
      <c r="AE3719" s="4"/>
      <c r="AF3719" s="6">
        <v>66</v>
      </c>
      <c r="AG3719" s="6"/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/>
      <c r="AQ3719" s="8"/>
      <c r="AR3719" s="4"/>
      <c r="AS3719" s="8"/>
      <c r="AT3719" s="7"/>
      <c r="AU3719" s="7"/>
      <c r="AV3719" s="4" t="s">
        <v>100</v>
      </c>
      <c r="AW3719" s="8" t="s">
        <v>100</v>
      </c>
      <c r="AX3719" s="4" t="s">
        <v>100</v>
      </c>
      <c r="AY3719" s="8" t="s">
        <v>100</v>
      </c>
      <c r="AZ3719" s="7" t="s">
        <v>100</v>
      </c>
      <c r="BA3719" s="7" t="s">
        <v>100</v>
      </c>
      <c r="BB3719" s="7"/>
      <c r="BC3719" s="4" t="s">
        <v>100</v>
      </c>
      <c r="BD3719" s="8" t="s">
        <v>100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/>
      <c r="BJ3719" s="4">
        <v>3</v>
      </c>
      <c r="BK3719" s="8">
        <v>100.8</v>
      </c>
      <c r="BL3719" s="2" t="s">
        <v>6246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171</v>
      </c>
      <c r="BV3719" s="2" t="s">
        <v>97</v>
      </c>
      <c r="BW3719" s="2" t="s">
        <v>100</v>
      </c>
      <c r="BX3719" s="2" t="s">
        <v>100</v>
      </c>
      <c r="BY3719" s="2" t="s">
        <v>112</v>
      </c>
      <c r="BZ3719" s="2" t="s">
        <v>100</v>
      </c>
    </row>
    <row r="3720">
      <c r="A3720" s="2" t="s">
        <v>11834</v>
      </c>
      <c r="B3720" s="2" t="s">
        <v>11630</v>
      </c>
      <c r="C3720" s="2" t="s">
        <v>3449</v>
      </c>
      <c r="D3720" s="2" t="s">
        <v>89</v>
      </c>
      <c r="E3720" s="2" t="s">
        <v>887</v>
      </c>
      <c r="F3720" s="2" t="s">
        <v>1257</v>
      </c>
      <c r="G3720" s="2" t="s">
        <v>4602</v>
      </c>
      <c r="H3720" s="2" t="s">
        <v>11799</v>
      </c>
      <c r="I3720" s="2" t="s">
        <v>11800</v>
      </c>
      <c r="J3720" s="2" t="s">
        <v>522</v>
      </c>
      <c r="K3720" s="2" t="s">
        <v>1152</v>
      </c>
      <c r="L3720" s="3">
        <v>38.09</v>
      </c>
      <c r="M3720" s="3">
        <v>40</v>
      </c>
      <c r="N3720" s="3">
        <v>79.99</v>
      </c>
      <c r="O3720" s="2" t="s">
        <v>97</v>
      </c>
      <c r="P3720" s="2" t="s">
        <v>98</v>
      </c>
      <c r="Q3720" s="2" t="s">
        <v>99</v>
      </c>
      <c r="R3720" s="2" t="s">
        <v>100</v>
      </c>
      <c r="S3720" s="2" t="s">
        <v>11833</v>
      </c>
      <c r="T3720" s="2" t="s">
        <v>844</v>
      </c>
      <c r="U3720" s="2" t="s">
        <v>901</v>
      </c>
      <c r="V3720" s="2" t="s">
        <v>461</v>
      </c>
      <c r="W3720" s="2" t="s">
        <v>493</v>
      </c>
      <c r="X3720" s="2" t="s">
        <v>609</v>
      </c>
      <c r="Y3720" s="2" t="s">
        <v>11810</v>
      </c>
      <c r="Z3720" s="4">
        <v>804</v>
      </c>
      <c r="AA3720" s="4">
        <f>=ROUNDDOWN(61.8461538461538,0)</f>
      </c>
      <c r="AB3720" s="5">
        <v>13</v>
      </c>
      <c r="AC3720" s="2" t="s">
        <v>100</v>
      </c>
      <c r="AD3720" s="4"/>
      <c r="AE3720" s="4"/>
      <c r="AF3720" s="6">
        <v>66</v>
      </c>
      <c r="AG3720" s="6"/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/>
      <c r="AQ3720" s="8"/>
      <c r="AR3720" s="4"/>
      <c r="AS3720" s="8"/>
      <c r="AT3720" s="7"/>
      <c r="AU3720" s="7"/>
      <c r="AV3720" s="4" t="s">
        <v>100</v>
      </c>
      <c r="AW3720" s="8" t="s">
        <v>100</v>
      </c>
      <c r="AX3720" s="4" t="s">
        <v>100</v>
      </c>
      <c r="AY3720" s="8" t="s">
        <v>100</v>
      </c>
      <c r="AZ3720" s="7" t="s">
        <v>100</v>
      </c>
      <c r="BA3720" s="7" t="s">
        <v>100</v>
      </c>
      <c r="BB3720" s="7"/>
      <c r="BC3720" s="4" t="s">
        <v>100</v>
      </c>
      <c r="BD3720" s="8" t="s">
        <v>100</v>
      </c>
      <c r="BE3720" s="4" t="s">
        <v>100</v>
      </c>
      <c r="BF3720" s="8" t="s">
        <v>100</v>
      </c>
      <c r="BG3720" s="7" t="s">
        <v>100</v>
      </c>
      <c r="BH3720" s="7" t="s">
        <v>100</v>
      </c>
      <c r="BI3720" s="7"/>
      <c r="BJ3720" s="4">
        <v>41</v>
      </c>
      <c r="BK3720" s="8">
        <v>1719.95</v>
      </c>
      <c r="BL3720" s="2" t="s">
        <v>246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171</v>
      </c>
      <c r="BV3720" s="2" t="s">
        <v>97</v>
      </c>
      <c r="BW3720" s="2" t="s">
        <v>100</v>
      </c>
      <c r="BX3720" s="2" t="s">
        <v>100</v>
      </c>
      <c r="BY3720" s="2" t="s">
        <v>112</v>
      </c>
      <c r="BZ3720" s="2" t="s">
        <v>100</v>
      </c>
    </row>
    <row r="3721">
      <c r="A3721" s="2" t="s">
        <v>11835</v>
      </c>
      <c r="B3721" s="2" t="s">
        <v>11630</v>
      </c>
      <c r="C3721" s="2" t="s">
        <v>3449</v>
      </c>
      <c r="D3721" s="2" t="s">
        <v>89</v>
      </c>
      <c r="E3721" s="2" t="s">
        <v>887</v>
      </c>
      <c r="F3721" s="2" t="s">
        <v>1257</v>
      </c>
      <c r="G3721" s="2" t="s">
        <v>4602</v>
      </c>
      <c r="H3721" s="2" t="s">
        <v>11799</v>
      </c>
      <c r="I3721" s="2" t="s">
        <v>11800</v>
      </c>
      <c r="J3721" s="2" t="s">
        <v>529</v>
      </c>
      <c r="K3721" s="2" t="s">
        <v>1152</v>
      </c>
      <c r="L3721" s="3">
        <v>42.85</v>
      </c>
      <c r="M3721" s="3">
        <v>44.99</v>
      </c>
      <c r="N3721" s="3">
        <v>89.99</v>
      </c>
      <c r="O3721" s="2" t="s">
        <v>97</v>
      </c>
      <c r="P3721" s="2" t="s">
        <v>98</v>
      </c>
      <c r="Q3721" s="2" t="s">
        <v>99</v>
      </c>
      <c r="R3721" s="2" t="s">
        <v>100</v>
      </c>
      <c r="S3721" s="2" t="s">
        <v>11833</v>
      </c>
      <c r="T3721" s="2" t="s">
        <v>844</v>
      </c>
      <c r="U3721" s="2" t="s">
        <v>901</v>
      </c>
      <c r="V3721" s="2" t="s">
        <v>461</v>
      </c>
      <c r="W3721" s="2" t="s">
        <v>493</v>
      </c>
      <c r="X3721" s="2" t="s">
        <v>609</v>
      </c>
      <c r="Y3721" s="2" t="s">
        <v>11810</v>
      </c>
      <c r="Z3721" s="4">
        <v>354</v>
      </c>
      <c r="AA3721" s="4">
        <f>=ROUNDDOWN(35.4,0)</f>
      </c>
      <c r="AB3721" s="5">
        <v>10</v>
      </c>
      <c r="AC3721" s="2" t="s">
        <v>107</v>
      </c>
      <c r="AD3721" s="4">
        <v>31</v>
      </c>
      <c r="AE3721" s="4">
        <v>31</v>
      </c>
      <c r="AF3721" s="6">
        <v>66</v>
      </c>
      <c r="AG3721" s="6"/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/>
      <c r="AQ3721" s="8"/>
      <c r="AR3721" s="4"/>
      <c r="AS3721" s="8"/>
      <c r="AT3721" s="7"/>
      <c r="AU3721" s="7"/>
      <c r="AV3721" s="4" t="s">
        <v>100</v>
      </c>
      <c r="AW3721" s="8" t="s">
        <v>100</v>
      </c>
      <c r="AX3721" s="4" t="s">
        <v>100</v>
      </c>
      <c r="AY3721" s="8" t="s">
        <v>100</v>
      </c>
      <c r="AZ3721" s="7" t="s">
        <v>100</v>
      </c>
      <c r="BA3721" s="7" t="s">
        <v>100</v>
      </c>
      <c r="BB3721" s="7"/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/>
      <c r="BJ3721" s="4">
        <v>20</v>
      </c>
      <c r="BK3721" s="8">
        <v>933.1</v>
      </c>
      <c r="BL3721" s="2" t="s">
        <v>644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171</v>
      </c>
      <c r="BV3721" s="2" t="s">
        <v>97</v>
      </c>
      <c r="BW3721" s="2" t="s">
        <v>100</v>
      </c>
      <c r="BX3721" s="2" t="s">
        <v>100</v>
      </c>
      <c r="BY3721" s="2" t="s">
        <v>112</v>
      </c>
      <c r="BZ3721" s="2" t="s">
        <v>100</v>
      </c>
    </row>
    <row r="3722">
      <c r="A3722" s="2" t="s">
        <v>11836</v>
      </c>
      <c r="B3722" s="2" t="s">
        <v>11630</v>
      </c>
      <c r="C3722" s="2" t="s">
        <v>3449</v>
      </c>
      <c r="D3722" s="2" t="s">
        <v>89</v>
      </c>
      <c r="E3722" s="2" t="s">
        <v>887</v>
      </c>
      <c r="F3722" s="2" t="s">
        <v>11837</v>
      </c>
      <c r="G3722" s="2" t="s">
        <v>11838</v>
      </c>
      <c r="H3722" s="2" t="s">
        <v>11839</v>
      </c>
      <c r="I3722" s="2" t="s">
        <v>11840</v>
      </c>
      <c r="J3722" s="2" t="s">
        <v>352</v>
      </c>
      <c r="K3722" s="2" t="s">
        <v>188</v>
      </c>
      <c r="L3722" s="3">
        <v>33.33</v>
      </c>
      <c r="M3722" s="3">
        <v>35</v>
      </c>
      <c r="N3722" s="3">
        <v>69.99</v>
      </c>
      <c r="O3722" s="2" t="s">
        <v>97</v>
      </c>
      <c r="P3722" s="2" t="s">
        <v>98</v>
      </c>
      <c r="Q3722" s="2" t="s">
        <v>99</v>
      </c>
      <c r="R3722" s="2" t="s">
        <v>100</v>
      </c>
      <c r="S3722" s="2" t="s">
        <v>11841</v>
      </c>
      <c r="T3722" s="2" t="s">
        <v>1135</v>
      </c>
      <c r="U3722" s="2" t="s">
        <v>894</v>
      </c>
      <c r="V3722" s="2" t="s">
        <v>461</v>
      </c>
      <c r="W3722" s="2" t="s">
        <v>1136</v>
      </c>
      <c r="X3722" s="2" t="s">
        <v>609</v>
      </c>
      <c r="Y3722" s="2" t="s">
        <v>4448</v>
      </c>
      <c r="Z3722" s="4">
        <v>102</v>
      </c>
      <c r="AA3722" s="4">
        <f>=ROUNDDOWN(25.5,0)</f>
      </c>
      <c r="AB3722" s="5">
        <v>4</v>
      </c>
      <c r="AC3722" s="2" t="s">
        <v>1468</v>
      </c>
      <c r="AD3722" s="4">
        <v>120</v>
      </c>
      <c r="AE3722" s="4">
        <v>300</v>
      </c>
      <c r="AF3722" s="6">
        <v>64</v>
      </c>
      <c r="AG3722" s="6"/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/>
      <c r="AQ3722" s="8"/>
      <c r="AR3722" s="4"/>
      <c r="AS3722" s="8"/>
      <c r="AT3722" s="7"/>
      <c r="AU3722" s="7"/>
      <c r="AV3722" s="4" t="s">
        <v>100</v>
      </c>
      <c r="AW3722" s="8" t="s">
        <v>100</v>
      </c>
      <c r="AX3722" s="4" t="s">
        <v>100</v>
      </c>
      <c r="AY3722" s="8" t="s">
        <v>100</v>
      </c>
      <c r="AZ3722" s="7" t="s">
        <v>100</v>
      </c>
      <c r="BA3722" s="7" t="s">
        <v>100</v>
      </c>
      <c r="BB3722" s="7"/>
      <c r="BC3722" s="4" t="s">
        <v>100</v>
      </c>
      <c r="BD3722" s="8" t="s">
        <v>100</v>
      </c>
      <c r="BE3722" s="4" t="s">
        <v>100</v>
      </c>
      <c r="BF3722" s="8" t="s">
        <v>100</v>
      </c>
      <c r="BG3722" s="7" t="s">
        <v>100</v>
      </c>
      <c r="BH3722" s="7" t="s">
        <v>100</v>
      </c>
      <c r="BI3722" s="7"/>
      <c r="BJ3722" s="4">
        <v>10</v>
      </c>
      <c r="BK3722" s="8">
        <v>369.38</v>
      </c>
      <c r="BL3722" s="2" t="s">
        <v>11842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171</v>
      </c>
      <c r="BV3722" s="2" t="s">
        <v>97</v>
      </c>
      <c r="BW3722" s="2" t="s">
        <v>100</v>
      </c>
      <c r="BX3722" s="2" t="s">
        <v>100</v>
      </c>
      <c r="BY3722" s="2" t="s">
        <v>112</v>
      </c>
      <c r="BZ3722" s="2" t="s">
        <v>100</v>
      </c>
    </row>
    <row r="3723">
      <c r="A3723" s="2" t="s">
        <v>11843</v>
      </c>
      <c r="B3723" s="2" t="s">
        <v>11630</v>
      </c>
      <c r="C3723" s="2" t="s">
        <v>3449</v>
      </c>
      <c r="D3723" s="2" t="s">
        <v>89</v>
      </c>
      <c r="E3723" s="2" t="s">
        <v>887</v>
      </c>
      <c r="F3723" s="2" t="s">
        <v>11837</v>
      </c>
      <c r="G3723" s="2" t="s">
        <v>11838</v>
      </c>
      <c r="H3723" s="2" t="s">
        <v>11839</v>
      </c>
      <c r="I3723" s="2" t="s">
        <v>11840</v>
      </c>
      <c r="J3723" s="2" t="s">
        <v>522</v>
      </c>
      <c r="K3723" s="2" t="s">
        <v>188</v>
      </c>
      <c r="L3723" s="3">
        <v>42.85</v>
      </c>
      <c r="M3723" s="3">
        <v>44.99</v>
      </c>
      <c r="N3723" s="3">
        <v>89.99</v>
      </c>
      <c r="O3723" s="2" t="s">
        <v>97</v>
      </c>
      <c r="P3723" s="2" t="s">
        <v>98</v>
      </c>
      <c r="Q3723" s="2" t="s">
        <v>99</v>
      </c>
      <c r="R3723" s="2" t="s">
        <v>100</v>
      </c>
      <c r="S3723" s="2" t="s">
        <v>11841</v>
      </c>
      <c r="T3723" s="2" t="s">
        <v>1135</v>
      </c>
      <c r="U3723" s="2" t="s">
        <v>901</v>
      </c>
      <c r="V3723" s="2" t="s">
        <v>461</v>
      </c>
      <c r="W3723" s="2" t="s">
        <v>1136</v>
      </c>
      <c r="X3723" s="2" t="s">
        <v>609</v>
      </c>
      <c r="Y3723" s="2" t="s">
        <v>8570</v>
      </c>
      <c r="Z3723" s="4">
        <v>152</v>
      </c>
      <c r="AA3723" s="4">
        <f>=ROUNDDOWN(15.2,0)</f>
      </c>
      <c r="AB3723" s="5">
        <v>10</v>
      </c>
      <c r="AC3723" s="2" t="s">
        <v>1468</v>
      </c>
      <c r="AD3723" s="4">
        <v>270</v>
      </c>
      <c r="AE3723" s="4">
        <v>740</v>
      </c>
      <c r="AF3723" s="6">
        <v>64</v>
      </c>
      <c r="AG3723" s="6"/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/>
      <c r="AQ3723" s="8"/>
      <c r="AR3723" s="4"/>
      <c r="AS3723" s="8"/>
      <c r="AT3723" s="7"/>
      <c r="AU3723" s="7"/>
      <c r="AV3723" s="4" t="s">
        <v>100</v>
      </c>
      <c r="AW3723" s="8" t="s">
        <v>100</v>
      </c>
      <c r="AX3723" s="4" t="s">
        <v>100</v>
      </c>
      <c r="AY3723" s="8" t="s">
        <v>100</v>
      </c>
      <c r="AZ3723" s="7" t="s">
        <v>100</v>
      </c>
      <c r="BA3723" s="7" t="s">
        <v>100</v>
      </c>
      <c r="BB3723" s="7"/>
      <c r="BC3723" s="4" t="s">
        <v>100</v>
      </c>
      <c r="BD3723" s="8" t="s">
        <v>100</v>
      </c>
      <c r="BE3723" s="4" t="s">
        <v>100</v>
      </c>
      <c r="BF3723" s="8" t="s">
        <v>100</v>
      </c>
      <c r="BG3723" s="7" t="s">
        <v>100</v>
      </c>
      <c r="BH3723" s="7" t="s">
        <v>100</v>
      </c>
      <c r="BI3723" s="7"/>
      <c r="BJ3723" s="4">
        <v>8</v>
      </c>
      <c r="BK3723" s="8">
        <v>365.32</v>
      </c>
      <c r="BL3723" s="2" t="s">
        <v>7917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171</v>
      </c>
      <c r="BV3723" s="2" t="s">
        <v>97</v>
      </c>
      <c r="BW3723" s="2" t="s">
        <v>100</v>
      </c>
      <c r="BX3723" s="2" t="s">
        <v>100</v>
      </c>
      <c r="BY3723" s="2" t="s">
        <v>112</v>
      </c>
      <c r="BZ3723" s="2" t="s">
        <v>100</v>
      </c>
    </row>
    <row r="3724">
      <c r="A3724" s="2" t="s">
        <v>11844</v>
      </c>
      <c r="B3724" s="2" t="s">
        <v>11630</v>
      </c>
      <c r="C3724" s="2" t="s">
        <v>3449</v>
      </c>
      <c r="D3724" s="2" t="s">
        <v>89</v>
      </c>
      <c r="E3724" s="2" t="s">
        <v>887</v>
      </c>
      <c r="F3724" s="2" t="s">
        <v>11837</v>
      </c>
      <c r="G3724" s="2" t="s">
        <v>11838</v>
      </c>
      <c r="H3724" s="2" t="s">
        <v>11839</v>
      </c>
      <c r="I3724" s="2" t="s">
        <v>11840</v>
      </c>
      <c r="J3724" s="2" t="s">
        <v>529</v>
      </c>
      <c r="K3724" s="2" t="s">
        <v>188</v>
      </c>
      <c r="L3724" s="3">
        <v>47.61</v>
      </c>
      <c r="M3724" s="3">
        <v>49.99</v>
      </c>
      <c r="N3724" s="3">
        <v>99.99</v>
      </c>
      <c r="O3724" s="2" t="s">
        <v>97</v>
      </c>
      <c r="P3724" s="2" t="s">
        <v>98</v>
      </c>
      <c r="Q3724" s="2" t="s">
        <v>99</v>
      </c>
      <c r="R3724" s="2" t="s">
        <v>100</v>
      </c>
      <c r="S3724" s="2" t="s">
        <v>11841</v>
      </c>
      <c r="T3724" s="2" t="s">
        <v>1135</v>
      </c>
      <c r="U3724" s="2" t="s">
        <v>901</v>
      </c>
      <c r="V3724" s="2" t="s">
        <v>461</v>
      </c>
      <c r="W3724" s="2" t="s">
        <v>1136</v>
      </c>
      <c r="X3724" s="2" t="s">
        <v>609</v>
      </c>
      <c r="Y3724" s="2" t="s">
        <v>8570</v>
      </c>
      <c r="Z3724" s="4">
        <v>232</v>
      </c>
      <c r="AA3724" s="4">
        <f>=ROUNDDOWN(38.6666666666667,0)</f>
      </c>
      <c r="AB3724" s="5">
        <v>6</v>
      </c>
      <c r="AC3724" s="2" t="s">
        <v>1468</v>
      </c>
      <c r="AD3724" s="4">
        <v>50</v>
      </c>
      <c r="AE3724" s="4">
        <v>270</v>
      </c>
      <c r="AF3724" s="6">
        <v>64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/>
      <c r="AQ3724" s="8"/>
      <c r="AR3724" s="4"/>
      <c r="AS3724" s="8"/>
      <c r="AT3724" s="7"/>
      <c r="AU3724" s="7"/>
      <c r="AV3724" s="4" t="s">
        <v>100</v>
      </c>
      <c r="AW3724" s="8" t="s">
        <v>100</v>
      </c>
      <c r="AX3724" s="4" t="s">
        <v>100</v>
      </c>
      <c r="AY3724" s="8" t="s">
        <v>100</v>
      </c>
      <c r="AZ3724" s="7" t="s">
        <v>100</v>
      </c>
      <c r="BA3724" s="7" t="s">
        <v>100</v>
      </c>
      <c r="BB3724" s="7"/>
      <c r="BC3724" s="4" t="s">
        <v>100</v>
      </c>
      <c r="BD3724" s="8" t="s">
        <v>100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/>
      <c r="BJ3724" s="4">
        <v>13</v>
      </c>
      <c r="BK3724" s="8">
        <v>674.37</v>
      </c>
      <c r="BL3724" s="2" t="s">
        <v>246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171</v>
      </c>
      <c r="BV3724" s="2" t="s">
        <v>97</v>
      </c>
      <c r="BW3724" s="2" t="s">
        <v>100</v>
      </c>
      <c r="BX3724" s="2" t="s">
        <v>100</v>
      </c>
      <c r="BY3724" s="2" t="s">
        <v>112</v>
      </c>
      <c r="BZ3724" s="2" t="s">
        <v>100</v>
      </c>
    </row>
    <row r="3725">
      <c r="A3725" s="2" t="s">
        <v>11845</v>
      </c>
      <c r="B3725" s="2" t="s">
        <v>11630</v>
      </c>
      <c r="C3725" s="2" t="s">
        <v>3449</v>
      </c>
      <c r="D3725" s="2" t="s">
        <v>89</v>
      </c>
      <c r="E3725" s="2" t="s">
        <v>887</v>
      </c>
      <c r="F3725" s="2" t="s">
        <v>11837</v>
      </c>
      <c r="G3725" s="2" t="s">
        <v>11838</v>
      </c>
      <c r="H3725" s="2" t="s">
        <v>11839</v>
      </c>
      <c r="I3725" s="2" t="s">
        <v>11840</v>
      </c>
      <c r="J3725" s="2" t="s">
        <v>352</v>
      </c>
      <c r="K3725" s="2" t="s">
        <v>5281</v>
      </c>
      <c r="L3725" s="3">
        <v>33.33</v>
      </c>
      <c r="M3725" s="3">
        <v>35</v>
      </c>
      <c r="N3725" s="3">
        <v>69.99</v>
      </c>
      <c r="O3725" s="2" t="s">
        <v>97</v>
      </c>
      <c r="P3725" s="2" t="s">
        <v>98</v>
      </c>
      <c r="Q3725" s="2" t="s">
        <v>99</v>
      </c>
      <c r="R3725" s="2" t="s">
        <v>100</v>
      </c>
      <c r="S3725" s="2" t="s">
        <v>11846</v>
      </c>
      <c r="T3725" s="2" t="s">
        <v>1135</v>
      </c>
      <c r="U3725" s="2" t="s">
        <v>894</v>
      </c>
      <c r="V3725" s="2" t="s">
        <v>461</v>
      </c>
      <c r="W3725" s="2" t="s">
        <v>1136</v>
      </c>
      <c r="X3725" s="2" t="s">
        <v>609</v>
      </c>
      <c r="Y3725" s="2" t="s">
        <v>8570</v>
      </c>
      <c r="Z3725" s="4">
        <v>208</v>
      </c>
      <c r="AA3725" s="4">
        <f>=ROUNDDOWN(52,0)</f>
      </c>
      <c r="AB3725" s="5">
        <v>4</v>
      </c>
      <c r="AC3725" s="2" t="s">
        <v>389</v>
      </c>
      <c r="AD3725" s="4">
        <v>220</v>
      </c>
      <c r="AE3725" s="4">
        <v>220</v>
      </c>
      <c r="AF3725" s="6">
        <v>64</v>
      </c>
      <c r="AG3725" s="6"/>
      <c r="AH3725" s="7">
        <v>0.5484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/>
      <c r="AQ3725" s="8"/>
      <c r="AR3725" s="4"/>
      <c r="AS3725" s="8"/>
      <c r="AT3725" s="7"/>
      <c r="AU3725" s="7"/>
      <c r="AV3725" s="4" t="s">
        <v>100</v>
      </c>
      <c r="AW3725" s="8" t="s">
        <v>100</v>
      </c>
      <c r="AX3725" s="4" t="s">
        <v>100</v>
      </c>
      <c r="AY3725" s="8" t="s">
        <v>100</v>
      </c>
      <c r="AZ3725" s="7" t="s">
        <v>100</v>
      </c>
      <c r="BA3725" s="7" t="s">
        <v>100</v>
      </c>
      <c r="BB3725" s="7"/>
      <c r="BC3725" s="4" t="s">
        <v>100</v>
      </c>
      <c r="BD3725" s="8" t="s">
        <v>100</v>
      </c>
      <c r="BE3725" s="4" t="s">
        <v>100</v>
      </c>
      <c r="BF3725" s="8" t="s">
        <v>100</v>
      </c>
      <c r="BG3725" s="7" t="s">
        <v>100</v>
      </c>
      <c r="BH3725" s="7" t="s">
        <v>100</v>
      </c>
      <c r="BI3725" s="7"/>
      <c r="BJ3725" s="4">
        <v>2</v>
      </c>
      <c r="BK3725" s="8">
        <v>75.08</v>
      </c>
      <c r="BL3725" s="2" t="s">
        <v>6366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171</v>
      </c>
      <c r="BV3725" s="2" t="s">
        <v>97</v>
      </c>
      <c r="BW3725" s="2" t="s">
        <v>100</v>
      </c>
      <c r="BX3725" s="2" t="s">
        <v>100</v>
      </c>
      <c r="BY3725" s="2" t="s">
        <v>112</v>
      </c>
      <c r="BZ3725" s="2" t="s">
        <v>100</v>
      </c>
    </row>
    <row r="3726">
      <c r="A3726" s="2" t="s">
        <v>11847</v>
      </c>
      <c r="B3726" s="2" t="s">
        <v>11630</v>
      </c>
      <c r="C3726" s="2" t="s">
        <v>3449</v>
      </c>
      <c r="D3726" s="2" t="s">
        <v>89</v>
      </c>
      <c r="E3726" s="2" t="s">
        <v>887</v>
      </c>
      <c r="F3726" s="2" t="s">
        <v>11837</v>
      </c>
      <c r="G3726" s="2" t="s">
        <v>11838</v>
      </c>
      <c r="H3726" s="2" t="s">
        <v>11839</v>
      </c>
      <c r="I3726" s="2" t="s">
        <v>11840</v>
      </c>
      <c r="J3726" s="2" t="s">
        <v>522</v>
      </c>
      <c r="K3726" s="2" t="s">
        <v>5281</v>
      </c>
      <c r="L3726" s="3">
        <v>42.85</v>
      </c>
      <c r="M3726" s="3">
        <v>44.99</v>
      </c>
      <c r="N3726" s="3">
        <v>89.99</v>
      </c>
      <c r="O3726" s="2" t="s">
        <v>97</v>
      </c>
      <c r="P3726" s="2" t="s">
        <v>98</v>
      </c>
      <c r="Q3726" s="2" t="s">
        <v>99</v>
      </c>
      <c r="R3726" s="2" t="s">
        <v>100</v>
      </c>
      <c r="S3726" s="2" t="s">
        <v>11846</v>
      </c>
      <c r="T3726" s="2" t="s">
        <v>1135</v>
      </c>
      <c r="U3726" s="2" t="s">
        <v>901</v>
      </c>
      <c r="V3726" s="2" t="s">
        <v>461</v>
      </c>
      <c r="W3726" s="2" t="s">
        <v>1136</v>
      </c>
      <c r="X3726" s="2" t="s">
        <v>609</v>
      </c>
      <c r="Y3726" s="2" t="s">
        <v>8570</v>
      </c>
      <c r="Z3726" s="4">
        <v>365</v>
      </c>
      <c r="AA3726" s="4">
        <f>=ROUNDDOWN(40.5555555555556,0)</f>
      </c>
      <c r="AB3726" s="5">
        <v>9</v>
      </c>
      <c r="AC3726" s="2" t="s">
        <v>389</v>
      </c>
      <c r="AD3726" s="4">
        <v>480</v>
      </c>
      <c r="AE3726" s="4">
        <v>480</v>
      </c>
      <c r="AF3726" s="6">
        <v>64</v>
      </c>
      <c r="AG3726" s="6"/>
      <c r="AH3726" s="7">
        <v>0.5484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/>
      <c r="AQ3726" s="8"/>
      <c r="AR3726" s="4"/>
      <c r="AS3726" s="8"/>
      <c r="AT3726" s="7"/>
      <c r="AU3726" s="7"/>
      <c r="AV3726" s="4" t="s">
        <v>100</v>
      </c>
      <c r="AW3726" s="8" t="s">
        <v>100</v>
      </c>
      <c r="AX3726" s="4" t="s">
        <v>100</v>
      </c>
      <c r="AY3726" s="8" t="s">
        <v>100</v>
      </c>
      <c r="AZ3726" s="7" t="s">
        <v>100</v>
      </c>
      <c r="BA3726" s="7" t="s">
        <v>100</v>
      </c>
      <c r="BB3726" s="7"/>
      <c r="BC3726" s="4" t="s">
        <v>100</v>
      </c>
      <c r="BD3726" s="8" t="s">
        <v>100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/>
      <c r="BJ3726" s="4">
        <v>7</v>
      </c>
      <c r="BK3726" s="8">
        <v>322.53</v>
      </c>
      <c r="BL3726" s="2" t="s">
        <v>4536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171</v>
      </c>
      <c r="BV3726" s="2" t="s">
        <v>97</v>
      </c>
      <c r="BW3726" s="2" t="s">
        <v>100</v>
      </c>
      <c r="BX3726" s="2" t="s">
        <v>100</v>
      </c>
      <c r="BY3726" s="2" t="s">
        <v>112</v>
      </c>
      <c r="BZ3726" s="2" t="s">
        <v>100</v>
      </c>
    </row>
    <row r="3727">
      <c r="A3727" s="2" t="s">
        <v>11848</v>
      </c>
      <c r="B3727" s="2" t="s">
        <v>11630</v>
      </c>
      <c r="C3727" s="2" t="s">
        <v>3449</v>
      </c>
      <c r="D3727" s="2" t="s">
        <v>89</v>
      </c>
      <c r="E3727" s="2" t="s">
        <v>887</v>
      </c>
      <c r="F3727" s="2" t="s">
        <v>11837</v>
      </c>
      <c r="G3727" s="2" t="s">
        <v>11838</v>
      </c>
      <c r="H3727" s="2" t="s">
        <v>11839</v>
      </c>
      <c r="I3727" s="2" t="s">
        <v>11840</v>
      </c>
      <c r="J3727" s="2" t="s">
        <v>529</v>
      </c>
      <c r="K3727" s="2" t="s">
        <v>5281</v>
      </c>
      <c r="L3727" s="3">
        <v>47.61</v>
      </c>
      <c r="M3727" s="3">
        <v>49.99</v>
      </c>
      <c r="N3727" s="3">
        <v>99.99</v>
      </c>
      <c r="O3727" s="2" t="s">
        <v>97</v>
      </c>
      <c r="P3727" s="2" t="s">
        <v>98</v>
      </c>
      <c r="Q3727" s="2" t="s">
        <v>99</v>
      </c>
      <c r="R3727" s="2" t="s">
        <v>100</v>
      </c>
      <c r="S3727" s="2" t="s">
        <v>11846</v>
      </c>
      <c r="T3727" s="2" t="s">
        <v>1135</v>
      </c>
      <c r="U3727" s="2" t="s">
        <v>901</v>
      </c>
      <c r="V3727" s="2" t="s">
        <v>461</v>
      </c>
      <c r="W3727" s="2" t="s">
        <v>1136</v>
      </c>
      <c r="X3727" s="2" t="s">
        <v>609</v>
      </c>
      <c r="Y3727" s="2" t="s">
        <v>8570</v>
      </c>
      <c r="Z3727" s="4">
        <v>223</v>
      </c>
      <c r="AA3727" s="4">
        <f>=ROUNDDOWN(37.1666666666667,0)</f>
      </c>
      <c r="AB3727" s="5">
        <v>6</v>
      </c>
      <c r="AC3727" s="2" t="s">
        <v>389</v>
      </c>
      <c r="AD3727" s="4">
        <v>220</v>
      </c>
      <c r="AE3727" s="4">
        <v>220</v>
      </c>
      <c r="AF3727" s="6">
        <v>64</v>
      </c>
      <c r="AG3727" s="6"/>
      <c r="AH3727" s="7">
        <v>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/>
      <c r="AQ3727" s="8"/>
      <c r="AR3727" s="4"/>
      <c r="AS3727" s="8"/>
      <c r="AT3727" s="7"/>
      <c r="AU3727" s="7"/>
      <c r="AV3727" s="4" t="s">
        <v>100</v>
      </c>
      <c r="AW3727" s="8" t="s">
        <v>100</v>
      </c>
      <c r="AX3727" s="4" t="s">
        <v>100</v>
      </c>
      <c r="AY3727" s="8" t="s">
        <v>100</v>
      </c>
      <c r="AZ3727" s="7" t="s">
        <v>100</v>
      </c>
      <c r="BA3727" s="7" t="s">
        <v>100</v>
      </c>
      <c r="BB3727" s="7"/>
      <c r="BC3727" s="4" t="s">
        <v>100</v>
      </c>
      <c r="BD3727" s="8" t="s">
        <v>100</v>
      </c>
      <c r="BE3727" s="4" t="s">
        <v>100</v>
      </c>
      <c r="BF3727" s="8" t="s">
        <v>100</v>
      </c>
      <c r="BG3727" s="7" t="s">
        <v>100</v>
      </c>
      <c r="BH3727" s="7" t="s">
        <v>100</v>
      </c>
      <c r="BI3727" s="7"/>
      <c r="BJ3727" s="4">
        <v>13</v>
      </c>
      <c r="BK3727" s="8">
        <v>686.15</v>
      </c>
      <c r="BL3727" s="2" t="s">
        <v>11849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171</v>
      </c>
      <c r="BV3727" s="2" t="s">
        <v>97</v>
      </c>
      <c r="BW3727" s="2" t="s">
        <v>100</v>
      </c>
      <c r="BX3727" s="2" t="s">
        <v>100</v>
      </c>
      <c r="BY3727" s="2" t="s">
        <v>112</v>
      </c>
      <c r="BZ3727" s="2" t="s">
        <v>100</v>
      </c>
    </row>
    <row r="3728">
      <c r="A3728" s="2" t="s">
        <v>11850</v>
      </c>
      <c r="B3728" s="2" t="s">
        <v>11630</v>
      </c>
      <c r="C3728" s="2" t="s">
        <v>3449</v>
      </c>
      <c r="D3728" s="2" t="s">
        <v>89</v>
      </c>
      <c r="E3728" s="2" t="s">
        <v>887</v>
      </c>
      <c r="F3728" s="2" t="s">
        <v>11837</v>
      </c>
      <c r="G3728" s="2" t="s">
        <v>11838</v>
      </c>
      <c r="H3728" s="2" t="s">
        <v>11839</v>
      </c>
      <c r="I3728" s="2" t="s">
        <v>11840</v>
      </c>
      <c r="J3728" s="2" t="s">
        <v>352</v>
      </c>
      <c r="K3728" s="2" t="s">
        <v>878</v>
      </c>
      <c r="L3728" s="3">
        <v>33.33</v>
      </c>
      <c r="M3728" s="3">
        <v>35</v>
      </c>
      <c r="N3728" s="3">
        <v>69.99</v>
      </c>
      <c r="O3728" s="2" t="s">
        <v>97</v>
      </c>
      <c r="P3728" s="2" t="s">
        <v>98</v>
      </c>
      <c r="Q3728" s="2" t="s">
        <v>99</v>
      </c>
      <c r="R3728" s="2" t="s">
        <v>100</v>
      </c>
      <c r="S3728" s="2" t="s">
        <v>11851</v>
      </c>
      <c r="T3728" s="2" t="s">
        <v>1135</v>
      </c>
      <c r="U3728" s="2" t="s">
        <v>894</v>
      </c>
      <c r="V3728" s="2" t="s">
        <v>461</v>
      </c>
      <c r="W3728" s="2" t="s">
        <v>1136</v>
      </c>
      <c r="X3728" s="2" t="s">
        <v>609</v>
      </c>
      <c r="Y3728" s="2" t="s">
        <v>8570</v>
      </c>
      <c r="Z3728" s="4">
        <v>100</v>
      </c>
      <c r="AA3728" s="4">
        <f>=ROUNDDOWN(33.3333333333333,0)</f>
      </c>
      <c r="AB3728" s="5">
        <v>3</v>
      </c>
      <c r="AC3728" s="2" t="s">
        <v>1468</v>
      </c>
      <c r="AD3728" s="4">
        <v>90</v>
      </c>
      <c r="AE3728" s="4">
        <v>230</v>
      </c>
      <c r="AF3728" s="6">
        <v>64</v>
      </c>
      <c r="AG3728" s="6"/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/>
      <c r="AQ3728" s="8"/>
      <c r="AR3728" s="4"/>
      <c r="AS3728" s="8"/>
      <c r="AT3728" s="7"/>
      <c r="AU3728" s="7"/>
      <c r="AV3728" s="4" t="s">
        <v>100</v>
      </c>
      <c r="AW3728" s="8" t="s">
        <v>100</v>
      </c>
      <c r="AX3728" s="4" t="s">
        <v>100</v>
      </c>
      <c r="AY3728" s="8" t="s">
        <v>100</v>
      </c>
      <c r="AZ3728" s="7" t="s">
        <v>100</v>
      </c>
      <c r="BA3728" s="7" t="s">
        <v>100</v>
      </c>
      <c r="BB3728" s="7"/>
      <c r="BC3728" s="4" t="s">
        <v>100</v>
      </c>
      <c r="BD3728" s="8" t="s">
        <v>100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/>
      <c r="BJ3728" s="4">
        <v>2</v>
      </c>
      <c r="BK3728" s="8">
        <v>72.8</v>
      </c>
      <c r="BL3728" s="2" t="s">
        <v>6246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171</v>
      </c>
      <c r="BV3728" s="2" t="s">
        <v>97</v>
      </c>
      <c r="BW3728" s="2" t="s">
        <v>100</v>
      </c>
      <c r="BX3728" s="2" t="s">
        <v>100</v>
      </c>
      <c r="BY3728" s="2" t="s">
        <v>112</v>
      </c>
      <c r="BZ3728" s="2" t="s">
        <v>100</v>
      </c>
    </row>
    <row r="3729">
      <c r="A3729" s="2" t="s">
        <v>11852</v>
      </c>
      <c r="B3729" s="2" t="s">
        <v>11630</v>
      </c>
      <c r="C3729" s="2" t="s">
        <v>3449</v>
      </c>
      <c r="D3729" s="2" t="s">
        <v>89</v>
      </c>
      <c r="E3729" s="2" t="s">
        <v>887</v>
      </c>
      <c r="F3729" s="2" t="s">
        <v>11837</v>
      </c>
      <c r="G3729" s="2" t="s">
        <v>11838</v>
      </c>
      <c r="H3729" s="2" t="s">
        <v>11839</v>
      </c>
      <c r="I3729" s="2" t="s">
        <v>11840</v>
      </c>
      <c r="J3729" s="2" t="s">
        <v>522</v>
      </c>
      <c r="K3729" s="2" t="s">
        <v>878</v>
      </c>
      <c r="L3729" s="3">
        <v>42.85</v>
      </c>
      <c r="M3729" s="3">
        <v>44.99</v>
      </c>
      <c r="N3729" s="3">
        <v>89.99</v>
      </c>
      <c r="O3729" s="2" t="s">
        <v>97</v>
      </c>
      <c r="P3729" s="2" t="s">
        <v>98</v>
      </c>
      <c r="Q3729" s="2" t="s">
        <v>99</v>
      </c>
      <c r="R3729" s="2" t="s">
        <v>100</v>
      </c>
      <c r="S3729" s="2" t="s">
        <v>11851</v>
      </c>
      <c r="T3729" s="2" t="s">
        <v>1135</v>
      </c>
      <c r="U3729" s="2" t="s">
        <v>901</v>
      </c>
      <c r="V3729" s="2" t="s">
        <v>461</v>
      </c>
      <c r="W3729" s="2" t="s">
        <v>1136</v>
      </c>
      <c r="X3729" s="2" t="s">
        <v>609</v>
      </c>
      <c r="Y3729" s="2" t="s">
        <v>8570</v>
      </c>
      <c r="Z3729" s="4">
        <v>220</v>
      </c>
      <c r="AA3729" s="4">
        <f>=ROUNDDOWN(27.5,0)</f>
      </c>
      <c r="AB3729" s="5">
        <v>8</v>
      </c>
      <c r="AC3729" s="2" t="s">
        <v>1468</v>
      </c>
      <c r="AD3729" s="4">
        <v>160</v>
      </c>
      <c r="AE3729" s="4">
        <v>530</v>
      </c>
      <c r="AF3729" s="6">
        <v>64</v>
      </c>
      <c r="AG3729" s="6"/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>
        <v>0</v>
      </c>
      <c r="AP3729" s="4"/>
      <c r="AQ3729" s="8"/>
      <c r="AR3729" s="4"/>
      <c r="AS3729" s="8"/>
      <c r="AT3729" s="7"/>
      <c r="AU3729" s="7"/>
      <c r="AV3729" s="4" t="s">
        <v>100</v>
      </c>
      <c r="AW3729" s="8" t="s">
        <v>100</v>
      </c>
      <c r="AX3729" s="4" t="s">
        <v>100</v>
      </c>
      <c r="AY3729" s="8" t="s">
        <v>100</v>
      </c>
      <c r="AZ3729" s="7" t="s">
        <v>100</v>
      </c>
      <c r="BA3729" s="7" t="s">
        <v>100</v>
      </c>
      <c r="BB3729" s="7"/>
      <c r="BC3729" s="4" t="s">
        <v>100</v>
      </c>
      <c r="BD3729" s="8" t="s">
        <v>100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/>
      <c r="BJ3729" s="4">
        <v>15</v>
      </c>
      <c r="BK3729" s="8">
        <v>651.03</v>
      </c>
      <c r="BL3729" s="2" t="s">
        <v>3836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171</v>
      </c>
      <c r="BV3729" s="2" t="s">
        <v>97</v>
      </c>
      <c r="BW3729" s="2" t="s">
        <v>100</v>
      </c>
      <c r="BX3729" s="2" t="s">
        <v>100</v>
      </c>
      <c r="BY3729" s="2" t="s">
        <v>112</v>
      </c>
      <c r="BZ3729" s="2" t="s">
        <v>100</v>
      </c>
    </row>
    <row r="3730">
      <c r="A3730" s="2" t="s">
        <v>11853</v>
      </c>
      <c r="B3730" s="2" t="s">
        <v>11630</v>
      </c>
      <c r="C3730" s="2" t="s">
        <v>3449</v>
      </c>
      <c r="D3730" s="2" t="s">
        <v>89</v>
      </c>
      <c r="E3730" s="2" t="s">
        <v>887</v>
      </c>
      <c r="F3730" s="2" t="s">
        <v>11837</v>
      </c>
      <c r="G3730" s="2" t="s">
        <v>11838</v>
      </c>
      <c r="H3730" s="2" t="s">
        <v>11839</v>
      </c>
      <c r="I3730" s="2" t="s">
        <v>11840</v>
      </c>
      <c r="J3730" s="2" t="s">
        <v>529</v>
      </c>
      <c r="K3730" s="2" t="s">
        <v>878</v>
      </c>
      <c r="L3730" s="3">
        <v>47.61</v>
      </c>
      <c r="M3730" s="3">
        <v>49.99</v>
      </c>
      <c r="N3730" s="3">
        <v>99.99</v>
      </c>
      <c r="O3730" s="2" t="s">
        <v>97</v>
      </c>
      <c r="P3730" s="2" t="s">
        <v>98</v>
      </c>
      <c r="Q3730" s="2" t="s">
        <v>99</v>
      </c>
      <c r="R3730" s="2" t="s">
        <v>100</v>
      </c>
      <c r="S3730" s="2" t="s">
        <v>11851</v>
      </c>
      <c r="T3730" s="2" t="s">
        <v>1135</v>
      </c>
      <c r="U3730" s="2" t="s">
        <v>901</v>
      </c>
      <c r="V3730" s="2" t="s">
        <v>461</v>
      </c>
      <c r="W3730" s="2" t="s">
        <v>1136</v>
      </c>
      <c r="X3730" s="2" t="s">
        <v>609</v>
      </c>
      <c r="Y3730" s="2" t="s">
        <v>8570</v>
      </c>
      <c r="Z3730" s="4">
        <v>209</v>
      </c>
      <c r="AA3730" s="4">
        <f>=ROUNDDOWN(29.8571428571429,0)</f>
      </c>
      <c r="AB3730" s="5">
        <v>7</v>
      </c>
      <c r="AC3730" s="2" t="s">
        <v>1468</v>
      </c>
      <c r="AD3730" s="4">
        <v>120</v>
      </c>
      <c r="AE3730" s="4">
        <v>330</v>
      </c>
      <c r="AF3730" s="6">
        <v>64</v>
      </c>
      <c r="AG3730" s="6"/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>
        <v>0</v>
      </c>
      <c r="AP3730" s="4"/>
      <c r="AQ3730" s="8"/>
      <c r="AR3730" s="4"/>
      <c r="AS3730" s="8"/>
      <c r="AT3730" s="7"/>
      <c r="AU3730" s="7"/>
      <c r="AV3730" s="4" t="s">
        <v>100</v>
      </c>
      <c r="AW3730" s="8" t="s">
        <v>100</v>
      </c>
      <c r="AX3730" s="4" t="s">
        <v>100</v>
      </c>
      <c r="AY3730" s="8" t="s">
        <v>100</v>
      </c>
      <c r="AZ3730" s="7" t="s">
        <v>100</v>
      </c>
      <c r="BA3730" s="7" t="s">
        <v>100</v>
      </c>
      <c r="BB3730" s="7"/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/>
      <c r="BJ3730" s="4">
        <v>8</v>
      </c>
      <c r="BK3730" s="8">
        <v>429.68</v>
      </c>
      <c r="BL3730" s="2" t="s">
        <v>10294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171</v>
      </c>
      <c r="BV3730" s="2" t="s">
        <v>97</v>
      </c>
      <c r="BW3730" s="2" t="s">
        <v>100</v>
      </c>
      <c r="BX3730" s="2" t="s">
        <v>100</v>
      </c>
      <c r="BY3730" s="2" t="s">
        <v>112</v>
      </c>
      <c r="BZ3730" s="2" t="s">
        <v>100</v>
      </c>
    </row>
    <row r="3731">
      <c r="A3731" s="2" t="s">
        <v>11854</v>
      </c>
      <c r="B3731" s="2" t="s">
        <v>11630</v>
      </c>
      <c r="C3731" s="2" t="s">
        <v>3449</v>
      </c>
      <c r="D3731" s="2" t="s">
        <v>89</v>
      </c>
      <c r="E3731" s="2" t="s">
        <v>887</v>
      </c>
      <c r="F3731" s="2" t="s">
        <v>11855</v>
      </c>
      <c r="G3731" s="2" t="s">
        <v>11856</v>
      </c>
      <c r="H3731" s="2" t="s">
        <v>11857</v>
      </c>
      <c r="I3731" s="2" t="s">
        <v>11858</v>
      </c>
      <c r="J3731" s="2" t="s">
        <v>352</v>
      </c>
      <c r="K3731" s="2" t="s">
        <v>11859</v>
      </c>
      <c r="L3731" s="3">
        <v>30.95</v>
      </c>
      <c r="M3731" s="3">
        <v>32.5</v>
      </c>
      <c r="N3731" s="3">
        <v>64.99</v>
      </c>
      <c r="O3731" s="2" t="s">
        <v>97</v>
      </c>
      <c r="P3731" s="2" t="s">
        <v>98</v>
      </c>
      <c r="Q3731" s="2" t="s">
        <v>99</v>
      </c>
      <c r="R3731" s="2" t="s">
        <v>100</v>
      </c>
      <c r="S3731" s="2" t="s">
        <v>11860</v>
      </c>
      <c r="T3731" s="2" t="s">
        <v>5436</v>
      </c>
      <c r="U3731" s="2" t="s">
        <v>894</v>
      </c>
      <c r="V3731" s="2" t="s">
        <v>461</v>
      </c>
      <c r="W3731" s="2" t="s">
        <v>1136</v>
      </c>
      <c r="X3731" s="2" t="s">
        <v>194</v>
      </c>
      <c r="Y3731" s="2" t="s">
        <v>11861</v>
      </c>
      <c r="Z3731" s="4">
        <v>134</v>
      </c>
      <c r="AA3731" s="4">
        <f>=ROUNDDOWN(44.6666666666667,0)</f>
      </c>
      <c r="AB3731" s="5">
        <v>3</v>
      </c>
      <c r="AC3731" s="2" t="s">
        <v>201</v>
      </c>
      <c r="AD3731" s="4">
        <v>160</v>
      </c>
      <c r="AE3731" s="4">
        <v>160</v>
      </c>
      <c r="AF3731" s="6">
        <v>64</v>
      </c>
      <c r="AG3731" s="6"/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>
        <v>0</v>
      </c>
      <c r="AP3731" s="4"/>
      <c r="AQ3731" s="8"/>
      <c r="AR3731" s="4"/>
      <c r="AS3731" s="8"/>
      <c r="AT3731" s="7"/>
      <c r="AU3731" s="7"/>
      <c r="AV3731" s="4" t="s">
        <v>100</v>
      </c>
      <c r="AW3731" s="8" t="s">
        <v>100</v>
      </c>
      <c r="AX3731" s="4" t="s">
        <v>100</v>
      </c>
      <c r="AY3731" s="8" t="s">
        <v>100</v>
      </c>
      <c r="AZ3731" s="7" t="s">
        <v>100</v>
      </c>
      <c r="BA3731" s="7" t="s">
        <v>100</v>
      </c>
      <c r="BB3731" s="7"/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/>
      <c r="BJ3731" s="4">
        <v>1</v>
      </c>
      <c r="BK3731" s="8">
        <v>26</v>
      </c>
      <c r="BL3731" s="2" t="s">
        <v>6840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171</v>
      </c>
      <c r="BV3731" s="2" t="s">
        <v>97</v>
      </c>
      <c r="BW3731" s="2" t="s">
        <v>100</v>
      </c>
      <c r="BX3731" s="2" t="s">
        <v>100</v>
      </c>
      <c r="BY3731" s="2" t="s">
        <v>112</v>
      </c>
      <c r="BZ3731" s="2" t="s">
        <v>100</v>
      </c>
    </row>
    <row r="3732">
      <c r="A3732" s="2" t="s">
        <v>11862</v>
      </c>
      <c r="B3732" s="2" t="s">
        <v>11630</v>
      </c>
      <c r="C3732" s="2" t="s">
        <v>3449</v>
      </c>
      <c r="D3732" s="2" t="s">
        <v>89</v>
      </c>
      <c r="E3732" s="2" t="s">
        <v>887</v>
      </c>
      <c r="F3732" s="2" t="s">
        <v>11855</v>
      </c>
      <c r="G3732" s="2" t="s">
        <v>11856</v>
      </c>
      <c r="H3732" s="2" t="s">
        <v>11857</v>
      </c>
      <c r="I3732" s="2" t="s">
        <v>11858</v>
      </c>
      <c r="J3732" s="2" t="s">
        <v>522</v>
      </c>
      <c r="K3732" s="2" t="s">
        <v>11859</v>
      </c>
      <c r="L3732" s="3">
        <v>40.47</v>
      </c>
      <c r="M3732" s="3">
        <v>42.49</v>
      </c>
      <c r="N3732" s="3">
        <v>84.99</v>
      </c>
      <c r="O3732" s="2" t="s">
        <v>97</v>
      </c>
      <c r="P3732" s="2" t="s">
        <v>98</v>
      </c>
      <c r="Q3732" s="2" t="s">
        <v>99</v>
      </c>
      <c r="R3732" s="2" t="s">
        <v>100</v>
      </c>
      <c r="S3732" s="2" t="s">
        <v>11860</v>
      </c>
      <c r="T3732" s="2" t="s">
        <v>5436</v>
      </c>
      <c r="U3732" s="2" t="s">
        <v>901</v>
      </c>
      <c r="V3732" s="2" t="s">
        <v>461</v>
      </c>
      <c r="W3732" s="2" t="s">
        <v>1136</v>
      </c>
      <c r="X3732" s="2" t="s">
        <v>194</v>
      </c>
      <c r="Y3732" s="2" t="s">
        <v>11861</v>
      </c>
      <c r="Z3732" s="4">
        <v>154</v>
      </c>
      <c r="AA3732" s="4">
        <f>=ROUNDDOWN(30.8,0)</f>
      </c>
      <c r="AB3732" s="5">
        <v>5</v>
      </c>
      <c r="AC3732" s="2" t="s">
        <v>201</v>
      </c>
      <c r="AD3732" s="4">
        <v>250</v>
      </c>
      <c r="AE3732" s="4">
        <v>250</v>
      </c>
      <c r="AF3732" s="6">
        <v>64</v>
      </c>
      <c r="AG3732" s="6"/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>
        <v>0</v>
      </c>
      <c r="AP3732" s="4"/>
      <c r="AQ3732" s="8"/>
      <c r="AR3732" s="4"/>
      <c r="AS3732" s="8"/>
      <c r="AT3732" s="7"/>
      <c r="AU3732" s="7"/>
      <c r="AV3732" s="4" t="s">
        <v>100</v>
      </c>
      <c r="AW3732" s="8" t="s">
        <v>100</v>
      </c>
      <c r="AX3732" s="4" t="s">
        <v>100</v>
      </c>
      <c r="AY3732" s="8" t="s">
        <v>100</v>
      </c>
      <c r="AZ3732" s="7" t="s">
        <v>100</v>
      </c>
      <c r="BA3732" s="7" t="s">
        <v>100</v>
      </c>
      <c r="BB3732" s="7"/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/>
      <c r="BJ3732" s="4">
        <v>13</v>
      </c>
      <c r="BK3732" s="8">
        <v>567.08</v>
      </c>
      <c r="BL3732" s="2" t="s">
        <v>10947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171</v>
      </c>
      <c r="BV3732" s="2" t="s">
        <v>97</v>
      </c>
      <c r="BW3732" s="2" t="s">
        <v>100</v>
      </c>
      <c r="BX3732" s="2" t="s">
        <v>100</v>
      </c>
      <c r="BY3732" s="2" t="s">
        <v>112</v>
      </c>
      <c r="BZ3732" s="2" t="s">
        <v>100</v>
      </c>
    </row>
    <row r="3733">
      <c r="A3733" s="2" t="s">
        <v>11863</v>
      </c>
      <c r="B3733" s="2" t="s">
        <v>11630</v>
      </c>
      <c r="C3733" s="2" t="s">
        <v>3449</v>
      </c>
      <c r="D3733" s="2" t="s">
        <v>89</v>
      </c>
      <c r="E3733" s="2" t="s">
        <v>887</v>
      </c>
      <c r="F3733" s="2" t="s">
        <v>11855</v>
      </c>
      <c r="G3733" s="2" t="s">
        <v>11856</v>
      </c>
      <c r="H3733" s="2" t="s">
        <v>11857</v>
      </c>
      <c r="I3733" s="2" t="s">
        <v>11858</v>
      </c>
      <c r="J3733" s="2" t="s">
        <v>529</v>
      </c>
      <c r="K3733" s="2" t="s">
        <v>11859</v>
      </c>
      <c r="L3733" s="3">
        <v>45.23</v>
      </c>
      <c r="M3733" s="3">
        <v>47.49</v>
      </c>
      <c r="N3733" s="3">
        <v>94.99</v>
      </c>
      <c r="O3733" s="2" t="s">
        <v>97</v>
      </c>
      <c r="P3733" s="2" t="s">
        <v>98</v>
      </c>
      <c r="Q3733" s="2" t="s">
        <v>99</v>
      </c>
      <c r="R3733" s="2" t="s">
        <v>100</v>
      </c>
      <c r="S3733" s="2" t="s">
        <v>11860</v>
      </c>
      <c r="T3733" s="2" t="s">
        <v>5436</v>
      </c>
      <c r="U3733" s="2" t="s">
        <v>901</v>
      </c>
      <c r="V3733" s="2" t="s">
        <v>461</v>
      </c>
      <c r="W3733" s="2" t="s">
        <v>1136</v>
      </c>
      <c r="X3733" s="2" t="s">
        <v>194</v>
      </c>
      <c r="Y3733" s="2" t="s">
        <v>11861</v>
      </c>
      <c r="Z3733" s="4">
        <v>86</v>
      </c>
      <c r="AA3733" s="4">
        <f>=ROUNDDOWN(17.2,0)</f>
      </c>
      <c r="AB3733" s="5">
        <v>5</v>
      </c>
      <c r="AC3733" s="2" t="s">
        <v>201</v>
      </c>
      <c r="AD3733" s="4">
        <v>230</v>
      </c>
      <c r="AE3733" s="4">
        <v>230</v>
      </c>
      <c r="AF3733" s="6">
        <v>64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/>
      <c r="AQ3733" s="8"/>
      <c r="AR3733" s="4"/>
      <c r="AS3733" s="8"/>
      <c r="AT3733" s="7"/>
      <c r="AU3733" s="7"/>
      <c r="AV3733" s="4" t="s">
        <v>100</v>
      </c>
      <c r="AW3733" s="8" t="s">
        <v>100</v>
      </c>
      <c r="AX3733" s="4" t="s">
        <v>100</v>
      </c>
      <c r="AY3733" s="8" t="s">
        <v>100</v>
      </c>
      <c r="AZ3733" s="7" t="s">
        <v>100</v>
      </c>
      <c r="BA3733" s="7" t="s">
        <v>100</v>
      </c>
      <c r="BB3733" s="7"/>
      <c r="BC3733" s="4" t="s">
        <v>100</v>
      </c>
      <c r="BD3733" s="8" t="s">
        <v>100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/>
      <c r="BJ3733" s="4">
        <v>30</v>
      </c>
      <c r="BK3733" s="8">
        <v>1482.76</v>
      </c>
      <c r="BL3733" s="2" t="s">
        <v>11864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171</v>
      </c>
      <c r="BV3733" s="2" t="s">
        <v>97</v>
      </c>
      <c r="BW3733" s="2" t="s">
        <v>100</v>
      </c>
      <c r="BX3733" s="2" t="s">
        <v>100</v>
      </c>
      <c r="BY3733" s="2" t="s">
        <v>112</v>
      </c>
      <c r="BZ3733" s="2" t="s">
        <v>100</v>
      </c>
    </row>
    <row r="3734">
      <c r="A3734" s="2" t="s">
        <v>11865</v>
      </c>
      <c r="B3734" s="2" t="s">
        <v>11630</v>
      </c>
      <c r="C3734" s="2" t="s">
        <v>3449</v>
      </c>
      <c r="D3734" s="2" t="s">
        <v>89</v>
      </c>
      <c r="E3734" s="2" t="s">
        <v>887</v>
      </c>
      <c r="F3734" s="2" t="s">
        <v>11855</v>
      </c>
      <c r="G3734" s="2" t="s">
        <v>11856</v>
      </c>
      <c r="H3734" s="2" t="s">
        <v>11857</v>
      </c>
      <c r="I3734" s="2" t="s">
        <v>11858</v>
      </c>
      <c r="J3734" s="2" t="s">
        <v>352</v>
      </c>
      <c r="K3734" s="2" t="s">
        <v>9897</v>
      </c>
      <c r="L3734" s="3">
        <v>30.95</v>
      </c>
      <c r="M3734" s="3">
        <v>32.5</v>
      </c>
      <c r="N3734" s="3">
        <v>64.99</v>
      </c>
      <c r="O3734" s="2" t="s">
        <v>97</v>
      </c>
      <c r="P3734" s="2" t="s">
        <v>98</v>
      </c>
      <c r="Q3734" s="2" t="s">
        <v>99</v>
      </c>
      <c r="R3734" s="2" t="s">
        <v>100</v>
      </c>
      <c r="S3734" s="2" t="s">
        <v>11866</v>
      </c>
      <c r="T3734" s="2" t="s">
        <v>5436</v>
      </c>
      <c r="U3734" s="2" t="s">
        <v>894</v>
      </c>
      <c r="V3734" s="2" t="s">
        <v>461</v>
      </c>
      <c r="W3734" s="2" t="s">
        <v>1136</v>
      </c>
      <c r="X3734" s="2" t="s">
        <v>194</v>
      </c>
      <c r="Y3734" s="2" t="s">
        <v>11861</v>
      </c>
      <c r="Z3734" s="4">
        <v>125</v>
      </c>
      <c r="AA3734" s="4">
        <f>=ROUNDDOWN(41.6666666666667,0)</f>
      </c>
      <c r="AB3734" s="5">
        <v>3</v>
      </c>
      <c r="AC3734" s="2" t="s">
        <v>201</v>
      </c>
      <c r="AD3734" s="4">
        <v>105</v>
      </c>
      <c r="AE3734" s="4">
        <v>105</v>
      </c>
      <c r="AF3734" s="6">
        <v>64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/>
      <c r="AQ3734" s="8"/>
      <c r="AR3734" s="4"/>
      <c r="AS3734" s="8"/>
      <c r="AT3734" s="7"/>
      <c r="AU3734" s="7"/>
      <c r="AV3734" s="4" t="s">
        <v>100</v>
      </c>
      <c r="AW3734" s="8" t="s">
        <v>100</v>
      </c>
      <c r="AX3734" s="4" t="s">
        <v>100</v>
      </c>
      <c r="AY3734" s="8" t="s">
        <v>100</v>
      </c>
      <c r="AZ3734" s="7" t="s">
        <v>100</v>
      </c>
      <c r="BA3734" s="7" t="s">
        <v>100</v>
      </c>
      <c r="BB3734" s="7"/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/>
      <c r="BJ3734" s="4">
        <v>3</v>
      </c>
      <c r="BK3734" s="8">
        <v>100.1</v>
      </c>
      <c r="BL3734" s="2" t="s">
        <v>2009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171</v>
      </c>
      <c r="BV3734" s="2" t="s">
        <v>97</v>
      </c>
      <c r="BW3734" s="2" t="s">
        <v>100</v>
      </c>
      <c r="BX3734" s="2" t="s">
        <v>100</v>
      </c>
      <c r="BY3734" s="2" t="s">
        <v>112</v>
      </c>
      <c r="BZ3734" s="2" t="s">
        <v>100</v>
      </c>
    </row>
    <row r="3735">
      <c r="A3735" s="2" t="s">
        <v>11867</v>
      </c>
      <c r="B3735" s="2" t="s">
        <v>11630</v>
      </c>
      <c r="C3735" s="2" t="s">
        <v>3449</v>
      </c>
      <c r="D3735" s="2" t="s">
        <v>89</v>
      </c>
      <c r="E3735" s="2" t="s">
        <v>887</v>
      </c>
      <c r="F3735" s="2" t="s">
        <v>11855</v>
      </c>
      <c r="G3735" s="2" t="s">
        <v>11856</v>
      </c>
      <c r="H3735" s="2" t="s">
        <v>11857</v>
      </c>
      <c r="I3735" s="2" t="s">
        <v>11858</v>
      </c>
      <c r="J3735" s="2" t="s">
        <v>522</v>
      </c>
      <c r="K3735" s="2" t="s">
        <v>9897</v>
      </c>
      <c r="L3735" s="3">
        <v>40.47</v>
      </c>
      <c r="M3735" s="3">
        <v>42.49</v>
      </c>
      <c r="N3735" s="3">
        <v>84.99</v>
      </c>
      <c r="O3735" s="2" t="s">
        <v>97</v>
      </c>
      <c r="P3735" s="2" t="s">
        <v>98</v>
      </c>
      <c r="Q3735" s="2" t="s">
        <v>99</v>
      </c>
      <c r="R3735" s="2" t="s">
        <v>100</v>
      </c>
      <c r="S3735" s="2" t="s">
        <v>11866</v>
      </c>
      <c r="T3735" s="2" t="s">
        <v>5436</v>
      </c>
      <c r="U3735" s="2" t="s">
        <v>901</v>
      </c>
      <c r="V3735" s="2" t="s">
        <v>461</v>
      </c>
      <c r="W3735" s="2" t="s">
        <v>1136</v>
      </c>
      <c r="X3735" s="2" t="s">
        <v>194</v>
      </c>
      <c r="Y3735" s="2" t="s">
        <v>11861</v>
      </c>
      <c r="Z3735" s="4">
        <v>70</v>
      </c>
      <c r="AA3735" s="4">
        <f>=ROUNDDOWN(23.3333333333333,0)</f>
      </c>
      <c r="AB3735" s="5">
        <v>3</v>
      </c>
      <c r="AC3735" s="2" t="s">
        <v>201</v>
      </c>
      <c r="AD3735" s="4">
        <v>380</v>
      </c>
      <c r="AE3735" s="4">
        <v>380</v>
      </c>
      <c r="AF3735" s="6">
        <v>64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/>
      <c r="AQ3735" s="8"/>
      <c r="AR3735" s="4"/>
      <c r="AS3735" s="8"/>
      <c r="AT3735" s="7"/>
      <c r="AU3735" s="7"/>
      <c r="AV3735" s="4" t="s">
        <v>100</v>
      </c>
      <c r="AW3735" s="8" t="s">
        <v>100</v>
      </c>
      <c r="AX3735" s="4" t="s">
        <v>100</v>
      </c>
      <c r="AY3735" s="8" t="s">
        <v>100</v>
      </c>
      <c r="AZ3735" s="7" t="s">
        <v>100</v>
      </c>
      <c r="BA3735" s="7" t="s">
        <v>100</v>
      </c>
      <c r="BB3735" s="7"/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/>
      <c r="BJ3735" s="4">
        <v>10</v>
      </c>
      <c r="BK3735" s="8">
        <v>439.33</v>
      </c>
      <c r="BL3735" s="2" t="s">
        <v>11868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171</v>
      </c>
      <c r="BV3735" s="2" t="s">
        <v>97</v>
      </c>
      <c r="BW3735" s="2" t="s">
        <v>100</v>
      </c>
      <c r="BX3735" s="2" t="s">
        <v>100</v>
      </c>
      <c r="BY3735" s="2" t="s">
        <v>112</v>
      </c>
      <c r="BZ3735" s="2" t="s">
        <v>100</v>
      </c>
    </row>
    <row r="3736">
      <c r="A3736" s="2" t="s">
        <v>11869</v>
      </c>
      <c r="B3736" s="2" t="s">
        <v>11630</v>
      </c>
      <c r="C3736" s="2" t="s">
        <v>3449</v>
      </c>
      <c r="D3736" s="2" t="s">
        <v>89</v>
      </c>
      <c r="E3736" s="2" t="s">
        <v>887</v>
      </c>
      <c r="F3736" s="2" t="s">
        <v>11855</v>
      </c>
      <c r="G3736" s="2" t="s">
        <v>11856</v>
      </c>
      <c r="H3736" s="2" t="s">
        <v>11857</v>
      </c>
      <c r="I3736" s="2" t="s">
        <v>11858</v>
      </c>
      <c r="J3736" s="2" t="s">
        <v>529</v>
      </c>
      <c r="K3736" s="2" t="s">
        <v>9897</v>
      </c>
      <c r="L3736" s="3">
        <v>45.23</v>
      </c>
      <c r="M3736" s="3">
        <v>47.49</v>
      </c>
      <c r="N3736" s="3">
        <v>94.99</v>
      </c>
      <c r="O3736" s="2" t="s">
        <v>97</v>
      </c>
      <c r="P3736" s="2" t="s">
        <v>98</v>
      </c>
      <c r="Q3736" s="2" t="s">
        <v>99</v>
      </c>
      <c r="R3736" s="2" t="s">
        <v>100</v>
      </c>
      <c r="S3736" s="2" t="s">
        <v>11866</v>
      </c>
      <c r="T3736" s="2" t="s">
        <v>5436</v>
      </c>
      <c r="U3736" s="2" t="s">
        <v>901</v>
      </c>
      <c r="V3736" s="2" t="s">
        <v>461</v>
      </c>
      <c r="W3736" s="2" t="s">
        <v>1136</v>
      </c>
      <c r="X3736" s="2" t="s">
        <v>194</v>
      </c>
      <c r="Y3736" s="2" t="s">
        <v>11861</v>
      </c>
      <c r="Z3736" s="4">
        <v>158</v>
      </c>
      <c r="AA3736" s="4">
        <f>=ROUNDDOWN(39.5,0)</f>
      </c>
      <c r="AB3736" s="5">
        <v>4</v>
      </c>
      <c r="AC3736" s="2" t="s">
        <v>201</v>
      </c>
      <c r="AD3736" s="4">
        <v>130</v>
      </c>
      <c r="AE3736" s="4">
        <v>130</v>
      </c>
      <c r="AF3736" s="6">
        <v>64</v>
      </c>
      <c r="AG3736" s="6"/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/>
      <c r="AQ3736" s="8"/>
      <c r="AR3736" s="4"/>
      <c r="AS3736" s="8"/>
      <c r="AT3736" s="7"/>
      <c r="AU3736" s="7"/>
      <c r="AV3736" s="4" t="s">
        <v>100</v>
      </c>
      <c r="AW3736" s="8" t="s">
        <v>100</v>
      </c>
      <c r="AX3736" s="4" t="s">
        <v>100</v>
      </c>
      <c r="AY3736" s="8" t="s">
        <v>100</v>
      </c>
      <c r="AZ3736" s="7" t="s">
        <v>100</v>
      </c>
      <c r="BA3736" s="7" t="s">
        <v>100</v>
      </c>
      <c r="BB3736" s="7"/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/>
      <c r="BJ3736" s="4">
        <v>2</v>
      </c>
      <c r="BK3736" s="8">
        <v>87.86</v>
      </c>
      <c r="BL3736" s="2" t="s">
        <v>2763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171</v>
      </c>
      <c r="BV3736" s="2" t="s">
        <v>97</v>
      </c>
      <c r="BW3736" s="2" t="s">
        <v>100</v>
      </c>
      <c r="BX3736" s="2" t="s">
        <v>100</v>
      </c>
      <c r="BY3736" s="2" t="s">
        <v>112</v>
      </c>
      <c r="BZ3736" s="2" t="s">
        <v>100</v>
      </c>
    </row>
    <row r="3737">
      <c r="A3737" s="2" t="s">
        <v>11870</v>
      </c>
      <c r="B3737" s="2" t="s">
        <v>11630</v>
      </c>
      <c r="C3737" s="2" t="s">
        <v>3449</v>
      </c>
      <c r="D3737" s="2" t="s">
        <v>89</v>
      </c>
      <c r="E3737" s="2" t="s">
        <v>887</v>
      </c>
      <c r="F3737" s="2" t="s">
        <v>11855</v>
      </c>
      <c r="G3737" s="2" t="s">
        <v>11856</v>
      </c>
      <c r="H3737" s="2" t="s">
        <v>11857</v>
      </c>
      <c r="I3737" s="2" t="s">
        <v>11858</v>
      </c>
      <c r="J3737" s="2" t="s">
        <v>352</v>
      </c>
      <c r="K3737" s="2" t="s">
        <v>8513</v>
      </c>
      <c r="L3737" s="3">
        <v>30.95</v>
      </c>
      <c r="M3737" s="3">
        <v>32.5</v>
      </c>
      <c r="N3737" s="3">
        <v>64.99</v>
      </c>
      <c r="O3737" s="2" t="s">
        <v>97</v>
      </c>
      <c r="P3737" s="2" t="s">
        <v>98</v>
      </c>
      <c r="Q3737" s="2" t="s">
        <v>99</v>
      </c>
      <c r="R3737" s="2" t="s">
        <v>100</v>
      </c>
      <c r="S3737" s="2" t="s">
        <v>11871</v>
      </c>
      <c r="T3737" s="2" t="s">
        <v>5436</v>
      </c>
      <c r="U3737" s="2" t="s">
        <v>894</v>
      </c>
      <c r="V3737" s="2" t="s">
        <v>461</v>
      </c>
      <c r="W3737" s="2" t="s">
        <v>1136</v>
      </c>
      <c r="X3737" s="2" t="s">
        <v>194</v>
      </c>
      <c r="Y3737" s="2" t="s">
        <v>11861</v>
      </c>
      <c r="Z3737" s="4">
        <v>130</v>
      </c>
      <c r="AA3737" s="4">
        <f>=ROUNDDOWN(43.3333333333333,0)</f>
      </c>
      <c r="AB3737" s="5">
        <v>3</v>
      </c>
      <c r="AC3737" s="2" t="s">
        <v>201</v>
      </c>
      <c r="AD3737" s="4">
        <v>70</v>
      </c>
      <c r="AE3737" s="4">
        <v>70</v>
      </c>
      <c r="AF3737" s="6">
        <v>64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/>
      <c r="AQ3737" s="8"/>
      <c r="AR3737" s="4"/>
      <c r="AS3737" s="8"/>
      <c r="AT3737" s="7"/>
      <c r="AU3737" s="7"/>
      <c r="AV3737" s="4" t="s">
        <v>100</v>
      </c>
      <c r="AW3737" s="8" t="s">
        <v>100</v>
      </c>
      <c r="AX3737" s="4" t="s">
        <v>100</v>
      </c>
      <c r="AY3737" s="8" t="s">
        <v>100</v>
      </c>
      <c r="AZ3737" s="7" t="s">
        <v>100</v>
      </c>
      <c r="BA3737" s="7" t="s">
        <v>100</v>
      </c>
      <c r="BB3737" s="7"/>
      <c r="BC3737" s="4" t="s">
        <v>100</v>
      </c>
      <c r="BD3737" s="8" t="s">
        <v>100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/>
      <c r="BJ3737" s="4">
        <v>9</v>
      </c>
      <c r="BK3737" s="8">
        <v>328.85</v>
      </c>
      <c r="BL3737" s="2" t="s">
        <v>9847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171</v>
      </c>
      <c r="BV3737" s="2" t="s">
        <v>97</v>
      </c>
      <c r="BW3737" s="2" t="s">
        <v>100</v>
      </c>
      <c r="BX3737" s="2" t="s">
        <v>100</v>
      </c>
      <c r="BY3737" s="2" t="s">
        <v>112</v>
      </c>
      <c r="BZ3737" s="2" t="s">
        <v>100</v>
      </c>
    </row>
    <row r="3738">
      <c r="A3738" s="2" t="s">
        <v>11872</v>
      </c>
      <c r="B3738" s="2" t="s">
        <v>11630</v>
      </c>
      <c r="C3738" s="2" t="s">
        <v>3449</v>
      </c>
      <c r="D3738" s="2" t="s">
        <v>89</v>
      </c>
      <c r="E3738" s="2" t="s">
        <v>887</v>
      </c>
      <c r="F3738" s="2" t="s">
        <v>11855</v>
      </c>
      <c r="G3738" s="2" t="s">
        <v>11856</v>
      </c>
      <c r="H3738" s="2" t="s">
        <v>11857</v>
      </c>
      <c r="I3738" s="2" t="s">
        <v>11858</v>
      </c>
      <c r="J3738" s="2" t="s">
        <v>522</v>
      </c>
      <c r="K3738" s="2" t="s">
        <v>8513</v>
      </c>
      <c r="L3738" s="3">
        <v>40.47</v>
      </c>
      <c r="M3738" s="3">
        <v>42.49</v>
      </c>
      <c r="N3738" s="3">
        <v>84.99</v>
      </c>
      <c r="O3738" s="2" t="s">
        <v>97</v>
      </c>
      <c r="P3738" s="2" t="s">
        <v>98</v>
      </c>
      <c r="Q3738" s="2" t="s">
        <v>99</v>
      </c>
      <c r="R3738" s="2" t="s">
        <v>100</v>
      </c>
      <c r="S3738" s="2" t="s">
        <v>11871</v>
      </c>
      <c r="T3738" s="2" t="s">
        <v>5436</v>
      </c>
      <c r="U3738" s="2" t="s">
        <v>901</v>
      </c>
      <c r="V3738" s="2" t="s">
        <v>461</v>
      </c>
      <c r="W3738" s="2" t="s">
        <v>1136</v>
      </c>
      <c r="X3738" s="2" t="s">
        <v>194</v>
      </c>
      <c r="Y3738" s="2" t="s">
        <v>11861</v>
      </c>
      <c r="Z3738" s="4">
        <v>23</v>
      </c>
      <c r="AA3738" s="4">
        <f>=ROUNDDOWN(2.55555555555556,0)</f>
      </c>
      <c r="AB3738" s="5">
        <v>9</v>
      </c>
      <c r="AC3738" s="2" t="s">
        <v>201</v>
      </c>
      <c r="AD3738" s="4">
        <v>410</v>
      </c>
      <c r="AE3738" s="4">
        <v>410</v>
      </c>
      <c r="AF3738" s="6">
        <v>64</v>
      </c>
      <c r="AG3738" s="6"/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/>
      <c r="AQ3738" s="8"/>
      <c r="AR3738" s="4"/>
      <c r="AS3738" s="8"/>
      <c r="AT3738" s="7"/>
      <c r="AU3738" s="7"/>
      <c r="AV3738" s="4" t="s">
        <v>100</v>
      </c>
      <c r="AW3738" s="8" t="s">
        <v>100</v>
      </c>
      <c r="AX3738" s="4" t="s">
        <v>100</v>
      </c>
      <c r="AY3738" s="8" t="s">
        <v>100</v>
      </c>
      <c r="AZ3738" s="7" t="s">
        <v>100</v>
      </c>
      <c r="BA3738" s="7" t="s">
        <v>100</v>
      </c>
      <c r="BB3738" s="7"/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/>
      <c r="BJ3738" s="4">
        <v>21</v>
      </c>
      <c r="BK3738" s="8">
        <v>938.1</v>
      </c>
      <c r="BL3738" s="2" t="s">
        <v>11873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171</v>
      </c>
      <c r="BV3738" s="2" t="s">
        <v>97</v>
      </c>
      <c r="BW3738" s="2" t="s">
        <v>100</v>
      </c>
      <c r="BX3738" s="2" t="s">
        <v>100</v>
      </c>
      <c r="BY3738" s="2" t="s">
        <v>112</v>
      </c>
      <c r="BZ3738" s="2" t="s">
        <v>100</v>
      </c>
    </row>
    <row r="3739">
      <c r="A3739" s="2" t="s">
        <v>11874</v>
      </c>
      <c r="B3739" s="2" t="s">
        <v>11630</v>
      </c>
      <c r="C3739" s="2" t="s">
        <v>3449</v>
      </c>
      <c r="D3739" s="2" t="s">
        <v>89</v>
      </c>
      <c r="E3739" s="2" t="s">
        <v>887</v>
      </c>
      <c r="F3739" s="2" t="s">
        <v>11855</v>
      </c>
      <c r="G3739" s="2" t="s">
        <v>11856</v>
      </c>
      <c r="H3739" s="2" t="s">
        <v>11857</v>
      </c>
      <c r="I3739" s="2" t="s">
        <v>11858</v>
      </c>
      <c r="J3739" s="2" t="s">
        <v>529</v>
      </c>
      <c r="K3739" s="2" t="s">
        <v>8513</v>
      </c>
      <c r="L3739" s="3">
        <v>45.23</v>
      </c>
      <c r="M3739" s="3">
        <v>47.49</v>
      </c>
      <c r="N3739" s="3">
        <v>94.99</v>
      </c>
      <c r="O3739" s="2" t="s">
        <v>97</v>
      </c>
      <c r="P3739" s="2" t="s">
        <v>98</v>
      </c>
      <c r="Q3739" s="2" t="s">
        <v>99</v>
      </c>
      <c r="R3739" s="2" t="s">
        <v>100</v>
      </c>
      <c r="S3739" s="2" t="s">
        <v>11871</v>
      </c>
      <c r="T3739" s="2" t="s">
        <v>5436</v>
      </c>
      <c r="U3739" s="2" t="s">
        <v>901</v>
      </c>
      <c r="V3739" s="2" t="s">
        <v>461</v>
      </c>
      <c r="W3739" s="2" t="s">
        <v>1136</v>
      </c>
      <c r="X3739" s="2" t="s">
        <v>194</v>
      </c>
      <c r="Y3739" s="2" t="s">
        <v>6019</v>
      </c>
      <c r="Z3739" s="4">
        <v>9</v>
      </c>
      <c r="AA3739" s="4">
        <f>=ROUNDDOWN(1.08433734939759,0)</f>
      </c>
      <c r="AB3739" s="5">
        <v>8.3</v>
      </c>
      <c r="AC3739" s="2" t="s">
        <v>201</v>
      </c>
      <c r="AD3739" s="4">
        <v>360</v>
      </c>
      <c r="AE3739" s="4">
        <v>360</v>
      </c>
      <c r="AF3739" s="6">
        <v>64</v>
      </c>
      <c r="AG3739" s="6"/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/>
      <c r="AQ3739" s="8"/>
      <c r="AR3739" s="4"/>
      <c r="AS3739" s="8"/>
      <c r="AT3739" s="7"/>
      <c r="AU3739" s="7"/>
      <c r="AV3739" s="4" t="s">
        <v>100</v>
      </c>
      <c r="AW3739" s="8" t="s">
        <v>100</v>
      </c>
      <c r="AX3739" s="4" t="s">
        <v>100</v>
      </c>
      <c r="AY3739" s="8" t="s">
        <v>100</v>
      </c>
      <c r="AZ3739" s="7" t="s">
        <v>100</v>
      </c>
      <c r="BA3739" s="7" t="s">
        <v>100</v>
      </c>
      <c r="BB3739" s="7"/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/>
      <c r="BJ3739" s="4">
        <v>35</v>
      </c>
      <c r="BK3739" s="8">
        <v>1738.57</v>
      </c>
      <c r="BL3739" s="2" t="s">
        <v>308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171</v>
      </c>
      <c r="BV3739" s="2" t="s">
        <v>97</v>
      </c>
      <c r="BW3739" s="2" t="s">
        <v>100</v>
      </c>
      <c r="BX3739" s="2" t="s">
        <v>100</v>
      </c>
      <c r="BY3739" s="2" t="s">
        <v>112</v>
      </c>
      <c r="BZ3739" s="2" t="s">
        <v>100</v>
      </c>
    </row>
    <row r="3740">
      <c r="A3740" s="2" t="s">
        <v>11875</v>
      </c>
      <c r="B3740" s="2" t="s">
        <v>11630</v>
      </c>
      <c r="C3740" s="2" t="s">
        <v>3449</v>
      </c>
      <c r="D3740" s="2" t="s">
        <v>89</v>
      </c>
      <c r="E3740" s="2" t="s">
        <v>887</v>
      </c>
      <c r="F3740" s="2" t="s">
        <v>11876</v>
      </c>
      <c r="G3740" s="2" t="s">
        <v>7626</v>
      </c>
      <c r="H3740" s="2" t="s">
        <v>11877</v>
      </c>
      <c r="I3740" s="2" t="s">
        <v>11878</v>
      </c>
      <c r="J3740" s="2" t="s">
        <v>352</v>
      </c>
      <c r="K3740" s="2" t="s">
        <v>11879</v>
      </c>
      <c r="L3740" s="3">
        <v>28.57</v>
      </c>
      <c r="M3740" s="3">
        <v>30</v>
      </c>
      <c r="N3740" s="3">
        <v>59.99</v>
      </c>
      <c r="O3740" s="2" t="s">
        <v>97</v>
      </c>
      <c r="P3740" s="2" t="s">
        <v>707</v>
      </c>
      <c r="Q3740" s="2" t="s">
        <v>99</v>
      </c>
      <c r="R3740" s="2" t="s">
        <v>100</v>
      </c>
      <c r="S3740" s="2" t="s">
        <v>11880</v>
      </c>
      <c r="T3740" s="2" t="s">
        <v>438</v>
      </c>
      <c r="U3740" s="2" t="s">
        <v>894</v>
      </c>
      <c r="V3740" s="2" t="s">
        <v>269</v>
      </c>
      <c r="W3740" s="2" t="s">
        <v>493</v>
      </c>
      <c r="X3740" s="2" t="s">
        <v>271</v>
      </c>
      <c r="Y3740" s="2" t="s">
        <v>11881</v>
      </c>
      <c r="Z3740" s="4">
        <v>343</v>
      </c>
      <c r="AA3740" s="4">
        <f>=ROUNDDOWN(85.75,0)</f>
      </c>
      <c r="AB3740" s="5">
        <v>4</v>
      </c>
      <c r="AC3740" s="2" t="s">
        <v>206</v>
      </c>
      <c r="AD3740" s="4">
        <v>260</v>
      </c>
      <c r="AE3740" s="4">
        <v>260</v>
      </c>
      <c r="AF3740" s="6">
        <v>64</v>
      </c>
      <c r="AG3740" s="6"/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/>
      <c r="AQ3740" s="8"/>
      <c r="AR3740" s="4"/>
      <c r="AS3740" s="8"/>
      <c r="AT3740" s="7"/>
      <c r="AU3740" s="7"/>
      <c r="AV3740" s="4" t="s">
        <v>100</v>
      </c>
      <c r="AW3740" s="8" t="s">
        <v>100</v>
      </c>
      <c r="AX3740" s="4" t="s">
        <v>100</v>
      </c>
      <c r="AY3740" s="8" t="s">
        <v>100</v>
      </c>
      <c r="AZ3740" s="7" t="s">
        <v>100</v>
      </c>
      <c r="BA3740" s="7" t="s">
        <v>100</v>
      </c>
      <c r="BB3740" s="7"/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/>
      <c r="BJ3740" s="4">
        <v>11</v>
      </c>
      <c r="BK3740" s="8">
        <v>325.38</v>
      </c>
      <c r="BL3740" s="2" t="s">
        <v>2209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171</v>
      </c>
      <c r="BV3740" s="2" t="s">
        <v>97</v>
      </c>
      <c r="BW3740" s="2" t="s">
        <v>100</v>
      </c>
      <c r="BX3740" s="2" t="s">
        <v>100</v>
      </c>
      <c r="BY3740" s="2" t="s">
        <v>112</v>
      </c>
      <c r="BZ3740" s="2" t="s">
        <v>149</v>
      </c>
    </row>
    <row r="3741">
      <c r="A3741" s="2" t="s">
        <v>11882</v>
      </c>
      <c r="B3741" s="2" t="s">
        <v>11630</v>
      </c>
      <c r="C3741" s="2" t="s">
        <v>3449</v>
      </c>
      <c r="D3741" s="2" t="s">
        <v>89</v>
      </c>
      <c r="E3741" s="2" t="s">
        <v>887</v>
      </c>
      <c r="F3741" s="2" t="s">
        <v>11876</v>
      </c>
      <c r="G3741" s="2" t="s">
        <v>7626</v>
      </c>
      <c r="H3741" s="2" t="s">
        <v>11877</v>
      </c>
      <c r="I3741" s="2" t="s">
        <v>11878</v>
      </c>
      <c r="J3741" s="2" t="s">
        <v>522</v>
      </c>
      <c r="K3741" s="2" t="s">
        <v>11879</v>
      </c>
      <c r="L3741" s="3">
        <v>33.33</v>
      </c>
      <c r="M3741" s="3">
        <v>35</v>
      </c>
      <c r="N3741" s="3">
        <v>69.99</v>
      </c>
      <c r="O3741" s="2" t="s">
        <v>97</v>
      </c>
      <c r="P3741" s="2" t="s">
        <v>707</v>
      </c>
      <c r="Q3741" s="2" t="s">
        <v>99</v>
      </c>
      <c r="R3741" s="2" t="s">
        <v>100</v>
      </c>
      <c r="S3741" s="2" t="s">
        <v>11880</v>
      </c>
      <c r="T3741" s="2" t="s">
        <v>438</v>
      </c>
      <c r="U3741" s="2" t="s">
        <v>901</v>
      </c>
      <c r="V3741" s="2" t="s">
        <v>269</v>
      </c>
      <c r="W3741" s="2" t="s">
        <v>493</v>
      </c>
      <c r="X3741" s="2" t="s">
        <v>271</v>
      </c>
      <c r="Y3741" s="2" t="s">
        <v>11883</v>
      </c>
      <c r="Z3741" s="4">
        <v>286</v>
      </c>
      <c r="AA3741" s="4">
        <f>=ROUNDDOWN(31.4285714285714,0)</f>
      </c>
      <c r="AB3741" s="5">
        <v>9.1</v>
      </c>
      <c r="AC3741" s="2" t="s">
        <v>206</v>
      </c>
      <c r="AD3741" s="4">
        <v>180</v>
      </c>
      <c r="AE3741" s="4">
        <v>180</v>
      </c>
      <c r="AF3741" s="6">
        <v>64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/>
      <c r="AQ3741" s="8"/>
      <c r="AR3741" s="4"/>
      <c r="AS3741" s="8"/>
      <c r="AT3741" s="7"/>
      <c r="AU3741" s="7"/>
      <c r="AV3741" s="4" t="s">
        <v>100</v>
      </c>
      <c r="AW3741" s="8" t="s">
        <v>100</v>
      </c>
      <c r="AX3741" s="4" t="s">
        <v>100</v>
      </c>
      <c r="AY3741" s="8" t="s">
        <v>100</v>
      </c>
      <c r="AZ3741" s="7" t="s">
        <v>100</v>
      </c>
      <c r="BA3741" s="7" t="s">
        <v>100</v>
      </c>
      <c r="BB3741" s="7"/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/>
      <c r="BJ3741" s="4">
        <v>26</v>
      </c>
      <c r="BK3741" s="8">
        <v>969.69</v>
      </c>
      <c r="BL3741" s="2" t="s">
        <v>2048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171</v>
      </c>
      <c r="BV3741" s="2" t="s">
        <v>97</v>
      </c>
      <c r="BW3741" s="2" t="s">
        <v>100</v>
      </c>
      <c r="BX3741" s="2" t="s">
        <v>100</v>
      </c>
      <c r="BY3741" s="2" t="s">
        <v>112</v>
      </c>
      <c r="BZ3741" s="2" t="s">
        <v>149</v>
      </c>
    </row>
    <row r="3742">
      <c r="A3742" s="2" t="s">
        <v>11884</v>
      </c>
      <c r="B3742" s="2" t="s">
        <v>11630</v>
      </c>
      <c r="C3742" s="2" t="s">
        <v>3449</v>
      </c>
      <c r="D3742" s="2" t="s">
        <v>89</v>
      </c>
      <c r="E3742" s="2" t="s">
        <v>887</v>
      </c>
      <c r="F3742" s="2" t="s">
        <v>11876</v>
      </c>
      <c r="G3742" s="2" t="s">
        <v>7626</v>
      </c>
      <c r="H3742" s="2" t="s">
        <v>11877</v>
      </c>
      <c r="I3742" s="2" t="s">
        <v>11878</v>
      </c>
      <c r="J3742" s="2" t="s">
        <v>529</v>
      </c>
      <c r="K3742" s="2" t="s">
        <v>11879</v>
      </c>
      <c r="L3742" s="3">
        <v>38.09</v>
      </c>
      <c r="M3742" s="3">
        <v>39.99</v>
      </c>
      <c r="N3742" s="3">
        <v>79.99</v>
      </c>
      <c r="O3742" s="2" t="s">
        <v>97</v>
      </c>
      <c r="P3742" s="2" t="s">
        <v>707</v>
      </c>
      <c r="Q3742" s="2" t="s">
        <v>99</v>
      </c>
      <c r="R3742" s="2" t="s">
        <v>100</v>
      </c>
      <c r="S3742" s="2" t="s">
        <v>11880</v>
      </c>
      <c r="T3742" s="2" t="s">
        <v>438</v>
      </c>
      <c r="U3742" s="2" t="s">
        <v>901</v>
      </c>
      <c r="V3742" s="2" t="s">
        <v>269</v>
      </c>
      <c r="W3742" s="2" t="s">
        <v>493</v>
      </c>
      <c r="X3742" s="2" t="s">
        <v>271</v>
      </c>
      <c r="Y3742" s="2" t="s">
        <v>11883</v>
      </c>
      <c r="Z3742" s="4">
        <v>190</v>
      </c>
      <c r="AA3742" s="4">
        <f>=ROUNDDOWN(47.5,0)</f>
      </c>
      <c r="AB3742" s="5">
        <v>4</v>
      </c>
      <c r="AC3742" s="2" t="s">
        <v>206</v>
      </c>
      <c r="AD3742" s="4">
        <v>70</v>
      </c>
      <c r="AE3742" s="4">
        <v>70</v>
      </c>
      <c r="AF3742" s="6">
        <v>64</v>
      </c>
      <c r="AG3742" s="6"/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/>
      <c r="AQ3742" s="8"/>
      <c r="AR3742" s="4"/>
      <c r="AS3742" s="8"/>
      <c r="AT3742" s="7"/>
      <c r="AU3742" s="7"/>
      <c r="AV3742" s="4" t="s">
        <v>100</v>
      </c>
      <c r="AW3742" s="8" t="s">
        <v>100</v>
      </c>
      <c r="AX3742" s="4" t="s">
        <v>100</v>
      </c>
      <c r="AY3742" s="8" t="s">
        <v>100</v>
      </c>
      <c r="AZ3742" s="7" t="s">
        <v>100</v>
      </c>
      <c r="BA3742" s="7" t="s">
        <v>100</v>
      </c>
      <c r="BB3742" s="7"/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/>
      <c r="BJ3742" s="4">
        <v>15</v>
      </c>
      <c r="BK3742" s="8">
        <v>624.26</v>
      </c>
      <c r="BL3742" s="2" t="s">
        <v>2051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171</v>
      </c>
      <c r="BV3742" s="2" t="s">
        <v>97</v>
      </c>
      <c r="BW3742" s="2" t="s">
        <v>100</v>
      </c>
      <c r="BX3742" s="2" t="s">
        <v>100</v>
      </c>
      <c r="BY3742" s="2" t="s">
        <v>112</v>
      </c>
      <c r="BZ3742" s="2" t="s">
        <v>149</v>
      </c>
    </row>
    <row r="3743">
      <c r="A3743" s="2" t="s">
        <v>11885</v>
      </c>
      <c r="B3743" s="2" t="s">
        <v>11630</v>
      </c>
      <c r="C3743" s="2" t="s">
        <v>3449</v>
      </c>
      <c r="D3743" s="2" t="s">
        <v>1496</v>
      </c>
      <c r="E3743" s="2" t="s">
        <v>1648</v>
      </c>
      <c r="F3743" s="2" t="s">
        <v>11631</v>
      </c>
      <c r="G3743" s="2" t="s">
        <v>11632</v>
      </c>
      <c r="H3743" s="2" t="s">
        <v>7581</v>
      </c>
      <c r="I3743" s="2" t="s">
        <v>11886</v>
      </c>
      <c r="J3743" s="2" t="s">
        <v>352</v>
      </c>
      <c r="K3743" s="2" t="s">
        <v>165</v>
      </c>
      <c r="L3743" s="3">
        <v>27.6</v>
      </c>
      <c r="M3743" s="3">
        <v>28.98</v>
      </c>
      <c r="N3743" s="3">
        <v>59.99</v>
      </c>
      <c r="O3743" s="2" t="s">
        <v>97</v>
      </c>
      <c r="P3743" s="2" t="s">
        <v>98</v>
      </c>
      <c r="Q3743" s="2" t="s">
        <v>99</v>
      </c>
      <c r="R3743" s="2" t="s">
        <v>100</v>
      </c>
      <c r="S3743" s="2" t="s">
        <v>11634</v>
      </c>
      <c r="T3743" s="2" t="s">
        <v>1135</v>
      </c>
      <c r="U3743" s="2" t="s">
        <v>901</v>
      </c>
      <c r="V3743" s="2" t="s">
        <v>461</v>
      </c>
      <c r="W3743" s="2" t="s">
        <v>1136</v>
      </c>
      <c r="X3743" s="2" t="s">
        <v>1875</v>
      </c>
      <c r="Y3743" s="2" t="s">
        <v>1921</v>
      </c>
      <c r="Z3743" s="4">
        <v>3</v>
      </c>
      <c r="AA3743" s="4">
        <f>=ROUNDDOWN(0.375,0)</f>
      </c>
      <c r="AB3743" s="5">
        <v>8</v>
      </c>
      <c r="AC3743" s="2" t="s">
        <v>145</v>
      </c>
      <c r="AD3743" s="4">
        <v>30</v>
      </c>
      <c r="AE3743" s="4">
        <v>330</v>
      </c>
      <c r="AF3743" s="6">
        <v>64</v>
      </c>
      <c r="AG3743" s="6"/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4</v>
      </c>
      <c r="AQ3743" s="8">
        <v>115.92</v>
      </c>
      <c r="AR3743" s="4"/>
      <c r="AS3743" s="8"/>
      <c r="AT3743" s="7"/>
      <c r="AU3743" s="7"/>
      <c r="AV3743" s="4">
        <v>9</v>
      </c>
      <c r="AW3743" s="8">
        <v>292.32</v>
      </c>
      <c r="AX3743" s="4" t="s">
        <v>100</v>
      </c>
      <c r="AY3743" s="8" t="s">
        <v>100</v>
      </c>
      <c r="AZ3743" s="7" t="s">
        <v>100</v>
      </c>
      <c r="BA3743" s="7" t="s">
        <v>100</v>
      </c>
      <c r="BB3743" s="7">
        <v>0.3966</v>
      </c>
      <c r="BC3743" s="4">
        <v>11</v>
      </c>
      <c r="BD3743" s="8">
        <v>359.35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>
        <v>0.8135</v>
      </c>
      <c r="BJ3743" s="4">
        <v>34</v>
      </c>
      <c r="BK3743" s="8">
        <v>999.75</v>
      </c>
      <c r="BL3743" s="2" t="s">
        <v>11887</v>
      </c>
      <c r="BM3743" s="7">
        <v>0.1176</v>
      </c>
      <c r="BN3743" s="7">
        <v>0.1159</v>
      </c>
      <c r="BO3743" s="4">
        <v>4</v>
      </c>
      <c r="BP3743" s="8">
        <v>115.92</v>
      </c>
      <c r="BQ3743" s="4"/>
      <c r="BR3743" s="8"/>
      <c r="BS3743" s="7"/>
      <c r="BT3743" s="7"/>
      <c r="BU3743" s="2" t="s">
        <v>109</v>
      </c>
      <c r="BV3743" s="2" t="s">
        <v>97</v>
      </c>
      <c r="BW3743" s="2" t="s">
        <v>1567</v>
      </c>
      <c r="BX3743" s="2" t="s">
        <v>2080</v>
      </c>
      <c r="BY3743" s="2" t="s">
        <v>112</v>
      </c>
      <c r="BZ3743" s="2" t="s">
        <v>100</v>
      </c>
    </row>
    <row r="3744">
      <c r="A3744" s="2" t="s">
        <v>11888</v>
      </c>
      <c r="B3744" s="2" t="s">
        <v>11630</v>
      </c>
      <c r="C3744" s="2" t="s">
        <v>3449</v>
      </c>
      <c r="D3744" s="2" t="s">
        <v>1496</v>
      </c>
      <c r="E3744" s="2" t="s">
        <v>1648</v>
      </c>
      <c r="F3744" s="2" t="s">
        <v>11631</v>
      </c>
      <c r="G3744" s="2" t="s">
        <v>11632</v>
      </c>
      <c r="H3744" s="2" t="s">
        <v>7581</v>
      </c>
      <c r="I3744" s="2" t="s">
        <v>11886</v>
      </c>
      <c r="J3744" s="2" t="s">
        <v>522</v>
      </c>
      <c r="K3744" s="2" t="s">
        <v>165</v>
      </c>
      <c r="L3744" s="3">
        <v>33.6</v>
      </c>
      <c r="M3744" s="3">
        <v>35.28</v>
      </c>
      <c r="N3744" s="3">
        <v>69.99</v>
      </c>
      <c r="O3744" s="2" t="s">
        <v>97</v>
      </c>
      <c r="P3744" s="2" t="s">
        <v>98</v>
      </c>
      <c r="Q3744" s="2" t="s">
        <v>99</v>
      </c>
      <c r="R3744" s="2" t="s">
        <v>100</v>
      </c>
      <c r="S3744" s="2" t="s">
        <v>11634</v>
      </c>
      <c r="T3744" s="2" t="s">
        <v>1135</v>
      </c>
      <c r="U3744" s="2" t="s">
        <v>1228</v>
      </c>
      <c r="V3744" s="2" t="s">
        <v>461</v>
      </c>
      <c r="W3744" s="2" t="s">
        <v>1136</v>
      </c>
      <c r="X3744" s="2" t="s">
        <v>1875</v>
      </c>
      <c r="Y3744" s="2" t="s">
        <v>1921</v>
      </c>
      <c r="Z3744" s="4">
        <v>41</v>
      </c>
      <c r="AA3744" s="4">
        <f>=ROUNDDOWN(3.72727272727273,0)</f>
      </c>
      <c r="AB3744" s="5">
        <v>11</v>
      </c>
      <c r="AC3744" s="2" t="s">
        <v>1201</v>
      </c>
      <c r="AD3744" s="4">
        <v>60</v>
      </c>
      <c r="AE3744" s="4">
        <v>550</v>
      </c>
      <c r="AF3744" s="6">
        <v>64</v>
      </c>
      <c r="AG3744" s="6"/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5</v>
      </c>
      <c r="AQ3744" s="8">
        <v>176.4</v>
      </c>
      <c r="AR3744" s="4"/>
      <c r="AS3744" s="8"/>
      <c r="AT3744" s="7"/>
      <c r="AU3744" s="7"/>
      <c r="AV3744" s="4" t="s">
        <v>100</v>
      </c>
      <c r="AW3744" s="8" t="s">
        <v>100</v>
      </c>
      <c r="AX3744" s="4" t="s">
        <v>100</v>
      </c>
      <c r="AY3744" s="8" t="s">
        <v>100</v>
      </c>
      <c r="AZ3744" s="7" t="s">
        <v>100</v>
      </c>
      <c r="BA3744" s="7" t="s">
        <v>100</v>
      </c>
      <c r="BB3744" s="7">
        <v>0.6034</v>
      </c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 t="s">
        <v>100</v>
      </c>
      <c r="BJ3744" s="4">
        <v>58</v>
      </c>
      <c r="BK3744" s="8">
        <v>2028.12</v>
      </c>
      <c r="BL3744" s="2" t="s">
        <v>11889</v>
      </c>
      <c r="BM3744" s="7">
        <v>0.0862</v>
      </c>
      <c r="BN3744" s="7">
        <v>0.087</v>
      </c>
      <c r="BO3744" s="4">
        <v>5</v>
      </c>
      <c r="BP3744" s="8">
        <v>176.4</v>
      </c>
      <c r="BQ3744" s="4"/>
      <c r="BR3744" s="8"/>
      <c r="BS3744" s="7"/>
      <c r="BT3744" s="7"/>
      <c r="BU3744" s="2" t="s">
        <v>109</v>
      </c>
      <c r="BV3744" s="2" t="s">
        <v>97</v>
      </c>
      <c r="BW3744" s="2" t="s">
        <v>6268</v>
      </c>
      <c r="BX3744" s="2" t="s">
        <v>11890</v>
      </c>
      <c r="BY3744" s="2" t="s">
        <v>112</v>
      </c>
      <c r="BZ3744" s="2" t="s">
        <v>100</v>
      </c>
    </row>
    <row r="3745">
      <c r="A3745" s="2" t="s">
        <v>11891</v>
      </c>
      <c r="B3745" s="2" t="s">
        <v>11630</v>
      </c>
      <c r="C3745" s="2" t="s">
        <v>3449</v>
      </c>
      <c r="D3745" s="2" t="s">
        <v>1496</v>
      </c>
      <c r="E3745" s="2" t="s">
        <v>1648</v>
      </c>
      <c r="F3745" s="2" t="s">
        <v>11631</v>
      </c>
      <c r="G3745" s="2" t="s">
        <v>11632</v>
      </c>
      <c r="H3745" s="2" t="s">
        <v>7581</v>
      </c>
      <c r="I3745" s="2" t="s">
        <v>11886</v>
      </c>
      <c r="J3745" s="2" t="s">
        <v>529</v>
      </c>
      <c r="K3745" s="2" t="s">
        <v>165</v>
      </c>
      <c r="L3745" s="3">
        <v>36.75</v>
      </c>
      <c r="M3745" s="3">
        <v>38.59</v>
      </c>
      <c r="N3745" s="3">
        <v>74.99</v>
      </c>
      <c r="O3745" s="2" t="s">
        <v>97</v>
      </c>
      <c r="P3745" s="2" t="s">
        <v>98</v>
      </c>
      <c r="Q3745" s="2" t="s">
        <v>99</v>
      </c>
      <c r="R3745" s="2" t="s">
        <v>100</v>
      </c>
      <c r="S3745" s="2" t="s">
        <v>11634</v>
      </c>
      <c r="T3745" s="2" t="s">
        <v>1135</v>
      </c>
      <c r="U3745" s="2" t="s">
        <v>1228</v>
      </c>
      <c r="V3745" s="2" t="s">
        <v>461</v>
      </c>
      <c r="W3745" s="2" t="s">
        <v>1136</v>
      </c>
      <c r="X3745" s="2" t="s">
        <v>1875</v>
      </c>
      <c r="Y3745" s="2" t="s">
        <v>11892</v>
      </c>
      <c r="Z3745" s="4">
        <v>34</v>
      </c>
      <c r="AA3745" s="4">
        <f>=ROUNDDOWN(4.25,0)</f>
      </c>
      <c r="AB3745" s="5">
        <v>8</v>
      </c>
      <c r="AC3745" s="2" t="s">
        <v>1201</v>
      </c>
      <c r="AD3745" s="4">
        <v>30</v>
      </c>
      <c r="AE3745" s="4">
        <v>260</v>
      </c>
      <c r="AF3745" s="6">
        <v>64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/>
      <c r="AQ3745" s="8"/>
      <c r="AR3745" s="4"/>
      <c r="AS3745" s="8"/>
      <c r="AT3745" s="7"/>
      <c r="AU3745" s="7"/>
      <c r="AV3745" s="4" t="s">
        <v>100</v>
      </c>
      <c r="AW3745" s="8" t="s">
        <v>100</v>
      </c>
      <c r="AX3745" s="4" t="s">
        <v>100</v>
      </c>
      <c r="AY3745" s="8" t="s">
        <v>100</v>
      </c>
      <c r="AZ3745" s="7" t="s">
        <v>100</v>
      </c>
      <c r="BA3745" s="7" t="s">
        <v>100</v>
      </c>
      <c r="BB3745" s="7"/>
      <c r="BC3745" s="4" t="s">
        <v>100</v>
      </c>
      <c r="BD3745" s="8" t="s">
        <v>100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 t="s">
        <v>100</v>
      </c>
      <c r="BJ3745" s="4">
        <v>16</v>
      </c>
      <c r="BK3745" s="8">
        <v>630</v>
      </c>
      <c r="BL3745" s="2" t="s">
        <v>9671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171</v>
      </c>
      <c r="BV3745" s="2" t="s">
        <v>97</v>
      </c>
      <c r="BW3745" s="2" t="s">
        <v>100</v>
      </c>
      <c r="BX3745" s="2" t="s">
        <v>100</v>
      </c>
      <c r="BY3745" s="2" t="s">
        <v>112</v>
      </c>
      <c r="BZ3745" s="2" t="s">
        <v>100</v>
      </c>
    </row>
    <row r="3746">
      <c r="A3746" s="2" t="s">
        <v>11893</v>
      </c>
      <c r="B3746" s="2" t="s">
        <v>11630</v>
      </c>
      <c r="C3746" s="2" t="s">
        <v>3449</v>
      </c>
      <c r="D3746" s="2" t="s">
        <v>1496</v>
      </c>
      <c r="E3746" s="2" t="s">
        <v>1648</v>
      </c>
      <c r="F3746" s="2" t="s">
        <v>11631</v>
      </c>
      <c r="G3746" s="2" t="s">
        <v>11632</v>
      </c>
      <c r="H3746" s="2" t="s">
        <v>7581</v>
      </c>
      <c r="I3746" s="2" t="s">
        <v>11886</v>
      </c>
      <c r="J3746" s="2" t="s">
        <v>352</v>
      </c>
      <c r="K3746" s="2" t="s">
        <v>842</v>
      </c>
      <c r="L3746" s="3">
        <v>27.6</v>
      </c>
      <c r="M3746" s="3">
        <v>28.98</v>
      </c>
      <c r="N3746" s="3">
        <v>59.99</v>
      </c>
      <c r="O3746" s="2" t="s">
        <v>97</v>
      </c>
      <c r="P3746" s="2" t="s">
        <v>98</v>
      </c>
      <c r="Q3746" s="2" t="s">
        <v>99</v>
      </c>
      <c r="R3746" s="2" t="s">
        <v>100</v>
      </c>
      <c r="S3746" s="2" t="s">
        <v>11650</v>
      </c>
      <c r="T3746" s="2" t="s">
        <v>1135</v>
      </c>
      <c r="U3746" s="2" t="s">
        <v>901</v>
      </c>
      <c r="V3746" s="2" t="s">
        <v>461</v>
      </c>
      <c r="W3746" s="2" t="s">
        <v>1136</v>
      </c>
      <c r="X3746" s="2" t="s">
        <v>1875</v>
      </c>
      <c r="Y3746" s="2" t="s">
        <v>2161</v>
      </c>
      <c r="Z3746" s="4">
        <v>47</v>
      </c>
      <c r="AA3746" s="4">
        <f>=ROUNDDOWN(7.83333333333333,0)</f>
      </c>
      <c r="AB3746" s="5">
        <v>6</v>
      </c>
      <c r="AC3746" s="2" t="s">
        <v>3010</v>
      </c>
      <c r="AD3746" s="4">
        <v>90</v>
      </c>
      <c r="AE3746" s="4">
        <v>140</v>
      </c>
      <c r="AF3746" s="6">
        <v>64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/>
      <c r="AQ3746" s="8"/>
      <c r="AR3746" s="4"/>
      <c r="AS3746" s="8"/>
      <c r="AT3746" s="7"/>
      <c r="AU3746" s="7"/>
      <c r="AV3746" s="4">
        <v>1</v>
      </c>
      <c r="AW3746" s="8">
        <v>35.28</v>
      </c>
      <c r="AX3746" s="4" t="s">
        <v>100</v>
      </c>
      <c r="AY3746" s="8" t="s">
        <v>100</v>
      </c>
      <c r="AZ3746" s="7" t="s">
        <v>100</v>
      </c>
      <c r="BA3746" s="7" t="s">
        <v>100</v>
      </c>
      <c r="BB3746" s="7"/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>
        <v>0.0982</v>
      </c>
      <c r="BJ3746" s="4">
        <v>16</v>
      </c>
      <c r="BK3746" s="8">
        <v>476.45</v>
      </c>
      <c r="BL3746" s="2" t="s">
        <v>11894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109</v>
      </c>
      <c r="BV3746" s="2" t="s">
        <v>97</v>
      </c>
      <c r="BW3746" s="2" t="s">
        <v>1567</v>
      </c>
      <c r="BX3746" s="2" t="s">
        <v>10739</v>
      </c>
      <c r="BY3746" s="2" t="s">
        <v>112</v>
      </c>
      <c r="BZ3746" s="2" t="s">
        <v>100</v>
      </c>
    </row>
    <row r="3747">
      <c r="A3747" s="2" t="s">
        <v>11895</v>
      </c>
      <c r="B3747" s="2" t="s">
        <v>11630</v>
      </c>
      <c r="C3747" s="2" t="s">
        <v>3449</v>
      </c>
      <c r="D3747" s="2" t="s">
        <v>1496</v>
      </c>
      <c r="E3747" s="2" t="s">
        <v>1648</v>
      </c>
      <c r="F3747" s="2" t="s">
        <v>11631</v>
      </c>
      <c r="G3747" s="2" t="s">
        <v>11632</v>
      </c>
      <c r="H3747" s="2" t="s">
        <v>7581</v>
      </c>
      <c r="I3747" s="2" t="s">
        <v>11886</v>
      </c>
      <c r="J3747" s="2" t="s">
        <v>522</v>
      </c>
      <c r="K3747" s="2" t="s">
        <v>842</v>
      </c>
      <c r="L3747" s="3">
        <v>33.6</v>
      </c>
      <c r="M3747" s="3">
        <v>35.28</v>
      </c>
      <c r="N3747" s="3">
        <v>69.99</v>
      </c>
      <c r="O3747" s="2" t="s">
        <v>97</v>
      </c>
      <c r="P3747" s="2" t="s">
        <v>98</v>
      </c>
      <c r="Q3747" s="2" t="s">
        <v>99</v>
      </c>
      <c r="R3747" s="2" t="s">
        <v>100</v>
      </c>
      <c r="S3747" s="2" t="s">
        <v>11650</v>
      </c>
      <c r="T3747" s="2" t="s">
        <v>1135</v>
      </c>
      <c r="U3747" s="2" t="s">
        <v>1228</v>
      </c>
      <c r="V3747" s="2" t="s">
        <v>461</v>
      </c>
      <c r="W3747" s="2" t="s">
        <v>1136</v>
      </c>
      <c r="X3747" s="2" t="s">
        <v>1875</v>
      </c>
      <c r="Y3747" s="2" t="s">
        <v>2161</v>
      </c>
      <c r="Z3747" s="4">
        <v>105</v>
      </c>
      <c r="AA3747" s="4">
        <f>=ROUNDDOWN(13.125,0)</f>
      </c>
      <c r="AB3747" s="5">
        <v>8</v>
      </c>
      <c r="AC3747" s="2" t="s">
        <v>3010</v>
      </c>
      <c r="AD3747" s="4">
        <v>160</v>
      </c>
      <c r="AE3747" s="4">
        <v>240</v>
      </c>
      <c r="AF3747" s="6">
        <v>64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>
        <v>0</v>
      </c>
      <c r="AP3747" s="4">
        <v>1</v>
      </c>
      <c r="AQ3747" s="8">
        <v>35.28</v>
      </c>
      <c r="AR3747" s="4"/>
      <c r="AS3747" s="8"/>
      <c r="AT3747" s="7"/>
      <c r="AU3747" s="7"/>
      <c r="AV3747" s="4" t="s">
        <v>100</v>
      </c>
      <c r="AW3747" s="8" t="s">
        <v>100</v>
      </c>
      <c r="AX3747" s="4" t="s">
        <v>100</v>
      </c>
      <c r="AY3747" s="8" t="s">
        <v>100</v>
      </c>
      <c r="AZ3747" s="7" t="s">
        <v>100</v>
      </c>
      <c r="BA3747" s="7" t="s">
        <v>100</v>
      </c>
      <c r="BB3747" s="7">
        <v>1</v>
      </c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 t="s">
        <v>100</v>
      </c>
      <c r="BJ3747" s="4">
        <v>32</v>
      </c>
      <c r="BK3747" s="8">
        <v>1137.71</v>
      </c>
      <c r="BL3747" s="2" t="s">
        <v>11896</v>
      </c>
      <c r="BM3747" s="7">
        <v>0.0312</v>
      </c>
      <c r="BN3747" s="7">
        <v>0.031</v>
      </c>
      <c r="BO3747" s="4">
        <v>1</v>
      </c>
      <c r="BP3747" s="8">
        <v>35.28</v>
      </c>
      <c r="BQ3747" s="4"/>
      <c r="BR3747" s="8"/>
      <c r="BS3747" s="7"/>
      <c r="BT3747" s="7"/>
      <c r="BU3747" s="2" t="s">
        <v>109</v>
      </c>
      <c r="BV3747" s="2" t="s">
        <v>97</v>
      </c>
      <c r="BW3747" s="2" t="s">
        <v>1567</v>
      </c>
      <c r="BX3747" s="2" t="s">
        <v>4202</v>
      </c>
      <c r="BY3747" s="2" t="s">
        <v>112</v>
      </c>
      <c r="BZ3747" s="2" t="s">
        <v>100</v>
      </c>
    </row>
    <row r="3748">
      <c r="A3748" s="2" t="s">
        <v>11897</v>
      </c>
      <c r="B3748" s="2" t="s">
        <v>11630</v>
      </c>
      <c r="C3748" s="2" t="s">
        <v>3449</v>
      </c>
      <c r="D3748" s="2" t="s">
        <v>1496</v>
      </c>
      <c r="E3748" s="2" t="s">
        <v>1648</v>
      </c>
      <c r="F3748" s="2" t="s">
        <v>11631</v>
      </c>
      <c r="G3748" s="2" t="s">
        <v>11632</v>
      </c>
      <c r="H3748" s="2" t="s">
        <v>7581</v>
      </c>
      <c r="I3748" s="2" t="s">
        <v>11886</v>
      </c>
      <c r="J3748" s="2" t="s">
        <v>529</v>
      </c>
      <c r="K3748" s="2" t="s">
        <v>842</v>
      </c>
      <c r="L3748" s="3">
        <v>36.75</v>
      </c>
      <c r="M3748" s="3">
        <v>38.59</v>
      </c>
      <c r="N3748" s="3">
        <v>74.99</v>
      </c>
      <c r="O3748" s="2" t="s">
        <v>97</v>
      </c>
      <c r="P3748" s="2" t="s">
        <v>98</v>
      </c>
      <c r="Q3748" s="2" t="s">
        <v>99</v>
      </c>
      <c r="R3748" s="2" t="s">
        <v>100</v>
      </c>
      <c r="S3748" s="2" t="s">
        <v>11650</v>
      </c>
      <c r="T3748" s="2" t="s">
        <v>1135</v>
      </c>
      <c r="U3748" s="2" t="s">
        <v>1228</v>
      </c>
      <c r="V3748" s="2" t="s">
        <v>461</v>
      </c>
      <c r="W3748" s="2" t="s">
        <v>1136</v>
      </c>
      <c r="X3748" s="2" t="s">
        <v>1875</v>
      </c>
      <c r="Y3748" s="2" t="s">
        <v>11653</v>
      </c>
      <c r="Z3748" s="4">
        <v>28</v>
      </c>
      <c r="AA3748" s="4">
        <f>=ROUNDDOWN(4.66666666666667,0)</f>
      </c>
      <c r="AB3748" s="5">
        <v>6</v>
      </c>
      <c r="AC3748" s="2" t="s">
        <v>1201</v>
      </c>
      <c r="AD3748" s="4">
        <v>30</v>
      </c>
      <c r="AE3748" s="4">
        <v>170</v>
      </c>
      <c r="AF3748" s="6">
        <v>64</v>
      </c>
      <c r="AG3748" s="6"/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/>
      <c r="AQ3748" s="8"/>
      <c r="AR3748" s="4"/>
      <c r="AS3748" s="8"/>
      <c r="AT3748" s="7"/>
      <c r="AU3748" s="7"/>
      <c r="AV3748" s="4" t="s">
        <v>100</v>
      </c>
      <c r="AW3748" s="8" t="s">
        <v>100</v>
      </c>
      <c r="AX3748" s="4" t="s">
        <v>100</v>
      </c>
      <c r="AY3748" s="8" t="s">
        <v>100</v>
      </c>
      <c r="AZ3748" s="7" t="s">
        <v>100</v>
      </c>
      <c r="BA3748" s="7" t="s">
        <v>100</v>
      </c>
      <c r="BB3748" s="7"/>
      <c r="BC3748" s="4" t="s">
        <v>100</v>
      </c>
      <c r="BD3748" s="8" t="s">
        <v>100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 t="s">
        <v>100</v>
      </c>
      <c r="BJ3748" s="4">
        <v>21</v>
      </c>
      <c r="BK3748" s="8">
        <v>926.45</v>
      </c>
      <c r="BL3748" s="2" t="s">
        <v>11898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171</v>
      </c>
      <c r="BV3748" s="2" t="s">
        <v>97</v>
      </c>
      <c r="BW3748" s="2" t="s">
        <v>100</v>
      </c>
      <c r="BX3748" s="2" t="s">
        <v>100</v>
      </c>
      <c r="BY3748" s="2" t="s">
        <v>112</v>
      </c>
      <c r="BZ3748" s="2" t="s">
        <v>100</v>
      </c>
    </row>
    <row r="3749">
      <c r="A3749" s="2" t="s">
        <v>11899</v>
      </c>
      <c r="B3749" s="2" t="s">
        <v>11630</v>
      </c>
      <c r="C3749" s="2" t="s">
        <v>3449</v>
      </c>
      <c r="D3749" s="2" t="s">
        <v>1496</v>
      </c>
      <c r="E3749" s="2" t="s">
        <v>1648</v>
      </c>
      <c r="F3749" s="2" t="s">
        <v>11631</v>
      </c>
      <c r="G3749" s="2" t="s">
        <v>11632</v>
      </c>
      <c r="H3749" s="2" t="s">
        <v>7581</v>
      </c>
      <c r="I3749" s="2" t="s">
        <v>11886</v>
      </c>
      <c r="J3749" s="2" t="s">
        <v>352</v>
      </c>
      <c r="K3749" s="2" t="s">
        <v>96</v>
      </c>
      <c r="L3749" s="3">
        <v>27.6</v>
      </c>
      <c r="M3749" s="3">
        <v>28.98</v>
      </c>
      <c r="N3749" s="3">
        <v>59.99</v>
      </c>
      <c r="O3749" s="2" t="s">
        <v>97</v>
      </c>
      <c r="P3749" s="2" t="s">
        <v>98</v>
      </c>
      <c r="Q3749" s="2" t="s">
        <v>99</v>
      </c>
      <c r="R3749" s="2" t="s">
        <v>100</v>
      </c>
      <c r="S3749" s="2" t="s">
        <v>11670</v>
      </c>
      <c r="T3749" s="2" t="s">
        <v>1135</v>
      </c>
      <c r="U3749" s="2" t="s">
        <v>901</v>
      </c>
      <c r="V3749" s="2" t="s">
        <v>461</v>
      </c>
      <c r="W3749" s="2" t="s">
        <v>1136</v>
      </c>
      <c r="X3749" s="2" t="s">
        <v>1875</v>
      </c>
      <c r="Y3749" s="2" t="s">
        <v>11900</v>
      </c>
      <c r="Z3749" s="4">
        <v>124</v>
      </c>
      <c r="AA3749" s="4">
        <f>=ROUNDDOWN(41.3333333333333,0)</f>
      </c>
      <c r="AB3749" s="5">
        <v>3</v>
      </c>
      <c r="AC3749" s="2" t="s">
        <v>676</v>
      </c>
      <c r="AD3749" s="4">
        <v>30</v>
      </c>
      <c r="AE3749" s="4">
        <v>30</v>
      </c>
      <c r="AF3749" s="6">
        <v>64</v>
      </c>
      <c r="AG3749" s="6"/>
      <c r="AH3749" s="7">
        <v>1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/>
      <c r="AQ3749" s="8"/>
      <c r="AR3749" s="4"/>
      <c r="AS3749" s="8"/>
      <c r="AT3749" s="7"/>
      <c r="AU3749" s="7"/>
      <c r="AV3749" s="4">
        <v>1</v>
      </c>
      <c r="AW3749" s="8">
        <v>31.75</v>
      </c>
      <c r="AX3749" s="4" t="s">
        <v>100</v>
      </c>
      <c r="AY3749" s="8" t="s">
        <v>100</v>
      </c>
      <c r="AZ3749" s="7" t="s">
        <v>100</v>
      </c>
      <c r="BA3749" s="7" t="s">
        <v>100</v>
      </c>
      <c r="BB3749" s="7"/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>
        <v>0.0884</v>
      </c>
      <c r="BJ3749" s="4">
        <v>9</v>
      </c>
      <c r="BK3749" s="8">
        <v>271.32</v>
      </c>
      <c r="BL3749" s="2" t="s">
        <v>11901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109</v>
      </c>
      <c r="BV3749" s="2" t="s">
        <v>97</v>
      </c>
      <c r="BW3749" s="2" t="s">
        <v>1531</v>
      </c>
      <c r="BX3749" s="2" t="s">
        <v>9269</v>
      </c>
      <c r="BY3749" s="2" t="s">
        <v>112</v>
      </c>
      <c r="BZ3749" s="2" t="s">
        <v>100</v>
      </c>
    </row>
    <row r="3750">
      <c r="A3750" s="2" t="s">
        <v>11902</v>
      </c>
      <c r="B3750" s="2" t="s">
        <v>11630</v>
      </c>
      <c r="C3750" s="2" t="s">
        <v>3449</v>
      </c>
      <c r="D3750" s="2" t="s">
        <v>1496</v>
      </c>
      <c r="E3750" s="2" t="s">
        <v>1648</v>
      </c>
      <c r="F3750" s="2" t="s">
        <v>11631</v>
      </c>
      <c r="G3750" s="2" t="s">
        <v>11632</v>
      </c>
      <c r="H3750" s="2" t="s">
        <v>7581</v>
      </c>
      <c r="I3750" s="2" t="s">
        <v>11886</v>
      </c>
      <c r="J3750" s="2" t="s">
        <v>522</v>
      </c>
      <c r="K3750" s="2" t="s">
        <v>96</v>
      </c>
      <c r="L3750" s="3">
        <v>33.6</v>
      </c>
      <c r="M3750" s="3">
        <v>35.28</v>
      </c>
      <c r="N3750" s="3">
        <v>69.99</v>
      </c>
      <c r="O3750" s="2" t="s">
        <v>97</v>
      </c>
      <c r="P3750" s="2" t="s">
        <v>98</v>
      </c>
      <c r="Q3750" s="2" t="s">
        <v>99</v>
      </c>
      <c r="R3750" s="2" t="s">
        <v>100</v>
      </c>
      <c r="S3750" s="2" t="s">
        <v>11670</v>
      </c>
      <c r="T3750" s="2" t="s">
        <v>1135</v>
      </c>
      <c r="U3750" s="2" t="s">
        <v>1228</v>
      </c>
      <c r="V3750" s="2" t="s">
        <v>461</v>
      </c>
      <c r="W3750" s="2" t="s">
        <v>1136</v>
      </c>
      <c r="X3750" s="2" t="s">
        <v>1875</v>
      </c>
      <c r="Y3750" s="2" t="s">
        <v>11900</v>
      </c>
      <c r="Z3750" s="4">
        <v>20</v>
      </c>
      <c r="AA3750" s="4">
        <f>=ROUNDDOWN(2.22222222222222,0)</f>
      </c>
      <c r="AB3750" s="5">
        <v>9</v>
      </c>
      <c r="AC3750" s="2" t="s">
        <v>130</v>
      </c>
      <c r="AD3750" s="4">
        <v>100</v>
      </c>
      <c r="AE3750" s="4">
        <v>210</v>
      </c>
      <c r="AF3750" s="6">
        <v>64</v>
      </c>
      <c r="AG3750" s="6"/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>
        <v>0</v>
      </c>
      <c r="AP3750" s="4">
        <v>1</v>
      </c>
      <c r="AQ3750" s="8">
        <v>31.75</v>
      </c>
      <c r="AR3750" s="4"/>
      <c r="AS3750" s="8"/>
      <c r="AT3750" s="7"/>
      <c r="AU3750" s="7"/>
      <c r="AV3750" s="4" t="s">
        <v>100</v>
      </c>
      <c r="AW3750" s="8" t="s">
        <v>100</v>
      </c>
      <c r="AX3750" s="4" t="s">
        <v>100</v>
      </c>
      <c r="AY3750" s="8" t="s">
        <v>100</v>
      </c>
      <c r="AZ3750" s="7" t="s">
        <v>100</v>
      </c>
      <c r="BA3750" s="7" t="s">
        <v>100</v>
      </c>
      <c r="BB3750" s="7">
        <v>1</v>
      </c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 t="s">
        <v>100</v>
      </c>
      <c r="BJ3750" s="4">
        <v>20</v>
      </c>
      <c r="BK3750" s="8">
        <v>741.7</v>
      </c>
      <c r="BL3750" s="2" t="s">
        <v>11903</v>
      </c>
      <c r="BM3750" s="7">
        <v>0.05</v>
      </c>
      <c r="BN3750" s="7">
        <v>0.0428</v>
      </c>
      <c r="BO3750" s="4">
        <v>1</v>
      </c>
      <c r="BP3750" s="8">
        <v>31.75</v>
      </c>
      <c r="BQ3750" s="4"/>
      <c r="BR3750" s="8"/>
      <c r="BS3750" s="7"/>
      <c r="BT3750" s="7"/>
      <c r="BU3750" s="2" t="s">
        <v>109</v>
      </c>
      <c r="BV3750" s="2" t="s">
        <v>97</v>
      </c>
      <c r="BW3750" s="2" t="s">
        <v>1531</v>
      </c>
      <c r="BX3750" s="2" t="s">
        <v>6116</v>
      </c>
      <c r="BY3750" s="2" t="s">
        <v>112</v>
      </c>
      <c r="BZ3750" s="2" t="s">
        <v>100</v>
      </c>
    </row>
    <row r="3751">
      <c r="A3751" s="2" t="s">
        <v>11904</v>
      </c>
      <c r="B3751" s="2" t="s">
        <v>11630</v>
      </c>
      <c r="C3751" s="2" t="s">
        <v>3449</v>
      </c>
      <c r="D3751" s="2" t="s">
        <v>1496</v>
      </c>
      <c r="E3751" s="2" t="s">
        <v>1648</v>
      </c>
      <c r="F3751" s="2" t="s">
        <v>11631</v>
      </c>
      <c r="G3751" s="2" t="s">
        <v>11632</v>
      </c>
      <c r="H3751" s="2" t="s">
        <v>7581</v>
      </c>
      <c r="I3751" s="2" t="s">
        <v>11886</v>
      </c>
      <c r="J3751" s="2" t="s">
        <v>529</v>
      </c>
      <c r="K3751" s="2" t="s">
        <v>96</v>
      </c>
      <c r="L3751" s="3">
        <v>36.75</v>
      </c>
      <c r="M3751" s="3">
        <v>38.59</v>
      </c>
      <c r="N3751" s="3">
        <v>74.99</v>
      </c>
      <c r="O3751" s="2" t="s">
        <v>97</v>
      </c>
      <c r="P3751" s="2" t="s">
        <v>98</v>
      </c>
      <c r="Q3751" s="2" t="s">
        <v>99</v>
      </c>
      <c r="R3751" s="2" t="s">
        <v>100</v>
      </c>
      <c r="S3751" s="2" t="s">
        <v>11670</v>
      </c>
      <c r="T3751" s="2" t="s">
        <v>1135</v>
      </c>
      <c r="U3751" s="2" t="s">
        <v>1228</v>
      </c>
      <c r="V3751" s="2" t="s">
        <v>461</v>
      </c>
      <c r="W3751" s="2" t="s">
        <v>1136</v>
      </c>
      <c r="X3751" s="2" t="s">
        <v>1875</v>
      </c>
      <c r="Y3751" s="2" t="s">
        <v>11905</v>
      </c>
      <c r="Z3751" s="4">
        <v>75</v>
      </c>
      <c r="AA3751" s="4">
        <f>=ROUNDDOWN(12.5,0)</f>
      </c>
      <c r="AB3751" s="5">
        <v>6</v>
      </c>
      <c r="AC3751" s="2" t="s">
        <v>676</v>
      </c>
      <c r="AD3751" s="4">
        <v>50</v>
      </c>
      <c r="AE3751" s="4">
        <v>100</v>
      </c>
      <c r="AF3751" s="6">
        <v>64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/>
      <c r="AQ3751" s="8"/>
      <c r="AR3751" s="4"/>
      <c r="AS3751" s="8"/>
      <c r="AT3751" s="7"/>
      <c r="AU3751" s="7"/>
      <c r="AV3751" s="4" t="s">
        <v>100</v>
      </c>
      <c r="AW3751" s="8" t="s">
        <v>100</v>
      </c>
      <c r="AX3751" s="4" t="s">
        <v>100</v>
      </c>
      <c r="AY3751" s="8" t="s">
        <v>100</v>
      </c>
      <c r="AZ3751" s="7" t="s">
        <v>100</v>
      </c>
      <c r="BA3751" s="7" t="s">
        <v>100</v>
      </c>
      <c r="BB3751" s="7"/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 t="s">
        <v>100</v>
      </c>
      <c r="BJ3751" s="4">
        <v>19</v>
      </c>
      <c r="BK3751" s="8">
        <v>718.45</v>
      </c>
      <c r="BL3751" s="2" t="s">
        <v>4161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171</v>
      </c>
      <c r="BV3751" s="2" t="s">
        <v>97</v>
      </c>
      <c r="BW3751" s="2" t="s">
        <v>100</v>
      </c>
      <c r="BX3751" s="2" t="s">
        <v>100</v>
      </c>
      <c r="BY3751" s="2" t="s">
        <v>112</v>
      </c>
      <c r="BZ3751" s="2" t="s">
        <v>100</v>
      </c>
    </row>
    <row r="3752">
      <c r="A3752" s="2" t="s">
        <v>11906</v>
      </c>
      <c r="B3752" s="2" t="s">
        <v>11630</v>
      </c>
      <c r="C3752" s="2" t="s">
        <v>3449</v>
      </c>
      <c r="D3752" s="2" t="s">
        <v>1496</v>
      </c>
      <c r="E3752" s="2" t="s">
        <v>1648</v>
      </c>
      <c r="F3752" s="2" t="s">
        <v>11631</v>
      </c>
      <c r="G3752" s="2" t="s">
        <v>11632</v>
      </c>
      <c r="H3752" s="2" t="s">
        <v>7581</v>
      </c>
      <c r="I3752" s="2" t="s">
        <v>11886</v>
      </c>
      <c r="J3752" s="2" t="s">
        <v>352</v>
      </c>
      <c r="K3752" s="2" t="s">
        <v>179</v>
      </c>
      <c r="L3752" s="3">
        <v>27.6</v>
      </c>
      <c r="M3752" s="3">
        <v>28.98</v>
      </c>
      <c r="N3752" s="3">
        <v>59.99</v>
      </c>
      <c r="O3752" s="2" t="s">
        <v>97</v>
      </c>
      <c r="P3752" s="2" t="s">
        <v>98</v>
      </c>
      <c r="Q3752" s="2" t="s">
        <v>99</v>
      </c>
      <c r="R3752" s="2" t="s">
        <v>100</v>
      </c>
      <c r="S3752" s="2" t="s">
        <v>11656</v>
      </c>
      <c r="T3752" s="2" t="s">
        <v>1135</v>
      </c>
      <c r="U3752" s="2" t="s">
        <v>901</v>
      </c>
      <c r="V3752" s="2" t="s">
        <v>461</v>
      </c>
      <c r="W3752" s="2" t="s">
        <v>1136</v>
      </c>
      <c r="X3752" s="2" t="s">
        <v>1875</v>
      </c>
      <c r="Y3752" s="2" t="s">
        <v>2930</v>
      </c>
      <c r="Z3752" s="4">
        <v>130</v>
      </c>
      <c r="AA3752" s="4">
        <f>=ROUNDDOWN(43.3333333333333,0)</f>
      </c>
      <c r="AB3752" s="5">
        <v>3</v>
      </c>
      <c r="AC3752" s="2" t="s">
        <v>100</v>
      </c>
      <c r="AD3752" s="4"/>
      <c r="AE3752" s="4"/>
      <c r="AF3752" s="6">
        <v>64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/>
      <c r="AQ3752" s="8"/>
      <c r="AR3752" s="4"/>
      <c r="AS3752" s="8"/>
      <c r="AT3752" s="7"/>
      <c r="AU3752" s="7"/>
      <c r="AV3752" s="4" t="s">
        <v>100</v>
      </c>
      <c r="AW3752" s="8" t="s">
        <v>100</v>
      </c>
      <c r="AX3752" s="4" t="s">
        <v>100</v>
      </c>
      <c r="AY3752" s="8" t="s">
        <v>100</v>
      </c>
      <c r="AZ3752" s="7" t="s">
        <v>100</v>
      </c>
      <c r="BA3752" s="7" t="s">
        <v>100</v>
      </c>
      <c r="BB3752" s="7"/>
      <c r="BC3752" s="4" t="s">
        <v>100</v>
      </c>
      <c r="BD3752" s="8" t="s">
        <v>100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 t="s">
        <v>100</v>
      </c>
      <c r="BJ3752" s="4">
        <v>1</v>
      </c>
      <c r="BK3752" s="8">
        <v>31.74</v>
      </c>
      <c r="BL3752" s="2" t="s">
        <v>9015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171</v>
      </c>
      <c r="BV3752" s="2" t="s">
        <v>97</v>
      </c>
      <c r="BW3752" s="2" t="s">
        <v>100</v>
      </c>
      <c r="BX3752" s="2" t="s">
        <v>100</v>
      </c>
      <c r="BY3752" s="2" t="s">
        <v>112</v>
      </c>
      <c r="BZ3752" s="2" t="s">
        <v>100</v>
      </c>
    </row>
    <row r="3753">
      <c r="A3753" s="2" t="s">
        <v>11907</v>
      </c>
      <c r="B3753" s="2" t="s">
        <v>11630</v>
      </c>
      <c r="C3753" s="2" t="s">
        <v>3449</v>
      </c>
      <c r="D3753" s="2" t="s">
        <v>1496</v>
      </c>
      <c r="E3753" s="2" t="s">
        <v>1648</v>
      </c>
      <c r="F3753" s="2" t="s">
        <v>11631</v>
      </c>
      <c r="G3753" s="2" t="s">
        <v>11632</v>
      </c>
      <c r="H3753" s="2" t="s">
        <v>7581</v>
      </c>
      <c r="I3753" s="2" t="s">
        <v>11886</v>
      </c>
      <c r="J3753" s="2" t="s">
        <v>522</v>
      </c>
      <c r="K3753" s="2" t="s">
        <v>179</v>
      </c>
      <c r="L3753" s="3">
        <v>33.6</v>
      </c>
      <c r="M3753" s="3">
        <v>35.28</v>
      </c>
      <c r="N3753" s="3">
        <v>69.99</v>
      </c>
      <c r="O3753" s="2" t="s">
        <v>97</v>
      </c>
      <c r="P3753" s="2" t="s">
        <v>98</v>
      </c>
      <c r="Q3753" s="2" t="s">
        <v>99</v>
      </c>
      <c r="R3753" s="2" t="s">
        <v>100</v>
      </c>
      <c r="S3753" s="2" t="s">
        <v>11656</v>
      </c>
      <c r="T3753" s="2" t="s">
        <v>1135</v>
      </c>
      <c r="U3753" s="2" t="s">
        <v>1228</v>
      </c>
      <c r="V3753" s="2" t="s">
        <v>461</v>
      </c>
      <c r="W3753" s="2" t="s">
        <v>1136</v>
      </c>
      <c r="X3753" s="2" t="s">
        <v>1875</v>
      </c>
      <c r="Y3753" s="2" t="s">
        <v>2930</v>
      </c>
      <c r="Z3753" s="4">
        <v>113</v>
      </c>
      <c r="AA3753" s="4">
        <f>=ROUNDDOWN(37.6666666666667,0)</f>
      </c>
      <c r="AB3753" s="5">
        <v>3</v>
      </c>
      <c r="AC3753" s="2" t="s">
        <v>100</v>
      </c>
      <c r="AD3753" s="4"/>
      <c r="AE3753" s="4"/>
      <c r="AF3753" s="6">
        <v>64</v>
      </c>
      <c r="AG3753" s="6"/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>
        <v>0</v>
      </c>
      <c r="AP3753" s="4"/>
      <c r="AQ3753" s="8"/>
      <c r="AR3753" s="4"/>
      <c r="AS3753" s="8"/>
      <c r="AT3753" s="7"/>
      <c r="AU3753" s="7"/>
      <c r="AV3753" s="4" t="s">
        <v>100</v>
      </c>
      <c r="AW3753" s="8" t="s">
        <v>100</v>
      </c>
      <c r="AX3753" s="4" t="s">
        <v>100</v>
      </c>
      <c r="AY3753" s="8" t="s">
        <v>100</v>
      </c>
      <c r="AZ3753" s="7" t="s">
        <v>100</v>
      </c>
      <c r="BA3753" s="7" t="s">
        <v>100</v>
      </c>
      <c r="BB3753" s="7"/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 t="s">
        <v>100</v>
      </c>
      <c r="BJ3753" s="4">
        <v>7</v>
      </c>
      <c r="BK3753" s="8">
        <v>257.88</v>
      </c>
      <c r="BL3753" s="2" t="s">
        <v>11908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171</v>
      </c>
      <c r="BV3753" s="2" t="s">
        <v>97</v>
      </c>
      <c r="BW3753" s="2" t="s">
        <v>100</v>
      </c>
      <c r="BX3753" s="2" t="s">
        <v>100</v>
      </c>
      <c r="BY3753" s="2" t="s">
        <v>112</v>
      </c>
      <c r="BZ3753" s="2" t="s">
        <v>100</v>
      </c>
    </row>
    <row r="3754">
      <c r="A3754" s="2" t="s">
        <v>11909</v>
      </c>
      <c r="B3754" s="2" t="s">
        <v>11630</v>
      </c>
      <c r="C3754" s="2" t="s">
        <v>3449</v>
      </c>
      <c r="D3754" s="2" t="s">
        <v>1496</v>
      </c>
      <c r="E3754" s="2" t="s">
        <v>1648</v>
      </c>
      <c r="F3754" s="2" t="s">
        <v>11631</v>
      </c>
      <c r="G3754" s="2" t="s">
        <v>11632</v>
      </c>
      <c r="H3754" s="2" t="s">
        <v>7581</v>
      </c>
      <c r="I3754" s="2" t="s">
        <v>11886</v>
      </c>
      <c r="J3754" s="2" t="s">
        <v>529</v>
      </c>
      <c r="K3754" s="2" t="s">
        <v>179</v>
      </c>
      <c r="L3754" s="3">
        <v>36.75</v>
      </c>
      <c r="M3754" s="3">
        <v>38.59</v>
      </c>
      <c r="N3754" s="3">
        <v>74.99</v>
      </c>
      <c r="O3754" s="2" t="s">
        <v>97</v>
      </c>
      <c r="P3754" s="2" t="s">
        <v>98</v>
      </c>
      <c r="Q3754" s="2" t="s">
        <v>99</v>
      </c>
      <c r="R3754" s="2" t="s">
        <v>100</v>
      </c>
      <c r="S3754" s="2" t="s">
        <v>11656</v>
      </c>
      <c r="T3754" s="2" t="s">
        <v>1135</v>
      </c>
      <c r="U3754" s="2" t="s">
        <v>1228</v>
      </c>
      <c r="V3754" s="2" t="s">
        <v>461</v>
      </c>
      <c r="W3754" s="2" t="s">
        <v>1136</v>
      </c>
      <c r="X3754" s="2" t="s">
        <v>1875</v>
      </c>
      <c r="Y3754" s="2" t="s">
        <v>2930</v>
      </c>
      <c r="Z3754" s="4">
        <v>24</v>
      </c>
      <c r="AA3754" s="4">
        <f>=ROUNDDOWN(12,0)</f>
      </c>
      <c r="AB3754" s="5">
        <v>2</v>
      </c>
      <c r="AC3754" s="2" t="s">
        <v>1201</v>
      </c>
      <c r="AD3754" s="4">
        <v>60</v>
      </c>
      <c r="AE3754" s="4">
        <v>60</v>
      </c>
      <c r="AF3754" s="6">
        <v>64</v>
      </c>
      <c r="AG3754" s="6"/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>
        <v>0</v>
      </c>
      <c r="AP3754" s="4"/>
      <c r="AQ3754" s="8"/>
      <c r="AR3754" s="4"/>
      <c r="AS3754" s="8"/>
      <c r="AT3754" s="7"/>
      <c r="AU3754" s="7"/>
      <c r="AV3754" s="4" t="s">
        <v>100</v>
      </c>
      <c r="AW3754" s="8" t="s">
        <v>100</v>
      </c>
      <c r="AX3754" s="4" t="s">
        <v>100</v>
      </c>
      <c r="AY3754" s="8" t="s">
        <v>100</v>
      </c>
      <c r="AZ3754" s="7" t="s">
        <v>100</v>
      </c>
      <c r="BA3754" s="7" t="s">
        <v>100</v>
      </c>
      <c r="BB3754" s="7"/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 t="s">
        <v>100</v>
      </c>
      <c r="BJ3754" s="4">
        <v>5</v>
      </c>
      <c r="BK3754" s="8">
        <v>187.11</v>
      </c>
      <c r="BL3754" s="2" t="s">
        <v>11910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171</v>
      </c>
      <c r="BV3754" s="2" t="s">
        <v>97</v>
      </c>
      <c r="BW3754" s="2" t="s">
        <v>100</v>
      </c>
      <c r="BX3754" s="2" t="s">
        <v>100</v>
      </c>
      <c r="BY3754" s="2" t="s">
        <v>112</v>
      </c>
      <c r="BZ3754" s="2" t="s">
        <v>100</v>
      </c>
    </row>
    <row r="3755">
      <c r="A3755" s="2" t="s">
        <v>11911</v>
      </c>
      <c r="B3755" s="2" t="s">
        <v>11630</v>
      </c>
      <c r="C3755" s="2" t="s">
        <v>3449</v>
      </c>
      <c r="D3755" s="2" t="s">
        <v>1496</v>
      </c>
      <c r="E3755" s="2" t="s">
        <v>1648</v>
      </c>
      <c r="F3755" s="2" t="s">
        <v>4640</v>
      </c>
      <c r="G3755" s="2" t="s">
        <v>11548</v>
      </c>
      <c r="H3755" s="2" t="s">
        <v>11912</v>
      </c>
      <c r="I3755" s="2" t="s">
        <v>11913</v>
      </c>
      <c r="J3755" s="2" t="s">
        <v>352</v>
      </c>
      <c r="K3755" s="2" t="s">
        <v>507</v>
      </c>
      <c r="L3755" s="3">
        <v>26.4</v>
      </c>
      <c r="M3755" s="3">
        <v>27.72</v>
      </c>
      <c r="N3755" s="3">
        <v>54.99</v>
      </c>
      <c r="O3755" s="2" t="s">
        <v>97</v>
      </c>
      <c r="P3755" s="2" t="s">
        <v>98</v>
      </c>
      <c r="Q3755" s="2" t="s">
        <v>99</v>
      </c>
      <c r="R3755" s="2" t="s">
        <v>100</v>
      </c>
      <c r="S3755" s="2" t="s">
        <v>11914</v>
      </c>
      <c r="T3755" s="2" t="s">
        <v>438</v>
      </c>
      <c r="U3755" s="2" t="s">
        <v>901</v>
      </c>
      <c r="V3755" s="2" t="s">
        <v>547</v>
      </c>
      <c r="W3755" s="2" t="s">
        <v>493</v>
      </c>
      <c r="X3755" s="2" t="s">
        <v>609</v>
      </c>
      <c r="Y3755" s="2" t="s">
        <v>11169</v>
      </c>
      <c r="Z3755" s="4">
        <v>138</v>
      </c>
      <c r="AA3755" s="4">
        <f>=ROUNDDOWN(34.5,0)</f>
      </c>
      <c r="AB3755" s="5">
        <v>4</v>
      </c>
      <c r="AC3755" s="2" t="s">
        <v>307</v>
      </c>
      <c r="AD3755" s="4">
        <v>30</v>
      </c>
      <c r="AE3755" s="4">
        <v>100</v>
      </c>
      <c r="AF3755" s="6">
        <v>65</v>
      </c>
      <c r="AG3755" s="6">
        <v>48</v>
      </c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0</v>
      </c>
      <c r="AP3755" s="4"/>
      <c r="AQ3755" s="8"/>
      <c r="AR3755" s="4"/>
      <c r="AS3755" s="8"/>
      <c r="AT3755" s="7"/>
      <c r="AU3755" s="7"/>
      <c r="AV3755" s="4" t="s">
        <v>100</v>
      </c>
      <c r="AW3755" s="8" t="s">
        <v>100</v>
      </c>
      <c r="AX3755" s="4" t="s">
        <v>100</v>
      </c>
      <c r="AY3755" s="8" t="s">
        <v>100</v>
      </c>
      <c r="AZ3755" s="7" t="s">
        <v>100</v>
      </c>
      <c r="BA3755" s="7" t="s">
        <v>100</v>
      </c>
      <c r="BB3755" s="7"/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/>
      <c r="BJ3755" s="4">
        <v>15</v>
      </c>
      <c r="BK3755" s="8">
        <v>430.54</v>
      </c>
      <c r="BL3755" s="2" t="s">
        <v>11915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109</v>
      </c>
      <c r="BV3755" s="2" t="s">
        <v>97</v>
      </c>
      <c r="BW3755" s="2" t="s">
        <v>7730</v>
      </c>
      <c r="BX3755" s="2" t="s">
        <v>7616</v>
      </c>
      <c r="BY3755" s="2" t="s">
        <v>112</v>
      </c>
      <c r="BZ3755" s="2" t="s">
        <v>100</v>
      </c>
    </row>
    <row r="3756">
      <c r="A3756" s="2" t="s">
        <v>11916</v>
      </c>
      <c r="B3756" s="2" t="s">
        <v>11630</v>
      </c>
      <c r="C3756" s="2" t="s">
        <v>3449</v>
      </c>
      <c r="D3756" s="2" t="s">
        <v>1496</v>
      </c>
      <c r="E3756" s="2" t="s">
        <v>1648</v>
      </c>
      <c r="F3756" s="2" t="s">
        <v>4640</v>
      </c>
      <c r="G3756" s="2" t="s">
        <v>11548</v>
      </c>
      <c r="H3756" s="2" t="s">
        <v>11912</v>
      </c>
      <c r="I3756" s="2" t="s">
        <v>11913</v>
      </c>
      <c r="J3756" s="2" t="s">
        <v>522</v>
      </c>
      <c r="K3756" s="2" t="s">
        <v>507</v>
      </c>
      <c r="L3756" s="3">
        <v>31.85</v>
      </c>
      <c r="M3756" s="3">
        <v>33.44</v>
      </c>
      <c r="N3756" s="3">
        <v>64.99</v>
      </c>
      <c r="O3756" s="2" t="s">
        <v>97</v>
      </c>
      <c r="P3756" s="2" t="s">
        <v>98</v>
      </c>
      <c r="Q3756" s="2" t="s">
        <v>99</v>
      </c>
      <c r="R3756" s="2" t="s">
        <v>100</v>
      </c>
      <c r="S3756" s="2" t="s">
        <v>11914</v>
      </c>
      <c r="T3756" s="2" t="s">
        <v>438</v>
      </c>
      <c r="U3756" s="2" t="s">
        <v>1228</v>
      </c>
      <c r="V3756" s="2" t="s">
        <v>547</v>
      </c>
      <c r="W3756" s="2" t="s">
        <v>493</v>
      </c>
      <c r="X3756" s="2" t="s">
        <v>609</v>
      </c>
      <c r="Y3756" s="2" t="s">
        <v>11169</v>
      </c>
      <c r="Z3756" s="4">
        <v>189</v>
      </c>
      <c r="AA3756" s="4">
        <f>=ROUNDDOWN(23.625,0)</f>
      </c>
      <c r="AB3756" s="5">
        <v>8</v>
      </c>
      <c r="AC3756" s="2" t="s">
        <v>307</v>
      </c>
      <c r="AD3756" s="4">
        <v>70</v>
      </c>
      <c r="AE3756" s="4">
        <v>250</v>
      </c>
      <c r="AF3756" s="6">
        <v>65</v>
      </c>
      <c r="AG3756" s="6">
        <v>48</v>
      </c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/>
      <c r="AQ3756" s="8"/>
      <c r="AR3756" s="4"/>
      <c r="AS3756" s="8"/>
      <c r="AT3756" s="7"/>
      <c r="AU3756" s="7"/>
      <c r="AV3756" s="4" t="s">
        <v>100</v>
      </c>
      <c r="AW3756" s="8" t="s">
        <v>100</v>
      </c>
      <c r="AX3756" s="4" t="s">
        <v>100</v>
      </c>
      <c r="AY3756" s="8" t="s">
        <v>100</v>
      </c>
      <c r="AZ3756" s="7" t="s">
        <v>100</v>
      </c>
      <c r="BA3756" s="7" t="s">
        <v>100</v>
      </c>
      <c r="BB3756" s="7"/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/>
      <c r="BJ3756" s="4">
        <v>15</v>
      </c>
      <c r="BK3756" s="8">
        <v>518.75</v>
      </c>
      <c r="BL3756" s="2" t="s">
        <v>6133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109</v>
      </c>
      <c r="BV3756" s="2" t="s">
        <v>97</v>
      </c>
      <c r="BW3756" s="2" t="s">
        <v>7730</v>
      </c>
      <c r="BX3756" s="2" t="s">
        <v>5725</v>
      </c>
      <c r="BY3756" s="2" t="s">
        <v>112</v>
      </c>
      <c r="BZ3756" s="2" t="s">
        <v>100</v>
      </c>
    </row>
    <row r="3757">
      <c r="A3757" s="2" t="s">
        <v>11917</v>
      </c>
      <c r="B3757" s="2" t="s">
        <v>11630</v>
      </c>
      <c r="C3757" s="2" t="s">
        <v>3449</v>
      </c>
      <c r="D3757" s="2" t="s">
        <v>1496</v>
      </c>
      <c r="E3757" s="2" t="s">
        <v>1648</v>
      </c>
      <c r="F3757" s="2" t="s">
        <v>11711</v>
      </c>
      <c r="G3757" s="2" t="s">
        <v>1981</v>
      </c>
      <c r="H3757" s="2" t="s">
        <v>11712</v>
      </c>
      <c r="I3757" s="2" t="s">
        <v>11918</v>
      </c>
      <c r="J3757" s="2" t="s">
        <v>352</v>
      </c>
      <c r="K3757" s="2" t="s">
        <v>471</v>
      </c>
      <c r="L3757" s="3">
        <v>23.96</v>
      </c>
      <c r="M3757" s="3">
        <v>25.16</v>
      </c>
      <c r="N3757" s="3">
        <v>54.99</v>
      </c>
      <c r="O3757" s="2" t="s">
        <v>97</v>
      </c>
      <c r="P3757" s="2" t="s">
        <v>98</v>
      </c>
      <c r="Q3757" s="2" t="s">
        <v>99</v>
      </c>
      <c r="R3757" s="2" t="s">
        <v>100</v>
      </c>
      <c r="S3757" s="2" t="s">
        <v>11714</v>
      </c>
      <c r="T3757" s="2" t="s">
        <v>438</v>
      </c>
      <c r="U3757" s="2" t="s">
        <v>901</v>
      </c>
      <c r="V3757" s="2" t="s">
        <v>547</v>
      </c>
      <c r="W3757" s="2" t="s">
        <v>493</v>
      </c>
      <c r="X3757" s="2" t="s">
        <v>609</v>
      </c>
      <c r="Y3757" s="2" t="s">
        <v>11715</v>
      </c>
      <c r="Z3757" s="4">
        <v>192</v>
      </c>
      <c r="AA3757" s="4">
        <f>=ROUNDDOWN(17.4545454545455,0)</f>
      </c>
      <c r="AB3757" s="5">
        <v>11</v>
      </c>
      <c r="AC3757" s="2" t="s">
        <v>107</v>
      </c>
      <c r="AD3757" s="4">
        <v>60</v>
      </c>
      <c r="AE3757" s="4">
        <v>370</v>
      </c>
      <c r="AF3757" s="6">
        <v>65</v>
      </c>
      <c r="AG3757" s="6">
        <v>48</v>
      </c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>
        <v>0</v>
      </c>
      <c r="AP3757" s="4"/>
      <c r="AQ3757" s="8"/>
      <c r="AR3757" s="4"/>
      <c r="AS3757" s="8"/>
      <c r="AT3757" s="7"/>
      <c r="AU3757" s="7"/>
      <c r="AV3757" s="4" t="s">
        <v>100</v>
      </c>
      <c r="AW3757" s="8" t="s">
        <v>100</v>
      </c>
      <c r="AX3757" s="4" t="s">
        <v>100</v>
      </c>
      <c r="AY3757" s="8" t="s">
        <v>100</v>
      </c>
      <c r="AZ3757" s="7" t="s">
        <v>100</v>
      </c>
      <c r="BA3757" s="7" t="s">
        <v>100</v>
      </c>
      <c r="BB3757" s="7"/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/>
      <c r="BJ3757" s="4">
        <v>15</v>
      </c>
      <c r="BK3757" s="8">
        <v>395.13</v>
      </c>
      <c r="BL3757" s="2" t="s">
        <v>11919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2551</v>
      </c>
      <c r="BV3757" s="2" t="s">
        <v>97</v>
      </c>
      <c r="BW3757" s="2" t="s">
        <v>100</v>
      </c>
      <c r="BX3757" s="2" t="s">
        <v>100</v>
      </c>
      <c r="BY3757" s="2" t="s">
        <v>112</v>
      </c>
      <c r="BZ3757" s="2" t="s">
        <v>100</v>
      </c>
    </row>
    <row r="3758">
      <c r="A3758" s="2" t="s">
        <v>11920</v>
      </c>
      <c r="B3758" s="2" t="s">
        <v>11630</v>
      </c>
      <c r="C3758" s="2" t="s">
        <v>3449</v>
      </c>
      <c r="D3758" s="2" t="s">
        <v>1496</v>
      </c>
      <c r="E3758" s="2" t="s">
        <v>1648</v>
      </c>
      <c r="F3758" s="2" t="s">
        <v>11711</v>
      </c>
      <c r="G3758" s="2" t="s">
        <v>1981</v>
      </c>
      <c r="H3758" s="2" t="s">
        <v>11712</v>
      </c>
      <c r="I3758" s="2" t="s">
        <v>11918</v>
      </c>
      <c r="J3758" s="2" t="s">
        <v>522</v>
      </c>
      <c r="K3758" s="2" t="s">
        <v>471</v>
      </c>
      <c r="L3758" s="3">
        <v>28.76</v>
      </c>
      <c r="M3758" s="3">
        <v>30.2</v>
      </c>
      <c r="N3758" s="3">
        <v>64.99</v>
      </c>
      <c r="O3758" s="2" t="s">
        <v>97</v>
      </c>
      <c r="P3758" s="2" t="s">
        <v>98</v>
      </c>
      <c r="Q3758" s="2" t="s">
        <v>99</v>
      </c>
      <c r="R3758" s="2" t="s">
        <v>100</v>
      </c>
      <c r="S3758" s="2" t="s">
        <v>11714</v>
      </c>
      <c r="T3758" s="2" t="s">
        <v>438</v>
      </c>
      <c r="U3758" s="2" t="s">
        <v>1228</v>
      </c>
      <c r="V3758" s="2" t="s">
        <v>547</v>
      </c>
      <c r="W3758" s="2" t="s">
        <v>493</v>
      </c>
      <c r="X3758" s="2" t="s">
        <v>609</v>
      </c>
      <c r="Y3758" s="2" t="s">
        <v>11715</v>
      </c>
      <c r="Z3758" s="4">
        <v>205</v>
      </c>
      <c r="AA3758" s="4">
        <f>=ROUNDDOWN(8.2,0)</f>
      </c>
      <c r="AB3758" s="5">
        <v>25</v>
      </c>
      <c r="AC3758" s="2" t="s">
        <v>107</v>
      </c>
      <c r="AD3758" s="4">
        <v>100</v>
      </c>
      <c r="AE3758" s="4">
        <v>860</v>
      </c>
      <c r="AF3758" s="6">
        <v>65</v>
      </c>
      <c r="AG3758" s="6">
        <v>48</v>
      </c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/>
      <c r="AQ3758" s="8"/>
      <c r="AR3758" s="4"/>
      <c r="AS3758" s="8"/>
      <c r="AT3758" s="7"/>
      <c r="AU3758" s="7"/>
      <c r="AV3758" s="4" t="s">
        <v>100</v>
      </c>
      <c r="AW3758" s="8" t="s">
        <v>100</v>
      </c>
      <c r="AX3758" s="4" t="s">
        <v>100</v>
      </c>
      <c r="AY3758" s="8" t="s">
        <v>100</v>
      </c>
      <c r="AZ3758" s="7" t="s">
        <v>100</v>
      </c>
      <c r="BA3758" s="7" t="s">
        <v>100</v>
      </c>
      <c r="BB3758" s="7"/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/>
      <c r="BJ3758" s="4">
        <v>79</v>
      </c>
      <c r="BK3758" s="8">
        <v>2546.38</v>
      </c>
      <c r="BL3758" s="2" t="s">
        <v>1039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2551</v>
      </c>
      <c r="BV3758" s="2" t="s">
        <v>97</v>
      </c>
      <c r="BW3758" s="2" t="s">
        <v>100</v>
      </c>
      <c r="BX3758" s="2" t="s">
        <v>100</v>
      </c>
      <c r="BY3758" s="2" t="s">
        <v>112</v>
      </c>
      <c r="BZ3758" s="2" t="s">
        <v>100</v>
      </c>
    </row>
    <row r="3759">
      <c r="A3759" s="2" t="s">
        <v>11921</v>
      </c>
      <c r="B3759" s="2" t="s">
        <v>11630</v>
      </c>
      <c r="C3759" s="2" t="s">
        <v>3449</v>
      </c>
      <c r="D3759" s="2" t="s">
        <v>1496</v>
      </c>
      <c r="E3759" s="2" t="s">
        <v>1648</v>
      </c>
      <c r="F3759" s="2" t="s">
        <v>11711</v>
      </c>
      <c r="G3759" s="2" t="s">
        <v>1981</v>
      </c>
      <c r="H3759" s="2" t="s">
        <v>11712</v>
      </c>
      <c r="I3759" s="2" t="s">
        <v>11918</v>
      </c>
      <c r="J3759" s="2" t="s">
        <v>529</v>
      </c>
      <c r="K3759" s="2" t="s">
        <v>471</v>
      </c>
      <c r="L3759" s="3">
        <v>31.5</v>
      </c>
      <c r="M3759" s="3">
        <v>33.08</v>
      </c>
      <c r="N3759" s="3">
        <v>74.99</v>
      </c>
      <c r="O3759" s="2" t="s">
        <v>97</v>
      </c>
      <c r="P3759" s="2" t="s">
        <v>98</v>
      </c>
      <c r="Q3759" s="2" t="s">
        <v>99</v>
      </c>
      <c r="R3759" s="2" t="s">
        <v>100</v>
      </c>
      <c r="S3759" s="2" t="s">
        <v>11719</v>
      </c>
      <c r="T3759" s="2" t="s">
        <v>438</v>
      </c>
      <c r="U3759" s="2" t="s">
        <v>1228</v>
      </c>
      <c r="V3759" s="2" t="s">
        <v>547</v>
      </c>
      <c r="W3759" s="2" t="s">
        <v>493</v>
      </c>
      <c r="X3759" s="2" t="s">
        <v>609</v>
      </c>
      <c r="Y3759" s="2" t="s">
        <v>11720</v>
      </c>
      <c r="Z3759" s="4">
        <v>227</v>
      </c>
      <c r="AA3759" s="4">
        <f>=ROUNDDOWN(37.8333333333333,0)</f>
      </c>
      <c r="AB3759" s="5">
        <v>6</v>
      </c>
      <c r="AC3759" s="2" t="s">
        <v>130</v>
      </c>
      <c r="AD3759" s="4">
        <v>80</v>
      </c>
      <c r="AE3759" s="4">
        <v>80</v>
      </c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>
        <v>0</v>
      </c>
      <c r="AP3759" s="4"/>
      <c r="AQ3759" s="8"/>
      <c r="AR3759" s="4"/>
      <c r="AS3759" s="8"/>
      <c r="AT3759" s="7"/>
      <c r="AU3759" s="7"/>
      <c r="AV3759" s="4" t="s">
        <v>100</v>
      </c>
      <c r="AW3759" s="8" t="s">
        <v>100</v>
      </c>
      <c r="AX3759" s="4" t="s">
        <v>100</v>
      </c>
      <c r="AY3759" s="8" t="s">
        <v>100</v>
      </c>
      <c r="AZ3759" s="7" t="s">
        <v>100</v>
      </c>
      <c r="BA3759" s="7" t="s">
        <v>100</v>
      </c>
      <c r="BB3759" s="7"/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/>
      <c r="BJ3759" s="4">
        <v>6</v>
      </c>
      <c r="BK3759" s="8">
        <v>206.57</v>
      </c>
      <c r="BL3759" s="2" t="s">
        <v>1847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171</v>
      </c>
      <c r="BV3759" s="2" t="s">
        <v>97</v>
      </c>
      <c r="BW3759" s="2" t="s">
        <v>100</v>
      </c>
      <c r="BX3759" s="2" t="s">
        <v>100</v>
      </c>
      <c r="BY3759" s="2" t="s">
        <v>112</v>
      </c>
      <c r="BZ3759" s="2" t="s">
        <v>100</v>
      </c>
    </row>
    <row r="3760">
      <c r="A3760" s="2" t="s">
        <v>11922</v>
      </c>
      <c r="B3760" s="2" t="s">
        <v>11630</v>
      </c>
      <c r="C3760" s="2" t="s">
        <v>3449</v>
      </c>
      <c r="D3760" s="2" t="s">
        <v>1496</v>
      </c>
      <c r="E3760" s="2" t="s">
        <v>1648</v>
      </c>
      <c r="F3760" s="2" t="s">
        <v>11711</v>
      </c>
      <c r="G3760" s="2" t="s">
        <v>1981</v>
      </c>
      <c r="H3760" s="2" t="s">
        <v>11712</v>
      </c>
      <c r="I3760" s="2" t="s">
        <v>11918</v>
      </c>
      <c r="J3760" s="2" t="s">
        <v>352</v>
      </c>
      <c r="K3760" s="2" t="s">
        <v>5281</v>
      </c>
      <c r="L3760" s="3">
        <v>23.96</v>
      </c>
      <c r="M3760" s="3">
        <v>25.16</v>
      </c>
      <c r="N3760" s="3">
        <v>54.99</v>
      </c>
      <c r="O3760" s="2" t="s">
        <v>97</v>
      </c>
      <c r="P3760" s="2" t="s">
        <v>98</v>
      </c>
      <c r="Q3760" s="2" t="s">
        <v>99</v>
      </c>
      <c r="R3760" s="2" t="s">
        <v>100</v>
      </c>
      <c r="S3760" s="2" t="s">
        <v>11727</v>
      </c>
      <c r="T3760" s="2" t="s">
        <v>438</v>
      </c>
      <c r="U3760" s="2" t="s">
        <v>901</v>
      </c>
      <c r="V3760" s="2" t="s">
        <v>547</v>
      </c>
      <c r="W3760" s="2" t="s">
        <v>493</v>
      </c>
      <c r="X3760" s="2" t="s">
        <v>609</v>
      </c>
      <c r="Y3760" s="2" t="s">
        <v>11728</v>
      </c>
      <c r="Z3760" s="4">
        <v>130</v>
      </c>
      <c r="AA3760" s="4">
        <f>=ROUNDDOWN(18.5714285714286,0)</f>
      </c>
      <c r="AB3760" s="5">
        <v>7</v>
      </c>
      <c r="AC3760" s="2" t="s">
        <v>145</v>
      </c>
      <c r="AD3760" s="4">
        <v>60</v>
      </c>
      <c r="AE3760" s="4">
        <v>160</v>
      </c>
      <c r="AF3760" s="6">
        <v>65</v>
      </c>
      <c r="AG3760" s="6"/>
      <c r="AH3760" s="7">
        <v>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/>
      <c r="AQ3760" s="8"/>
      <c r="AR3760" s="4"/>
      <c r="AS3760" s="8"/>
      <c r="AT3760" s="7"/>
      <c r="AU3760" s="7"/>
      <c r="AV3760" s="4" t="s">
        <v>100</v>
      </c>
      <c r="AW3760" s="8" t="s">
        <v>100</v>
      </c>
      <c r="AX3760" s="4" t="s">
        <v>100</v>
      </c>
      <c r="AY3760" s="8" t="s">
        <v>100</v>
      </c>
      <c r="AZ3760" s="7" t="s">
        <v>100</v>
      </c>
      <c r="BA3760" s="7" t="s">
        <v>100</v>
      </c>
      <c r="BB3760" s="7"/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/>
      <c r="BJ3760" s="4">
        <v>9</v>
      </c>
      <c r="BK3760" s="8">
        <v>246.06</v>
      </c>
      <c r="BL3760" s="2" t="s">
        <v>4259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171</v>
      </c>
      <c r="BV3760" s="2" t="s">
        <v>97</v>
      </c>
      <c r="BW3760" s="2" t="s">
        <v>100</v>
      </c>
      <c r="BX3760" s="2" t="s">
        <v>100</v>
      </c>
      <c r="BY3760" s="2" t="s">
        <v>112</v>
      </c>
      <c r="BZ3760" s="2" t="s">
        <v>100</v>
      </c>
    </row>
    <row r="3761">
      <c r="A3761" s="2" t="s">
        <v>11923</v>
      </c>
      <c r="B3761" s="2" t="s">
        <v>11630</v>
      </c>
      <c r="C3761" s="2" t="s">
        <v>3449</v>
      </c>
      <c r="D3761" s="2" t="s">
        <v>1496</v>
      </c>
      <c r="E3761" s="2" t="s">
        <v>1648</v>
      </c>
      <c r="F3761" s="2" t="s">
        <v>11711</v>
      </c>
      <c r="G3761" s="2" t="s">
        <v>1981</v>
      </c>
      <c r="H3761" s="2" t="s">
        <v>11712</v>
      </c>
      <c r="I3761" s="2" t="s">
        <v>11918</v>
      </c>
      <c r="J3761" s="2" t="s">
        <v>522</v>
      </c>
      <c r="K3761" s="2" t="s">
        <v>5281</v>
      </c>
      <c r="L3761" s="3">
        <v>28.76</v>
      </c>
      <c r="M3761" s="3">
        <v>30.2</v>
      </c>
      <c r="N3761" s="3">
        <v>64.99</v>
      </c>
      <c r="O3761" s="2" t="s">
        <v>97</v>
      </c>
      <c r="P3761" s="2" t="s">
        <v>98</v>
      </c>
      <c r="Q3761" s="2" t="s">
        <v>99</v>
      </c>
      <c r="R3761" s="2" t="s">
        <v>100</v>
      </c>
      <c r="S3761" s="2" t="s">
        <v>11727</v>
      </c>
      <c r="T3761" s="2" t="s">
        <v>438</v>
      </c>
      <c r="U3761" s="2" t="s">
        <v>1228</v>
      </c>
      <c r="V3761" s="2" t="s">
        <v>547</v>
      </c>
      <c r="W3761" s="2" t="s">
        <v>493</v>
      </c>
      <c r="X3761" s="2" t="s">
        <v>609</v>
      </c>
      <c r="Y3761" s="2" t="s">
        <v>11728</v>
      </c>
      <c r="Z3761" s="4">
        <v>196</v>
      </c>
      <c r="AA3761" s="4">
        <f>=ROUNDDOWN(19.6,0)</f>
      </c>
      <c r="AB3761" s="5">
        <v>10</v>
      </c>
      <c r="AC3761" s="2" t="s">
        <v>145</v>
      </c>
      <c r="AD3761" s="4">
        <v>80</v>
      </c>
      <c r="AE3761" s="4">
        <v>200</v>
      </c>
      <c r="AF3761" s="6">
        <v>65</v>
      </c>
      <c r="AG3761" s="6"/>
      <c r="AH3761" s="7">
        <v>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/>
      <c r="AQ3761" s="8"/>
      <c r="AR3761" s="4"/>
      <c r="AS3761" s="8"/>
      <c r="AT3761" s="7"/>
      <c r="AU3761" s="7"/>
      <c r="AV3761" s="4" t="s">
        <v>100</v>
      </c>
      <c r="AW3761" s="8" t="s">
        <v>100</v>
      </c>
      <c r="AX3761" s="4" t="s">
        <v>100</v>
      </c>
      <c r="AY3761" s="8" t="s">
        <v>100</v>
      </c>
      <c r="AZ3761" s="7" t="s">
        <v>100</v>
      </c>
      <c r="BA3761" s="7" t="s">
        <v>100</v>
      </c>
      <c r="BB3761" s="7"/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/>
      <c r="BJ3761" s="4">
        <v>5</v>
      </c>
      <c r="BK3761" s="8">
        <v>162.61</v>
      </c>
      <c r="BL3761" s="2" t="s">
        <v>4259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171</v>
      </c>
      <c r="BV3761" s="2" t="s">
        <v>97</v>
      </c>
      <c r="BW3761" s="2" t="s">
        <v>100</v>
      </c>
      <c r="BX3761" s="2" t="s">
        <v>100</v>
      </c>
      <c r="BY3761" s="2" t="s">
        <v>112</v>
      </c>
      <c r="BZ3761" s="2" t="s">
        <v>100</v>
      </c>
    </row>
    <row r="3762">
      <c r="A3762" s="2" t="s">
        <v>11924</v>
      </c>
      <c r="B3762" s="2" t="s">
        <v>11630</v>
      </c>
      <c r="C3762" s="2" t="s">
        <v>3449</v>
      </c>
      <c r="D3762" s="2" t="s">
        <v>1496</v>
      </c>
      <c r="E3762" s="2" t="s">
        <v>1648</v>
      </c>
      <c r="F3762" s="2" t="s">
        <v>11711</v>
      </c>
      <c r="G3762" s="2" t="s">
        <v>1981</v>
      </c>
      <c r="H3762" s="2" t="s">
        <v>11712</v>
      </c>
      <c r="I3762" s="2" t="s">
        <v>11918</v>
      </c>
      <c r="J3762" s="2" t="s">
        <v>529</v>
      </c>
      <c r="K3762" s="2" t="s">
        <v>5281</v>
      </c>
      <c r="L3762" s="3">
        <v>31.5</v>
      </c>
      <c r="M3762" s="3">
        <v>33.08</v>
      </c>
      <c r="N3762" s="3">
        <v>74.99</v>
      </c>
      <c r="O3762" s="2" t="s">
        <v>97</v>
      </c>
      <c r="P3762" s="2" t="s">
        <v>98</v>
      </c>
      <c r="Q3762" s="2" t="s">
        <v>99</v>
      </c>
      <c r="R3762" s="2" t="s">
        <v>100</v>
      </c>
      <c r="S3762" s="2" t="s">
        <v>11727</v>
      </c>
      <c r="T3762" s="2" t="s">
        <v>438</v>
      </c>
      <c r="U3762" s="2" t="s">
        <v>1228</v>
      </c>
      <c r="V3762" s="2" t="s">
        <v>547</v>
      </c>
      <c r="W3762" s="2" t="s">
        <v>493</v>
      </c>
      <c r="X3762" s="2" t="s">
        <v>609</v>
      </c>
      <c r="Y3762" s="2" t="s">
        <v>11728</v>
      </c>
      <c r="Z3762" s="4">
        <v>114</v>
      </c>
      <c r="AA3762" s="4">
        <f>=ROUNDDOWN(22.8,0)</f>
      </c>
      <c r="AB3762" s="5">
        <v>5</v>
      </c>
      <c r="AC3762" s="2" t="s">
        <v>145</v>
      </c>
      <c r="AD3762" s="4">
        <v>40</v>
      </c>
      <c r="AE3762" s="4">
        <v>100</v>
      </c>
      <c r="AF3762" s="6">
        <v>65</v>
      </c>
      <c r="AG3762" s="6"/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/>
      <c r="AQ3762" s="8"/>
      <c r="AR3762" s="4"/>
      <c r="AS3762" s="8"/>
      <c r="AT3762" s="7"/>
      <c r="AU3762" s="7"/>
      <c r="AV3762" s="4" t="s">
        <v>100</v>
      </c>
      <c r="AW3762" s="8" t="s">
        <v>100</v>
      </c>
      <c r="AX3762" s="4" t="s">
        <v>100</v>
      </c>
      <c r="AY3762" s="8" t="s">
        <v>100</v>
      </c>
      <c r="AZ3762" s="7" t="s">
        <v>100</v>
      </c>
      <c r="BA3762" s="7" t="s">
        <v>100</v>
      </c>
      <c r="BB3762" s="7"/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/>
      <c r="BJ3762" s="4">
        <v>9</v>
      </c>
      <c r="BK3762" s="8">
        <v>316.87</v>
      </c>
      <c r="BL3762" s="2" t="s">
        <v>2218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171</v>
      </c>
      <c r="BV3762" s="2" t="s">
        <v>97</v>
      </c>
      <c r="BW3762" s="2" t="s">
        <v>100</v>
      </c>
      <c r="BX3762" s="2" t="s">
        <v>100</v>
      </c>
      <c r="BY3762" s="2" t="s">
        <v>112</v>
      </c>
      <c r="BZ3762" s="2" t="s">
        <v>100</v>
      </c>
    </row>
    <row r="3763">
      <c r="A3763" s="2" t="s">
        <v>11925</v>
      </c>
      <c r="B3763" s="2" t="s">
        <v>11630</v>
      </c>
      <c r="C3763" s="2" t="s">
        <v>3449</v>
      </c>
      <c r="D3763" s="2" t="s">
        <v>1496</v>
      </c>
      <c r="E3763" s="2" t="s">
        <v>1648</v>
      </c>
      <c r="F3763" s="2" t="s">
        <v>11733</v>
      </c>
      <c r="G3763" s="2" t="s">
        <v>11734</v>
      </c>
      <c r="H3763" s="2" t="s">
        <v>7528</v>
      </c>
      <c r="I3763" s="2" t="s">
        <v>11926</v>
      </c>
      <c r="J3763" s="2" t="s">
        <v>529</v>
      </c>
      <c r="K3763" s="2" t="s">
        <v>2990</v>
      </c>
      <c r="L3763" s="3">
        <v>34.5</v>
      </c>
      <c r="M3763" s="3">
        <v>36.22</v>
      </c>
      <c r="N3763" s="3">
        <v>74.99</v>
      </c>
      <c r="O3763" s="2" t="s">
        <v>97</v>
      </c>
      <c r="P3763" s="2" t="s">
        <v>707</v>
      </c>
      <c r="Q3763" s="2" t="s">
        <v>99</v>
      </c>
      <c r="R3763" s="2" t="s">
        <v>100</v>
      </c>
      <c r="S3763" s="2" t="s">
        <v>11927</v>
      </c>
      <c r="T3763" s="2" t="s">
        <v>438</v>
      </c>
      <c r="U3763" s="2" t="s">
        <v>460</v>
      </c>
      <c r="V3763" s="2" t="s">
        <v>192</v>
      </c>
      <c r="W3763" s="2" t="s">
        <v>142</v>
      </c>
      <c r="X3763" s="2" t="s">
        <v>194</v>
      </c>
      <c r="Y3763" s="2" t="s">
        <v>3098</v>
      </c>
      <c r="Z3763" s="4">
        <v>167</v>
      </c>
      <c r="AA3763" s="4">
        <f>=ROUNDDOWN(55.6666666666667,0)</f>
      </c>
      <c r="AB3763" s="5">
        <v>3</v>
      </c>
      <c r="AC3763" s="2" t="s">
        <v>100</v>
      </c>
      <c r="AD3763" s="4"/>
      <c r="AE3763" s="4"/>
      <c r="AF3763" s="6">
        <v>64</v>
      </c>
      <c r="AG3763" s="6"/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/>
      <c r="BD3763" s="8"/>
      <c r="BE3763" s="4"/>
      <c r="BF3763" s="8"/>
      <c r="BG3763" s="7"/>
      <c r="BH3763" s="7"/>
      <c r="BI3763" s="7"/>
      <c r="BJ3763" s="4">
        <v>6</v>
      </c>
      <c r="BK3763" s="8">
        <v>228.96</v>
      </c>
      <c r="BL3763" s="2" t="s">
        <v>11928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171</v>
      </c>
      <c r="BV3763" s="2" t="s">
        <v>97</v>
      </c>
      <c r="BW3763" s="2" t="s">
        <v>100</v>
      </c>
      <c r="BX3763" s="2" t="s">
        <v>100</v>
      </c>
      <c r="BY3763" s="2" t="s">
        <v>112</v>
      </c>
      <c r="BZ3763" s="2" t="s">
        <v>100</v>
      </c>
    </row>
    <row r="3764">
      <c r="A3764" s="2" t="s">
        <v>11929</v>
      </c>
      <c r="B3764" s="2" t="s">
        <v>11630</v>
      </c>
      <c r="C3764" s="2" t="s">
        <v>3449</v>
      </c>
      <c r="D3764" s="2" t="s">
        <v>1496</v>
      </c>
      <c r="E3764" s="2" t="s">
        <v>1648</v>
      </c>
      <c r="F3764" s="2" t="s">
        <v>11510</v>
      </c>
      <c r="G3764" s="2" t="s">
        <v>1761</v>
      </c>
      <c r="H3764" s="2" t="s">
        <v>11511</v>
      </c>
      <c r="I3764" s="2" t="s">
        <v>11930</v>
      </c>
      <c r="J3764" s="2" t="s">
        <v>352</v>
      </c>
      <c r="K3764" s="2" t="s">
        <v>11525</v>
      </c>
      <c r="L3764" s="3">
        <v>26.95</v>
      </c>
      <c r="M3764" s="3">
        <v>28.3</v>
      </c>
      <c r="N3764" s="3">
        <v>54.99</v>
      </c>
      <c r="O3764" s="2" t="s">
        <v>97</v>
      </c>
      <c r="P3764" s="2" t="s">
        <v>98</v>
      </c>
      <c r="Q3764" s="2" t="s">
        <v>99</v>
      </c>
      <c r="R3764" s="2" t="s">
        <v>100</v>
      </c>
      <c r="S3764" s="2" t="s">
        <v>11513</v>
      </c>
      <c r="T3764" s="2" t="s">
        <v>438</v>
      </c>
      <c r="U3764" s="2" t="s">
        <v>1228</v>
      </c>
      <c r="V3764" s="2" t="s">
        <v>2510</v>
      </c>
      <c r="W3764" s="2" t="s">
        <v>1136</v>
      </c>
      <c r="X3764" s="2" t="s">
        <v>194</v>
      </c>
      <c r="Y3764" s="2" t="s">
        <v>10563</v>
      </c>
      <c r="Z3764" s="4">
        <v>99</v>
      </c>
      <c r="AA3764" s="4">
        <f>=ROUNDDOWN(19.8,0)</f>
      </c>
      <c r="AB3764" s="5">
        <v>5</v>
      </c>
      <c r="AC3764" s="2" t="s">
        <v>130</v>
      </c>
      <c r="AD3764" s="4">
        <v>60</v>
      </c>
      <c r="AE3764" s="4">
        <v>120</v>
      </c>
      <c r="AF3764" s="6">
        <v>64</v>
      </c>
      <c r="AG3764" s="6"/>
      <c r="AH3764" s="7">
        <v>0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/>
      <c r="BD3764" s="8"/>
      <c r="BE3764" s="4"/>
      <c r="BF3764" s="8"/>
      <c r="BG3764" s="7"/>
      <c r="BH3764" s="7"/>
      <c r="BI3764" s="7"/>
      <c r="BJ3764" s="4"/>
      <c r="BK3764" s="8"/>
      <c r="BL3764" s="2" t="s">
        <v>100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109</v>
      </c>
      <c r="BV3764" s="2" t="s">
        <v>97</v>
      </c>
      <c r="BW3764" s="2" t="s">
        <v>1567</v>
      </c>
      <c r="BX3764" s="2" t="s">
        <v>4611</v>
      </c>
      <c r="BY3764" s="2" t="s">
        <v>112</v>
      </c>
      <c r="BZ3764" s="2" t="s">
        <v>100</v>
      </c>
    </row>
    <row r="3765">
      <c r="A3765" s="2" t="s">
        <v>11931</v>
      </c>
      <c r="B3765" s="2" t="s">
        <v>11630</v>
      </c>
      <c r="C3765" s="2" t="s">
        <v>3449</v>
      </c>
      <c r="D3765" s="2" t="s">
        <v>1496</v>
      </c>
      <c r="E3765" s="2" t="s">
        <v>1648</v>
      </c>
      <c r="F3765" s="2" t="s">
        <v>615</v>
      </c>
      <c r="G3765" s="2" t="s">
        <v>917</v>
      </c>
      <c r="H3765" s="2" t="s">
        <v>5460</v>
      </c>
      <c r="I3765" s="2" t="s">
        <v>11932</v>
      </c>
      <c r="J3765" s="2" t="s">
        <v>352</v>
      </c>
      <c r="K3765" s="2" t="s">
        <v>223</v>
      </c>
      <c r="L3765" s="3">
        <v>23.8</v>
      </c>
      <c r="M3765" s="3">
        <v>24.99</v>
      </c>
      <c r="N3765" s="3">
        <v>49.99</v>
      </c>
      <c r="O3765" s="2" t="s">
        <v>97</v>
      </c>
      <c r="P3765" s="2" t="s">
        <v>98</v>
      </c>
      <c r="Q3765" s="2" t="s">
        <v>99</v>
      </c>
      <c r="R3765" s="2" t="s">
        <v>100</v>
      </c>
      <c r="S3765" s="2" t="s">
        <v>11748</v>
      </c>
      <c r="T3765" s="2" t="s">
        <v>438</v>
      </c>
      <c r="U3765" s="2" t="s">
        <v>901</v>
      </c>
      <c r="V3765" s="2" t="s">
        <v>4636</v>
      </c>
      <c r="W3765" s="2" t="s">
        <v>493</v>
      </c>
      <c r="X3765" s="2" t="s">
        <v>271</v>
      </c>
      <c r="Y3765" s="2" t="s">
        <v>11750</v>
      </c>
      <c r="Z3765" s="4">
        <v>155</v>
      </c>
      <c r="AA3765" s="4">
        <f>=ROUNDDOWN(77.5,0)</f>
      </c>
      <c r="AB3765" s="5">
        <v>2</v>
      </c>
      <c r="AC3765" s="2" t="s">
        <v>100</v>
      </c>
      <c r="AD3765" s="4"/>
      <c r="AE3765" s="4"/>
      <c r="AF3765" s="6">
        <v>64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/>
      <c r="AQ3765" s="8"/>
      <c r="AR3765" s="4"/>
      <c r="AS3765" s="8"/>
      <c r="AT3765" s="7"/>
      <c r="AU3765" s="7"/>
      <c r="AV3765" s="4" t="s">
        <v>100</v>
      </c>
      <c r="AW3765" s="8" t="s">
        <v>100</v>
      </c>
      <c r="AX3765" s="4" t="s">
        <v>100</v>
      </c>
      <c r="AY3765" s="8" t="s">
        <v>100</v>
      </c>
      <c r="AZ3765" s="7" t="s">
        <v>100</v>
      </c>
      <c r="BA3765" s="7" t="s">
        <v>100</v>
      </c>
      <c r="BB3765" s="7"/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/>
      <c r="BJ3765" s="4">
        <v>2</v>
      </c>
      <c r="BK3765" s="8">
        <v>53.98</v>
      </c>
      <c r="BL3765" s="2" t="s">
        <v>2202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171</v>
      </c>
      <c r="BV3765" s="2" t="s">
        <v>97</v>
      </c>
      <c r="BW3765" s="2" t="s">
        <v>100</v>
      </c>
      <c r="BX3765" s="2" t="s">
        <v>100</v>
      </c>
      <c r="BY3765" s="2" t="s">
        <v>112</v>
      </c>
      <c r="BZ3765" s="2" t="s">
        <v>100</v>
      </c>
    </row>
    <row r="3766">
      <c r="A3766" s="2" t="s">
        <v>11933</v>
      </c>
      <c r="B3766" s="2" t="s">
        <v>11630</v>
      </c>
      <c r="C3766" s="2" t="s">
        <v>3449</v>
      </c>
      <c r="D3766" s="2" t="s">
        <v>1496</v>
      </c>
      <c r="E3766" s="2" t="s">
        <v>1648</v>
      </c>
      <c r="F3766" s="2" t="s">
        <v>615</v>
      </c>
      <c r="G3766" s="2" t="s">
        <v>917</v>
      </c>
      <c r="H3766" s="2" t="s">
        <v>5460</v>
      </c>
      <c r="I3766" s="2" t="s">
        <v>11932</v>
      </c>
      <c r="J3766" s="2" t="s">
        <v>522</v>
      </c>
      <c r="K3766" s="2" t="s">
        <v>223</v>
      </c>
      <c r="L3766" s="3">
        <v>28.57</v>
      </c>
      <c r="M3766" s="3">
        <v>30</v>
      </c>
      <c r="N3766" s="3">
        <v>59.99</v>
      </c>
      <c r="O3766" s="2" t="s">
        <v>97</v>
      </c>
      <c r="P3766" s="2" t="s">
        <v>98</v>
      </c>
      <c r="Q3766" s="2" t="s">
        <v>99</v>
      </c>
      <c r="R3766" s="2" t="s">
        <v>100</v>
      </c>
      <c r="S3766" s="2" t="s">
        <v>11748</v>
      </c>
      <c r="T3766" s="2" t="s">
        <v>438</v>
      </c>
      <c r="U3766" s="2" t="s">
        <v>1228</v>
      </c>
      <c r="V3766" s="2" t="s">
        <v>4636</v>
      </c>
      <c r="W3766" s="2" t="s">
        <v>493</v>
      </c>
      <c r="X3766" s="2" t="s">
        <v>271</v>
      </c>
      <c r="Y3766" s="2" t="s">
        <v>11750</v>
      </c>
      <c r="Z3766" s="4">
        <v>132</v>
      </c>
      <c r="AA3766" s="4">
        <f>=ROUNDDOWN(44,0)</f>
      </c>
      <c r="AB3766" s="5">
        <v>3</v>
      </c>
      <c r="AC3766" s="2" t="s">
        <v>1094</v>
      </c>
      <c r="AD3766" s="4">
        <v>60</v>
      </c>
      <c r="AE3766" s="4">
        <v>60</v>
      </c>
      <c r="AF3766" s="6">
        <v>64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/>
      <c r="AQ3766" s="8"/>
      <c r="AR3766" s="4"/>
      <c r="AS3766" s="8"/>
      <c r="AT3766" s="7"/>
      <c r="AU3766" s="7"/>
      <c r="AV3766" s="4" t="s">
        <v>100</v>
      </c>
      <c r="AW3766" s="8" t="s">
        <v>100</v>
      </c>
      <c r="AX3766" s="4" t="s">
        <v>100</v>
      </c>
      <c r="AY3766" s="8" t="s">
        <v>100</v>
      </c>
      <c r="AZ3766" s="7" t="s">
        <v>100</v>
      </c>
      <c r="BA3766" s="7" t="s">
        <v>100</v>
      </c>
      <c r="BB3766" s="7"/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/>
      <c r="BJ3766" s="4">
        <v>6</v>
      </c>
      <c r="BK3766" s="8">
        <v>193.5</v>
      </c>
      <c r="BL3766" s="2" t="s">
        <v>1904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171</v>
      </c>
      <c r="BV3766" s="2" t="s">
        <v>97</v>
      </c>
      <c r="BW3766" s="2" t="s">
        <v>100</v>
      </c>
      <c r="BX3766" s="2" t="s">
        <v>100</v>
      </c>
      <c r="BY3766" s="2" t="s">
        <v>112</v>
      </c>
      <c r="BZ3766" s="2" t="s">
        <v>100</v>
      </c>
    </row>
    <row r="3767">
      <c r="A3767" s="2" t="s">
        <v>11934</v>
      </c>
      <c r="B3767" s="2" t="s">
        <v>11630</v>
      </c>
      <c r="C3767" s="2" t="s">
        <v>3449</v>
      </c>
      <c r="D3767" s="2" t="s">
        <v>1496</v>
      </c>
      <c r="E3767" s="2" t="s">
        <v>1497</v>
      </c>
      <c r="F3767" s="2" t="s">
        <v>1257</v>
      </c>
      <c r="G3767" s="2" t="s">
        <v>4602</v>
      </c>
      <c r="H3767" s="2" t="s">
        <v>11799</v>
      </c>
      <c r="I3767" s="2" t="s">
        <v>11935</v>
      </c>
      <c r="J3767" s="2" t="s">
        <v>352</v>
      </c>
      <c r="K3767" s="2" t="s">
        <v>96</v>
      </c>
      <c r="L3767" s="3">
        <v>26.19</v>
      </c>
      <c r="M3767" s="3">
        <v>27.5</v>
      </c>
      <c r="N3767" s="3">
        <v>54.99</v>
      </c>
      <c r="O3767" s="2" t="s">
        <v>97</v>
      </c>
      <c r="P3767" s="2" t="s">
        <v>98</v>
      </c>
      <c r="Q3767" s="2" t="s">
        <v>99</v>
      </c>
      <c r="R3767" s="2" t="s">
        <v>100</v>
      </c>
      <c r="S3767" s="2" t="s">
        <v>11809</v>
      </c>
      <c r="T3767" s="2" t="s">
        <v>844</v>
      </c>
      <c r="U3767" s="2" t="s">
        <v>894</v>
      </c>
      <c r="V3767" s="2" t="s">
        <v>461</v>
      </c>
      <c r="W3767" s="2" t="s">
        <v>493</v>
      </c>
      <c r="X3767" s="2" t="s">
        <v>609</v>
      </c>
      <c r="Y3767" s="2" t="s">
        <v>11810</v>
      </c>
      <c r="Z3767" s="4">
        <v>201</v>
      </c>
      <c r="AA3767" s="4">
        <f>=ROUNDDOWN(100.5,0)</f>
      </c>
      <c r="AB3767" s="5">
        <v>2</v>
      </c>
      <c r="AC3767" s="2" t="s">
        <v>100</v>
      </c>
      <c r="AD3767" s="4"/>
      <c r="AE3767" s="4"/>
      <c r="AF3767" s="6">
        <v>66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/>
      <c r="AQ3767" s="8"/>
      <c r="AR3767" s="4"/>
      <c r="AS3767" s="8"/>
      <c r="AT3767" s="7"/>
      <c r="AU3767" s="7"/>
      <c r="AV3767" s="4" t="s">
        <v>100</v>
      </c>
      <c r="AW3767" s="8" t="s">
        <v>100</v>
      </c>
      <c r="AX3767" s="4" t="s">
        <v>100</v>
      </c>
      <c r="AY3767" s="8" t="s">
        <v>100</v>
      </c>
      <c r="AZ3767" s="7" t="s">
        <v>100</v>
      </c>
      <c r="BA3767" s="7" t="s">
        <v>100</v>
      </c>
      <c r="BB3767" s="7"/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/>
      <c r="BJ3767" s="4">
        <v>1</v>
      </c>
      <c r="BK3767" s="8">
        <v>29.7</v>
      </c>
      <c r="BL3767" s="2" t="s">
        <v>6336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171</v>
      </c>
      <c r="BV3767" s="2" t="s">
        <v>97</v>
      </c>
      <c r="BW3767" s="2" t="s">
        <v>100</v>
      </c>
      <c r="BX3767" s="2" t="s">
        <v>100</v>
      </c>
      <c r="BY3767" s="2" t="s">
        <v>112</v>
      </c>
      <c r="BZ3767" s="2" t="s">
        <v>100</v>
      </c>
    </row>
    <row r="3768">
      <c r="A3768" s="2" t="s">
        <v>11936</v>
      </c>
      <c r="B3768" s="2" t="s">
        <v>11630</v>
      </c>
      <c r="C3768" s="2" t="s">
        <v>3449</v>
      </c>
      <c r="D3768" s="2" t="s">
        <v>1496</v>
      </c>
      <c r="E3768" s="2" t="s">
        <v>1497</v>
      </c>
      <c r="F3768" s="2" t="s">
        <v>1257</v>
      </c>
      <c r="G3768" s="2" t="s">
        <v>4602</v>
      </c>
      <c r="H3768" s="2" t="s">
        <v>11799</v>
      </c>
      <c r="I3768" s="2" t="s">
        <v>11935</v>
      </c>
      <c r="J3768" s="2" t="s">
        <v>522</v>
      </c>
      <c r="K3768" s="2" t="s">
        <v>96</v>
      </c>
      <c r="L3768" s="3">
        <v>30.95</v>
      </c>
      <c r="M3768" s="3">
        <v>32.5</v>
      </c>
      <c r="N3768" s="3">
        <v>64.99</v>
      </c>
      <c r="O3768" s="2" t="s">
        <v>97</v>
      </c>
      <c r="P3768" s="2" t="s">
        <v>98</v>
      </c>
      <c r="Q3768" s="2" t="s">
        <v>99</v>
      </c>
      <c r="R3768" s="2" t="s">
        <v>100</v>
      </c>
      <c r="S3768" s="2" t="s">
        <v>11809</v>
      </c>
      <c r="T3768" s="2" t="s">
        <v>844</v>
      </c>
      <c r="U3768" s="2" t="s">
        <v>901</v>
      </c>
      <c r="V3768" s="2" t="s">
        <v>461</v>
      </c>
      <c r="W3768" s="2" t="s">
        <v>493</v>
      </c>
      <c r="X3768" s="2" t="s">
        <v>609</v>
      </c>
      <c r="Y3768" s="2" t="s">
        <v>7981</v>
      </c>
      <c r="Z3768" s="4">
        <v>218</v>
      </c>
      <c r="AA3768" s="4">
        <f>=ROUNDDOWN(72.6666666666667,0)</f>
      </c>
      <c r="AB3768" s="5">
        <v>3</v>
      </c>
      <c r="AC3768" s="2" t="s">
        <v>100</v>
      </c>
      <c r="AD3768" s="4"/>
      <c r="AE3768" s="4"/>
      <c r="AF3768" s="6">
        <v>66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/>
      <c r="AQ3768" s="8"/>
      <c r="AR3768" s="4"/>
      <c r="AS3768" s="8"/>
      <c r="AT3768" s="7"/>
      <c r="AU3768" s="7"/>
      <c r="AV3768" s="4" t="s">
        <v>100</v>
      </c>
      <c r="AW3768" s="8" t="s">
        <v>100</v>
      </c>
      <c r="AX3768" s="4" t="s">
        <v>100</v>
      </c>
      <c r="AY3768" s="8" t="s">
        <v>100</v>
      </c>
      <c r="AZ3768" s="7" t="s">
        <v>100</v>
      </c>
      <c r="BA3768" s="7" t="s">
        <v>100</v>
      </c>
      <c r="BB3768" s="7"/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/>
      <c r="BJ3768" s="4">
        <v>1</v>
      </c>
      <c r="BK3768" s="8">
        <v>35.1</v>
      </c>
      <c r="BL3768" s="2" t="s">
        <v>6336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171</v>
      </c>
      <c r="BV3768" s="2" t="s">
        <v>97</v>
      </c>
      <c r="BW3768" s="2" t="s">
        <v>100</v>
      </c>
      <c r="BX3768" s="2" t="s">
        <v>100</v>
      </c>
      <c r="BY3768" s="2" t="s">
        <v>112</v>
      </c>
      <c r="BZ3768" s="2" t="s">
        <v>100</v>
      </c>
    </row>
    <row r="3769">
      <c r="A3769" s="2" t="s">
        <v>11937</v>
      </c>
      <c r="B3769" s="2" t="s">
        <v>11630</v>
      </c>
      <c r="C3769" s="2" t="s">
        <v>3449</v>
      </c>
      <c r="D3769" s="2" t="s">
        <v>1496</v>
      </c>
      <c r="E3769" s="2" t="s">
        <v>1497</v>
      </c>
      <c r="F3769" s="2" t="s">
        <v>1257</v>
      </c>
      <c r="G3769" s="2" t="s">
        <v>4602</v>
      </c>
      <c r="H3769" s="2" t="s">
        <v>11799</v>
      </c>
      <c r="I3769" s="2" t="s">
        <v>11935</v>
      </c>
      <c r="J3769" s="2" t="s">
        <v>352</v>
      </c>
      <c r="K3769" s="2" t="s">
        <v>1373</v>
      </c>
      <c r="L3769" s="3">
        <v>26.19</v>
      </c>
      <c r="M3769" s="3">
        <v>27.5</v>
      </c>
      <c r="N3769" s="3">
        <v>54.99</v>
      </c>
      <c r="O3769" s="2" t="s">
        <v>97</v>
      </c>
      <c r="P3769" s="2" t="s">
        <v>98</v>
      </c>
      <c r="Q3769" s="2" t="s">
        <v>99</v>
      </c>
      <c r="R3769" s="2" t="s">
        <v>100</v>
      </c>
      <c r="S3769" s="2" t="s">
        <v>11815</v>
      </c>
      <c r="T3769" s="2" t="s">
        <v>844</v>
      </c>
      <c r="U3769" s="2" t="s">
        <v>894</v>
      </c>
      <c r="V3769" s="2" t="s">
        <v>461</v>
      </c>
      <c r="W3769" s="2" t="s">
        <v>493</v>
      </c>
      <c r="X3769" s="2" t="s">
        <v>609</v>
      </c>
      <c r="Y3769" s="2" t="s">
        <v>4356</v>
      </c>
      <c r="Z3769" s="4">
        <v>288</v>
      </c>
      <c r="AA3769" s="4">
        <f>=ROUNDDOWN(57.6,0)</f>
      </c>
      <c r="AB3769" s="5">
        <v>5</v>
      </c>
      <c r="AC3769" s="2" t="s">
        <v>100</v>
      </c>
      <c r="AD3769" s="4"/>
      <c r="AE3769" s="4"/>
      <c r="AF3769" s="6">
        <v>66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/>
      <c r="AQ3769" s="8"/>
      <c r="AR3769" s="4"/>
      <c r="AS3769" s="8"/>
      <c r="AT3769" s="7"/>
      <c r="AU3769" s="7"/>
      <c r="AV3769" s="4" t="s">
        <v>100</v>
      </c>
      <c r="AW3769" s="8" t="s">
        <v>100</v>
      </c>
      <c r="AX3769" s="4" t="s">
        <v>100</v>
      </c>
      <c r="AY3769" s="8" t="s">
        <v>100</v>
      </c>
      <c r="AZ3769" s="7" t="s">
        <v>100</v>
      </c>
      <c r="BA3769" s="7" t="s">
        <v>100</v>
      </c>
      <c r="BB3769" s="7"/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/>
      <c r="BJ3769" s="4">
        <v>5</v>
      </c>
      <c r="BK3769" s="8">
        <v>146.28</v>
      </c>
      <c r="BL3769" s="2" t="s">
        <v>2540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171</v>
      </c>
      <c r="BV3769" s="2" t="s">
        <v>97</v>
      </c>
      <c r="BW3769" s="2" t="s">
        <v>100</v>
      </c>
      <c r="BX3769" s="2" t="s">
        <v>100</v>
      </c>
      <c r="BY3769" s="2" t="s">
        <v>112</v>
      </c>
      <c r="BZ3769" s="2" t="s">
        <v>100</v>
      </c>
    </row>
    <row r="3770">
      <c r="A3770" s="2" t="s">
        <v>11938</v>
      </c>
      <c r="B3770" s="2" t="s">
        <v>11630</v>
      </c>
      <c r="C3770" s="2" t="s">
        <v>3449</v>
      </c>
      <c r="D3770" s="2" t="s">
        <v>1496</v>
      </c>
      <c r="E3770" s="2" t="s">
        <v>1497</v>
      </c>
      <c r="F3770" s="2" t="s">
        <v>1257</v>
      </c>
      <c r="G3770" s="2" t="s">
        <v>4602</v>
      </c>
      <c r="H3770" s="2" t="s">
        <v>11799</v>
      </c>
      <c r="I3770" s="2" t="s">
        <v>11935</v>
      </c>
      <c r="J3770" s="2" t="s">
        <v>522</v>
      </c>
      <c r="K3770" s="2" t="s">
        <v>1373</v>
      </c>
      <c r="L3770" s="3">
        <v>30.95</v>
      </c>
      <c r="M3770" s="3">
        <v>32.5</v>
      </c>
      <c r="N3770" s="3">
        <v>64.99</v>
      </c>
      <c r="O3770" s="2" t="s">
        <v>97</v>
      </c>
      <c r="P3770" s="2" t="s">
        <v>98</v>
      </c>
      <c r="Q3770" s="2" t="s">
        <v>99</v>
      </c>
      <c r="R3770" s="2" t="s">
        <v>100</v>
      </c>
      <c r="S3770" s="2" t="s">
        <v>11815</v>
      </c>
      <c r="T3770" s="2" t="s">
        <v>844</v>
      </c>
      <c r="U3770" s="2" t="s">
        <v>901</v>
      </c>
      <c r="V3770" s="2" t="s">
        <v>461</v>
      </c>
      <c r="W3770" s="2" t="s">
        <v>493</v>
      </c>
      <c r="X3770" s="2" t="s">
        <v>609</v>
      </c>
      <c r="Y3770" s="2" t="s">
        <v>4356</v>
      </c>
      <c r="Z3770" s="4">
        <v>219</v>
      </c>
      <c r="AA3770" s="4">
        <f>=ROUNDDOWN(27.375,0)</f>
      </c>
      <c r="AB3770" s="5">
        <v>8</v>
      </c>
      <c r="AC3770" s="2" t="s">
        <v>958</v>
      </c>
      <c r="AD3770" s="4">
        <v>60</v>
      </c>
      <c r="AE3770" s="4">
        <v>60</v>
      </c>
      <c r="AF3770" s="6">
        <v>66</v>
      </c>
      <c r="AG3770" s="6"/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/>
      <c r="AQ3770" s="8"/>
      <c r="AR3770" s="4"/>
      <c r="AS3770" s="8"/>
      <c r="AT3770" s="7"/>
      <c r="AU3770" s="7"/>
      <c r="AV3770" s="4" t="s">
        <v>100</v>
      </c>
      <c r="AW3770" s="8" t="s">
        <v>100</v>
      </c>
      <c r="AX3770" s="4" t="s">
        <v>100</v>
      </c>
      <c r="AY3770" s="8" t="s">
        <v>100</v>
      </c>
      <c r="AZ3770" s="7" t="s">
        <v>100</v>
      </c>
      <c r="BA3770" s="7" t="s">
        <v>100</v>
      </c>
      <c r="BB3770" s="7"/>
      <c r="BC3770" s="4" t="s">
        <v>100</v>
      </c>
      <c r="BD3770" s="8" t="s">
        <v>100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/>
      <c r="BJ3770" s="4">
        <v>11</v>
      </c>
      <c r="BK3770" s="8">
        <v>368.22</v>
      </c>
      <c r="BL3770" s="2" t="s">
        <v>11939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171</v>
      </c>
      <c r="BV3770" s="2" t="s">
        <v>97</v>
      </c>
      <c r="BW3770" s="2" t="s">
        <v>100</v>
      </c>
      <c r="BX3770" s="2" t="s">
        <v>100</v>
      </c>
      <c r="BY3770" s="2" t="s">
        <v>112</v>
      </c>
      <c r="BZ3770" s="2" t="s">
        <v>100</v>
      </c>
    </row>
    <row r="3771">
      <c r="A3771" s="2" t="s">
        <v>11940</v>
      </c>
      <c r="B3771" s="2" t="s">
        <v>11630</v>
      </c>
      <c r="C3771" s="2" t="s">
        <v>3449</v>
      </c>
      <c r="D3771" s="2" t="s">
        <v>1496</v>
      </c>
      <c r="E3771" s="2" t="s">
        <v>1497</v>
      </c>
      <c r="F3771" s="2" t="s">
        <v>1257</v>
      </c>
      <c r="G3771" s="2" t="s">
        <v>4602</v>
      </c>
      <c r="H3771" s="2" t="s">
        <v>11799</v>
      </c>
      <c r="I3771" s="2" t="s">
        <v>11935</v>
      </c>
      <c r="J3771" s="2" t="s">
        <v>352</v>
      </c>
      <c r="K3771" s="2" t="s">
        <v>223</v>
      </c>
      <c r="L3771" s="3">
        <v>26.19</v>
      </c>
      <c r="M3771" s="3">
        <v>27.5</v>
      </c>
      <c r="N3771" s="3">
        <v>54.99</v>
      </c>
      <c r="O3771" s="2" t="s">
        <v>97</v>
      </c>
      <c r="P3771" s="2" t="s">
        <v>98</v>
      </c>
      <c r="Q3771" s="2" t="s">
        <v>99</v>
      </c>
      <c r="R3771" s="2" t="s">
        <v>100</v>
      </c>
      <c r="S3771" s="2" t="s">
        <v>11822</v>
      </c>
      <c r="T3771" s="2" t="s">
        <v>844</v>
      </c>
      <c r="U3771" s="2" t="s">
        <v>894</v>
      </c>
      <c r="V3771" s="2" t="s">
        <v>461</v>
      </c>
      <c r="W3771" s="2" t="s">
        <v>493</v>
      </c>
      <c r="X3771" s="2" t="s">
        <v>609</v>
      </c>
      <c r="Y3771" s="2" t="s">
        <v>7981</v>
      </c>
      <c r="Z3771" s="4">
        <v>295</v>
      </c>
      <c r="AA3771" s="4">
        <f>=ROUNDDOWN(147.5,0)</f>
      </c>
      <c r="AB3771" s="5">
        <v>2</v>
      </c>
      <c r="AC3771" s="2" t="s">
        <v>100</v>
      </c>
      <c r="AD3771" s="4"/>
      <c r="AE3771" s="4"/>
      <c r="AF3771" s="6">
        <v>66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/>
      <c r="AQ3771" s="8"/>
      <c r="AR3771" s="4"/>
      <c r="AS3771" s="8"/>
      <c r="AT3771" s="7"/>
      <c r="AU3771" s="7"/>
      <c r="AV3771" s="4" t="s">
        <v>100</v>
      </c>
      <c r="AW3771" s="8" t="s">
        <v>100</v>
      </c>
      <c r="AX3771" s="4" t="s">
        <v>100</v>
      </c>
      <c r="AY3771" s="8" t="s">
        <v>100</v>
      </c>
      <c r="AZ3771" s="7" t="s">
        <v>100</v>
      </c>
      <c r="BA3771" s="7" t="s">
        <v>100</v>
      </c>
      <c r="BB3771" s="7"/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/>
      <c r="BJ3771" s="4"/>
      <c r="BK3771" s="8"/>
      <c r="BL3771" s="2" t="s">
        <v>100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171</v>
      </c>
      <c r="BV3771" s="2" t="s">
        <v>97</v>
      </c>
      <c r="BW3771" s="2" t="s">
        <v>100</v>
      </c>
      <c r="BX3771" s="2" t="s">
        <v>100</v>
      </c>
      <c r="BY3771" s="2" t="s">
        <v>112</v>
      </c>
      <c r="BZ3771" s="2" t="s">
        <v>100</v>
      </c>
    </row>
    <row r="3772">
      <c r="A3772" s="2" t="s">
        <v>11941</v>
      </c>
      <c r="B3772" s="2" t="s">
        <v>11630</v>
      </c>
      <c r="C3772" s="2" t="s">
        <v>3449</v>
      </c>
      <c r="D3772" s="2" t="s">
        <v>1496</v>
      </c>
      <c r="E3772" s="2" t="s">
        <v>1497</v>
      </c>
      <c r="F3772" s="2" t="s">
        <v>1257</v>
      </c>
      <c r="G3772" s="2" t="s">
        <v>4602</v>
      </c>
      <c r="H3772" s="2" t="s">
        <v>11799</v>
      </c>
      <c r="I3772" s="2" t="s">
        <v>11935</v>
      </c>
      <c r="J3772" s="2" t="s">
        <v>522</v>
      </c>
      <c r="K3772" s="2" t="s">
        <v>223</v>
      </c>
      <c r="L3772" s="3">
        <v>30.95</v>
      </c>
      <c r="M3772" s="3">
        <v>32.5</v>
      </c>
      <c r="N3772" s="3">
        <v>64.99</v>
      </c>
      <c r="O3772" s="2" t="s">
        <v>97</v>
      </c>
      <c r="P3772" s="2" t="s">
        <v>98</v>
      </c>
      <c r="Q3772" s="2" t="s">
        <v>99</v>
      </c>
      <c r="R3772" s="2" t="s">
        <v>100</v>
      </c>
      <c r="S3772" s="2" t="s">
        <v>11822</v>
      </c>
      <c r="T3772" s="2" t="s">
        <v>844</v>
      </c>
      <c r="U3772" s="2" t="s">
        <v>901</v>
      </c>
      <c r="V3772" s="2" t="s">
        <v>461</v>
      </c>
      <c r="W3772" s="2" t="s">
        <v>493</v>
      </c>
      <c r="X3772" s="2" t="s">
        <v>609</v>
      </c>
      <c r="Y3772" s="2" t="s">
        <v>7981</v>
      </c>
      <c r="Z3772" s="4">
        <v>321</v>
      </c>
      <c r="AA3772" s="4">
        <f>=ROUNDDOWN(107,0)</f>
      </c>
      <c r="AB3772" s="5">
        <v>3</v>
      </c>
      <c r="AC3772" s="2" t="s">
        <v>100</v>
      </c>
      <c r="AD3772" s="4"/>
      <c r="AE3772" s="4"/>
      <c r="AF3772" s="6">
        <v>66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/>
      <c r="AQ3772" s="8"/>
      <c r="AR3772" s="4"/>
      <c r="AS3772" s="8"/>
      <c r="AT3772" s="7"/>
      <c r="AU3772" s="7"/>
      <c r="AV3772" s="4" t="s">
        <v>100</v>
      </c>
      <c r="AW3772" s="8" t="s">
        <v>100</v>
      </c>
      <c r="AX3772" s="4" t="s">
        <v>100</v>
      </c>
      <c r="AY3772" s="8" t="s">
        <v>100</v>
      </c>
      <c r="AZ3772" s="7" t="s">
        <v>100</v>
      </c>
      <c r="BA3772" s="7" t="s">
        <v>100</v>
      </c>
      <c r="BB3772" s="7"/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/>
      <c r="BJ3772" s="4">
        <v>5</v>
      </c>
      <c r="BK3772" s="8">
        <v>165.42</v>
      </c>
      <c r="BL3772" s="2" t="s">
        <v>5533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171</v>
      </c>
      <c r="BV3772" s="2" t="s">
        <v>97</v>
      </c>
      <c r="BW3772" s="2" t="s">
        <v>100</v>
      </c>
      <c r="BX3772" s="2" t="s">
        <v>100</v>
      </c>
      <c r="BY3772" s="2" t="s">
        <v>112</v>
      </c>
      <c r="BZ3772" s="2" t="s">
        <v>100</v>
      </c>
    </row>
    <row r="3773">
      <c r="A3773" s="2" t="s">
        <v>11942</v>
      </c>
      <c r="B3773" s="2" t="s">
        <v>11630</v>
      </c>
      <c r="C3773" s="2" t="s">
        <v>3449</v>
      </c>
      <c r="D3773" s="2" t="s">
        <v>1496</v>
      </c>
      <c r="E3773" s="2" t="s">
        <v>1497</v>
      </c>
      <c r="F3773" s="2" t="s">
        <v>1257</v>
      </c>
      <c r="G3773" s="2" t="s">
        <v>4602</v>
      </c>
      <c r="H3773" s="2" t="s">
        <v>11799</v>
      </c>
      <c r="I3773" s="2" t="s">
        <v>11935</v>
      </c>
      <c r="J3773" s="2" t="s">
        <v>352</v>
      </c>
      <c r="K3773" s="2" t="s">
        <v>4816</v>
      </c>
      <c r="L3773" s="3">
        <v>26.19</v>
      </c>
      <c r="M3773" s="3">
        <v>27.5</v>
      </c>
      <c r="N3773" s="3">
        <v>54.99</v>
      </c>
      <c r="O3773" s="2" t="s">
        <v>97</v>
      </c>
      <c r="P3773" s="2" t="s">
        <v>98</v>
      </c>
      <c r="Q3773" s="2" t="s">
        <v>99</v>
      </c>
      <c r="R3773" s="2" t="s">
        <v>100</v>
      </c>
      <c r="S3773" s="2" t="s">
        <v>11826</v>
      </c>
      <c r="T3773" s="2" t="s">
        <v>844</v>
      </c>
      <c r="U3773" s="2" t="s">
        <v>894</v>
      </c>
      <c r="V3773" s="2" t="s">
        <v>461</v>
      </c>
      <c r="W3773" s="2" t="s">
        <v>493</v>
      </c>
      <c r="X3773" s="2" t="s">
        <v>609</v>
      </c>
      <c r="Y3773" s="2" t="s">
        <v>4356</v>
      </c>
      <c r="Z3773" s="4">
        <v>128</v>
      </c>
      <c r="AA3773" s="4">
        <f>=ROUNDDOWN(32,0)</f>
      </c>
      <c r="AB3773" s="5">
        <v>4</v>
      </c>
      <c r="AC3773" s="2" t="s">
        <v>676</v>
      </c>
      <c r="AD3773" s="4">
        <v>70</v>
      </c>
      <c r="AE3773" s="4">
        <v>110</v>
      </c>
      <c r="AF3773" s="6">
        <v>66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/>
      <c r="AQ3773" s="8"/>
      <c r="AR3773" s="4"/>
      <c r="AS3773" s="8"/>
      <c r="AT3773" s="7"/>
      <c r="AU3773" s="7"/>
      <c r="AV3773" s="4" t="s">
        <v>100</v>
      </c>
      <c r="AW3773" s="8" t="s">
        <v>100</v>
      </c>
      <c r="AX3773" s="4" t="s">
        <v>100</v>
      </c>
      <c r="AY3773" s="8" t="s">
        <v>100</v>
      </c>
      <c r="AZ3773" s="7" t="s">
        <v>100</v>
      </c>
      <c r="BA3773" s="7" t="s">
        <v>100</v>
      </c>
      <c r="BB3773" s="7"/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/>
      <c r="BJ3773" s="4">
        <v>8</v>
      </c>
      <c r="BK3773" s="8">
        <v>239.7</v>
      </c>
      <c r="BL3773" s="2" t="s">
        <v>1721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171</v>
      </c>
      <c r="BV3773" s="2" t="s">
        <v>97</v>
      </c>
      <c r="BW3773" s="2" t="s">
        <v>100</v>
      </c>
      <c r="BX3773" s="2" t="s">
        <v>100</v>
      </c>
      <c r="BY3773" s="2" t="s">
        <v>112</v>
      </c>
      <c r="BZ3773" s="2" t="s">
        <v>100</v>
      </c>
    </row>
    <row r="3774">
      <c r="A3774" s="2" t="s">
        <v>11943</v>
      </c>
      <c r="B3774" s="2" t="s">
        <v>11630</v>
      </c>
      <c r="C3774" s="2" t="s">
        <v>3449</v>
      </c>
      <c r="D3774" s="2" t="s">
        <v>1496</v>
      </c>
      <c r="E3774" s="2" t="s">
        <v>1497</v>
      </c>
      <c r="F3774" s="2" t="s">
        <v>1257</v>
      </c>
      <c r="G3774" s="2" t="s">
        <v>4602</v>
      </c>
      <c r="H3774" s="2" t="s">
        <v>11799</v>
      </c>
      <c r="I3774" s="2" t="s">
        <v>11935</v>
      </c>
      <c r="J3774" s="2" t="s">
        <v>522</v>
      </c>
      <c r="K3774" s="2" t="s">
        <v>4816</v>
      </c>
      <c r="L3774" s="3">
        <v>30.95</v>
      </c>
      <c r="M3774" s="3">
        <v>32.5</v>
      </c>
      <c r="N3774" s="3">
        <v>64.99</v>
      </c>
      <c r="O3774" s="2" t="s">
        <v>97</v>
      </c>
      <c r="P3774" s="2" t="s">
        <v>98</v>
      </c>
      <c r="Q3774" s="2" t="s">
        <v>99</v>
      </c>
      <c r="R3774" s="2" t="s">
        <v>100</v>
      </c>
      <c r="S3774" s="2" t="s">
        <v>11826</v>
      </c>
      <c r="T3774" s="2" t="s">
        <v>844</v>
      </c>
      <c r="U3774" s="2" t="s">
        <v>901</v>
      </c>
      <c r="V3774" s="2" t="s">
        <v>461</v>
      </c>
      <c r="W3774" s="2" t="s">
        <v>493</v>
      </c>
      <c r="X3774" s="2" t="s">
        <v>609</v>
      </c>
      <c r="Y3774" s="2" t="s">
        <v>4356</v>
      </c>
      <c r="Z3774" s="4">
        <v>229</v>
      </c>
      <c r="AA3774" s="4">
        <f>=ROUNDDOWN(25.4444444444444,0)</f>
      </c>
      <c r="AB3774" s="5">
        <v>9</v>
      </c>
      <c r="AC3774" s="2" t="s">
        <v>676</v>
      </c>
      <c r="AD3774" s="4">
        <v>150</v>
      </c>
      <c r="AE3774" s="4">
        <v>150</v>
      </c>
      <c r="AF3774" s="6">
        <v>66</v>
      </c>
      <c r="AG3774" s="6"/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/>
      <c r="AQ3774" s="8"/>
      <c r="AR3774" s="4"/>
      <c r="AS3774" s="8"/>
      <c r="AT3774" s="7"/>
      <c r="AU3774" s="7"/>
      <c r="AV3774" s="4" t="s">
        <v>100</v>
      </c>
      <c r="AW3774" s="8" t="s">
        <v>100</v>
      </c>
      <c r="AX3774" s="4" t="s">
        <v>100</v>
      </c>
      <c r="AY3774" s="8" t="s">
        <v>100</v>
      </c>
      <c r="AZ3774" s="7" t="s">
        <v>100</v>
      </c>
      <c r="BA3774" s="7" t="s">
        <v>100</v>
      </c>
      <c r="BB3774" s="7"/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/>
      <c r="BJ3774" s="4">
        <v>24</v>
      </c>
      <c r="BK3774" s="8">
        <v>798.85</v>
      </c>
      <c r="BL3774" s="2" t="s">
        <v>3056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171</v>
      </c>
      <c r="BV3774" s="2" t="s">
        <v>97</v>
      </c>
      <c r="BW3774" s="2" t="s">
        <v>100</v>
      </c>
      <c r="BX3774" s="2" t="s">
        <v>100</v>
      </c>
      <c r="BY3774" s="2" t="s">
        <v>112</v>
      </c>
      <c r="BZ3774" s="2" t="s">
        <v>100</v>
      </c>
    </row>
    <row r="3775">
      <c r="A3775" s="2" t="s">
        <v>11944</v>
      </c>
      <c r="B3775" s="2" t="s">
        <v>11630</v>
      </c>
      <c r="C3775" s="2" t="s">
        <v>3449</v>
      </c>
      <c r="D3775" s="2" t="s">
        <v>1496</v>
      </c>
      <c r="E3775" s="2" t="s">
        <v>1497</v>
      </c>
      <c r="F3775" s="2" t="s">
        <v>1257</v>
      </c>
      <c r="G3775" s="2" t="s">
        <v>4602</v>
      </c>
      <c r="H3775" s="2" t="s">
        <v>11799</v>
      </c>
      <c r="I3775" s="2" t="s">
        <v>11935</v>
      </c>
      <c r="J3775" s="2" t="s">
        <v>352</v>
      </c>
      <c r="K3775" s="2" t="s">
        <v>1152</v>
      </c>
      <c r="L3775" s="3">
        <v>26.19</v>
      </c>
      <c r="M3775" s="3">
        <v>27.5</v>
      </c>
      <c r="N3775" s="3">
        <v>54.99</v>
      </c>
      <c r="O3775" s="2" t="s">
        <v>97</v>
      </c>
      <c r="P3775" s="2" t="s">
        <v>98</v>
      </c>
      <c r="Q3775" s="2" t="s">
        <v>99</v>
      </c>
      <c r="R3775" s="2" t="s">
        <v>100</v>
      </c>
      <c r="S3775" s="2" t="s">
        <v>11833</v>
      </c>
      <c r="T3775" s="2" t="s">
        <v>844</v>
      </c>
      <c r="U3775" s="2" t="s">
        <v>894</v>
      </c>
      <c r="V3775" s="2" t="s">
        <v>461</v>
      </c>
      <c r="W3775" s="2" t="s">
        <v>493</v>
      </c>
      <c r="X3775" s="2" t="s">
        <v>609</v>
      </c>
      <c r="Y3775" s="2" t="s">
        <v>7981</v>
      </c>
      <c r="Z3775" s="4">
        <v>262</v>
      </c>
      <c r="AA3775" s="4">
        <f>=ROUNDDOWN(131,0)</f>
      </c>
      <c r="AB3775" s="5">
        <v>2</v>
      </c>
      <c r="AC3775" s="2" t="s">
        <v>100</v>
      </c>
      <c r="AD3775" s="4"/>
      <c r="AE3775" s="4"/>
      <c r="AF3775" s="6">
        <v>66</v>
      </c>
      <c r="AG3775" s="6"/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/>
      <c r="AQ3775" s="8"/>
      <c r="AR3775" s="4"/>
      <c r="AS3775" s="8"/>
      <c r="AT3775" s="7"/>
      <c r="AU3775" s="7"/>
      <c r="AV3775" s="4" t="s">
        <v>100</v>
      </c>
      <c r="AW3775" s="8" t="s">
        <v>100</v>
      </c>
      <c r="AX3775" s="4" t="s">
        <v>100</v>
      </c>
      <c r="AY3775" s="8" t="s">
        <v>100</v>
      </c>
      <c r="AZ3775" s="7" t="s">
        <v>100</v>
      </c>
      <c r="BA3775" s="7" t="s">
        <v>100</v>
      </c>
      <c r="BB3775" s="7"/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/>
      <c r="BJ3775" s="4">
        <v>2</v>
      </c>
      <c r="BK3775" s="8">
        <v>59.4</v>
      </c>
      <c r="BL3775" s="2" t="s">
        <v>4176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171</v>
      </c>
      <c r="BV3775" s="2" t="s">
        <v>97</v>
      </c>
      <c r="BW3775" s="2" t="s">
        <v>100</v>
      </c>
      <c r="BX3775" s="2" t="s">
        <v>100</v>
      </c>
      <c r="BY3775" s="2" t="s">
        <v>112</v>
      </c>
      <c r="BZ3775" s="2" t="s">
        <v>100</v>
      </c>
    </row>
    <row r="3776">
      <c r="A3776" s="2" t="s">
        <v>11945</v>
      </c>
      <c r="B3776" s="2" t="s">
        <v>11630</v>
      </c>
      <c r="C3776" s="2" t="s">
        <v>3449</v>
      </c>
      <c r="D3776" s="2" t="s">
        <v>1496</v>
      </c>
      <c r="E3776" s="2" t="s">
        <v>1497</v>
      </c>
      <c r="F3776" s="2" t="s">
        <v>1257</v>
      </c>
      <c r="G3776" s="2" t="s">
        <v>4602</v>
      </c>
      <c r="H3776" s="2" t="s">
        <v>11799</v>
      </c>
      <c r="I3776" s="2" t="s">
        <v>11935</v>
      </c>
      <c r="J3776" s="2" t="s">
        <v>522</v>
      </c>
      <c r="K3776" s="2" t="s">
        <v>1152</v>
      </c>
      <c r="L3776" s="3">
        <v>30.95</v>
      </c>
      <c r="M3776" s="3">
        <v>32.5</v>
      </c>
      <c r="N3776" s="3">
        <v>64.99</v>
      </c>
      <c r="O3776" s="2" t="s">
        <v>97</v>
      </c>
      <c r="P3776" s="2" t="s">
        <v>98</v>
      </c>
      <c r="Q3776" s="2" t="s">
        <v>99</v>
      </c>
      <c r="R3776" s="2" t="s">
        <v>100</v>
      </c>
      <c r="S3776" s="2" t="s">
        <v>11833</v>
      </c>
      <c r="T3776" s="2" t="s">
        <v>844</v>
      </c>
      <c r="U3776" s="2" t="s">
        <v>901</v>
      </c>
      <c r="V3776" s="2" t="s">
        <v>461</v>
      </c>
      <c r="W3776" s="2" t="s">
        <v>493</v>
      </c>
      <c r="X3776" s="2" t="s">
        <v>609</v>
      </c>
      <c r="Y3776" s="2" t="s">
        <v>7981</v>
      </c>
      <c r="Z3776" s="4">
        <v>295</v>
      </c>
      <c r="AA3776" s="4">
        <f>=ROUNDDOWN(59,0)</f>
      </c>
      <c r="AB3776" s="5">
        <v>5</v>
      </c>
      <c r="AC3776" s="2" t="s">
        <v>100</v>
      </c>
      <c r="AD3776" s="4"/>
      <c r="AE3776" s="4"/>
      <c r="AF3776" s="6">
        <v>66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/>
      <c r="AQ3776" s="8"/>
      <c r="AR3776" s="4"/>
      <c r="AS3776" s="8"/>
      <c r="AT3776" s="7"/>
      <c r="AU3776" s="7"/>
      <c r="AV3776" s="4" t="s">
        <v>100</v>
      </c>
      <c r="AW3776" s="8" t="s">
        <v>100</v>
      </c>
      <c r="AX3776" s="4" t="s">
        <v>100</v>
      </c>
      <c r="AY3776" s="8" t="s">
        <v>100</v>
      </c>
      <c r="AZ3776" s="7" t="s">
        <v>100</v>
      </c>
      <c r="BA3776" s="7" t="s">
        <v>100</v>
      </c>
      <c r="BB3776" s="7"/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/>
      <c r="BJ3776" s="4">
        <v>6</v>
      </c>
      <c r="BK3776" s="8">
        <v>208</v>
      </c>
      <c r="BL3776" s="2" t="s">
        <v>1823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171</v>
      </c>
      <c r="BV3776" s="2" t="s">
        <v>97</v>
      </c>
      <c r="BW3776" s="2" t="s">
        <v>100</v>
      </c>
      <c r="BX3776" s="2" t="s">
        <v>100</v>
      </c>
      <c r="BY3776" s="2" t="s">
        <v>112</v>
      </c>
      <c r="BZ3776" s="2" t="s">
        <v>100</v>
      </c>
    </row>
    <row r="3777">
      <c r="A3777" s="2" t="s">
        <v>11946</v>
      </c>
      <c r="B3777" s="2" t="s">
        <v>11630</v>
      </c>
      <c r="C3777" s="2" t="s">
        <v>3449</v>
      </c>
      <c r="D3777" s="2" t="s">
        <v>1496</v>
      </c>
      <c r="E3777" s="2" t="s">
        <v>1497</v>
      </c>
      <c r="F3777" s="2" t="s">
        <v>11855</v>
      </c>
      <c r="G3777" s="2" t="s">
        <v>11856</v>
      </c>
      <c r="H3777" s="2" t="s">
        <v>11857</v>
      </c>
      <c r="I3777" s="2" t="s">
        <v>11947</v>
      </c>
      <c r="J3777" s="2" t="s">
        <v>352</v>
      </c>
      <c r="K3777" s="2" t="s">
        <v>11859</v>
      </c>
      <c r="L3777" s="3">
        <v>23.8</v>
      </c>
      <c r="M3777" s="3">
        <v>24.99</v>
      </c>
      <c r="N3777" s="3">
        <v>49.99</v>
      </c>
      <c r="O3777" s="2" t="s">
        <v>97</v>
      </c>
      <c r="P3777" s="2" t="s">
        <v>98</v>
      </c>
      <c r="Q3777" s="2" t="s">
        <v>99</v>
      </c>
      <c r="R3777" s="2" t="s">
        <v>100</v>
      </c>
      <c r="S3777" s="2" t="s">
        <v>11860</v>
      </c>
      <c r="T3777" s="2" t="s">
        <v>5436</v>
      </c>
      <c r="U3777" s="2" t="s">
        <v>894</v>
      </c>
      <c r="V3777" s="2" t="s">
        <v>461</v>
      </c>
      <c r="W3777" s="2" t="s">
        <v>1136</v>
      </c>
      <c r="X3777" s="2" t="s">
        <v>194</v>
      </c>
      <c r="Y3777" s="2" t="s">
        <v>11861</v>
      </c>
      <c r="Z3777" s="4">
        <v>54</v>
      </c>
      <c r="AA3777" s="4">
        <f>=ROUNDDOWN(54,0)</f>
      </c>
      <c r="AB3777" s="5">
        <v>1</v>
      </c>
      <c r="AC3777" s="2" t="s">
        <v>201</v>
      </c>
      <c r="AD3777" s="4">
        <v>80</v>
      </c>
      <c r="AE3777" s="4">
        <v>80</v>
      </c>
      <c r="AF3777" s="6">
        <v>64</v>
      </c>
      <c r="AG3777" s="6"/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>
        <v>0</v>
      </c>
      <c r="AP3777" s="4"/>
      <c r="AQ3777" s="8"/>
      <c r="AR3777" s="4"/>
      <c r="AS3777" s="8"/>
      <c r="AT3777" s="7"/>
      <c r="AU3777" s="7"/>
      <c r="AV3777" s="4" t="s">
        <v>100</v>
      </c>
      <c r="AW3777" s="8" t="s">
        <v>100</v>
      </c>
      <c r="AX3777" s="4" t="s">
        <v>100</v>
      </c>
      <c r="AY3777" s="8" t="s">
        <v>100</v>
      </c>
      <c r="AZ3777" s="7" t="s">
        <v>100</v>
      </c>
      <c r="BA3777" s="7" t="s">
        <v>100</v>
      </c>
      <c r="BB3777" s="7"/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/>
      <c r="BJ3777" s="4">
        <v>1</v>
      </c>
      <c r="BK3777" s="8">
        <v>26.99</v>
      </c>
      <c r="BL3777" s="2" t="s">
        <v>2202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171</v>
      </c>
      <c r="BV3777" s="2" t="s">
        <v>97</v>
      </c>
      <c r="BW3777" s="2" t="s">
        <v>100</v>
      </c>
      <c r="BX3777" s="2" t="s">
        <v>100</v>
      </c>
      <c r="BY3777" s="2" t="s">
        <v>112</v>
      </c>
      <c r="BZ3777" s="2" t="s">
        <v>100</v>
      </c>
    </row>
    <row r="3778">
      <c r="A3778" s="2" t="s">
        <v>11948</v>
      </c>
      <c r="B3778" s="2" t="s">
        <v>11630</v>
      </c>
      <c r="C3778" s="2" t="s">
        <v>3449</v>
      </c>
      <c r="D3778" s="2" t="s">
        <v>1496</v>
      </c>
      <c r="E3778" s="2" t="s">
        <v>1497</v>
      </c>
      <c r="F3778" s="2" t="s">
        <v>11855</v>
      </c>
      <c r="G3778" s="2" t="s">
        <v>11856</v>
      </c>
      <c r="H3778" s="2" t="s">
        <v>11857</v>
      </c>
      <c r="I3778" s="2" t="s">
        <v>11947</v>
      </c>
      <c r="J3778" s="2" t="s">
        <v>522</v>
      </c>
      <c r="K3778" s="2" t="s">
        <v>11859</v>
      </c>
      <c r="L3778" s="3">
        <v>33.33</v>
      </c>
      <c r="M3778" s="3">
        <v>35</v>
      </c>
      <c r="N3778" s="3">
        <v>69.99</v>
      </c>
      <c r="O3778" s="2" t="s">
        <v>97</v>
      </c>
      <c r="P3778" s="2" t="s">
        <v>98</v>
      </c>
      <c r="Q3778" s="2" t="s">
        <v>99</v>
      </c>
      <c r="R3778" s="2" t="s">
        <v>100</v>
      </c>
      <c r="S3778" s="2" t="s">
        <v>11860</v>
      </c>
      <c r="T3778" s="2" t="s">
        <v>5436</v>
      </c>
      <c r="U3778" s="2" t="s">
        <v>901</v>
      </c>
      <c r="V3778" s="2" t="s">
        <v>461</v>
      </c>
      <c r="W3778" s="2" t="s">
        <v>1136</v>
      </c>
      <c r="X3778" s="2" t="s">
        <v>194</v>
      </c>
      <c r="Y3778" s="2" t="s">
        <v>11861</v>
      </c>
      <c r="Z3778" s="4">
        <v>73</v>
      </c>
      <c r="AA3778" s="4">
        <f>=ROUNDDOWN(36.5,0)</f>
      </c>
      <c r="AB3778" s="5">
        <v>2</v>
      </c>
      <c r="AC3778" s="2" t="s">
        <v>201</v>
      </c>
      <c r="AD3778" s="4">
        <v>90</v>
      </c>
      <c r="AE3778" s="4">
        <v>90</v>
      </c>
      <c r="AF3778" s="6">
        <v>64</v>
      </c>
      <c r="AG3778" s="6"/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/>
      <c r="AQ3778" s="8"/>
      <c r="AR3778" s="4"/>
      <c r="AS3778" s="8"/>
      <c r="AT3778" s="7"/>
      <c r="AU3778" s="7"/>
      <c r="AV3778" s="4" t="s">
        <v>100</v>
      </c>
      <c r="AW3778" s="8" t="s">
        <v>100</v>
      </c>
      <c r="AX3778" s="4" t="s">
        <v>100</v>
      </c>
      <c r="AY3778" s="8" t="s">
        <v>100</v>
      </c>
      <c r="AZ3778" s="7" t="s">
        <v>100</v>
      </c>
      <c r="BA3778" s="7" t="s">
        <v>100</v>
      </c>
      <c r="BB3778" s="7"/>
      <c r="BC3778" s="4" t="s">
        <v>100</v>
      </c>
      <c r="BD3778" s="8" t="s">
        <v>100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/>
      <c r="BJ3778" s="4">
        <v>5</v>
      </c>
      <c r="BK3778" s="8">
        <v>186.2</v>
      </c>
      <c r="BL3778" s="2" t="s">
        <v>1758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171</v>
      </c>
      <c r="BV3778" s="2" t="s">
        <v>97</v>
      </c>
      <c r="BW3778" s="2" t="s">
        <v>100</v>
      </c>
      <c r="BX3778" s="2" t="s">
        <v>100</v>
      </c>
      <c r="BY3778" s="2" t="s">
        <v>112</v>
      </c>
      <c r="BZ3778" s="2" t="s">
        <v>100</v>
      </c>
    </row>
    <row r="3779">
      <c r="A3779" s="2" t="s">
        <v>11949</v>
      </c>
      <c r="B3779" s="2" t="s">
        <v>11630</v>
      </c>
      <c r="C3779" s="2" t="s">
        <v>3449</v>
      </c>
      <c r="D3779" s="2" t="s">
        <v>1496</v>
      </c>
      <c r="E3779" s="2" t="s">
        <v>1497</v>
      </c>
      <c r="F3779" s="2" t="s">
        <v>11855</v>
      </c>
      <c r="G3779" s="2" t="s">
        <v>11856</v>
      </c>
      <c r="H3779" s="2" t="s">
        <v>11857</v>
      </c>
      <c r="I3779" s="2" t="s">
        <v>11947</v>
      </c>
      <c r="J3779" s="2" t="s">
        <v>352</v>
      </c>
      <c r="K3779" s="2" t="s">
        <v>9897</v>
      </c>
      <c r="L3779" s="3">
        <v>23.8</v>
      </c>
      <c r="M3779" s="3">
        <v>24.99</v>
      </c>
      <c r="N3779" s="3">
        <v>49.99</v>
      </c>
      <c r="O3779" s="2" t="s">
        <v>97</v>
      </c>
      <c r="P3779" s="2" t="s">
        <v>98</v>
      </c>
      <c r="Q3779" s="2" t="s">
        <v>99</v>
      </c>
      <c r="R3779" s="2" t="s">
        <v>100</v>
      </c>
      <c r="S3779" s="2" t="s">
        <v>11866</v>
      </c>
      <c r="T3779" s="2" t="s">
        <v>5436</v>
      </c>
      <c r="U3779" s="2" t="s">
        <v>894</v>
      </c>
      <c r="V3779" s="2" t="s">
        <v>461</v>
      </c>
      <c r="W3779" s="2" t="s">
        <v>1136</v>
      </c>
      <c r="X3779" s="2" t="s">
        <v>194</v>
      </c>
      <c r="Y3779" s="2" t="s">
        <v>11861</v>
      </c>
      <c r="Z3779" s="4">
        <v>62</v>
      </c>
      <c r="AA3779" s="4">
        <f>=ROUNDDOWN(103.333333333333,0)</f>
      </c>
      <c r="AB3779" s="5">
        <v>0.6</v>
      </c>
      <c r="AC3779" s="2" t="s">
        <v>201</v>
      </c>
      <c r="AD3779" s="4">
        <v>75</v>
      </c>
      <c r="AE3779" s="4">
        <v>75</v>
      </c>
      <c r="AF3779" s="6">
        <v>64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/>
      <c r="AQ3779" s="8"/>
      <c r="AR3779" s="4"/>
      <c r="AS3779" s="8"/>
      <c r="AT3779" s="7"/>
      <c r="AU3779" s="7"/>
      <c r="AV3779" s="4" t="s">
        <v>100</v>
      </c>
      <c r="AW3779" s="8" t="s">
        <v>100</v>
      </c>
      <c r="AX3779" s="4" t="s">
        <v>100</v>
      </c>
      <c r="AY3779" s="8" t="s">
        <v>100</v>
      </c>
      <c r="AZ3779" s="7" t="s">
        <v>100</v>
      </c>
      <c r="BA3779" s="7" t="s">
        <v>100</v>
      </c>
      <c r="BB3779" s="7"/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/>
      <c r="BJ3779" s="4"/>
      <c r="BK3779" s="8"/>
      <c r="BL3779" s="2" t="s">
        <v>100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171</v>
      </c>
      <c r="BV3779" s="2" t="s">
        <v>97</v>
      </c>
      <c r="BW3779" s="2" t="s">
        <v>100</v>
      </c>
      <c r="BX3779" s="2" t="s">
        <v>100</v>
      </c>
      <c r="BY3779" s="2" t="s">
        <v>112</v>
      </c>
      <c r="BZ3779" s="2" t="s">
        <v>100</v>
      </c>
    </row>
    <row r="3780">
      <c r="A3780" s="2" t="s">
        <v>11950</v>
      </c>
      <c r="B3780" s="2" t="s">
        <v>11630</v>
      </c>
      <c r="C3780" s="2" t="s">
        <v>3449</v>
      </c>
      <c r="D3780" s="2" t="s">
        <v>1496</v>
      </c>
      <c r="E3780" s="2" t="s">
        <v>1497</v>
      </c>
      <c r="F3780" s="2" t="s">
        <v>11855</v>
      </c>
      <c r="G3780" s="2" t="s">
        <v>11856</v>
      </c>
      <c r="H3780" s="2" t="s">
        <v>11857</v>
      </c>
      <c r="I3780" s="2" t="s">
        <v>11947</v>
      </c>
      <c r="J3780" s="2" t="s">
        <v>522</v>
      </c>
      <c r="K3780" s="2" t="s">
        <v>9897</v>
      </c>
      <c r="L3780" s="3">
        <v>33.33</v>
      </c>
      <c r="M3780" s="3">
        <v>35</v>
      </c>
      <c r="N3780" s="3">
        <v>69.99</v>
      </c>
      <c r="O3780" s="2" t="s">
        <v>97</v>
      </c>
      <c r="P3780" s="2" t="s">
        <v>98</v>
      </c>
      <c r="Q3780" s="2" t="s">
        <v>99</v>
      </c>
      <c r="R3780" s="2" t="s">
        <v>100</v>
      </c>
      <c r="S3780" s="2" t="s">
        <v>11866</v>
      </c>
      <c r="T3780" s="2" t="s">
        <v>5436</v>
      </c>
      <c r="U3780" s="2" t="s">
        <v>901</v>
      </c>
      <c r="V3780" s="2" t="s">
        <v>461</v>
      </c>
      <c r="W3780" s="2" t="s">
        <v>1136</v>
      </c>
      <c r="X3780" s="2" t="s">
        <v>194</v>
      </c>
      <c r="Y3780" s="2" t="s">
        <v>11861</v>
      </c>
      <c r="Z3780" s="4">
        <v>101</v>
      </c>
      <c r="AA3780" s="4">
        <f>=ROUNDDOWN(50.5,0)</f>
      </c>
      <c r="AB3780" s="5">
        <v>2</v>
      </c>
      <c r="AC3780" s="2" t="s">
        <v>201</v>
      </c>
      <c r="AD3780" s="4">
        <v>110</v>
      </c>
      <c r="AE3780" s="4">
        <v>110</v>
      </c>
      <c r="AF3780" s="6">
        <v>64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/>
      <c r="AQ3780" s="8"/>
      <c r="AR3780" s="4"/>
      <c r="AS3780" s="8"/>
      <c r="AT3780" s="7"/>
      <c r="AU3780" s="7"/>
      <c r="AV3780" s="4" t="s">
        <v>100</v>
      </c>
      <c r="AW3780" s="8" t="s">
        <v>100</v>
      </c>
      <c r="AX3780" s="4" t="s">
        <v>100</v>
      </c>
      <c r="AY3780" s="8" t="s">
        <v>100</v>
      </c>
      <c r="AZ3780" s="7" t="s">
        <v>100</v>
      </c>
      <c r="BA3780" s="7" t="s">
        <v>100</v>
      </c>
      <c r="BB3780" s="7"/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/>
      <c r="BJ3780" s="4">
        <v>2</v>
      </c>
      <c r="BK3780" s="8">
        <v>87.79</v>
      </c>
      <c r="BL3780" s="2" t="s">
        <v>6126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171</v>
      </c>
      <c r="BV3780" s="2" t="s">
        <v>97</v>
      </c>
      <c r="BW3780" s="2" t="s">
        <v>100</v>
      </c>
      <c r="BX3780" s="2" t="s">
        <v>100</v>
      </c>
      <c r="BY3780" s="2" t="s">
        <v>112</v>
      </c>
      <c r="BZ3780" s="2" t="s">
        <v>100</v>
      </c>
    </row>
    <row r="3781">
      <c r="A3781" s="2" t="s">
        <v>11951</v>
      </c>
      <c r="B3781" s="2" t="s">
        <v>11630</v>
      </c>
      <c r="C3781" s="2" t="s">
        <v>3449</v>
      </c>
      <c r="D3781" s="2" t="s">
        <v>1496</v>
      </c>
      <c r="E3781" s="2" t="s">
        <v>1497</v>
      </c>
      <c r="F3781" s="2" t="s">
        <v>11855</v>
      </c>
      <c r="G3781" s="2" t="s">
        <v>11856</v>
      </c>
      <c r="H3781" s="2" t="s">
        <v>11857</v>
      </c>
      <c r="I3781" s="2" t="s">
        <v>11947</v>
      </c>
      <c r="J3781" s="2" t="s">
        <v>352</v>
      </c>
      <c r="K3781" s="2" t="s">
        <v>8513</v>
      </c>
      <c r="L3781" s="3">
        <v>23.8</v>
      </c>
      <c r="M3781" s="3">
        <v>24.99</v>
      </c>
      <c r="N3781" s="3">
        <v>49.99</v>
      </c>
      <c r="O3781" s="2" t="s">
        <v>97</v>
      </c>
      <c r="P3781" s="2" t="s">
        <v>98</v>
      </c>
      <c r="Q3781" s="2" t="s">
        <v>99</v>
      </c>
      <c r="R3781" s="2" t="s">
        <v>100</v>
      </c>
      <c r="S3781" s="2" t="s">
        <v>11871</v>
      </c>
      <c r="T3781" s="2" t="s">
        <v>5436</v>
      </c>
      <c r="U3781" s="2" t="s">
        <v>894</v>
      </c>
      <c r="V3781" s="2" t="s">
        <v>461</v>
      </c>
      <c r="W3781" s="2" t="s">
        <v>1136</v>
      </c>
      <c r="X3781" s="2" t="s">
        <v>194</v>
      </c>
      <c r="Y3781" s="2" t="s">
        <v>11861</v>
      </c>
      <c r="Z3781" s="4">
        <v>79</v>
      </c>
      <c r="AA3781" s="4">
        <f>=ROUNDDOWN(39.5,0)</f>
      </c>
      <c r="AB3781" s="5">
        <v>2</v>
      </c>
      <c r="AC3781" s="2" t="s">
        <v>201</v>
      </c>
      <c r="AD3781" s="4">
        <v>50</v>
      </c>
      <c r="AE3781" s="4">
        <v>50</v>
      </c>
      <c r="AF3781" s="6">
        <v>64</v>
      </c>
      <c r="AG3781" s="6"/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/>
      <c r="AQ3781" s="8"/>
      <c r="AR3781" s="4"/>
      <c r="AS3781" s="8"/>
      <c r="AT3781" s="7"/>
      <c r="AU3781" s="7"/>
      <c r="AV3781" s="4" t="s">
        <v>100</v>
      </c>
      <c r="AW3781" s="8" t="s">
        <v>100</v>
      </c>
      <c r="AX3781" s="4" t="s">
        <v>100</v>
      </c>
      <c r="AY3781" s="8" t="s">
        <v>100</v>
      </c>
      <c r="AZ3781" s="7" t="s">
        <v>100</v>
      </c>
      <c r="BA3781" s="7" t="s">
        <v>100</v>
      </c>
      <c r="BB3781" s="7"/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/>
      <c r="BJ3781" s="4">
        <v>1</v>
      </c>
      <c r="BK3781" s="8">
        <v>33.99</v>
      </c>
      <c r="BL3781" s="2" t="s">
        <v>6122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171</v>
      </c>
      <c r="BV3781" s="2" t="s">
        <v>97</v>
      </c>
      <c r="BW3781" s="2" t="s">
        <v>100</v>
      </c>
      <c r="BX3781" s="2" t="s">
        <v>100</v>
      </c>
      <c r="BY3781" s="2" t="s">
        <v>112</v>
      </c>
      <c r="BZ3781" s="2" t="s">
        <v>100</v>
      </c>
    </row>
    <row r="3782">
      <c r="A3782" s="2" t="s">
        <v>11952</v>
      </c>
      <c r="B3782" s="2" t="s">
        <v>11630</v>
      </c>
      <c r="C3782" s="2" t="s">
        <v>3449</v>
      </c>
      <c r="D3782" s="2" t="s">
        <v>1496</v>
      </c>
      <c r="E3782" s="2" t="s">
        <v>1497</v>
      </c>
      <c r="F3782" s="2" t="s">
        <v>11855</v>
      </c>
      <c r="G3782" s="2" t="s">
        <v>11856</v>
      </c>
      <c r="H3782" s="2" t="s">
        <v>11857</v>
      </c>
      <c r="I3782" s="2" t="s">
        <v>11947</v>
      </c>
      <c r="J3782" s="2" t="s">
        <v>522</v>
      </c>
      <c r="K3782" s="2" t="s">
        <v>8513</v>
      </c>
      <c r="L3782" s="3">
        <v>33.33</v>
      </c>
      <c r="M3782" s="3">
        <v>35</v>
      </c>
      <c r="N3782" s="3">
        <v>69.99</v>
      </c>
      <c r="O3782" s="2" t="s">
        <v>97</v>
      </c>
      <c r="P3782" s="2" t="s">
        <v>98</v>
      </c>
      <c r="Q3782" s="2" t="s">
        <v>99</v>
      </c>
      <c r="R3782" s="2" t="s">
        <v>100</v>
      </c>
      <c r="S3782" s="2" t="s">
        <v>11871</v>
      </c>
      <c r="T3782" s="2" t="s">
        <v>5436</v>
      </c>
      <c r="U3782" s="2" t="s">
        <v>901</v>
      </c>
      <c r="V3782" s="2" t="s">
        <v>461</v>
      </c>
      <c r="W3782" s="2" t="s">
        <v>1136</v>
      </c>
      <c r="X3782" s="2" t="s">
        <v>194</v>
      </c>
      <c r="Y3782" s="2" t="s">
        <v>11861</v>
      </c>
      <c r="Z3782" s="4">
        <v>132</v>
      </c>
      <c r="AA3782" s="4">
        <f>=ROUNDDOWN(44,0)</f>
      </c>
      <c r="AB3782" s="5">
        <v>3</v>
      </c>
      <c r="AC3782" s="2" t="s">
        <v>201</v>
      </c>
      <c r="AD3782" s="4">
        <v>90</v>
      </c>
      <c r="AE3782" s="4">
        <v>90</v>
      </c>
      <c r="AF3782" s="6">
        <v>64</v>
      </c>
      <c r="AG3782" s="6"/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/>
      <c r="AQ3782" s="8"/>
      <c r="AR3782" s="4"/>
      <c r="AS3782" s="8"/>
      <c r="AT3782" s="7"/>
      <c r="AU3782" s="7"/>
      <c r="AV3782" s="4" t="s">
        <v>100</v>
      </c>
      <c r="AW3782" s="8" t="s">
        <v>100</v>
      </c>
      <c r="AX3782" s="4" t="s">
        <v>100</v>
      </c>
      <c r="AY3782" s="8" t="s">
        <v>100</v>
      </c>
      <c r="AZ3782" s="7" t="s">
        <v>100</v>
      </c>
      <c r="BA3782" s="7" t="s">
        <v>100</v>
      </c>
      <c r="BB3782" s="7"/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/>
      <c r="BJ3782" s="4">
        <v>4</v>
      </c>
      <c r="BK3782" s="8">
        <v>145.79</v>
      </c>
      <c r="BL3782" s="2" t="s">
        <v>11953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171</v>
      </c>
      <c r="BV3782" s="2" t="s">
        <v>97</v>
      </c>
      <c r="BW3782" s="2" t="s">
        <v>100</v>
      </c>
      <c r="BX3782" s="2" t="s">
        <v>100</v>
      </c>
      <c r="BY3782" s="2" t="s">
        <v>112</v>
      </c>
      <c r="BZ3782" s="2" t="s">
        <v>100</v>
      </c>
    </row>
    <row r="3783">
      <c r="A3783" s="2" t="s">
        <v>11954</v>
      </c>
      <c r="B3783" s="2" t="s">
        <v>11630</v>
      </c>
      <c r="C3783" s="2" t="s">
        <v>3449</v>
      </c>
      <c r="D3783" s="2" t="s">
        <v>963</v>
      </c>
      <c r="E3783" s="2" t="s">
        <v>1486</v>
      </c>
      <c r="F3783" s="2" t="s">
        <v>7388</v>
      </c>
      <c r="G3783" s="2" t="s">
        <v>11682</v>
      </c>
      <c r="H3783" s="2" t="s">
        <v>11505</v>
      </c>
      <c r="I3783" s="2" t="s">
        <v>1402</v>
      </c>
      <c r="J3783" s="2" t="s">
        <v>352</v>
      </c>
      <c r="K3783" s="2" t="s">
        <v>386</v>
      </c>
      <c r="L3783" s="3">
        <v>35.2</v>
      </c>
      <c r="M3783" s="3">
        <v>36.96</v>
      </c>
      <c r="N3783" s="3">
        <v>79.99</v>
      </c>
      <c r="O3783" s="2" t="s">
        <v>97</v>
      </c>
      <c r="P3783" s="2" t="s">
        <v>98</v>
      </c>
      <c r="Q3783" s="2" t="s">
        <v>99</v>
      </c>
      <c r="R3783" s="2" t="s">
        <v>100</v>
      </c>
      <c r="S3783" s="2" t="s">
        <v>11683</v>
      </c>
      <c r="T3783" s="2" t="s">
        <v>438</v>
      </c>
      <c r="U3783" s="2" t="s">
        <v>1228</v>
      </c>
      <c r="V3783" s="2" t="s">
        <v>2883</v>
      </c>
      <c r="W3783" s="2" t="s">
        <v>609</v>
      </c>
      <c r="X3783" s="2" t="s">
        <v>3246</v>
      </c>
      <c r="Y3783" s="2" t="s">
        <v>144</v>
      </c>
      <c r="Z3783" s="4">
        <v>266</v>
      </c>
      <c r="AA3783" s="4">
        <f>=ROUNDDOWN(44.3333333333333,0)</f>
      </c>
      <c r="AB3783" s="5">
        <v>6</v>
      </c>
      <c r="AC3783" s="2" t="s">
        <v>206</v>
      </c>
      <c r="AD3783" s="4">
        <v>50</v>
      </c>
      <c r="AE3783" s="4">
        <v>90</v>
      </c>
      <c r="AF3783" s="6">
        <v>65</v>
      </c>
      <c r="AG3783" s="6">
        <v>73</v>
      </c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1</v>
      </c>
      <c r="AQ3783" s="8">
        <v>35.73</v>
      </c>
      <c r="AR3783" s="4"/>
      <c r="AS3783" s="8"/>
      <c r="AT3783" s="7"/>
      <c r="AU3783" s="7"/>
      <c r="AV3783" s="4">
        <v>1</v>
      </c>
      <c r="AW3783" s="8">
        <v>35.73</v>
      </c>
      <c r="AX3783" s="4" t="s">
        <v>100</v>
      </c>
      <c r="AY3783" s="8" t="s">
        <v>100</v>
      </c>
      <c r="AZ3783" s="7" t="s">
        <v>100</v>
      </c>
      <c r="BA3783" s="7" t="s">
        <v>100</v>
      </c>
      <c r="BB3783" s="7">
        <v>1</v>
      </c>
      <c r="BC3783" s="4">
        <v>1</v>
      </c>
      <c r="BD3783" s="8">
        <v>35.73</v>
      </c>
      <c r="BE3783" s="4" t="s">
        <v>100</v>
      </c>
      <c r="BF3783" s="8" t="s">
        <v>100</v>
      </c>
      <c r="BG3783" s="7" t="s">
        <v>100</v>
      </c>
      <c r="BH3783" s="7" t="s">
        <v>100</v>
      </c>
      <c r="BI3783" s="7">
        <v>1</v>
      </c>
      <c r="BJ3783" s="4">
        <v>21</v>
      </c>
      <c r="BK3783" s="8">
        <v>765.72</v>
      </c>
      <c r="BL3783" s="2" t="s">
        <v>11955</v>
      </c>
      <c r="BM3783" s="7">
        <v>0.0476</v>
      </c>
      <c r="BN3783" s="7">
        <v>0.0467</v>
      </c>
      <c r="BO3783" s="4">
        <v>1</v>
      </c>
      <c r="BP3783" s="8">
        <v>35.73</v>
      </c>
      <c r="BQ3783" s="4"/>
      <c r="BR3783" s="8"/>
      <c r="BS3783" s="7"/>
      <c r="BT3783" s="7"/>
      <c r="BU3783" s="2" t="s">
        <v>109</v>
      </c>
      <c r="BV3783" s="2" t="s">
        <v>97</v>
      </c>
      <c r="BW3783" s="2" t="s">
        <v>370</v>
      </c>
      <c r="BX3783" s="2" t="s">
        <v>4108</v>
      </c>
      <c r="BY3783" s="2" t="s">
        <v>112</v>
      </c>
      <c r="BZ3783" s="2" t="s">
        <v>100</v>
      </c>
    </row>
    <row r="3784">
      <c r="A3784" s="2" t="s">
        <v>11956</v>
      </c>
      <c r="B3784" s="2" t="s">
        <v>11630</v>
      </c>
      <c r="C3784" s="2" t="s">
        <v>3449</v>
      </c>
      <c r="D3784" s="2" t="s">
        <v>963</v>
      </c>
      <c r="E3784" s="2" t="s">
        <v>1486</v>
      </c>
      <c r="F3784" s="2" t="s">
        <v>7388</v>
      </c>
      <c r="G3784" s="2" t="s">
        <v>11682</v>
      </c>
      <c r="H3784" s="2" t="s">
        <v>11505</v>
      </c>
      <c r="I3784" s="2" t="s">
        <v>1402</v>
      </c>
      <c r="J3784" s="2" t="s">
        <v>522</v>
      </c>
      <c r="K3784" s="2" t="s">
        <v>386</v>
      </c>
      <c r="L3784" s="3">
        <v>39.6</v>
      </c>
      <c r="M3784" s="3">
        <v>41.58</v>
      </c>
      <c r="N3784" s="3">
        <v>89.99</v>
      </c>
      <c r="O3784" s="2" t="s">
        <v>97</v>
      </c>
      <c r="P3784" s="2" t="s">
        <v>98</v>
      </c>
      <c r="Q3784" s="2" t="s">
        <v>99</v>
      </c>
      <c r="R3784" s="2" t="s">
        <v>100</v>
      </c>
      <c r="S3784" s="2" t="s">
        <v>11683</v>
      </c>
      <c r="T3784" s="2" t="s">
        <v>438</v>
      </c>
      <c r="U3784" s="2" t="s">
        <v>460</v>
      </c>
      <c r="V3784" s="2" t="s">
        <v>2883</v>
      </c>
      <c r="W3784" s="2" t="s">
        <v>609</v>
      </c>
      <c r="X3784" s="2" t="s">
        <v>3246</v>
      </c>
      <c r="Y3784" s="2" t="s">
        <v>144</v>
      </c>
      <c r="Z3784" s="4">
        <v>240</v>
      </c>
      <c r="AA3784" s="4">
        <f>=ROUNDDOWN(18.6046511627907,0)</f>
      </c>
      <c r="AB3784" s="5">
        <v>12.9</v>
      </c>
      <c r="AC3784" s="2" t="s">
        <v>206</v>
      </c>
      <c r="AD3784" s="4">
        <v>184</v>
      </c>
      <c r="AE3784" s="4">
        <v>184</v>
      </c>
      <c r="AF3784" s="6">
        <v>65</v>
      </c>
      <c r="AG3784" s="6">
        <v>73</v>
      </c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/>
      <c r="AQ3784" s="8"/>
      <c r="AR3784" s="4"/>
      <c r="AS3784" s="8"/>
      <c r="AT3784" s="7"/>
      <c r="AU3784" s="7"/>
      <c r="AV3784" s="4" t="s">
        <v>100</v>
      </c>
      <c r="AW3784" s="8" t="s">
        <v>100</v>
      </c>
      <c r="AX3784" s="4" t="s">
        <v>100</v>
      </c>
      <c r="AY3784" s="8" t="s">
        <v>100</v>
      </c>
      <c r="AZ3784" s="7" t="s">
        <v>100</v>
      </c>
      <c r="BA3784" s="7" t="s">
        <v>100</v>
      </c>
      <c r="BB3784" s="7"/>
      <c r="BC3784" s="4" t="s">
        <v>100</v>
      </c>
      <c r="BD3784" s="8" t="s">
        <v>100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 t="s">
        <v>100</v>
      </c>
      <c r="BJ3784" s="4">
        <v>40</v>
      </c>
      <c r="BK3784" s="8">
        <v>1672.47</v>
      </c>
      <c r="BL3784" s="2" t="s">
        <v>1349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109</v>
      </c>
      <c r="BV3784" s="2" t="s">
        <v>97</v>
      </c>
      <c r="BW3784" s="2" t="s">
        <v>370</v>
      </c>
      <c r="BX3784" s="2" t="s">
        <v>371</v>
      </c>
      <c r="BY3784" s="2" t="s">
        <v>112</v>
      </c>
      <c r="BZ3784" s="2" t="s">
        <v>100</v>
      </c>
    </row>
    <row r="3785">
      <c r="A3785" s="2" t="s">
        <v>11957</v>
      </c>
      <c r="B3785" s="2" t="s">
        <v>11630</v>
      </c>
      <c r="C3785" s="2" t="s">
        <v>3449</v>
      </c>
      <c r="D3785" s="2" t="s">
        <v>963</v>
      </c>
      <c r="E3785" s="2" t="s">
        <v>1486</v>
      </c>
      <c r="F3785" s="2" t="s">
        <v>11711</v>
      </c>
      <c r="G3785" s="2" t="s">
        <v>1981</v>
      </c>
      <c r="H3785" s="2" t="s">
        <v>11712</v>
      </c>
      <c r="I3785" s="2" t="s">
        <v>11958</v>
      </c>
      <c r="J3785" s="2" t="s">
        <v>352</v>
      </c>
      <c r="K3785" s="2" t="s">
        <v>471</v>
      </c>
      <c r="L3785" s="3">
        <v>23.8</v>
      </c>
      <c r="M3785" s="3">
        <v>24.99</v>
      </c>
      <c r="N3785" s="3">
        <v>49.99</v>
      </c>
      <c r="O3785" s="2" t="s">
        <v>97</v>
      </c>
      <c r="P3785" s="2" t="s">
        <v>98</v>
      </c>
      <c r="Q3785" s="2" t="s">
        <v>99</v>
      </c>
      <c r="R3785" s="2" t="s">
        <v>100</v>
      </c>
      <c r="S3785" s="2" t="s">
        <v>11719</v>
      </c>
      <c r="T3785" s="2" t="s">
        <v>438</v>
      </c>
      <c r="U3785" s="2" t="s">
        <v>901</v>
      </c>
      <c r="V3785" s="2" t="s">
        <v>547</v>
      </c>
      <c r="W3785" s="2" t="s">
        <v>493</v>
      </c>
      <c r="X3785" s="2" t="s">
        <v>609</v>
      </c>
      <c r="Y3785" s="2" t="s">
        <v>11959</v>
      </c>
      <c r="Z3785" s="4">
        <v>83</v>
      </c>
      <c r="AA3785" s="4">
        <f>=ROUNDDOWN(4.88235294117647,0)</f>
      </c>
      <c r="AB3785" s="5">
        <v>17</v>
      </c>
      <c r="AC3785" s="2" t="s">
        <v>312</v>
      </c>
      <c r="AD3785" s="4">
        <v>220</v>
      </c>
      <c r="AE3785" s="4">
        <v>560</v>
      </c>
      <c r="AF3785" s="6">
        <v>65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/>
      <c r="AQ3785" s="8"/>
      <c r="AR3785" s="4"/>
      <c r="AS3785" s="8"/>
      <c r="AT3785" s="7"/>
      <c r="AU3785" s="7"/>
      <c r="AV3785" s="4" t="s">
        <v>100</v>
      </c>
      <c r="AW3785" s="8" t="s">
        <v>100</v>
      </c>
      <c r="AX3785" s="4" t="s">
        <v>100</v>
      </c>
      <c r="AY3785" s="8" t="s">
        <v>100</v>
      </c>
      <c r="AZ3785" s="7" t="s">
        <v>100</v>
      </c>
      <c r="BA3785" s="7" t="s">
        <v>100</v>
      </c>
      <c r="BB3785" s="7"/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/>
      <c r="BJ3785" s="4">
        <v>48</v>
      </c>
      <c r="BK3785" s="8">
        <v>1292.39</v>
      </c>
      <c r="BL3785" s="2" t="s">
        <v>11960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171</v>
      </c>
      <c r="BV3785" s="2" t="s">
        <v>97</v>
      </c>
      <c r="BW3785" s="2" t="s">
        <v>100</v>
      </c>
      <c r="BX3785" s="2" t="s">
        <v>100</v>
      </c>
      <c r="BY3785" s="2" t="s">
        <v>112</v>
      </c>
      <c r="BZ3785" s="2" t="s">
        <v>100</v>
      </c>
    </row>
    <row r="3786">
      <c r="A3786" s="2" t="s">
        <v>11961</v>
      </c>
      <c r="B3786" s="2" t="s">
        <v>11630</v>
      </c>
      <c r="C3786" s="2" t="s">
        <v>3449</v>
      </c>
      <c r="D3786" s="2" t="s">
        <v>963</v>
      </c>
      <c r="E3786" s="2" t="s">
        <v>1486</v>
      </c>
      <c r="F3786" s="2" t="s">
        <v>11711</v>
      </c>
      <c r="G3786" s="2" t="s">
        <v>1981</v>
      </c>
      <c r="H3786" s="2" t="s">
        <v>11712</v>
      </c>
      <c r="I3786" s="2" t="s">
        <v>11958</v>
      </c>
      <c r="J3786" s="2" t="s">
        <v>522</v>
      </c>
      <c r="K3786" s="2" t="s">
        <v>471</v>
      </c>
      <c r="L3786" s="3">
        <v>28.57</v>
      </c>
      <c r="M3786" s="3">
        <v>30</v>
      </c>
      <c r="N3786" s="3">
        <v>59.99</v>
      </c>
      <c r="O3786" s="2" t="s">
        <v>97</v>
      </c>
      <c r="P3786" s="2" t="s">
        <v>98</v>
      </c>
      <c r="Q3786" s="2" t="s">
        <v>99</v>
      </c>
      <c r="R3786" s="2" t="s">
        <v>100</v>
      </c>
      <c r="S3786" s="2" t="s">
        <v>11719</v>
      </c>
      <c r="T3786" s="2" t="s">
        <v>438</v>
      </c>
      <c r="U3786" s="2" t="s">
        <v>1228</v>
      </c>
      <c r="V3786" s="2" t="s">
        <v>547</v>
      </c>
      <c r="W3786" s="2" t="s">
        <v>493</v>
      </c>
      <c r="X3786" s="2" t="s">
        <v>609</v>
      </c>
      <c r="Y3786" s="2" t="s">
        <v>11959</v>
      </c>
      <c r="Z3786" s="4">
        <v>134</v>
      </c>
      <c r="AA3786" s="4">
        <f>=ROUNDDOWN(4.62068965517241,0)</f>
      </c>
      <c r="AB3786" s="5">
        <v>29</v>
      </c>
      <c r="AC3786" s="2" t="s">
        <v>312</v>
      </c>
      <c r="AD3786" s="4">
        <v>250</v>
      </c>
      <c r="AE3786" s="4">
        <v>960</v>
      </c>
      <c r="AF3786" s="6">
        <v>65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/>
      <c r="AQ3786" s="8"/>
      <c r="AR3786" s="4"/>
      <c r="AS3786" s="8"/>
      <c r="AT3786" s="7"/>
      <c r="AU3786" s="7"/>
      <c r="AV3786" s="4" t="s">
        <v>100</v>
      </c>
      <c r="AW3786" s="8" t="s">
        <v>100</v>
      </c>
      <c r="AX3786" s="4" t="s">
        <v>100</v>
      </c>
      <c r="AY3786" s="8" t="s">
        <v>100</v>
      </c>
      <c r="AZ3786" s="7" t="s">
        <v>100</v>
      </c>
      <c r="BA3786" s="7" t="s">
        <v>100</v>
      </c>
      <c r="BB3786" s="7"/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/>
      <c r="BJ3786" s="4">
        <v>97</v>
      </c>
      <c r="BK3786" s="8">
        <v>3204.52</v>
      </c>
      <c r="BL3786" s="2" t="s">
        <v>11962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171</v>
      </c>
      <c r="BV3786" s="2" t="s">
        <v>97</v>
      </c>
      <c r="BW3786" s="2" t="s">
        <v>100</v>
      </c>
      <c r="BX3786" s="2" t="s">
        <v>100</v>
      </c>
      <c r="BY3786" s="2" t="s">
        <v>112</v>
      </c>
      <c r="BZ3786" s="2" t="s">
        <v>100</v>
      </c>
    </row>
    <row r="3787">
      <c r="A3787" s="2" t="s">
        <v>11963</v>
      </c>
      <c r="B3787" s="2" t="s">
        <v>11630</v>
      </c>
      <c r="C3787" s="2" t="s">
        <v>3449</v>
      </c>
      <c r="D3787" s="2" t="s">
        <v>963</v>
      </c>
      <c r="E3787" s="2" t="s">
        <v>1486</v>
      </c>
      <c r="F3787" s="2" t="s">
        <v>7158</v>
      </c>
      <c r="G3787" s="2" t="s">
        <v>11964</v>
      </c>
      <c r="H3787" s="2" t="s">
        <v>11965</v>
      </c>
      <c r="I3787" s="2" t="s">
        <v>1402</v>
      </c>
      <c r="J3787" s="2" t="s">
        <v>352</v>
      </c>
      <c r="K3787" s="2" t="s">
        <v>706</v>
      </c>
      <c r="L3787" s="3">
        <v>31.68</v>
      </c>
      <c r="M3787" s="3">
        <v>33.26</v>
      </c>
      <c r="N3787" s="3">
        <v>69.99</v>
      </c>
      <c r="O3787" s="2" t="s">
        <v>97</v>
      </c>
      <c r="P3787" s="2" t="s">
        <v>707</v>
      </c>
      <c r="Q3787" s="2" t="s">
        <v>99</v>
      </c>
      <c r="R3787" s="2" t="s">
        <v>100</v>
      </c>
      <c r="S3787" s="2" t="s">
        <v>11966</v>
      </c>
      <c r="T3787" s="2" t="s">
        <v>438</v>
      </c>
      <c r="U3787" s="2" t="s">
        <v>1228</v>
      </c>
      <c r="V3787" s="2" t="s">
        <v>2883</v>
      </c>
      <c r="W3787" s="2" t="s">
        <v>609</v>
      </c>
      <c r="X3787" s="2" t="s">
        <v>686</v>
      </c>
      <c r="Y3787" s="2" t="s">
        <v>144</v>
      </c>
      <c r="Z3787" s="4">
        <v>195</v>
      </c>
      <c r="AA3787" s="4">
        <f>=ROUNDDOWN(81.25,0)</f>
      </c>
      <c r="AB3787" s="5">
        <v>2.4</v>
      </c>
      <c r="AC3787" s="2" t="s">
        <v>1471</v>
      </c>
      <c r="AD3787" s="4">
        <v>40</v>
      </c>
      <c r="AE3787" s="4">
        <v>40</v>
      </c>
      <c r="AF3787" s="6">
        <v>64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/>
      <c r="AQ3787" s="8"/>
      <c r="AR3787" s="4"/>
      <c r="AS3787" s="8"/>
      <c r="AT3787" s="7"/>
      <c r="AU3787" s="7"/>
      <c r="AV3787" s="4" t="s">
        <v>100</v>
      </c>
      <c r="AW3787" s="8" t="s">
        <v>100</v>
      </c>
      <c r="AX3787" s="4" t="s">
        <v>100</v>
      </c>
      <c r="AY3787" s="8" t="s">
        <v>100</v>
      </c>
      <c r="AZ3787" s="7" t="s">
        <v>100</v>
      </c>
      <c r="BA3787" s="7" t="s">
        <v>100</v>
      </c>
      <c r="BB3787" s="7"/>
      <c r="BC3787" s="4" t="s">
        <v>100</v>
      </c>
      <c r="BD3787" s="8" t="s">
        <v>100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/>
      <c r="BJ3787" s="4">
        <v>14</v>
      </c>
      <c r="BK3787" s="8">
        <v>452.56</v>
      </c>
      <c r="BL3787" s="2" t="s">
        <v>11967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109</v>
      </c>
      <c r="BV3787" s="2" t="s">
        <v>97</v>
      </c>
      <c r="BW3787" s="2" t="s">
        <v>464</v>
      </c>
      <c r="BX3787" s="2" t="s">
        <v>873</v>
      </c>
      <c r="BY3787" s="2" t="s">
        <v>112</v>
      </c>
      <c r="BZ3787" s="2" t="s">
        <v>100</v>
      </c>
    </row>
    <row r="3788">
      <c r="A3788" s="2" t="s">
        <v>11968</v>
      </c>
      <c r="B3788" s="2" t="s">
        <v>11630</v>
      </c>
      <c r="C3788" s="2" t="s">
        <v>3449</v>
      </c>
      <c r="D3788" s="2" t="s">
        <v>963</v>
      </c>
      <c r="E3788" s="2" t="s">
        <v>1486</v>
      </c>
      <c r="F3788" s="2" t="s">
        <v>7158</v>
      </c>
      <c r="G3788" s="2" t="s">
        <v>11964</v>
      </c>
      <c r="H3788" s="2" t="s">
        <v>11965</v>
      </c>
      <c r="I3788" s="2" t="s">
        <v>1402</v>
      </c>
      <c r="J3788" s="2" t="s">
        <v>522</v>
      </c>
      <c r="K3788" s="2" t="s">
        <v>706</v>
      </c>
      <c r="L3788" s="3">
        <v>36.45</v>
      </c>
      <c r="M3788" s="3">
        <v>38.27</v>
      </c>
      <c r="N3788" s="3">
        <v>79.99</v>
      </c>
      <c r="O3788" s="2" t="s">
        <v>97</v>
      </c>
      <c r="P3788" s="2" t="s">
        <v>707</v>
      </c>
      <c r="Q3788" s="2" t="s">
        <v>99</v>
      </c>
      <c r="R3788" s="2" t="s">
        <v>100</v>
      </c>
      <c r="S3788" s="2" t="s">
        <v>11966</v>
      </c>
      <c r="T3788" s="2" t="s">
        <v>438</v>
      </c>
      <c r="U3788" s="2" t="s">
        <v>460</v>
      </c>
      <c r="V3788" s="2" t="s">
        <v>2883</v>
      </c>
      <c r="W3788" s="2" t="s">
        <v>609</v>
      </c>
      <c r="X3788" s="2" t="s">
        <v>686</v>
      </c>
      <c r="Y3788" s="2" t="s">
        <v>144</v>
      </c>
      <c r="Z3788" s="4">
        <v>326</v>
      </c>
      <c r="AA3788" s="4">
        <f>=ROUNDDOWN(23.4532374100719,0)</f>
      </c>
      <c r="AB3788" s="5">
        <v>13.9</v>
      </c>
      <c r="AC3788" s="2" t="s">
        <v>1471</v>
      </c>
      <c r="AD3788" s="4">
        <v>140</v>
      </c>
      <c r="AE3788" s="4">
        <v>140</v>
      </c>
      <c r="AF3788" s="6">
        <v>64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/>
      <c r="AQ3788" s="8"/>
      <c r="AR3788" s="4"/>
      <c r="AS3788" s="8"/>
      <c r="AT3788" s="7"/>
      <c r="AU3788" s="7"/>
      <c r="AV3788" s="4" t="s">
        <v>100</v>
      </c>
      <c r="AW3788" s="8" t="s">
        <v>100</v>
      </c>
      <c r="AX3788" s="4" t="s">
        <v>100</v>
      </c>
      <c r="AY3788" s="8" t="s">
        <v>100</v>
      </c>
      <c r="AZ3788" s="7" t="s">
        <v>100</v>
      </c>
      <c r="BA3788" s="7" t="s">
        <v>100</v>
      </c>
      <c r="BB3788" s="7"/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/>
      <c r="BJ3788" s="4">
        <v>31</v>
      </c>
      <c r="BK3788" s="8">
        <v>1239.9</v>
      </c>
      <c r="BL3788" s="2" t="s">
        <v>11969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109</v>
      </c>
      <c r="BV3788" s="2" t="s">
        <v>97</v>
      </c>
      <c r="BW3788" s="2" t="s">
        <v>464</v>
      </c>
      <c r="BX3788" s="2" t="s">
        <v>4187</v>
      </c>
      <c r="BY3788" s="2" t="s">
        <v>112</v>
      </c>
      <c r="BZ3788" s="2" t="s">
        <v>100</v>
      </c>
    </row>
    <row r="3789">
      <c r="A3789" s="2" t="s">
        <v>11970</v>
      </c>
      <c r="B3789" s="2" t="s">
        <v>11630</v>
      </c>
      <c r="C3789" s="2" t="s">
        <v>3449</v>
      </c>
      <c r="D3789" s="2" t="s">
        <v>963</v>
      </c>
      <c r="E3789" s="2" t="s">
        <v>1486</v>
      </c>
      <c r="F3789" s="2" t="s">
        <v>7158</v>
      </c>
      <c r="G3789" s="2" t="s">
        <v>11964</v>
      </c>
      <c r="H3789" s="2" t="s">
        <v>11965</v>
      </c>
      <c r="I3789" s="2" t="s">
        <v>1402</v>
      </c>
      <c r="J3789" s="2" t="s">
        <v>529</v>
      </c>
      <c r="K3789" s="2" t="s">
        <v>706</v>
      </c>
      <c r="L3789" s="3">
        <v>40.5</v>
      </c>
      <c r="M3789" s="3">
        <v>42.52</v>
      </c>
      <c r="N3789" s="3">
        <v>89.99</v>
      </c>
      <c r="O3789" s="2" t="s">
        <v>97</v>
      </c>
      <c r="P3789" s="2" t="s">
        <v>707</v>
      </c>
      <c r="Q3789" s="2" t="s">
        <v>99</v>
      </c>
      <c r="R3789" s="2" t="s">
        <v>100</v>
      </c>
      <c r="S3789" s="2" t="s">
        <v>11966</v>
      </c>
      <c r="T3789" s="2" t="s">
        <v>438</v>
      </c>
      <c r="U3789" s="2" t="s">
        <v>460</v>
      </c>
      <c r="V3789" s="2" t="s">
        <v>2883</v>
      </c>
      <c r="W3789" s="2" t="s">
        <v>609</v>
      </c>
      <c r="X3789" s="2" t="s">
        <v>686</v>
      </c>
      <c r="Y3789" s="2" t="s">
        <v>11971</v>
      </c>
      <c r="Z3789" s="4">
        <v>477</v>
      </c>
      <c r="AA3789" s="4">
        <f>=ROUNDDOWN(95.4,0)</f>
      </c>
      <c r="AB3789" s="5">
        <v>5</v>
      </c>
      <c r="AC3789" s="2" t="s">
        <v>100</v>
      </c>
      <c r="AD3789" s="4"/>
      <c r="AE3789" s="4"/>
      <c r="AF3789" s="6">
        <v>64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/>
      <c r="AQ3789" s="8"/>
      <c r="AR3789" s="4"/>
      <c r="AS3789" s="8"/>
      <c r="AT3789" s="7"/>
      <c r="AU3789" s="7"/>
      <c r="AV3789" s="4" t="s">
        <v>100</v>
      </c>
      <c r="AW3789" s="8" t="s">
        <v>100</v>
      </c>
      <c r="AX3789" s="4" t="s">
        <v>100</v>
      </c>
      <c r="AY3789" s="8" t="s">
        <v>100</v>
      </c>
      <c r="AZ3789" s="7" t="s">
        <v>100</v>
      </c>
      <c r="BA3789" s="7" t="s">
        <v>100</v>
      </c>
      <c r="BB3789" s="7"/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/>
      <c r="BJ3789" s="4">
        <v>17</v>
      </c>
      <c r="BK3789" s="8">
        <v>787.28</v>
      </c>
      <c r="BL3789" s="2" t="s">
        <v>11972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171</v>
      </c>
      <c r="BV3789" s="2" t="s">
        <v>97</v>
      </c>
      <c r="BW3789" s="2" t="s">
        <v>100</v>
      </c>
      <c r="BX3789" s="2" t="s">
        <v>100</v>
      </c>
      <c r="BY3789" s="2" t="s">
        <v>112</v>
      </c>
      <c r="BZ3789" s="2" t="s">
        <v>100</v>
      </c>
    </row>
    <row r="3790">
      <c r="A3790" s="2" t="s">
        <v>11973</v>
      </c>
      <c r="B3790" s="2" t="s">
        <v>11630</v>
      </c>
      <c r="C3790" s="2" t="s">
        <v>10487</v>
      </c>
      <c r="D3790" s="2" t="s">
        <v>89</v>
      </c>
      <c r="E3790" s="2" t="s">
        <v>90</v>
      </c>
      <c r="F3790" s="2" t="s">
        <v>11974</v>
      </c>
      <c r="G3790" s="2" t="s">
        <v>8667</v>
      </c>
      <c r="H3790" s="2" t="s">
        <v>11975</v>
      </c>
      <c r="I3790" s="2" t="s">
        <v>2602</v>
      </c>
      <c r="J3790" s="2" t="s">
        <v>522</v>
      </c>
      <c r="K3790" s="2" t="s">
        <v>386</v>
      </c>
      <c r="L3790" s="3">
        <v>32.9</v>
      </c>
      <c r="M3790" s="3">
        <v>34.54</v>
      </c>
      <c r="N3790" s="3">
        <v>69.99</v>
      </c>
      <c r="O3790" s="2" t="s">
        <v>97</v>
      </c>
      <c r="P3790" s="2" t="s">
        <v>98</v>
      </c>
      <c r="Q3790" s="2" t="s">
        <v>99</v>
      </c>
      <c r="R3790" s="2" t="s">
        <v>100</v>
      </c>
      <c r="S3790" s="2" t="s">
        <v>11976</v>
      </c>
      <c r="T3790" s="2" t="s">
        <v>438</v>
      </c>
      <c r="U3790" s="2" t="s">
        <v>1228</v>
      </c>
      <c r="V3790" s="2" t="s">
        <v>192</v>
      </c>
      <c r="W3790" s="2" t="s">
        <v>609</v>
      </c>
      <c r="X3790" s="2" t="s">
        <v>142</v>
      </c>
      <c r="Y3790" s="2" t="s">
        <v>144</v>
      </c>
      <c r="Z3790" s="4">
        <v>86</v>
      </c>
      <c r="AA3790" s="4">
        <f>=ROUNDDOWN(6.14285714285714,0)</f>
      </c>
      <c r="AB3790" s="5">
        <v>14</v>
      </c>
      <c r="AC3790" s="2" t="s">
        <v>206</v>
      </c>
      <c r="AD3790" s="4">
        <v>300</v>
      </c>
      <c r="AE3790" s="4">
        <v>300</v>
      </c>
      <c r="AF3790" s="6">
        <v>65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9</v>
      </c>
      <c r="AQ3790" s="8">
        <v>283.41</v>
      </c>
      <c r="AR3790" s="4"/>
      <c r="AS3790" s="8"/>
      <c r="AT3790" s="7"/>
      <c r="AU3790" s="7"/>
      <c r="AV3790" s="4">
        <v>9</v>
      </c>
      <c r="AW3790" s="8">
        <v>283.41</v>
      </c>
      <c r="AX3790" s="4"/>
      <c r="AY3790" s="8"/>
      <c r="AZ3790" s="7"/>
      <c r="BA3790" s="7"/>
      <c r="BB3790" s="7">
        <v>1</v>
      </c>
      <c r="BC3790" s="4">
        <v>9</v>
      </c>
      <c r="BD3790" s="8">
        <v>283.41</v>
      </c>
      <c r="BE3790" s="4"/>
      <c r="BF3790" s="8"/>
      <c r="BG3790" s="7"/>
      <c r="BH3790" s="7"/>
      <c r="BI3790" s="7">
        <v>1</v>
      </c>
      <c r="BJ3790" s="4">
        <v>42</v>
      </c>
      <c r="BK3790" s="8">
        <v>1422.51</v>
      </c>
      <c r="BL3790" s="2" t="s">
        <v>11977</v>
      </c>
      <c r="BM3790" s="7">
        <v>0.2143</v>
      </c>
      <c r="BN3790" s="7">
        <v>0.1992</v>
      </c>
      <c r="BO3790" s="4">
        <v>9</v>
      </c>
      <c r="BP3790" s="8">
        <v>283.41</v>
      </c>
      <c r="BQ3790" s="4"/>
      <c r="BR3790" s="8"/>
      <c r="BS3790" s="7"/>
      <c r="BT3790" s="7"/>
      <c r="BU3790" s="2" t="s">
        <v>109</v>
      </c>
      <c r="BV3790" s="2" t="s">
        <v>97</v>
      </c>
      <c r="BW3790" s="2" t="s">
        <v>159</v>
      </c>
      <c r="BX3790" s="2" t="s">
        <v>11978</v>
      </c>
      <c r="BY3790" s="2" t="s">
        <v>112</v>
      </c>
      <c r="BZ3790" s="2" t="s">
        <v>100</v>
      </c>
    </row>
    <row r="3791">
      <c r="A3791" s="2" t="s">
        <v>11979</v>
      </c>
      <c r="B3791" s="2" t="s">
        <v>11630</v>
      </c>
      <c r="C3791" s="2" t="s">
        <v>10487</v>
      </c>
      <c r="D3791" s="2" t="s">
        <v>89</v>
      </c>
      <c r="E3791" s="2" t="s">
        <v>90</v>
      </c>
      <c r="F3791" s="2" t="s">
        <v>11980</v>
      </c>
      <c r="G3791" s="2" t="s">
        <v>11981</v>
      </c>
      <c r="H3791" s="2" t="s">
        <v>6827</v>
      </c>
      <c r="I3791" s="2" t="s">
        <v>11692</v>
      </c>
      <c r="J3791" s="2" t="s">
        <v>529</v>
      </c>
      <c r="K3791" s="2" t="s">
        <v>626</v>
      </c>
      <c r="L3791" s="3">
        <v>39</v>
      </c>
      <c r="M3791" s="3">
        <v>40.95</v>
      </c>
      <c r="N3791" s="3">
        <v>89.99</v>
      </c>
      <c r="O3791" s="2" t="s">
        <v>97</v>
      </c>
      <c r="P3791" s="2" t="s">
        <v>98</v>
      </c>
      <c r="Q3791" s="2" t="s">
        <v>99</v>
      </c>
      <c r="R3791" s="2" t="s">
        <v>100</v>
      </c>
      <c r="S3791" s="2" t="s">
        <v>11982</v>
      </c>
      <c r="T3791" s="2" t="s">
        <v>438</v>
      </c>
      <c r="U3791" s="2" t="s">
        <v>1228</v>
      </c>
      <c r="V3791" s="2" t="s">
        <v>192</v>
      </c>
      <c r="W3791" s="2" t="s">
        <v>609</v>
      </c>
      <c r="X3791" s="2" t="s">
        <v>142</v>
      </c>
      <c r="Y3791" s="2" t="s">
        <v>6381</v>
      </c>
      <c r="Z3791" s="4">
        <v>49</v>
      </c>
      <c r="AA3791" s="4">
        <f>=ROUNDDOWN(2.57894736842105,0)</f>
      </c>
      <c r="AB3791" s="5">
        <v>19</v>
      </c>
      <c r="AC3791" s="2" t="s">
        <v>2121</v>
      </c>
      <c r="AD3791" s="4">
        <v>200</v>
      </c>
      <c r="AE3791" s="4">
        <v>200</v>
      </c>
      <c r="AF3791" s="6">
        <v>65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/>
      <c r="BD3791" s="8"/>
      <c r="BE3791" s="4"/>
      <c r="BF3791" s="8"/>
      <c r="BG3791" s="7"/>
      <c r="BH3791" s="7"/>
      <c r="BI3791" s="7"/>
      <c r="BJ3791" s="4">
        <v>58</v>
      </c>
      <c r="BK3791" s="8">
        <v>2587.13</v>
      </c>
      <c r="BL3791" s="2" t="s">
        <v>511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171</v>
      </c>
      <c r="BV3791" s="2" t="s">
        <v>97</v>
      </c>
      <c r="BW3791" s="2" t="s">
        <v>100</v>
      </c>
      <c r="BX3791" s="2" t="s">
        <v>100</v>
      </c>
      <c r="BY3791" s="2" t="s">
        <v>112</v>
      </c>
      <c r="BZ3791" s="2" t="s">
        <v>149</v>
      </c>
    </row>
    <row r="3792">
      <c r="A3792" s="2" t="s">
        <v>11983</v>
      </c>
      <c r="B3792" s="2" t="s">
        <v>11630</v>
      </c>
      <c r="C3792" s="2" t="s">
        <v>10487</v>
      </c>
      <c r="D3792" s="2" t="s">
        <v>89</v>
      </c>
      <c r="E3792" s="2" t="s">
        <v>90</v>
      </c>
      <c r="F3792" s="2" t="s">
        <v>3615</v>
      </c>
      <c r="G3792" s="2" t="s">
        <v>11984</v>
      </c>
      <c r="H3792" s="2" t="s">
        <v>11985</v>
      </c>
      <c r="I3792" s="2" t="s">
        <v>11986</v>
      </c>
      <c r="J3792" s="2" t="s">
        <v>352</v>
      </c>
      <c r="K3792" s="2" t="s">
        <v>3570</v>
      </c>
      <c r="L3792" s="3">
        <v>33.33</v>
      </c>
      <c r="M3792" s="3">
        <v>35</v>
      </c>
      <c r="N3792" s="3">
        <v>69.99</v>
      </c>
      <c r="O3792" s="2" t="s">
        <v>97</v>
      </c>
      <c r="P3792" s="2" t="s">
        <v>98</v>
      </c>
      <c r="Q3792" s="2" t="s">
        <v>99</v>
      </c>
      <c r="R3792" s="2" t="s">
        <v>100</v>
      </c>
      <c r="S3792" s="2" t="s">
        <v>11987</v>
      </c>
      <c r="T3792" s="2" t="s">
        <v>4296</v>
      </c>
      <c r="U3792" s="2" t="s">
        <v>901</v>
      </c>
      <c r="V3792" s="2" t="s">
        <v>461</v>
      </c>
      <c r="W3792" s="2" t="s">
        <v>609</v>
      </c>
      <c r="X3792" s="2" t="s">
        <v>142</v>
      </c>
      <c r="Y3792" s="2" t="s">
        <v>100</v>
      </c>
      <c r="Z3792" s="4"/>
      <c r="AA3792" s="4">
        <f>=ROUNDDOWN({0},0)</f>
      </c>
      <c r="AB3792" s="5"/>
      <c r="AC3792" s="2" t="s">
        <v>1468</v>
      </c>
      <c r="AD3792" s="4">
        <v>200</v>
      </c>
      <c r="AE3792" s="4">
        <v>420</v>
      </c>
      <c r="AF3792" s="6">
        <v>65</v>
      </c>
      <c r="AG3792" s="6"/>
      <c r="AH3792" s="7">
        <v>0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/>
      <c r="AQ3792" s="8"/>
      <c r="AR3792" s="4"/>
      <c r="AS3792" s="8"/>
      <c r="AT3792" s="7"/>
      <c r="AU3792" s="7"/>
      <c r="AV3792" s="4" t="s">
        <v>100</v>
      </c>
      <c r="AW3792" s="8" t="s">
        <v>100</v>
      </c>
      <c r="AX3792" s="4" t="s">
        <v>100</v>
      </c>
      <c r="AY3792" s="8" t="s">
        <v>100</v>
      </c>
      <c r="AZ3792" s="7" t="s">
        <v>100</v>
      </c>
      <c r="BA3792" s="7" t="s">
        <v>100</v>
      </c>
      <c r="BB3792" s="7"/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/>
      <c r="BJ3792" s="4"/>
      <c r="BK3792" s="8"/>
      <c r="BL3792" s="2" t="s">
        <v>100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2526</v>
      </c>
      <c r="BV3792" s="2" t="s">
        <v>97</v>
      </c>
      <c r="BW3792" s="2" t="s">
        <v>100</v>
      </c>
      <c r="BX3792" s="2" t="s">
        <v>100</v>
      </c>
      <c r="BY3792" s="2" t="s">
        <v>112</v>
      </c>
      <c r="BZ3792" s="2" t="s">
        <v>100</v>
      </c>
    </row>
    <row r="3793">
      <c r="A3793" s="2" t="s">
        <v>11988</v>
      </c>
      <c r="B3793" s="2" t="s">
        <v>11630</v>
      </c>
      <c r="C3793" s="2" t="s">
        <v>10487</v>
      </c>
      <c r="D3793" s="2" t="s">
        <v>89</v>
      </c>
      <c r="E3793" s="2" t="s">
        <v>90</v>
      </c>
      <c r="F3793" s="2" t="s">
        <v>3615</v>
      </c>
      <c r="G3793" s="2" t="s">
        <v>11984</v>
      </c>
      <c r="H3793" s="2" t="s">
        <v>11985</v>
      </c>
      <c r="I3793" s="2" t="s">
        <v>11986</v>
      </c>
      <c r="J3793" s="2" t="s">
        <v>522</v>
      </c>
      <c r="K3793" s="2" t="s">
        <v>3570</v>
      </c>
      <c r="L3793" s="3">
        <v>38.09</v>
      </c>
      <c r="M3793" s="3">
        <v>39.99</v>
      </c>
      <c r="N3793" s="3">
        <v>79.99</v>
      </c>
      <c r="O3793" s="2" t="s">
        <v>97</v>
      </c>
      <c r="P3793" s="2" t="s">
        <v>98</v>
      </c>
      <c r="Q3793" s="2" t="s">
        <v>99</v>
      </c>
      <c r="R3793" s="2" t="s">
        <v>100</v>
      </c>
      <c r="S3793" s="2" t="s">
        <v>11987</v>
      </c>
      <c r="T3793" s="2" t="s">
        <v>4296</v>
      </c>
      <c r="U3793" s="2" t="s">
        <v>1228</v>
      </c>
      <c r="V3793" s="2" t="s">
        <v>461</v>
      </c>
      <c r="W3793" s="2" t="s">
        <v>609</v>
      </c>
      <c r="X3793" s="2" t="s">
        <v>142</v>
      </c>
      <c r="Y3793" s="2" t="s">
        <v>100</v>
      </c>
      <c r="Z3793" s="4"/>
      <c r="AA3793" s="4">
        <f>=ROUNDDOWN({0},0)</f>
      </c>
      <c r="AB3793" s="5"/>
      <c r="AC3793" s="2" t="s">
        <v>1468</v>
      </c>
      <c r="AD3793" s="4">
        <v>280</v>
      </c>
      <c r="AE3793" s="4">
        <v>580</v>
      </c>
      <c r="AF3793" s="6">
        <v>65</v>
      </c>
      <c r="AG3793" s="6"/>
      <c r="AH3793" s="7">
        <v>0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/>
      <c r="AQ3793" s="8"/>
      <c r="AR3793" s="4"/>
      <c r="AS3793" s="8"/>
      <c r="AT3793" s="7"/>
      <c r="AU3793" s="7"/>
      <c r="AV3793" s="4" t="s">
        <v>100</v>
      </c>
      <c r="AW3793" s="8" t="s">
        <v>100</v>
      </c>
      <c r="AX3793" s="4" t="s">
        <v>100</v>
      </c>
      <c r="AY3793" s="8" t="s">
        <v>100</v>
      </c>
      <c r="AZ3793" s="7" t="s">
        <v>100</v>
      </c>
      <c r="BA3793" s="7" t="s">
        <v>100</v>
      </c>
      <c r="BB3793" s="7"/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/>
      <c r="BJ3793" s="4"/>
      <c r="BK3793" s="8"/>
      <c r="BL3793" s="2" t="s">
        <v>100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2526</v>
      </c>
      <c r="BV3793" s="2" t="s">
        <v>97</v>
      </c>
      <c r="BW3793" s="2" t="s">
        <v>100</v>
      </c>
      <c r="BX3793" s="2" t="s">
        <v>100</v>
      </c>
      <c r="BY3793" s="2" t="s">
        <v>112</v>
      </c>
      <c r="BZ3793" s="2" t="s">
        <v>100</v>
      </c>
    </row>
    <row r="3794">
      <c r="A3794" s="2" t="s">
        <v>11989</v>
      </c>
      <c r="B3794" s="2" t="s">
        <v>11630</v>
      </c>
      <c r="C3794" s="2" t="s">
        <v>10487</v>
      </c>
      <c r="D3794" s="2" t="s">
        <v>89</v>
      </c>
      <c r="E3794" s="2" t="s">
        <v>90</v>
      </c>
      <c r="F3794" s="2" t="s">
        <v>3615</v>
      </c>
      <c r="G3794" s="2" t="s">
        <v>11984</v>
      </c>
      <c r="H3794" s="2" t="s">
        <v>11985</v>
      </c>
      <c r="I3794" s="2" t="s">
        <v>11986</v>
      </c>
      <c r="J3794" s="2" t="s">
        <v>352</v>
      </c>
      <c r="K3794" s="2" t="s">
        <v>11990</v>
      </c>
      <c r="L3794" s="3">
        <v>33.33</v>
      </c>
      <c r="M3794" s="3">
        <v>35</v>
      </c>
      <c r="N3794" s="3">
        <v>69.99</v>
      </c>
      <c r="O3794" s="2" t="s">
        <v>97</v>
      </c>
      <c r="P3794" s="2" t="s">
        <v>98</v>
      </c>
      <c r="Q3794" s="2" t="s">
        <v>99</v>
      </c>
      <c r="R3794" s="2" t="s">
        <v>100</v>
      </c>
      <c r="S3794" s="2" t="s">
        <v>11991</v>
      </c>
      <c r="T3794" s="2" t="s">
        <v>4296</v>
      </c>
      <c r="U3794" s="2" t="s">
        <v>901</v>
      </c>
      <c r="V3794" s="2" t="s">
        <v>547</v>
      </c>
      <c r="W3794" s="2" t="s">
        <v>609</v>
      </c>
      <c r="X3794" s="2" t="s">
        <v>142</v>
      </c>
      <c r="Y3794" s="2" t="s">
        <v>100</v>
      </c>
      <c r="Z3794" s="4"/>
      <c r="AA3794" s="4">
        <f>=ROUNDDOWN({0},0)</f>
      </c>
      <c r="AB3794" s="5"/>
      <c r="AC3794" s="2" t="s">
        <v>1468</v>
      </c>
      <c r="AD3794" s="4">
        <v>200</v>
      </c>
      <c r="AE3794" s="4">
        <v>420</v>
      </c>
      <c r="AF3794" s="6">
        <v>65</v>
      </c>
      <c r="AG3794" s="6"/>
      <c r="AH3794" s="7">
        <v>0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/>
      <c r="AQ3794" s="8"/>
      <c r="AR3794" s="4"/>
      <c r="AS3794" s="8"/>
      <c r="AT3794" s="7"/>
      <c r="AU3794" s="7"/>
      <c r="AV3794" s="4" t="s">
        <v>100</v>
      </c>
      <c r="AW3794" s="8" t="s">
        <v>100</v>
      </c>
      <c r="AX3794" s="4" t="s">
        <v>100</v>
      </c>
      <c r="AY3794" s="8" t="s">
        <v>100</v>
      </c>
      <c r="AZ3794" s="7" t="s">
        <v>100</v>
      </c>
      <c r="BA3794" s="7" t="s">
        <v>100</v>
      </c>
      <c r="BB3794" s="7"/>
      <c r="BC3794" s="4" t="s">
        <v>100</v>
      </c>
      <c r="BD3794" s="8" t="s">
        <v>100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/>
      <c r="BJ3794" s="4"/>
      <c r="BK3794" s="8"/>
      <c r="BL3794" s="2" t="s">
        <v>100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2526</v>
      </c>
      <c r="BV3794" s="2" t="s">
        <v>97</v>
      </c>
      <c r="BW3794" s="2" t="s">
        <v>100</v>
      </c>
      <c r="BX3794" s="2" t="s">
        <v>100</v>
      </c>
      <c r="BY3794" s="2" t="s">
        <v>112</v>
      </c>
      <c r="BZ3794" s="2" t="s">
        <v>100</v>
      </c>
    </row>
    <row r="3795">
      <c r="A3795" s="2" t="s">
        <v>11992</v>
      </c>
      <c r="B3795" s="2" t="s">
        <v>11630</v>
      </c>
      <c r="C3795" s="2" t="s">
        <v>10487</v>
      </c>
      <c r="D3795" s="2" t="s">
        <v>89</v>
      </c>
      <c r="E3795" s="2" t="s">
        <v>90</v>
      </c>
      <c r="F3795" s="2" t="s">
        <v>3615</v>
      </c>
      <c r="G3795" s="2" t="s">
        <v>11984</v>
      </c>
      <c r="H3795" s="2" t="s">
        <v>11985</v>
      </c>
      <c r="I3795" s="2" t="s">
        <v>11986</v>
      </c>
      <c r="J3795" s="2" t="s">
        <v>522</v>
      </c>
      <c r="K3795" s="2" t="s">
        <v>11990</v>
      </c>
      <c r="L3795" s="3">
        <v>38.09</v>
      </c>
      <c r="M3795" s="3">
        <v>39.99</v>
      </c>
      <c r="N3795" s="3">
        <v>79.99</v>
      </c>
      <c r="O3795" s="2" t="s">
        <v>97</v>
      </c>
      <c r="P3795" s="2" t="s">
        <v>98</v>
      </c>
      <c r="Q3795" s="2" t="s">
        <v>99</v>
      </c>
      <c r="R3795" s="2" t="s">
        <v>100</v>
      </c>
      <c r="S3795" s="2" t="s">
        <v>11991</v>
      </c>
      <c r="T3795" s="2" t="s">
        <v>4296</v>
      </c>
      <c r="U3795" s="2" t="s">
        <v>1228</v>
      </c>
      <c r="V3795" s="2" t="s">
        <v>547</v>
      </c>
      <c r="W3795" s="2" t="s">
        <v>609</v>
      </c>
      <c r="X3795" s="2" t="s">
        <v>142</v>
      </c>
      <c r="Y3795" s="2" t="s">
        <v>100</v>
      </c>
      <c r="Z3795" s="4"/>
      <c r="AA3795" s="4">
        <f>=ROUNDDOWN({0},0)</f>
      </c>
      <c r="AB3795" s="5"/>
      <c r="AC3795" s="2" t="s">
        <v>1468</v>
      </c>
      <c r="AD3795" s="4">
        <v>280</v>
      </c>
      <c r="AE3795" s="4">
        <v>580</v>
      </c>
      <c r="AF3795" s="6">
        <v>65</v>
      </c>
      <c r="AG3795" s="6"/>
      <c r="AH3795" s="7">
        <v>0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/>
      <c r="AQ3795" s="8"/>
      <c r="AR3795" s="4"/>
      <c r="AS3795" s="8"/>
      <c r="AT3795" s="7"/>
      <c r="AU3795" s="7"/>
      <c r="AV3795" s="4" t="s">
        <v>100</v>
      </c>
      <c r="AW3795" s="8" t="s">
        <v>100</v>
      </c>
      <c r="AX3795" s="4" t="s">
        <v>100</v>
      </c>
      <c r="AY3795" s="8" t="s">
        <v>100</v>
      </c>
      <c r="AZ3795" s="7" t="s">
        <v>100</v>
      </c>
      <c r="BA3795" s="7" t="s">
        <v>100</v>
      </c>
      <c r="BB3795" s="7"/>
      <c r="BC3795" s="4" t="s">
        <v>100</v>
      </c>
      <c r="BD3795" s="8" t="s">
        <v>100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/>
      <c r="BJ3795" s="4"/>
      <c r="BK3795" s="8"/>
      <c r="BL3795" s="2" t="s">
        <v>100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2526</v>
      </c>
      <c r="BV3795" s="2" t="s">
        <v>97</v>
      </c>
      <c r="BW3795" s="2" t="s">
        <v>100</v>
      </c>
      <c r="BX3795" s="2" t="s">
        <v>100</v>
      </c>
      <c r="BY3795" s="2" t="s">
        <v>112</v>
      </c>
      <c r="BZ3795" s="2" t="s">
        <v>100</v>
      </c>
    </row>
    <row r="3796">
      <c r="A3796" s="2" t="s">
        <v>11993</v>
      </c>
      <c r="B3796" s="2" t="s">
        <v>11630</v>
      </c>
      <c r="C3796" s="2" t="s">
        <v>10487</v>
      </c>
      <c r="D3796" s="2" t="s">
        <v>89</v>
      </c>
      <c r="E3796" s="2" t="s">
        <v>90</v>
      </c>
      <c r="F3796" s="2" t="s">
        <v>3615</v>
      </c>
      <c r="G3796" s="2" t="s">
        <v>11984</v>
      </c>
      <c r="H3796" s="2" t="s">
        <v>11985</v>
      </c>
      <c r="I3796" s="2" t="s">
        <v>11986</v>
      </c>
      <c r="J3796" s="2" t="s">
        <v>352</v>
      </c>
      <c r="K3796" s="2" t="s">
        <v>8513</v>
      </c>
      <c r="L3796" s="3">
        <v>33.33</v>
      </c>
      <c r="M3796" s="3">
        <v>35</v>
      </c>
      <c r="N3796" s="3">
        <v>69.99</v>
      </c>
      <c r="O3796" s="2" t="s">
        <v>97</v>
      </c>
      <c r="P3796" s="2" t="s">
        <v>98</v>
      </c>
      <c r="Q3796" s="2" t="s">
        <v>99</v>
      </c>
      <c r="R3796" s="2" t="s">
        <v>100</v>
      </c>
      <c r="S3796" s="2" t="s">
        <v>11994</v>
      </c>
      <c r="T3796" s="2" t="s">
        <v>4296</v>
      </c>
      <c r="U3796" s="2" t="s">
        <v>901</v>
      </c>
      <c r="V3796" s="2" t="s">
        <v>461</v>
      </c>
      <c r="W3796" s="2" t="s">
        <v>609</v>
      </c>
      <c r="X3796" s="2" t="s">
        <v>142</v>
      </c>
      <c r="Y3796" s="2" t="s">
        <v>100</v>
      </c>
      <c r="Z3796" s="4"/>
      <c r="AA3796" s="4">
        <f>=ROUNDDOWN({0},0)</f>
      </c>
      <c r="AB3796" s="5"/>
      <c r="AC3796" s="2" t="s">
        <v>1468</v>
      </c>
      <c r="AD3796" s="4">
        <v>230</v>
      </c>
      <c r="AE3796" s="4">
        <v>460</v>
      </c>
      <c r="AF3796" s="6">
        <v>65</v>
      </c>
      <c r="AG3796" s="6"/>
      <c r="AH3796" s="7">
        <v>0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/>
      <c r="AQ3796" s="8"/>
      <c r="AR3796" s="4"/>
      <c r="AS3796" s="8"/>
      <c r="AT3796" s="7"/>
      <c r="AU3796" s="7"/>
      <c r="AV3796" s="4" t="s">
        <v>100</v>
      </c>
      <c r="AW3796" s="8" t="s">
        <v>100</v>
      </c>
      <c r="AX3796" s="4" t="s">
        <v>100</v>
      </c>
      <c r="AY3796" s="8" t="s">
        <v>100</v>
      </c>
      <c r="AZ3796" s="7" t="s">
        <v>100</v>
      </c>
      <c r="BA3796" s="7" t="s">
        <v>100</v>
      </c>
      <c r="BB3796" s="7"/>
      <c r="BC3796" s="4" t="s">
        <v>100</v>
      </c>
      <c r="BD3796" s="8" t="s">
        <v>100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/>
      <c r="BJ3796" s="4"/>
      <c r="BK3796" s="8"/>
      <c r="BL3796" s="2" t="s">
        <v>100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2526</v>
      </c>
      <c r="BV3796" s="2" t="s">
        <v>97</v>
      </c>
      <c r="BW3796" s="2" t="s">
        <v>100</v>
      </c>
      <c r="BX3796" s="2" t="s">
        <v>100</v>
      </c>
      <c r="BY3796" s="2" t="s">
        <v>112</v>
      </c>
      <c r="BZ3796" s="2" t="s">
        <v>100</v>
      </c>
    </row>
    <row r="3797">
      <c r="A3797" s="2" t="s">
        <v>11995</v>
      </c>
      <c r="B3797" s="2" t="s">
        <v>11630</v>
      </c>
      <c r="C3797" s="2" t="s">
        <v>10487</v>
      </c>
      <c r="D3797" s="2" t="s">
        <v>89</v>
      </c>
      <c r="E3797" s="2" t="s">
        <v>90</v>
      </c>
      <c r="F3797" s="2" t="s">
        <v>3615</v>
      </c>
      <c r="G3797" s="2" t="s">
        <v>11984</v>
      </c>
      <c r="H3797" s="2" t="s">
        <v>11985</v>
      </c>
      <c r="I3797" s="2" t="s">
        <v>11986</v>
      </c>
      <c r="J3797" s="2" t="s">
        <v>522</v>
      </c>
      <c r="K3797" s="2" t="s">
        <v>8513</v>
      </c>
      <c r="L3797" s="3">
        <v>38.09</v>
      </c>
      <c r="M3797" s="3">
        <v>39.99</v>
      </c>
      <c r="N3797" s="3">
        <v>79.99</v>
      </c>
      <c r="O3797" s="2" t="s">
        <v>97</v>
      </c>
      <c r="P3797" s="2" t="s">
        <v>98</v>
      </c>
      <c r="Q3797" s="2" t="s">
        <v>99</v>
      </c>
      <c r="R3797" s="2" t="s">
        <v>100</v>
      </c>
      <c r="S3797" s="2" t="s">
        <v>11994</v>
      </c>
      <c r="T3797" s="2" t="s">
        <v>4296</v>
      </c>
      <c r="U3797" s="2" t="s">
        <v>1228</v>
      </c>
      <c r="V3797" s="2" t="s">
        <v>461</v>
      </c>
      <c r="W3797" s="2" t="s">
        <v>609</v>
      </c>
      <c r="X3797" s="2" t="s">
        <v>142</v>
      </c>
      <c r="Y3797" s="2" t="s">
        <v>100</v>
      </c>
      <c r="Z3797" s="4"/>
      <c r="AA3797" s="4">
        <f>=ROUNDDOWN({0},0)</f>
      </c>
      <c r="AB3797" s="5"/>
      <c r="AC3797" s="2" t="s">
        <v>1468</v>
      </c>
      <c r="AD3797" s="4">
        <v>300</v>
      </c>
      <c r="AE3797" s="4">
        <v>640</v>
      </c>
      <c r="AF3797" s="6">
        <v>65</v>
      </c>
      <c r="AG3797" s="6"/>
      <c r="AH3797" s="7">
        <v>0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/>
      <c r="AQ3797" s="8"/>
      <c r="AR3797" s="4"/>
      <c r="AS3797" s="8"/>
      <c r="AT3797" s="7"/>
      <c r="AU3797" s="7"/>
      <c r="AV3797" s="4" t="s">
        <v>100</v>
      </c>
      <c r="AW3797" s="8" t="s">
        <v>100</v>
      </c>
      <c r="AX3797" s="4" t="s">
        <v>100</v>
      </c>
      <c r="AY3797" s="8" t="s">
        <v>100</v>
      </c>
      <c r="AZ3797" s="7" t="s">
        <v>100</v>
      </c>
      <c r="BA3797" s="7" t="s">
        <v>100</v>
      </c>
      <c r="BB3797" s="7"/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/>
      <c r="BJ3797" s="4"/>
      <c r="BK3797" s="8"/>
      <c r="BL3797" s="2" t="s">
        <v>100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2526</v>
      </c>
      <c r="BV3797" s="2" t="s">
        <v>97</v>
      </c>
      <c r="BW3797" s="2" t="s">
        <v>100</v>
      </c>
      <c r="BX3797" s="2" t="s">
        <v>100</v>
      </c>
      <c r="BY3797" s="2" t="s">
        <v>112</v>
      </c>
      <c r="BZ3797" s="2" t="s">
        <v>100</v>
      </c>
    </row>
    <row r="3798">
      <c r="A3798" s="2" t="s">
        <v>11996</v>
      </c>
      <c r="B3798" s="2" t="s">
        <v>11630</v>
      </c>
      <c r="C3798" s="2" t="s">
        <v>10487</v>
      </c>
      <c r="D3798" s="2" t="s">
        <v>89</v>
      </c>
      <c r="E3798" s="2" t="s">
        <v>887</v>
      </c>
      <c r="F3798" s="2" t="s">
        <v>11997</v>
      </c>
      <c r="G3798" s="2" t="s">
        <v>11998</v>
      </c>
      <c r="H3798" s="2" t="s">
        <v>11999</v>
      </c>
      <c r="I3798" s="2" t="s">
        <v>11783</v>
      </c>
      <c r="J3798" s="2" t="s">
        <v>352</v>
      </c>
      <c r="K3798" s="2" t="s">
        <v>12000</v>
      </c>
      <c r="L3798" s="3">
        <v>30.95</v>
      </c>
      <c r="M3798" s="3">
        <v>32.5</v>
      </c>
      <c r="N3798" s="3">
        <v>64.99</v>
      </c>
      <c r="O3798" s="2" t="s">
        <v>97</v>
      </c>
      <c r="P3798" s="2" t="s">
        <v>139</v>
      </c>
      <c r="Q3798" s="2" t="s">
        <v>99</v>
      </c>
      <c r="R3798" s="2" t="s">
        <v>100</v>
      </c>
      <c r="S3798" s="2" t="s">
        <v>12001</v>
      </c>
      <c r="T3798" s="2" t="s">
        <v>5436</v>
      </c>
      <c r="U3798" s="2" t="s">
        <v>894</v>
      </c>
      <c r="V3798" s="2" t="s">
        <v>4696</v>
      </c>
      <c r="W3798" s="2" t="s">
        <v>493</v>
      </c>
      <c r="X3798" s="2" t="s">
        <v>609</v>
      </c>
      <c r="Y3798" s="2" t="s">
        <v>7116</v>
      </c>
      <c r="Z3798" s="4">
        <v>112</v>
      </c>
      <c r="AA3798" s="4">
        <f>=ROUNDDOWN(4.8695652173913,0)</f>
      </c>
      <c r="AB3798" s="5">
        <v>23</v>
      </c>
      <c r="AC3798" s="2" t="s">
        <v>725</v>
      </c>
      <c r="AD3798" s="4">
        <v>300</v>
      </c>
      <c r="AE3798" s="4">
        <v>740</v>
      </c>
      <c r="AF3798" s="6">
        <v>65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/>
      <c r="AQ3798" s="8"/>
      <c r="AR3798" s="4"/>
      <c r="AS3798" s="8"/>
      <c r="AT3798" s="7"/>
      <c r="AU3798" s="7"/>
      <c r="AV3798" s="4" t="s">
        <v>100</v>
      </c>
      <c r="AW3798" s="8" t="s">
        <v>100</v>
      </c>
      <c r="AX3798" s="4" t="s">
        <v>100</v>
      </c>
      <c r="AY3798" s="8" t="s">
        <v>100</v>
      </c>
      <c r="AZ3798" s="7" t="s">
        <v>100</v>
      </c>
      <c r="BA3798" s="7" t="s">
        <v>100</v>
      </c>
      <c r="BB3798" s="7"/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/>
      <c r="BJ3798" s="4">
        <v>82</v>
      </c>
      <c r="BK3798" s="8">
        <v>2775.75</v>
      </c>
      <c r="BL3798" s="2" t="s">
        <v>12002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171</v>
      </c>
      <c r="BV3798" s="2" t="s">
        <v>97</v>
      </c>
      <c r="BW3798" s="2" t="s">
        <v>100</v>
      </c>
      <c r="BX3798" s="2" t="s">
        <v>100</v>
      </c>
      <c r="BY3798" s="2" t="s">
        <v>112</v>
      </c>
      <c r="BZ3798" s="2" t="s">
        <v>149</v>
      </c>
    </row>
    <row r="3799">
      <c r="A3799" s="2" t="s">
        <v>12003</v>
      </c>
      <c r="B3799" s="2" t="s">
        <v>11630</v>
      </c>
      <c r="C3799" s="2" t="s">
        <v>10487</v>
      </c>
      <c r="D3799" s="2" t="s">
        <v>89</v>
      </c>
      <c r="E3799" s="2" t="s">
        <v>887</v>
      </c>
      <c r="F3799" s="2" t="s">
        <v>11997</v>
      </c>
      <c r="G3799" s="2" t="s">
        <v>11998</v>
      </c>
      <c r="H3799" s="2" t="s">
        <v>11999</v>
      </c>
      <c r="I3799" s="2" t="s">
        <v>11783</v>
      </c>
      <c r="J3799" s="2" t="s">
        <v>522</v>
      </c>
      <c r="K3799" s="2" t="s">
        <v>12000</v>
      </c>
      <c r="L3799" s="3">
        <v>40.47</v>
      </c>
      <c r="M3799" s="3">
        <v>42.49</v>
      </c>
      <c r="N3799" s="3">
        <v>84.99</v>
      </c>
      <c r="O3799" s="2" t="s">
        <v>97</v>
      </c>
      <c r="P3799" s="2" t="s">
        <v>139</v>
      </c>
      <c r="Q3799" s="2" t="s">
        <v>99</v>
      </c>
      <c r="R3799" s="2" t="s">
        <v>100</v>
      </c>
      <c r="S3799" s="2" t="s">
        <v>12001</v>
      </c>
      <c r="T3799" s="2" t="s">
        <v>5436</v>
      </c>
      <c r="U3799" s="2" t="s">
        <v>901</v>
      </c>
      <c r="V3799" s="2" t="s">
        <v>4696</v>
      </c>
      <c r="W3799" s="2" t="s">
        <v>493</v>
      </c>
      <c r="X3799" s="2" t="s">
        <v>609</v>
      </c>
      <c r="Y3799" s="2" t="s">
        <v>7116</v>
      </c>
      <c r="Z3799" s="4">
        <v>216</v>
      </c>
      <c r="AA3799" s="4">
        <f>=ROUNDDOWN(6.96774193548387,0)</f>
      </c>
      <c r="AB3799" s="5">
        <v>31</v>
      </c>
      <c r="AC3799" s="2" t="s">
        <v>725</v>
      </c>
      <c r="AD3799" s="4">
        <v>600</v>
      </c>
      <c r="AE3799" s="4">
        <v>940</v>
      </c>
      <c r="AF3799" s="6">
        <v>65</v>
      </c>
      <c r="AG3799" s="6"/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/>
      <c r="AQ3799" s="8"/>
      <c r="AR3799" s="4"/>
      <c r="AS3799" s="8"/>
      <c r="AT3799" s="7"/>
      <c r="AU3799" s="7"/>
      <c r="AV3799" s="4" t="s">
        <v>100</v>
      </c>
      <c r="AW3799" s="8" t="s">
        <v>100</v>
      </c>
      <c r="AX3799" s="4" t="s">
        <v>100</v>
      </c>
      <c r="AY3799" s="8" t="s">
        <v>100</v>
      </c>
      <c r="AZ3799" s="7" t="s">
        <v>100</v>
      </c>
      <c r="BA3799" s="7" t="s">
        <v>100</v>
      </c>
      <c r="BB3799" s="7"/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/>
      <c r="BJ3799" s="4">
        <v>121</v>
      </c>
      <c r="BK3799" s="8">
        <v>5534.3</v>
      </c>
      <c r="BL3799" s="2" t="s">
        <v>4374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171</v>
      </c>
      <c r="BV3799" s="2" t="s">
        <v>97</v>
      </c>
      <c r="BW3799" s="2" t="s">
        <v>100</v>
      </c>
      <c r="BX3799" s="2" t="s">
        <v>100</v>
      </c>
      <c r="BY3799" s="2" t="s">
        <v>112</v>
      </c>
      <c r="BZ3799" s="2" t="s">
        <v>149</v>
      </c>
    </row>
    <row r="3800">
      <c r="A3800" s="2" t="s">
        <v>12004</v>
      </c>
      <c r="B3800" s="2" t="s">
        <v>11630</v>
      </c>
      <c r="C3800" s="2" t="s">
        <v>10487</v>
      </c>
      <c r="D3800" s="2" t="s">
        <v>963</v>
      </c>
      <c r="E3800" s="2" t="s">
        <v>1486</v>
      </c>
      <c r="F3800" s="2" t="s">
        <v>12005</v>
      </c>
      <c r="G3800" s="2" t="s">
        <v>12006</v>
      </c>
      <c r="H3800" s="2" t="s">
        <v>12007</v>
      </c>
      <c r="I3800" s="2" t="s">
        <v>12008</v>
      </c>
      <c r="J3800" s="2" t="s">
        <v>529</v>
      </c>
      <c r="K3800" s="2" t="s">
        <v>706</v>
      </c>
      <c r="L3800" s="3">
        <v>38.4</v>
      </c>
      <c r="M3800" s="3">
        <v>40.32</v>
      </c>
      <c r="N3800" s="3">
        <v>79.99</v>
      </c>
      <c r="O3800" s="2" t="s">
        <v>97</v>
      </c>
      <c r="P3800" s="2" t="s">
        <v>707</v>
      </c>
      <c r="Q3800" s="2" t="s">
        <v>99</v>
      </c>
      <c r="R3800" s="2" t="s">
        <v>100</v>
      </c>
      <c r="S3800" s="2" t="s">
        <v>12009</v>
      </c>
      <c r="T3800" s="2" t="s">
        <v>438</v>
      </c>
      <c r="U3800" s="2" t="s">
        <v>1228</v>
      </c>
      <c r="V3800" s="2" t="s">
        <v>2883</v>
      </c>
      <c r="W3800" s="2" t="s">
        <v>686</v>
      </c>
      <c r="X3800" s="2" t="s">
        <v>609</v>
      </c>
      <c r="Y3800" s="2" t="s">
        <v>144</v>
      </c>
      <c r="Z3800" s="4">
        <v>351</v>
      </c>
      <c r="AA3800" s="4">
        <f>=ROUNDDOWN(39,0)</f>
      </c>
      <c r="AB3800" s="5">
        <v>9</v>
      </c>
      <c r="AC3800" s="2" t="s">
        <v>100</v>
      </c>
      <c r="AD3800" s="4"/>
      <c r="AE3800" s="4"/>
      <c r="AF3800" s="6">
        <v>65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2</v>
      </c>
      <c r="AQ3800" s="8">
        <v>79.38</v>
      </c>
      <c r="AR3800" s="4"/>
      <c r="AS3800" s="8"/>
      <c r="AT3800" s="7"/>
      <c r="AU3800" s="7"/>
      <c r="AV3800" s="4">
        <v>2</v>
      </c>
      <c r="AW3800" s="8">
        <v>79.38</v>
      </c>
      <c r="AX3800" s="4"/>
      <c r="AY3800" s="8"/>
      <c r="AZ3800" s="7"/>
      <c r="BA3800" s="7"/>
      <c r="BB3800" s="7">
        <v>1</v>
      </c>
      <c r="BC3800" s="4">
        <v>2</v>
      </c>
      <c r="BD3800" s="8">
        <v>79.38</v>
      </c>
      <c r="BE3800" s="4"/>
      <c r="BF3800" s="8"/>
      <c r="BG3800" s="7"/>
      <c r="BH3800" s="7"/>
      <c r="BI3800" s="7">
        <v>1</v>
      </c>
      <c r="BJ3800" s="4">
        <v>10</v>
      </c>
      <c r="BK3800" s="8">
        <v>409.69</v>
      </c>
      <c r="BL3800" s="2" t="s">
        <v>12010</v>
      </c>
      <c r="BM3800" s="7">
        <v>0.2</v>
      </c>
      <c r="BN3800" s="7">
        <v>0.1938</v>
      </c>
      <c r="BO3800" s="4">
        <v>2</v>
      </c>
      <c r="BP3800" s="8">
        <v>79.38</v>
      </c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159</v>
      </c>
      <c r="BX3800" s="2" t="s">
        <v>12011</v>
      </c>
      <c r="BY3800" s="2" t="s">
        <v>112</v>
      </c>
      <c r="BZ3800" s="2" t="s">
        <v>100</v>
      </c>
    </row>
    <row r="3801">
      <c r="A3801" s="2" t="s">
        <v>12012</v>
      </c>
      <c r="B3801" s="2" t="s">
        <v>11630</v>
      </c>
      <c r="C3801" s="2" t="s">
        <v>10487</v>
      </c>
      <c r="D3801" s="2" t="s">
        <v>1496</v>
      </c>
      <c r="E3801" s="2" t="s">
        <v>1497</v>
      </c>
      <c r="F3801" s="2" t="s">
        <v>11997</v>
      </c>
      <c r="G3801" s="2" t="s">
        <v>11998</v>
      </c>
      <c r="H3801" s="2" t="s">
        <v>11999</v>
      </c>
      <c r="I3801" s="2" t="s">
        <v>12013</v>
      </c>
      <c r="J3801" s="2" t="s">
        <v>352</v>
      </c>
      <c r="K3801" s="2" t="s">
        <v>12000</v>
      </c>
      <c r="L3801" s="3">
        <v>23.8</v>
      </c>
      <c r="M3801" s="3">
        <v>24.99</v>
      </c>
      <c r="N3801" s="3">
        <v>49.99</v>
      </c>
      <c r="O3801" s="2" t="s">
        <v>97</v>
      </c>
      <c r="P3801" s="2" t="s">
        <v>98</v>
      </c>
      <c r="Q3801" s="2" t="s">
        <v>99</v>
      </c>
      <c r="R3801" s="2" t="s">
        <v>100</v>
      </c>
      <c r="S3801" s="2" t="s">
        <v>12001</v>
      </c>
      <c r="T3801" s="2" t="s">
        <v>5436</v>
      </c>
      <c r="U3801" s="2" t="s">
        <v>894</v>
      </c>
      <c r="V3801" s="2" t="s">
        <v>4696</v>
      </c>
      <c r="W3801" s="2" t="s">
        <v>493</v>
      </c>
      <c r="X3801" s="2" t="s">
        <v>609</v>
      </c>
      <c r="Y3801" s="2" t="s">
        <v>12014</v>
      </c>
      <c r="Z3801" s="4">
        <v>32</v>
      </c>
      <c r="AA3801" s="4">
        <f>=ROUNDDOWN(7.80487804878049,0)</f>
      </c>
      <c r="AB3801" s="5">
        <v>4.1</v>
      </c>
      <c r="AC3801" s="2" t="s">
        <v>1468</v>
      </c>
      <c r="AD3801" s="4">
        <v>200</v>
      </c>
      <c r="AE3801" s="4">
        <v>200</v>
      </c>
      <c r="AF3801" s="6">
        <v>65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/>
      <c r="AQ3801" s="8"/>
      <c r="AR3801" s="4"/>
      <c r="AS3801" s="8"/>
      <c r="AT3801" s="7"/>
      <c r="AU3801" s="7"/>
      <c r="AV3801" s="4" t="s">
        <v>100</v>
      </c>
      <c r="AW3801" s="8" t="s">
        <v>100</v>
      </c>
      <c r="AX3801" s="4" t="s">
        <v>100</v>
      </c>
      <c r="AY3801" s="8" t="s">
        <v>100</v>
      </c>
      <c r="AZ3801" s="7" t="s">
        <v>100</v>
      </c>
      <c r="BA3801" s="7" t="s">
        <v>100</v>
      </c>
      <c r="BB3801" s="7"/>
      <c r="BC3801" s="4" t="s">
        <v>100</v>
      </c>
      <c r="BD3801" s="8" t="s">
        <v>100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/>
      <c r="BJ3801" s="4">
        <v>33</v>
      </c>
      <c r="BK3801" s="8">
        <v>899</v>
      </c>
      <c r="BL3801" s="2" t="s">
        <v>11207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171</v>
      </c>
      <c r="BV3801" s="2" t="s">
        <v>97</v>
      </c>
      <c r="BW3801" s="2" t="s">
        <v>100</v>
      </c>
      <c r="BX3801" s="2" t="s">
        <v>100</v>
      </c>
      <c r="BY3801" s="2" t="s">
        <v>112</v>
      </c>
      <c r="BZ3801" s="2" t="s">
        <v>100</v>
      </c>
    </row>
    <row r="3802">
      <c r="A3802" s="2" t="s">
        <v>12015</v>
      </c>
      <c r="B3802" s="2" t="s">
        <v>11630</v>
      </c>
      <c r="C3802" s="2" t="s">
        <v>10487</v>
      </c>
      <c r="D3802" s="2" t="s">
        <v>1496</v>
      </c>
      <c r="E3802" s="2" t="s">
        <v>1497</v>
      </c>
      <c r="F3802" s="2" t="s">
        <v>11997</v>
      </c>
      <c r="G3802" s="2" t="s">
        <v>11998</v>
      </c>
      <c r="H3802" s="2" t="s">
        <v>11999</v>
      </c>
      <c r="I3802" s="2" t="s">
        <v>12013</v>
      </c>
      <c r="J3802" s="2" t="s">
        <v>522</v>
      </c>
      <c r="K3802" s="2" t="s">
        <v>12000</v>
      </c>
      <c r="L3802" s="3">
        <v>28.57</v>
      </c>
      <c r="M3802" s="3">
        <v>30</v>
      </c>
      <c r="N3802" s="3">
        <v>59.99</v>
      </c>
      <c r="O3802" s="2" t="s">
        <v>97</v>
      </c>
      <c r="P3802" s="2" t="s">
        <v>98</v>
      </c>
      <c r="Q3802" s="2" t="s">
        <v>99</v>
      </c>
      <c r="R3802" s="2" t="s">
        <v>100</v>
      </c>
      <c r="S3802" s="2" t="s">
        <v>12001</v>
      </c>
      <c r="T3802" s="2" t="s">
        <v>5436</v>
      </c>
      <c r="U3802" s="2" t="s">
        <v>901</v>
      </c>
      <c r="V3802" s="2" t="s">
        <v>4696</v>
      </c>
      <c r="W3802" s="2" t="s">
        <v>493</v>
      </c>
      <c r="X3802" s="2" t="s">
        <v>609</v>
      </c>
      <c r="Y3802" s="2" t="s">
        <v>12014</v>
      </c>
      <c r="Z3802" s="4">
        <v>92</v>
      </c>
      <c r="AA3802" s="4">
        <f>=ROUNDDOWN(18.4,0)</f>
      </c>
      <c r="AB3802" s="5">
        <v>5</v>
      </c>
      <c r="AC3802" s="2" t="s">
        <v>1468</v>
      </c>
      <c r="AD3802" s="4">
        <v>200</v>
      </c>
      <c r="AE3802" s="4">
        <v>200</v>
      </c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/>
      <c r="AQ3802" s="8"/>
      <c r="AR3802" s="4"/>
      <c r="AS3802" s="8"/>
      <c r="AT3802" s="7"/>
      <c r="AU3802" s="7"/>
      <c r="AV3802" s="4" t="s">
        <v>100</v>
      </c>
      <c r="AW3802" s="8" t="s">
        <v>100</v>
      </c>
      <c r="AX3802" s="4" t="s">
        <v>100</v>
      </c>
      <c r="AY3802" s="8" t="s">
        <v>100</v>
      </c>
      <c r="AZ3802" s="7" t="s">
        <v>100</v>
      </c>
      <c r="BA3802" s="7" t="s">
        <v>100</v>
      </c>
      <c r="BB3802" s="7"/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/>
      <c r="BJ3802" s="4">
        <v>50</v>
      </c>
      <c r="BK3802" s="8">
        <v>1632.92</v>
      </c>
      <c r="BL3802" s="2" t="s">
        <v>624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171</v>
      </c>
      <c r="BV3802" s="2" t="s">
        <v>97</v>
      </c>
      <c r="BW3802" s="2" t="s">
        <v>100</v>
      </c>
      <c r="BX3802" s="2" t="s">
        <v>100</v>
      </c>
      <c r="BY3802" s="2" t="s">
        <v>112</v>
      </c>
      <c r="BZ3802" s="2" t="s">
        <v>100</v>
      </c>
    </row>
    <row r="3803">
      <c r="A3803" s="2" t="s">
        <v>12016</v>
      </c>
      <c r="B3803" s="2" t="s">
        <v>11630</v>
      </c>
      <c r="C3803" s="2" t="s">
        <v>10487</v>
      </c>
      <c r="D3803" s="2" t="s">
        <v>1496</v>
      </c>
      <c r="E3803" s="2" t="s">
        <v>1648</v>
      </c>
      <c r="F3803" s="2" t="s">
        <v>3674</v>
      </c>
      <c r="G3803" s="2" t="s">
        <v>12017</v>
      </c>
      <c r="H3803" s="2" t="s">
        <v>12018</v>
      </c>
      <c r="I3803" s="2" t="s">
        <v>12019</v>
      </c>
      <c r="J3803" s="2" t="s">
        <v>352</v>
      </c>
      <c r="K3803" s="2" t="s">
        <v>471</v>
      </c>
      <c r="L3803" s="3">
        <v>28.2</v>
      </c>
      <c r="M3803" s="3">
        <v>29.61</v>
      </c>
      <c r="N3803" s="3">
        <v>59.99</v>
      </c>
      <c r="O3803" s="2" t="s">
        <v>97</v>
      </c>
      <c r="P3803" s="2" t="s">
        <v>98</v>
      </c>
      <c r="Q3803" s="2" t="s">
        <v>99</v>
      </c>
      <c r="R3803" s="2" t="s">
        <v>100</v>
      </c>
      <c r="S3803" s="2" t="s">
        <v>12020</v>
      </c>
      <c r="T3803" s="2" t="s">
        <v>438</v>
      </c>
      <c r="U3803" s="2" t="s">
        <v>901</v>
      </c>
      <c r="V3803" s="2" t="s">
        <v>547</v>
      </c>
      <c r="W3803" s="2" t="s">
        <v>493</v>
      </c>
      <c r="X3803" s="2" t="s">
        <v>609</v>
      </c>
      <c r="Y3803" s="2" t="s">
        <v>12021</v>
      </c>
      <c r="Z3803" s="4">
        <v>65</v>
      </c>
      <c r="AA3803" s="4">
        <f>=ROUNDDOWN(16.25,0)</f>
      </c>
      <c r="AB3803" s="5">
        <v>4</v>
      </c>
      <c r="AC3803" s="2" t="s">
        <v>130</v>
      </c>
      <c r="AD3803" s="4">
        <v>30</v>
      </c>
      <c r="AE3803" s="4">
        <v>100</v>
      </c>
      <c r="AF3803" s="6">
        <v>65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/>
      <c r="BD3803" s="8"/>
      <c r="BE3803" s="4"/>
      <c r="BF3803" s="8"/>
      <c r="BG3803" s="7"/>
      <c r="BH3803" s="7"/>
      <c r="BI3803" s="7"/>
      <c r="BJ3803" s="4">
        <v>15</v>
      </c>
      <c r="BK3803" s="8">
        <v>444.74</v>
      </c>
      <c r="BL3803" s="2" t="s">
        <v>5247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109</v>
      </c>
      <c r="BV3803" s="2" t="s">
        <v>97</v>
      </c>
      <c r="BW3803" s="2" t="s">
        <v>5780</v>
      </c>
      <c r="BX3803" s="2" t="s">
        <v>1055</v>
      </c>
      <c r="BY3803" s="2" t="s">
        <v>112</v>
      </c>
      <c r="BZ3803" s="2" t="s">
        <v>100</v>
      </c>
    </row>
    <row r="3804">
      <c r="A3804" s="2" t="s">
        <v>12022</v>
      </c>
      <c r="B3804" s="2" t="s">
        <v>11630</v>
      </c>
      <c r="C3804" s="2" t="s">
        <v>4028</v>
      </c>
      <c r="D3804" s="2" t="s">
        <v>963</v>
      </c>
      <c r="E3804" s="2" t="s">
        <v>964</v>
      </c>
      <c r="F3804" s="2" t="s">
        <v>5067</v>
      </c>
      <c r="G3804" s="2" t="s">
        <v>5068</v>
      </c>
      <c r="H3804" s="2" t="s">
        <v>5069</v>
      </c>
      <c r="I3804" s="2" t="s">
        <v>12023</v>
      </c>
      <c r="J3804" s="2" t="s">
        <v>969</v>
      </c>
      <c r="K3804" s="2" t="s">
        <v>4816</v>
      </c>
      <c r="L3804" s="3">
        <v>54.99</v>
      </c>
      <c r="M3804" s="3">
        <v>57.74</v>
      </c>
      <c r="N3804" s="3">
        <v>109.99</v>
      </c>
      <c r="O3804" s="2" t="s">
        <v>97</v>
      </c>
      <c r="P3804" s="2" t="s">
        <v>98</v>
      </c>
      <c r="Q3804" s="2" t="s">
        <v>99</v>
      </c>
      <c r="R3804" s="2" t="s">
        <v>100</v>
      </c>
      <c r="S3804" s="2" t="s">
        <v>5076</v>
      </c>
      <c r="T3804" s="2" t="s">
        <v>190</v>
      </c>
      <c r="U3804" s="2" t="s">
        <v>460</v>
      </c>
      <c r="V3804" s="2" t="s">
        <v>461</v>
      </c>
      <c r="W3804" s="2" t="s">
        <v>193</v>
      </c>
      <c r="X3804" s="2" t="s">
        <v>12024</v>
      </c>
      <c r="Y3804" s="2" t="s">
        <v>11409</v>
      </c>
      <c r="Z3804" s="4">
        <v>228</v>
      </c>
      <c r="AA3804" s="4">
        <f>=ROUNDDOWN(20.3571428571429,0)</f>
      </c>
      <c r="AB3804" s="5">
        <v>11.2</v>
      </c>
      <c r="AC3804" s="2" t="s">
        <v>2690</v>
      </c>
      <c r="AD3804" s="4">
        <v>70</v>
      </c>
      <c r="AE3804" s="4">
        <v>70</v>
      </c>
      <c r="AF3804" s="6">
        <v>66</v>
      </c>
      <c r="AG3804" s="6">
        <v>49</v>
      </c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2</v>
      </c>
      <c r="AQ3804" s="8">
        <v>113.4</v>
      </c>
      <c r="AR3804" s="4"/>
      <c r="AS3804" s="8"/>
      <c r="AT3804" s="7"/>
      <c r="AU3804" s="7"/>
      <c r="AV3804" s="4">
        <v>2</v>
      </c>
      <c r="AW3804" s="8">
        <v>113.4</v>
      </c>
      <c r="AX3804" s="4"/>
      <c r="AY3804" s="8"/>
      <c r="AZ3804" s="7"/>
      <c r="BA3804" s="7"/>
      <c r="BB3804" s="7">
        <v>1</v>
      </c>
      <c r="BC3804" s="4">
        <v>2</v>
      </c>
      <c r="BD3804" s="8">
        <v>113.4</v>
      </c>
      <c r="BE3804" s="4"/>
      <c r="BF3804" s="8"/>
      <c r="BG3804" s="7"/>
      <c r="BH3804" s="7"/>
      <c r="BI3804" s="7">
        <v>1</v>
      </c>
      <c r="BJ3804" s="4">
        <v>32</v>
      </c>
      <c r="BK3804" s="8">
        <v>1922.54</v>
      </c>
      <c r="BL3804" s="2" t="s">
        <v>12025</v>
      </c>
      <c r="BM3804" s="7">
        <v>0.0625</v>
      </c>
      <c r="BN3804" s="7">
        <v>0.059</v>
      </c>
      <c r="BO3804" s="4">
        <v>2</v>
      </c>
      <c r="BP3804" s="8">
        <v>113.4</v>
      </c>
      <c r="BQ3804" s="4"/>
      <c r="BR3804" s="8"/>
      <c r="BS3804" s="7"/>
      <c r="BT3804" s="7"/>
      <c r="BU3804" s="2" t="s">
        <v>109</v>
      </c>
      <c r="BV3804" s="2" t="s">
        <v>97</v>
      </c>
      <c r="BW3804" s="2" t="s">
        <v>905</v>
      </c>
      <c r="BX3804" s="2" t="s">
        <v>10588</v>
      </c>
      <c r="BY3804" s="2" t="s">
        <v>112</v>
      </c>
      <c r="BZ3804" s="2" t="s">
        <v>100</v>
      </c>
    </row>
    <row r="3805">
      <c r="A3805" s="2" t="s">
        <v>12026</v>
      </c>
      <c r="B3805" s="2" t="s">
        <v>11630</v>
      </c>
      <c r="C3805" s="2" t="s">
        <v>4028</v>
      </c>
      <c r="D3805" s="2" t="s">
        <v>963</v>
      </c>
      <c r="E3805" s="2" t="s">
        <v>1046</v>
      </c>
      <c r="F3805" s="2" t="s">
        <v>1132</v>
      </c>
      <c r="G3805" s="2" t="s">
        <v>12027</v>
      </c>
      <c r="H3805" s="2" t="s">
        <v>3185</v>
      </c>
      <c r="I3805" s="2" t="s">
        <v>12028</v>
      </c>
      <c r="J3805" s="2" t="s">
        <v>522</v>
      </c>
      <c r="K3805" s="2" t="s">
        <v>1373</v>
      </c>
      <c r="L3805" s="3">
        <v>71.39</v>
      </c>
      <c r="M3805" s="3">
        <v>74.96</v>
      </c>
      <c r="N3805" s="3">
        <v>139.99</v>
      </c>
      <c r="O3805" s="2" t="s">
        <v>97</v>
      </c>
      <c r="P3805" s="2" t="s">
        <v>98</v>
      </c>
      <c r="Q3805" s="2" t="s">
        <v>99</v>
      </c>
      <c r="R3805" s="2" t="s">
        <v>100</v>
      </c>
      <c r="S3805" s="2" t="s">
        <v>12029</v>
      </c>
      <c r="T3805" s="2" t="s">
        <v>190</v>
      </c>
      <c r="U3805" s="2" t="s">
        <v>901</v>
      </c>
      <c r="V3805" s="2" t="s">
        <v>461</v>
      </c>
      <c r="W3805" s="2" t="s">
        <v>493</v>
      </c>
      <c r="X3805" s="2" t="s">
        <v>271</v>
      </c>
      <c r="Y3805" s="2" t="s">
        <v>10161</v>
      </c>
      <c r="Z3805" s="4">
        <v>132</v>
      </c>
      <c r="AA3805" s="4">
        <f>=ROUNDDOWN(66,0)</f>
      </c>
      <c r="AB3805" s="5">
        <v>2</v>
      </c>
      <c r="AC3805" s="2" t="s">
        <v>100</v>
      </c>
      <c r="AD3805" s="4"/>
      <c r="AE3805" s="4"/>
      <c r="AF3805" s="6">
        <v>69</v>
      </c>
      <c r="AG3805" s="6"/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/>
      <c r="AQ3805" s="8"/>
      <c r="AR3805" s="4"/>
      <c r="AS3805" s="8"/>
      <c r="AT3805" s="7"/>
      <c r="AU3805" s="7"/>
      <c r="AV3805" s="4" t="s">
        <v>100</v>
      </c>
      <c r="AW3805" s="8" t="s">
        <v>100</v>
      </c>
      <c r="AX3805" s="4" t="s">
        <v>100</v>
      </c>
      <c r="AY3805" s="8" t="s">
        <v>100</v>
      </c>
      <c r="AZ3805" s="7" t="s">
        <v>100</v>
      </c>
      <c r="BA3805" s="7" t="s">
        <v>100</v>
      </c>
      <c r="BB3805" s="7"/>
      <c r="BC3805" s="4" t="s">
        <v>100</v>
      </c>
      <c r="BD3805" s="8" t="s">
        <v>100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/>
      <c r="BJ3805" s="4">
        <v>1</v>
      </c>
      <c r="BK3805" s="8">
        <v>80.7</v>
      </c>
      <c r="BL3805" s="2" t="s">
        <v>4176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496</v>
      </c>
      <c r="BX3805" s="2" t="s">
        <v>12030</v>
      </c>
      <c r="BY3805" s="2" t="s">
        <v>112</v>
      </c>
      <c r="BZ3805" s="2" t="s">
        <v>100</v>
      </c>
    </row>
    <row r="3806">
      <c r="A3806" s="2" t="s">
        <v>12031</v>
      </c>
      <c r="B3806" s="2" t="s">
        <v>11630</v>
      </c>
      <c r="C3806" s="2" t="s">
        <v>4028</v>
      </c>
      <c r="D3806" s="2" t="s">
        <v>963</v>
      </c>
      <c r="E3806" s="2" t="s">
        <v>1046</v>
      </c>
      <c r="F3806" s="2" t="s">
        <v>1132</v>
      </c>
      <c r="G3806" s="2" t="s">
        <v>12027</v>
      </c>
      <c r="H3806" s="2" t="s">
        <v>3185</v>
      </c>
      <c r="I3806" s="2" t="s">
        <v>12028</v>
      </c>
      <c r="J3806" s="2" t="s">
        <v>529</v>
      </c>
      <c r="K3806" s="2" t="s">
        <v>1373</v>
      </c>
      <c r="L3806" s="3">
        <v>81.59</v>
      </c>
      <c r="M3806" s="3">
        <v>85.67</v>
      </c>
      <c r="N3806" s="3">
        <v>159.99</v>
      </c>
      <c r="O3806" s="2" t="s">
        <v>97</v>
      </c>
      <c r="P3806" s="2" t="s">
        <v>98</v>
      </c>
      <c r="Q3806" s="2" t="s">
        <v>99</v>
      </c>
      <c r="R3806" s="2" t="s">
        <v>100</v>
      </c>
      <c r="S3806" s="2" t="s">
        <v>12029</v>
      </c>
      <c r="T3806" s="2" t="s">
        <v>190</v>
      </c>
      <c r="U3806" s="2" t="s">
        <v>901</v>
      </c>
      <c r="V3806" s="2" t="s">
        <v>461</v>
      </c>
      <c r="W3806" s="2" t="s">
        <v>493</v>
      </c>
      <c r="X3806" s="2" t="s">
        <v>271</v>
      </c>
      <c r="Y3806" s="2" t="s">
        <v>10161</v>
      </c>
      <c r="Z3806" s="4">
        <v>73</v>
      </c>
      <c r="AA3806" s="4">
        <f>=ROUNDDOWN(24.3333333333333,0)</f>
      </c>
      <c r="AB3806" s="5">
        <v>3</v>
      </c>
      <c r="AC3806" s="2" t="s">
        <v>676</v>
      </c>
      <c r="AD3806" s="4">
        <v>28</v>
      </c>
      <c r="AE3806" s="4">
        <v>28</v>
      </c>
      <c r="AF3806" s="6">
        <v>69</v>
      </c>
      <c r="AG3806" s="6"/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/>
      <c r="AQ3806" s="8"/>
      <c r="AR3806" s="4"/>
      <c r="AS3806" s="8"/>
      <c r="AT3806" s="7"/>
      <c r="AU3806" s="7"/>
      <c r="AV3806" s="4" t="s">
        <v>100</v>
      </c>
      <c r="AW3806" s="8" t="s">
        <v>100</v>
      </c>
      <c r="AX3806" s="4" t="s">
        <v>100</v>
      </c>
      <c r="AY3806" s="8" t="s">
        <v>100</v>
      </c>
      <c r="AZ3806" s="7" t="s">
        <v>100</v>
      </c>
      <c r="BA3806" s="7" t="s">
        <v>100</v>
      </c>
      <c r="BB3806" s="7"/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/>
      <c r="BJ3806" s="4">
        <v>6</v>
      </c>
      <c r="BK3806" s="8">
        <v>527.42</v>
      </c>
      <c r="BL3806" s="2" t="s">
        <v>12032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109</v>
      </c>
      <c r="BV3806" s="2" t="s">
        <v>97</v>
      </c>
      <c r="BW3806" s="2" t="s">
        <v>496</v>
      </c>
      <c r="BX3806" s="2" t="s">
        <v>100</v>
      </c>
      <c r="BY3806" s="2" t="s">
        <v>112</v>
      </c>
      <c r="BZ3806" s="2" t="s">
        <v>100</v>
      </c>
    </row>
    <row r="3807">
      <c r="A3807" s="2" t="s">
        <v>12033</v>
      </c>
      <c r="B3807" s="2" t="s">
        <v>11630</v>
      </c>
      <c r="C3807" s="2" t="s">
        <v>4028</v>
      </c>
      <c r="D3807" s="2" t="s">
        <v>89</v>
      </c>
      <c r="E3807" s="2" t="s">
        <v>90</v>
      </c>
      <c r="F3807" s="2" t="s">
        <v>5067</v>
      </c>
      <c r="G3807" s="2" t="s">
        <v>5068</v>
      </c>
      <c r="H3807" s="2" t="s">
        <v>5069</v>
      </c>
      <c r="I3807" s="2" t="s">
        <v>12034</v>
      </c>
      <c r="J3807" s="2" t="s">
        <v>352</v>
      </c>
      <c r="K3807" s="2" t="s">
        <v>1152</v>
      </c>
      <c r="L3807" s="3">
        <v>52.88</v>
      </c>
      <c r="M3807" s="3">
        <v>55.52</v>
      </c>
      <c r="N3807" s="3">
        <v>109.99</v>
      </c>
      <c r="O3807" s="2" t="s">
        <v>97</v>
      </c>
      <c r="P3807" s="2" t="s">
        <v>98</v>
      </c>
      <c r="Q3807" s="2" t="s">
        <v>99</v>
      </c>
      <c r="R3807" s="2" t="s">
        <v>100</v>
      </c>
      <c r="S3807" s="2" t="s">
        <v>12035</v>
      </c>
      <c r="T3807" s="2" t="s">
        <v>190</v>
      </c>
      <c r="U3807" s="2" t="s">
        <v>460</v>
      </c>
      <c r="V3807" s="2" t="s">
        <v>461</v>
      </c>
      <c r="W3807" s="2" t="s">
        <v>193</v>
      </c>
      <c r="X3807" s="2" t="s">
        <v>525</v>
      </c>
      <c r="Y3807" s="2" t="s">
        <v>12036</v>
      </c>
      <c r="Z3807" s="4">
        <v>125</v>
      </c>
      <c r="AA3807" s="4">
        <f>=ROUNDDOWN(25,0)</f>
      </c>
      <c r="AB3807" s="5">
        <v>5</v>
      </c>
      <c r="AC3807" s="2" t="s">
        <v>12037</v>
      </c>
      <c r="AD3807" s="4">
        <v>120</v>
      </c>
      <c r="AE3807" s="4">
        <v>120</v>
      </c>
      <c r="AF3807" s="6">
        <v>65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/>
      <c r="AQ3807" s="8"/>
      <c r="AR3807" s="4"/>
      <c r="AS3807" s="8"/>
      <c r="AT3807" s="7"/>
      <c r="AU3807" s="7"/>
      <c r="AV3807" s="4" t="s">
        <v>100</v>
      </c>
      <c r="AW3807" s="8" t="s">
        <v>100</v>
      </c>
      <c r="AX3807" s="4" t="s">
        <v>100</v>
      </c>
      <c r="AY3807" s="8" t="s">
        <v>100</v>
      </c>
      <c r="AZ3807" s="7" t="s">
        <v>100</v>
      </c>
      <c r="BA3807" s="7" t="s">
        <v>100</v>
      </c>
      <c r="BB3807" s="7"/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/>
      <c r="BJ3807" s="4"/>
      <c r="BK3807" s="8"/>
      <c r="BL3807" s="2" t="s">
        <v>100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171</v>
      </c>
      <c r="BV3807" s="2" t="s">
        <v>97</v>
      </c>
      <c r="BW3807" s="2" t="s">
        <v>100</v>
      </c>
      <c r="BX3807" s="2" t="s">
        <v>100</v>
      </c>
      <c r="BY3807" s="2" t="s">
        <v>112</v>
      </c>
      <c r="BZ3807" s="2" t="s">
        <v>100</v>
      </c>
    </row>
    <row r="3808">
      <c r="A3808" s="2" t="s">
        <v>12038</v>
      </c>
      <c r="B3808" s="2" t="s">
        <v>11630</v>
      </c>
      <c r="C3808" s="2" t="s">
        <v>4028</v>
      </c>
      <c r="D3808" s="2" t="s">
        <v>89</v>
      </c>
      <c r="E3808" s="2" t="s">
        <v>90</v>
      </c>
      <c r="F3808" s="2" t="s">
        <v>5067</v>
      </c>
      <c r="G3808" s="2" t="s">
        <v>5068</v>
      </c>
      <c r="H3808" s="2" t="s">
        <v>5069</v>
      </c>
      <c r="I3808" s="2" t="s">
        <v>12034</v>
      </c>
      <c r="J3808" s="2" t="s">
        <v>522</v>
      </c>
      <c r="K3808" s="2" t="s">
        <v>1152</v>
      </c>
      <c r="L3808" s="3">
        <v>66.96</v>
      </c>
      <c r="M3808" s="3">
        <v>70.31</v>
      </c>
      <c r="N3808" s="3">
        <v>139.99</v>
      </c>
      <c r="O3808" s="2" t="s">
        <v>97</v>
      </c>
      <c r="P3808" s="2" t="s">
        <v>98</v>
      </c>
      <c r="Q3808" s="2" t="s">
        <v>99</v>
      </c>
      <c r="R3808" s="2" t="s">
        <v>100</v>
      </c>
      <c r="S3808" s="2" t="s">
        <v>12035</v>
      </c>
      <c r="T3808" s="2" t="s">
        <v>190</v>
      </c>
      <c r="U3808" s="2" t="s">
        <v>102</v>
      </c>
      <c r="V3808" s="2" t="s">
        <v>461</v>
      </c>
      <c r="W3808" s="2" t="s">
        <v>193</v>
      </c>
      <c r="X3808" s="2" t="s">
        <v>525</v>
      </c>
      <c r="Y3808" s="2" t="s">
        <v>12036</v>
      </c>
      <c r="Z3808" s="4">
        <v>216</v>
      </c>
      <c r="AA3808" s="4">
        <f>=ROUNDDOWN(24,0)</f>
      </c>
      <c r="AB3808" s="5">
        <v>9</v>
      </c>
      <c r="AC3808" s="2" t="s">
        <v>12037</v>
      </c>
      <c r="AD3808" s="4">
        <v>180</v>
      </c>
      <c r="AE3808" s="4">
        <v>180</v>
      </c>
      <c r="AF3808" s="6">
        <v>65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/>
      <c r="AQ3808" s="8"/>
      <c r="AR3808" s="4"/>
      <c r="AS3808" s="8"/>
      <c r="AT3808" s="7"/>
      <c r="AU3808" s="7"/>
      <c r="AV3808" s="4" t="s">
        <v>100</v>
      </c>
      <c r="AW3808" s="8" t="s">
        <v>100</v>
      </c>
      <c r="AX3808" s="4" t="s">
        <v>100</v>
      </c>
      <c r="AY3808" s="8" t="s">
        <v>100</v>
      </c>
      <c r="AZ3808" s="7" t="s">
        <v>100</v>
      </c>
      <c r="BA3808" s="7" t="s">
        <v>100</v>
      </c>
      <c r="BB3808" s="7"/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/>
      <c r="BJ3808" s="4">
        <v>7</v>
      </c>
      <c r="BK3808" s="8">
        <v>495.64</v>
      </c>
      <c r="BL3808" s="2" t="s">
        <v>2623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171</v>
      </c>
      <c r="BV3808" s="2" t="s">
        <v>97</v>
      </c>
      <c r="BW3808" s="2" t="s">
        <v>100</v>
      </c>
      <c r="BX3808" s="2" t="s">
        <v>100</v>
      </c>
      <c r="BY3808" s="2" t="s">
        <v>112</v>
      </c>
      <c r="BZ3808" s="2" t="s">
        <v>100</v>
      </c>
    </row>
    <row r="3809">
      <c r="A3809" s="2" t="s">
        <v>12039</v>
      </c>
      <c r="B3809" s="2" t="s">
        <v>11630</v>
      </c>
      <c r="C3809" s="2" t="s">
        <v>4028</v>
      </c>
      <c r="D3809" s="2" t="s">
        <v>89</v>
      </c>
      <c r="E3809" s="2" t="s">
        <v>90</v>
      </c>
      <c r="F3809" s="2" t="s">
        <v>5067</v>
      </c>
      <c r="G3809" s="2" t="s">
        <v>5068</v>
      </c>
      <c r="H3809" s="2" t="s">
        <v>5069</v>
      </c>
      <c r="I3809" s="2" t="s">
        <v>12034</v>
      </c>
      <c r="J3809" s="2" t="s">
        <v>529</v>
      </c>
      <c r="K3809" s="2" t="s">
        <v>1152</v>
      </c>
      <c r="L3809" s="3">
        <v>75.6</v>
      </c>
      <c r="M3809" s="3">
        <v>79.38</v>
      </c>
      <c r="N3809" s="3">
        <v>159.99</v>
      </c>
      <c r="O3809" s="2" t="s">
        <v>97</v>
      </c>
      <c r="P3809" s="2" t="s">
        <v>98</v>
      </c>
      <c r="Q3809" s="2" t="s">
        <v>99</v>
      </c>
      <c r="R3809" s="2" t="s">
        <v>100</v>
      </c>
      <c r="S3809" s="2" t="s">
        <v>12035</v>
      </c>
      <c r="T3809" s="2" t="s">
        <v>190</v>
      </c>
      <c r="U3809" s="2" t="s">
        <v>102</v>
      </c>
      <c r="V3809" s="2" t="s">
        <v>461</v>
      </c>
      <c r="W3809" s="2" t="s">
        <v>193</v>
      </c>
      <c r="X3809" s="2" t="s">
        <v>525</v>
      </c>
      <c r="Y3809" s="2" t="s">
        <v>12036</v>
      </c>
      <c r="Z3809" s="4">
        <v>131</v>
      </c>
      <c r="AA3809" s="4">
        <f>=ROUNDDOWN(32.75,0)</f>
      </c>
      <c r="AB3809" s="5">
        <v>4</v>
      </c>
      <c r="AC3809" s="2" t="s">
        <v>12037</v>
      </c>
      <c r="AD3809" s="4">
        <v>50</v>
      </c>
      <c r="AE3809" s="4">
        <v>50</v>
      </c>
      <c r="AF3809" s="6">
        <v>65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/>
      <c r="AQ3809" s="8"/>
      <c r="AR3809" s="4"/>
      <c r="AS3809" s="8"/>
      <c r="AT3809" s="7"/>
      <c r="AU3809" s="7"/>
      <c r="AV3809" s="4" t="s">
        <v>100</v>
      </c>
      <c r="AW3809" s="8" t="s">
        <v>100</v>
      </c>
      <c r="AX3809" s="4" t="s">
        <v>100</v>
      </c>
      <c r="AY3809" s="8" t="s">
        <v>100</v>
      </c>
      <c r="AZ3809" s="7" t="s">
        <v>100</v>
      </c>
      <c r="BA3809" s="7" t="s">
        <v>100</v>
      </c>
      <c r="BB3809" s="7"/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/>
      <c r="BJ3809" s="4">
        <v>9</v>
      </c>
      <c r="BK3809" s="8">
        <v>746.32</v>
      </c>
      <c r="BL3809" s="2" t="s">
        <v>2515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171</v>
      </c>
      <c r="BV3809" s="2" t="s">
        <v>97</v>
      </c>
      <c r="BW3809" s="2" t="s">
        <v>100</v>
      </c>
      <c r="BX3809" s="2" t="s">
        <v>100</v>
      </c>
      <c r="BY3809" s="2" t="s">
        <v>112</v>
      </c>
      <c r="BZ3809" s="2" t="s">
        <v>100</v>
      </c>
    </row>
    <row r="3810">
      <c r="A3810" s="2" t="s">
        <v>12040</v>
      </c>
      <c r="B3810" s="2" t="s">
        <v>11630</v>
      </c>
      <c r="C3810" s="2" t="s">
        <v>4028</v>
      </c>
      <c r="D3810" s="2" t="s">
        <v>89</v>
      </c>
      <c r="E3810" s="2" t="s">
        <v>887</v>
      </c>
      <c r="F3810" s="2" t="s">
        <v>7674</v>
      </c>
      <c r="G3810" s="2" t="s">
        <v>12041</v>
      </c>
      <c r="H3810" s="2" t="s">
        <v>1569</v>
      </c>
      <c r="I3810" s="2" t="s">
        <v>12042</v>
      </c>
      <c r="J3810" s="2" t="s">
        <v>522</v>
      </c>
      <c r="K3810" s="2" t="s">
        <v>1373</v>
      </c>
      <c r="L3810" s="3">
        <v>47.61</v>
      </c>
      <c r="M3810" s="3">
        <v>49.99</v>
      </c>
      <c r="N3810" s="3">
        <v>99.99</v>
      </c>
      <c r="O3810" s="2" t="s">
        <v>97</v>
      </c>
      <c r="P3810" s="2" t="s">
        <v>707</v>
      </c>
      <c r="Q3810" s="2" t="s">
        <v>99</v>
      </c>
      <c r="R3810" s="2" t="s">
        <v>100</v>
      </c>
      <c r="S3810" s="2" t="s">
        <v>12043</v>
      </c>
      <c r="T3810" s="2" t="s">
        <v>9841</v>
      </c>
      <c r="U3810" s="2" t="s">
        <v>901</v>
      </c>
      <c r="V3810" s="2" t="s">
        <v>461</v>
      </c>
      <c r="W3810" s="2" t="s">
        <v>609</v>
      </c>
      <c r="X3810" s="2" t="s">
        <v>100</v>
      </c>
      <c r="Y3810" s="2" t="s">
        <v>8236</v>
      </c>
      <c r="Z3810" s="4">
        <v>162</v>
      </c>
      <c r="AA3810" s="4">
        <f>=ROUNDDOWN(40.5,0)</f>
      </c>
      <c r="AB3810" s="5">
        <v>4</v>
      </c>
      <c r="AC3810" s="2" t="s">
        <v>145</v>
      </c>
      <c r="AD3810" s="4">
        <v>180</v>
      </c>
      <c r="AE3810" s="4">
        <v>180</v>
      </c>
      <c r="AF3810" s="6">
        <v>65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/>
      <c r="AQ3810" s="8"/>
      <c r="AR3810" s="4"/>
      <c r="AS3810" s="8"/>
      <c r="AT3810" s="7"/>
      <c r="AU3810" s="7"/>
      <c r="AV3810" s="4" t="s">
        <v>100</v>
      </c>
      <c r="AW3810" s="8" t="s">
        <v>100</v>
      </c>
      <c r="AX3810" s="4" t="s">
        <v>100</v>
      </c>
      <c r="AY3810" s="8" t="s">
        <v>100</v>
      </c>
      <c r="AZ3810" s="7" t="s">
        <v>100</v>
      </c>
      <c r="BA3810" s="7" t="s">
        <v>100</v>
      </c>
      <c r="BB3810" s="7"/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/>
      <c r="BJ3810" s="4">
        <v>11</v>
      </c>
      <c r="BK3810" s="8">
        <v>577.89</v>
      </c>
      <c r="BL3810" s="2" t="s">
        <v>3201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12044</v>
      </c>
      <c r="BV3810" s="2" t="s">
        <v>97</v>
      </c>
      <c r="BW3810" s="2" t="s">
        <v>100</v>
      </c>
      <c r="BX3810" s="2" t="s">
        <v>100</v>
      </c>
      <c r="BY3810" s="2" t="s">
        <v>112</v>
      </c>
      <c r="BZ3810" s="2" t="s">
        <v>100</v>
      </c>
    </row>
    <row r="3811">
      <c r="A3811" s="2" t="s">
        <v>12045</v>
      </c>
      <c r="B3811" s="2" t="s">
        <v>11630</v>
      </c>
      <c r="C3811" s="2" t="s">
        <v>4028</v>
      </c>
      <c r="D3811" s="2" t="s">
        <v>89</v>
      </c>
      <c r="E3811" s="2" t="s">
        <v>887</v>
      </c>
      <c r="F3811" s="2" t="s">
        <v>7674</v>
      </c>
      <c r="G3811" s="2" t="s">
        <v>12041</v>
      </c>
      <c r="H3811" s="2" t="s">
        <v>1569</v>
      </c>
      <c r="I3811" s="2" t="s">
        <v>12042</v>
      </c>
      <c r="J3811" s="2" t="s">
        <v>529</v>
      </c>
      <c r="K3811" s="2" t="s">
        <v>1373</v>
      </c>
      <c r="L3811" s="3">
        <v>52.38</v>
      </c>
      <c r="M3811" s="3">
        <v>55</v>
      </c>
      <c r="N3811" s="3">
        <v>109.99</v>
      </c>
      <c r="O3811" s="2" t="s">
        <v>97</v>
      </c>
      <c r="P3811" s="2" t="s">
        <v>707</v>
      </c>
      <c r="Q3811" s="2" t="s">
        <v>99</v>
      </c>
      <c r="R3811" s="2" t="s">
        <v>100</v>
      </c>
      <c r="S3811" s="2" t="s">
        <v>12043</v>
      </c>
      <c r="T3811" s="2" t="s">
        <v>9841</v>
      </c>
      <c r="U3811" s="2" t="s">
        <v>901</v>
      </c>
      <c r="V3811" s="2" t="s">
        <v>461</v>
      </c>
      <c r="W3811" s="2" t="s">
        <v>609</v>
      </c>
      <c r="X3811" s="2" t="s">
        <v>100</v>
      </c>
      <c r="Y3811" s="2" t="s">
        <v>8236</v>
      </c>
      <c r="Z3811" s="4">
        <v>128</v>
      </c>
      <c r="AA3811" s="4">
        <f>=ROUNDDOWN(21.3333333333333,0)</f>
      </c>
      <c r="AB3811" s="5">
        <v>6</v>
      </c>
      <c r="AC3811" s="2" t="s">
        <v>145</v>
      </c>
      <c r="AD3811" s="4">
        <v>70</v>
      </c>
      <c r="AE3811" s="4">
        <v>70</v>
      </c>
      <c r="AF3811" s="6">
        <v>65</v>
      </c>
      <c r="AG3811" s="6"/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/>
      <c r="AQ3811" s="8"/>
      <c r="AR3811" s="4"/>
      <c r="AS3811" s="8"/>
      <c r="AT3811" s="7"/>
      <c r="AU3811" s="7"/>
      <c r="AV3811" s="4" t="s">
        <v>100</v>
      </c>
      <c r="AW3811" s="8" t="s">
        <v>100</v>
      </c>
      <c r="AX3811" s="4" t="s">
        <v>100</v>
      </c>
      <c r="AY3811" s="8" t="s">
        <v>100</v>
      </c>
      <c r="AZ3811" s="7" t="s">
        <v>100</v>
      </c>
      <c r="BA3811" s="7" t="s">
        <v>100</v>
      </c>
      <c r="BB3811" s="7"/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/>
      <c r="BJ3811" s="4">
        <v>26</v>
      </c>
      <c r="BK3811" s="8">
        <v>1438.8</v>
      </c>
      <c r="BL3811" s="2" t="s">
        <v>1823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12044</v>
      </c>
      <c r="BV3811" s="2" t="s">
        <v>97</v>
      </c>
      <c r="BW3811" s="2" t="s">
        <v>100</v>
      </c>
      <c r="BX3811" s="2" t="s">
        <v>100</v>
      </c>
      <c r="BY3811" s="2" t="s">
        <v>112</v>
      </c>
      <c r="BZ3811" s="2" t="s">
        <v>100</v>
      </c>
    </row>
    <row r="3812">
      <c r="A3812" s="2" t="s">
        <v>12046</v>
      </c>
      <c r="B3812" s="2" t="s">
        <v>11630</v>
      </c>
      <c r="C3812" s="2" t="s">
        <v>4028</v>
      </c>
      <c r="D3812" s="2" t="s">
        <v>1496</v>
      </c>
      <c r="E3812" s="2" t="s">
        <v>1497</v>
      </c>
      <c r="F3812" s="2" t="s">
        <v>1132</v>
      </c>
      <c r="G3812" s="2" t="s">
        <v>12027</v>
      </c>
      <c r="H3812" s="2" t="s">
        <v>3185</v>
      </c>
      <c r="I3812" s="2" t="s">
        <v>12047</v>
      </c>
      <c r="J3812" s="2" t="s">
        <v>522</v>
      </c>
      <c r="K3812" s="2" t="s">
        <v>1373</v>
      </c>
      <c r="L3812" s="3">
        <v>54.99</v>
      </c>
      <c r="M3812" s="3">
        <v>57.74</v>
      </c>
      <c r="N3812" s="3">
        <v>109.99</v>
      </c>
      <c r="O3812" s="2" t="s">
        <v>97</v>
      </c>
      <c r="P3812" s="2" t="s">
        <v>98</v>
      </c>
      <c r="Q3812" s="2" t="s">
        <v>99</v>
      </c>
      <c r="R3812" s="2" t="s">
        <v>100</v>
      </c>
      <c r="S3812" s="2" t="s">
        <v>12029</v>
      </c>
      <c r="T3812" s="2" t="s">
        <v>190</v>
      </c>
      <c r="U3812" s="2" t="s">
        <v>901</v>
      </c>
      <c r="V3812" s="2" t="s">
        <v>461</v>
      </c>
      <c r="W3812" s="2" t="s">
        <v>493</v>
      </c>
      <c r="X3812" s="2" t="s">
        <v>271</v>
      </c>
      <c r="Y3812" s="2" t="s">
        <v>2914</v>
      </c>
      <c r="Z3812" s="4">
        <v>94</v>
      </c>
      <c r="AA3812" s="4">
        <f>=ROUNDDOWN(17.0909090909091,0)</f>
      </c>
      <c r="AB3812" s="5">
        <v>5.5</v>
      </c>
      <c r="AC3812" s="2" t="s">
        <v>676</v>
      </c>
      <c r="AD3812" s="4">
        <v>60</v>
      </c>
      <c r="AE3812" s="4">
        <v>140</v>
      </c>
      <c r="AF3812" s="6">
        <v>69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/>
      <c r="AQ3812" s="8"/>
      <c r="AR3812" s="4"/>
      <c r="AS3812" s="8"/>
      <c r="AT3812" s="7"/>
      <c r="AU3812" s="7"/>
      <c r="AV3812" s="4" t="s">
        <v>100</v>
      </c>
      <c r="AW3812" s="8" t="s">
        <v>100</v>
      </c>
      <c r="AX3812" s="4" t="s">
        <v>100</v>
      </c>
      <c r="AY3812" s="8" t="s">
        <v>100</v>
      </c>
      <c r="AZ3812" s="7" t="s">
        <v>100</v>
      </c>
      <c r="BA3812" s="7" t="s">
        <v>100</v>
      </c>
      <c r="BB3812" s="7"/>
      <c r="BC3812" s="4" t="s">
        <v>100</v>
      </c>
      <c r="BD3812" s="8" t="s">
        <v>100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/>
      <c r="BJ3812" s="4">
        <v>20</v>
      </c>
      <c r="BK3812" s="8">
        <v>1188.27</v>
      </c>
      <c r="BL3812" s="2" t="s">
        <v>1503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109</v>
      </c>
      <c r="BV3812" s="2" t="s">
        <v>97</v>
      </c>
      <c r="BW3812" s="2" t="s">
        <v>496</v>
      </c>
      <c r="BX3812" s="2" t="s">
        <v>12048</v>
      </c>
      <c r="BY3812" s="2" t="s">
        <v>112</v>
      </c>
      <c r="BZ3812" s="2" t="s">
        <v>100</v>
      </c>
    </row>
    <row r="3813">
      <c r="A3813" s="2" t="s">
        <v>12049</v>
      </c>
      <c r="B3813" s="2" t="s">
        <v>11630</v>
      </c>
      <c r="C3813" s="2" t="s">
        <v>4028</v>
      </c>
      <c r="D3813" s="2" t="s">
        <v>1496</v>
      </c>
      <c r="E3813" s="2" t="s">
        <v>1497</v>
      </c>
      <c r="F3813" s="2" t="s">
        <v>1132</v>
      </c>
      <c r="G3813" s="2" t="s">
        <v>12027</v>
      </c>
      <c r="H3813" s="2" t="s">
        <v>3185</v>
      </c>
      <c r="I3813" s="2" t="s">
        <v>12047</v>
      </c>
      <c r="J3813" s="2" t="s">
        <v>529</v>
      </c>
      <c r="K3813" s="2" t="s">
        <v>1373</v>
      </c>
      <c r="L3813" s="3">
        <v>65</v>
      </c>
      <c r="M3813" s="3">
        <v>68.25</v>
      </c>
      <c r="N3813" s="3">
        <v>129.99</v>
      </c>
      <c r="O3813" s="2" t="s">
        <v>97</v>
      </c>
      <c r="P3813" s="2" t="s">
        <v>98</v>
      </c>
      <c r="Q3813" s="2" t="s">
        <v>99</v>
      </c>
      <c r="R3813" s="2" t="s">
        <v>100</v>
      </c>
      <c r="S3813" s="2" t="s">
        <v>12029</v>
      </c>
      <c r="T3813" s="2" t="s">
        <v>190</v>
      </c>
      <c r="U3813" s="2" t="s">
        <v>901</v>
      </c>
      <c r="V3813" s="2" t="s">
        <v>461</v>
      </c>
      <c r="W3813" s="2" t="s">
        <v>493</v>
      </c>
      <c r="X3813" s="2" t="s">
        <v>271</v>
      </c>
      <c r="Y3813" s="2" t="s">
        <v>2914</v>
      </c>
      <c r="Z3813" s="4">
        <v>128</v>
      </c>
      <c r="AA3813" s="4">
        <f>=ROUNDDOWN(32,0)</f>
      </c>
      <c r="AB3813" s="5">
        <v>4</v>
      </c>
      <c r="AC3813" s="2" t="s">
        <v>676</v>
      </c>
      <c r="AD3813" s="4">
        <v>70</v>
      </c>
      <c r="AE3813" s="4">
        <v>120</v>
      </c>
      <c r="AF3813" s="6">
        <v>69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/>
      <c r="AQ3813" s="8"/>
      <c r="AR3813" s="4"/>
      <c r="AS3813" s="8"/>
      <c r="AT3813" s="7"/>
      <c r="AU3813" s="7"/>
      <c r="AV3813" s="4" t="s">
        <v>100</v>
      </c>
      <c r="AW3813" s="8" t="s">
        <v>100</v>
      </c>
      <c r="AX3813" s="4" t="s">
        <v>100</v>
      </c>
      <c r="AY3813" s="8" t="s">
        <v>100</v>
      </c>
      <c r="AZ3813" s="7" t="s">
        <v>100</v>
      </c>
      <c r="BA3813" s="7" t="s">
        <v>100</v>
      </c>
      <c r="BB3813" s="7"/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/>
      <c r="BJ3813" s="4">
        <v>9</v>
      </c>
      <c r="BK3813" s="8">
        <v>645.3</v>
      </c>
      <c r="BL3813" s="2" t="s">
        <v>2009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109</v>
      </c>
      <c r="BV3813" s="2" t="s">
        <v>97</v>
      </c>
      <c r="BW3813" s="2" t="s">
        <v>496</v>
      </c>
      <c r="BX3813" s="2" t="s">
        <v>12050</v>
      </c>
      <c r="BY3813" s="2" t="s">
        <v>112</v>
      </c>
      <c r="BZ3813" s="2" t="s">
        <v>100</v>
      </c>
    </row>
    <row r="3814">
      <c r="A3814" s="2" t="s">
        <v>12051</v>
      </c>
      <c r="B3814" s="2" t="s">
        <v>11630</v>
      </c>
      <c r="C3814" s="2" t="s">
        <v>4028</v>
      </c>
      <c r="D3814" s="2" t="s">
        <v>1496</v>
      </c>
      <c r="E3814" s="2" t="s">
        <v>1497</v>
      </c>
      <c r="F3814" s="2" t="s">
        <v>7674</v>
      </c>
      <c r="G3814" s="2" t="s">
        <v>12041</v>
      </c>
      <c r="H3814" s="2" t="s">
        <v>1569</v>
      </c>
      <c r="I3814" s="2" t="s">
        <v>12052</v>
      </c>
      <c r="J3814" s="2" t="s">
        <v>522</v>
      </c>
      <c r="K3814" s="2" t="s">
        <v>1373</v>
      </c>
      <c r="L3814" s="3">
        <v>38.09</v>
      </c>
      <c r="M3814" s="3">
        <v>39.99</v>
      </c>
      <c r="N3814" s="3">
        <v>79.99</v>
      </c>
      <c r="O3814" s="2" t="s">
        <v>97</v>
      </c>
      <c r="P3814" s="2" t="s">
        <v>707</v>
      </c>
      <c r="Q3814" s="2" t="s">
        <v>99</v>
      </c>
      <c r="R3814" s="2" t="s">
        <v>100</v>
      </c>
      <c r="S3814" s="2" t="s">
        <v>12043</v>
      </c>
      <c r="T3814" s="2" t="s">
        <v>9841</v>
      </c>
      <c r="U3814" s="2" t="s">
        <v>901</v>
      </c>
      <c r="V3814" s="2" t="s">
        <v>461</v>
      </c>
      <c r="W3814" s="2" t="s">
        <v>609</v>
      </c>
      <c r="X3814" s="2" t="s">
        <v>100</v>
      </c>
      <c r="Y3814" s="2" t="s">
        <v>8236</v>
      </c>
      <c r="Z3814" s="4">
        <v>61</v>
      </c>
      <c r="AA3814" s="4">
        <f>=ROUNDDOWN(13.8636363636364,0)</f>
      </c>
      <c r="AB3814" s="5">
        <v>4.4</v>
      </c>
      <c r="AC3814" s="2" t="s">
        <v>145</v>
      </c>
      <c r="AD3814" s="4">
        <v>150</v>
      </c>
      <c r="AE3814" s="4">
        <v>150</v>
      </c>
      <c r="AF3814" s="6">
        <v>65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/>
      <c r="AQ3814" s="8"/>
      <c r="AR3814" s="4"/>
      <c r="AS3814" s="8"/>
      <c r="AT3814" s="7"/>
      <c r="AU3814" s="7"/>
      <c r="AV3814" s="4" t="s">
        <v>100</v>
      </c>
      <c r="AW3814" s="8" t="s">
        <v>100</v>
      </c>
      <c r="AX3814" s="4" t="s">
        <v>100</v>
      </c>
      <c r="AY3814" s="8" t="s">
        <v>100</v>
      </c>
      <c r="AZ3814" s="7" t="s">
        <v>100</v>
      </c>
      <c r="BA3814" s="7" t="s">
        <v>100</v>
      </c>
      <c r="BB3814" s="7"/>
      <c r="BC3814" s="4" t="s">
        <v>100</v>
      </c>
      <c r="BD3814" s="8" t="s">
        <v>100</v>
      </c>
      <c r="BE3814" s="4" t="s">
        <v>100</v>
      </c>
      <c r="BF3814" s="8" t="s">
        <v>100</v>
      </c>
      <c r="BG3814" s="7" t="s">
        <v>100</v>
      </c>
      <c r="BH3814" s="7" t="s">
        <v>100</v>
      </c>
      <c r="BI3814" s="7"/>
      <c r="BJ3814" s="4">
        <v>14</v>
      </c>
      <c r="BK3814" s="8">
        <v>598.26</v>
      </c>
      <c r="BL3814" s="2" t="s">
        <v>1811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12044</v>
      </c>
      <c r="BV3814" s="2" t="s">
        <v>97</v>
      </c>
      <c r="BW3814" s="2" t="s">
        <v>100</v>
      </c>
      <c r="BX3814" s="2" t="s">
        <v>100</v>
      </c>
      <c r="BY3814" s="2" t="s">
        <v>112</v>
      </c>
      <c r="BZ3814" s="2" t="s">
        <v>100</v>
      </c>
    </row>
    <row r="3815">
      <c r="A3815" s="2" t="s">
        <v>12053</v>
      </c>
      <c r="B3815" s="2" t="s">
        <v>11630</v>
      </c>
      <c r="C3815" s="2" t="s">
        <v>4028</v>
      </c>
      <c r="D3815" s="2" t="s">
        <v>1496</v>
      </c>
      <c r="E3815" s="2" t="s">
        <v>1497</v>
      </c>
      <c r="F3815" s="2" t="s">
        <v>7674</v>
      </c>
      <c r="G3815" s="2" t="s">
        <v>12041</v>
      </c>
      <c r="H3815" s="2" t="s">
        <v>1569</v>
      </c>
      <c r="I3815" s="2" t="s">
        <v>12052</v>
      </c>
      <c r="J3815" s="2" t="s">
        <v>529</v>
      </c>
      <c r="K3815" s="2" t="s">
        <v>1373</v>
      </c>
      <c r="L3815" s="3">
        <v>42.85</v>
      </c>
      <c r="M3815" s="3">
        <v>44.99</v>
      </c>
      <c r="N3815" s="3">
        <v>89.99</v>
      </c>
      <c r="O3815" s="2" t="s">
        <v>97</v>
      </c>
      <c r="P3815" s="2" t="s">
        <v>707</v>
      </c>
      <c r="Q3815" s="2" t="s">
        <v>99</v>
      </c>
      <c r="R3815" s="2" t="s">
        <v>100</v>
      </c>
      <c r="S3815" s="2" t="s">
        <v>12043</v>
      </c>
      <c r="T3815" s="2" t="s">
        <v>9841</v>
      </c>
      <c r="U3815" s="2" t="s">
        <v>901</v>
      </c>
      <c r="V3815" s="2" t="s">
        <v>461</v>
      </c>
      <c r="W3815" s="2" t="s">
        <v>609</v>
      </c>
      <c r="X3815" s="2" t="s">
        <v>100</v>
      </c>
      <c r="Y3815" s="2" t="s">
        <v>8236</v>
      </c>
      <c r="Z3815" s="4">
        <v>55</v>
      </c>
      <c r="AA3815" s="4">
        <f>=ROUNDDOWN(14.8648648648649,0)</f>
      </c>
      <c r="AB3815" s="5">
        <v>3.7</v>
      </c>
      <c r="AC3815" s="2" t="s">
        <v>145</v>
      </c>
      <c r="AD3815" s="4">
        <v>120</v>
      </c>
      <c r="AE3815" s="4">
        <v>120</v>
      </c>
      <c r="AF3815" s="6">
        <v>65</v>
      </c>
      <c r="AG3815" s="6"/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/>
      <c r="AQ3815" s="8"/>
      <c r="AR3815" s="4"/>
      <c r="AS3815" s="8"/>
      <c r="AT3815" s="7"/>
      <c r="AU3815" s="7"/>
      <c r="AV3815" s="4" t="s">
        <v>100</v>
      </c>
      <c r="AW3815" s="8" t="s">
        <v>100</v>
      </c>
      <c r="AX3815" s="4" t="s">
        <v>100</v>
      </c>
      <c r="AY3815" s="8" t="s">
        <v>100</v>
      </c>
      <c r="AZ3815" s="7" t="s">
        <v>100</v>
      </c>
      <c r="BA3815" s="7" t="s">
        <v>100</v>
      </c>
      <c r="BB3815" s="7"/>
      <c r="BC3815" s="4" t="s">
        <v>100</v>
      </c>
      <c r="BD3815" s="8" t="s">
        <v>100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/>
      <c r="BJ3815" s="4">
        <v>12</v>
      </c>
      <c r="BK3815" s="8">
        <v>563.28</v>
      </c>
      <c r="BL3815" s="2" t="s">
        <v>1811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12044</v>
      </c>
      <c r="BV3815" s="2" t="s">
        <v>97</v>
      </c>
      <c r="BW3815" s="2" t="s">
        <v>100</v>
      </c>
      <c r="BX3815" s="2" t="s">
        <v>100</v>
      </c>
      <c r="BY3815" s="2" t="s">
        <v>112</v>
      </c>
      <c r="BZ3815" s="2" t="s">
        <v>100</v>
      </c>
    </row>
    <row r="3816">
      <c r="A3816" s="2" t="s">
        <v>12054</v>
      </c>
      <c r="B3816" s="2" t="s">
        <v>11630</v>
      </c>
      <c r="C3816" s="2" t="s">
        <v>12055</v>
      </c>
      <c r="D3816" s="2" t="s">
        <v>963</v>
      </c>
      <c r="E3816" s="2" t="s">
        <v>1486</v>
      </c>
      <c r="F3816" s="2" t="s">
        <v>348</v>
      </c>
      <c r="G3816" s="2" t="s">
        <v>3556</v>
      </c>
      <c r="H3816" s="2" t="s">
        <v>5040</v>
      </c>
      <c r="I3816" s="2" t="s">
        <v>12056</v>
      </c>
      <c r="J3816" s="2" t="s">
        <v>1443</v>
      </c>
      <c r="K3816" s="2" t="s">
        <v>4816</v>
      </c>
      <c r="L3816" s="3">
        <v>36.8</v>
      </c>
      <c r="M3816" s="3">
        <v>38.64</v>
      </c>
      <c r="N3816" s="3">
        <v>89.99</v>
      </c>
      <c r="O3816" s="2" t="s">
        <v>97</v>
      </c>
      <c r="P3816" s="2" t="s">
        <v>98</v>
      </c>
      <c r="Q3816" s="2" t="s">
        <v>99</v>
      </c>
      <c r="R3816" s="2" t="s">
        <v>100</v>
      </c>
      <c r="S3816" s="2" t="s">
        <v>12057</v>
      </c>
      <c r="T3816" s="2" t="s">
        <v>190</v>
      </c>
      <c r="U3816" s="2" t="s">
        <v>1228</v>
      </c>
      <c r="V3816" s="2" t="s">
        <v>4636</v>
      </c>
      <c r="W3816" s="2" t="s">
        <v>609</v>
      </c>
      <c r="X3816" s="2" t="s">
        <v>100</v>
      </c>
      <c r="Y3816" s="2" t="s">
        <v>9906</v>
      </c>
      <c r="Z3816" s="4">
        <v>161</v>
      </c>
      <c r="AA3816" s="4">
        <f>=ROUNDDOWN(14.6363636363636,0)</f>
      </c>
      <c r="AB3816" s="5">
        <v>11</v>
      </c>
      <c r="AC3816" s="2" t="s">
        <v>550</v>
      </c>
      <c r="AD3816" s="4">
        <v>80</v>
      </c>
      <c r="AE3816" s="4">
        <v>370</v>
      </c>
      <c r="AF3816" s="6">
        <v>65</v>
      </c>
      <c r="AG3816" s="6">
        <v>73</v>
      </c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/>
      <c r="AQ3816" s="8"/>
      <c r="AR3816" s="4"/>
      <c r="AS3816" s="8"/>
      <c r="AT3816" s="7"/>
      <c r="AU3816" s="7"/>
      <c r="AV3816" s="4">
        <v>1</v>
      </c>
      <c r="AW3816" s="8">
        <v>45.36</v>
      </c>
      <c r="AX3816" s="4" t="s">
        <v>100</v>
      </c>
      <c r="AY3816" s="8" t="s">
        <v>100</v>
      </c>
      <c r="AZ3816" s="7" t="s">
        <v>100</v>
      </c>
      <c r="BA3816" s="7" t="s">
        <v>100</v>
      </c>
      <c r="BB3816" s="7"/>
      <c r="BC3816" s="4">
        <v>1</v>
      </c>
      <c r="BD3816" s="8">
        <v>45.36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>
        <v>1</v>
      </c>
      <c r="BJ3816" s="4">
        <v>35</v>
      </c>
      <c r="BK3816" s="8">
        <v>1522.45</v>
      </c>
      <c r="BL3816" s="2" t="s">
        <v>12058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109</v>
      </c>
      <c r="BV3816" s="2" t="s">
        <v>97</v>
      </c>
      <c r="BW3816" s="2" t="s">
        <v>1733</v>
      </c>
      <c r="BX3816" s="2" t="s">
        <v>4820</v>
      </c>
      <c r="BY3816" s="2" t="s">
        <v>112</v>
      </c>
      <c r="BZ3816" s="2" t="s">
        <v>100</v>
      </c>
    </row>
    <row r="3817">
      <c r="A3817" s="2" t="s">
        <v>12059</v>
      </c>
      <c r="B3817" s="2" t="s">
        <v>11630</v>
      </c>
      <c r="C3817" s="2" t="s">
        <v>12055</v>
      </c>
      <c r="D3817" s="2" t="s">
        <v>963</v>
      </c>
      <c r="E3817" s="2" t="s">
        <v>1486</v>
      </c>
      <c r="F3817" s="2" t="s">
        <v>348</v>
      </c>
      <c r="G3817" s="2" t="s">
        <v>3556</v>
      </c>
      <c r="H3817" s="2" t="s">
        <v>5040</v>
      </c>
      <c r="I3817" s="2" t="s">
        <v>12056</v>
      </c>
      <c r="J3817" s="2" t="s">
        <v>522</v>
      </c>
      <c r="K3817" s="2" t="s">
        <v>4816</v>
      </c>
      <c r="L3817" s="3">
        <v>48</v>
      </c>
      <c r="M3817" s="3">
        <v>50.4</v>
      </c>
      <c r="N3817" s="3">
        <v>109.99</v>
      </c>
      <c r="O3817" s="2" t="s">
        <v>97</v>
      </c>
      <c r="P3817" s="2" t="s">
        <v>98</v>
      </c>
      <c r="Q3817" s="2" t="s">
        <v>99</v>
      </c>
      <c r="R3817" s="2" t="s">
        <v>100</v>
      </c>
      <c r="S3817" s="2" t="s">
        <v>12057</v>
      </c>
      <c r="T3817" s="2" t="s">
        <v>190</v>
      </c>
      <c r="U3817" s="2" t="s">
        <v>460</v>
      </c>
      <c r="V3817" s="2" t="s">
        <v>4636</v>
      </c>
      <c r="W3817" s="2" t="s">
        <v>609</v>
      </c>
      <c r="X3817" s="2" t="s">
        <v>100</v>
      </c>
      <c r="Y3817" s="2" t="s">
        <v>12060</v>
      </c>
      <c r="Z3817" s="4">
        <v>69</v>
      </c>
      <c r="AA3817" s="4">
        <f>=ROUNDDOWN(5.75,0)</f>
      </c>
      <c r="AB3817" s="5">
        <v>12</v>
      </c>
      <c r="AC3817" s="2" t="s">
        <v>550</v>
      </c>
      <c r="AD3817" s="4">
        <v>180</v>
      </c>
      <c r="AE3817" s="4">
        <v>410</v>
      </c>
      <c r="AF3817" s="6">
        <v>65</v>
      </c>
      <c r="AG3817" s="6">
        <v>73</v>
      </c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1</v>
      </c>
      <c r="AQ3817" s="8">
        <v>45.36</v>
      </c>
      <c r="AR3817" s="4"/>
      <c r="AS3817" s="8"/>
      <c r="AT3817" s="7"/>
      <c r="AU3817" s="7"/>
      <c r="AV3817" s="4" t="s">
        <v>100</v>
      </c>
      <c r="AW3817" s="8" t="s">
        <v>100</v>
      </c>
      <c r="AX3817" s="4" t="s">
        <v>100</v>
      </c>
      <c r="AY3817" s="8" t="s">
        <v>100</v>
      </c>
      <c r="AZ3817" s="7" t="s">
        <v>100</v>
      </c>
      <c r="BA3817" s="7" t="s">
        <v>100</v>
      </c>
      <c r="BB3817" s="7">
        <v>1</v>
      </c>
      <c r="BC3817" s="4" t="s">
        <v>100</v>
      </c>
      <c r="BD3817" s="8" t="s">
        <v>100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 t="s">
        <v>100</v>
      </c>
      <c r="BJ3817" s="4">
        <v>36</v>
      </c>
      <c r="BK3817" s="8">
        <v>2096.59</v>
      </c>
      <c r="BL3817" s="2" t="s">
        <v>12061</v>
      </c>
      <c r="BM3817" s="7">
        <v>0.0278</v>
      </c>
      <c r="BN3817" s="7">
        <v>0.0216</v>
      </c>
      <c r="BO3817" s="4">
        <v>1</v>
      </c>
      <c r="BP3817" s="8">
        <v>45.36</v>
      </c>
      <c r="BQ3817" s="4"/>
      <c r="BR3817" s="8"/>
      <c r="BS3817" s="7"/>
      <c r="BT3817" s="7"/>
      <c r="BU3817" s="2" t="s">
        <v>109</v>
      </c>
      <c r="BV3817" s="2" t="s">
        <v>97</v>
      </c>
      <c r="BW3817" s="2" t="s">
        <v>1733</v>
      </c>
      <c r="BX3817" s="2" t="s">
        <v>7616</v>
      </c>
      <c r="BY3817" s="2" t="s">
        <v>112</v>
      </c>
      <c r="BZ3817" s="2" t="s">
        <v>100</v>
      </c>
    </row>
    <row r="3818">
      <c r="A3818" s="2" t="s">
        <v>12062</v>
      </c>
      <c r="B3818" s="2" t="s">
        <v>11630</v>
      </c>
      <c r="C3818" s="2" t="s">
        <v>12055</v>
      </c>
      <c r="D3818" s="2" t="s">
        <v>963</v>
      </c>
      <c r="E3818" s="2" t="s">
        <v>1486</v>
      </c>
      <c r="F3818" s="2" t="s">
        <v>613</v>
      </c>
      <c r="G3818" s="2" t="s">
        <v>12063</v>
      </c>
      <c r="H3818" s="2" t="s">
        <v>12064</v>
      </c>
      <c r="I3818" s="2" t="s">
        <v>12065</v>
      </c>
      <c r="J3818" s="2" t="s">
        <v>1443</v>
      </c>
      <c r="K3818" s="2" t="s">
        <v>12066</v>
      </c>
      <c r="L3818" s="3">
        <v>41</v>
      </c>
      <c r="M3818" s="3">
        <v>43.05</v>
      </c>
      <c r="N3818" s="3">
        <v>79.99</v>
      </c>
      <c r="O3818" s="2" t="s">
        <v>97</v>
      </c>
      <c r="P3818" s="2" t="s">
        <v>139</v>
      </c>
      <c r="Q3818" s="2" t="s">
        <v>99</v>
      </c>
      <c r="R3818" s="2" t="s">
        <v>100</v>
      </c>
      <c r="S3818" s="2" t="s">
        <v>12067</v>
      </c>
      <c r="T3818" s="2" t="s">
        <v>190</v>
      </c>
      <c r="U3818" s="2" t="s">
        <v>901</v>
      </c>
      <c r="V3818" s="2" t="s">
        <v>4636</v>
      </c>
      <c r="W3818" s="2" t="s">
        <v>609</v>
      </c>
      <c r="X3818" s="2" t="s">
        <v>100</v>
      </c>
      <c r="Y3818" s="2" t="s">
        <v>12068</v>
      </c>
      <c r="Z3818" s="4">
        <v>366</v>
      </c>
      <c r="AA3818" s="4">
        <f>=ROUNDDOWN(11.4375,0)</f>
      </c>
      <c r="AB3818" s="5">
        <v>32</v>
      </c>
      <c r="AC3818" s="2" t="s">
        <v>307</v>
      </c>
      <c r="AD3818" s="4">
        <v>250</v>
      </c>
      <c r="AE3818" s="4">
        <v>990</v>
      </c>
      <c r="AF3818" s="6">
        <v>65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/>
      <c r="AQ3818" s="8"/>
      <c r="AR3818" s="4"/>
      <c r="AS3818" s="8"/>
      <c r="AT3818" s="7"/>
      <c r="AU3818" s="7"/>
      <c r="AV3818" s="4" t="s">
        <v>100</v>
      </c>
      <c r="AW3818" s="8" t="s">
        <v>100</v>
      </c>
      <c r="AX3818" s="4" t="s">
        <v>100</v>
      </c>
      <c r="AY3818" s="8" t="s">
        <v>100</v>
      </c>
      <c r="AZ3818" s="7" t="s">
        <v>100</v>
      </c>
      <c r="BA3818" s="7" t="s">
        <v>100</v>
      </c>
      <c r="BB3818" s="7"/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/>
      <c r="BJ3818" s="4">
        <v>65</v>
      </c>
      <c r="BK3818" s="8">
        <v>2945.72</v>
      </c>
      <c r="BL3818" s="2" t="s">
        <v>12069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171</v>
      </c>
      <c r="BV3818" s="2" t="s">
        <v>97</v>
      </c>
      <c r="BW3818" s="2" t="s">
        <v>100</v>
      </c>
      <c r="BX3818" s="2" t="s">
        <v>100</v>
      </c>
      <c r="BY3818" s="2" t="s">
        <v>112</v>
      </c>
      <c r="BZ3818" s="2" t="s">
        <v>100</v>
      </c>
    </row>
    <row r="3819">
      <c r="A3819" s="2" t="s">
        <v>12070</v>
      </c>
      <c r="B3819" s="2" t="s">
        <v>11630</v>
      </c>
      <c r="C3819" s="2" t="s">
        <v>12055</v>
      </c>
      <c r="D3819" s="2" t="s">
        <v>963</v>
      </c>
      <c r="E3819" s="2" t="s">
        <v>1486</v>
      </c>
      <c r="F3819" s="2" t="s">
        <v>613</v>
      </c>
      <c r="G3819" s="2" t="s">
        <v>12063</v>
      </c>
      <c r="H3819" s="2" t="s">
        <v>12064</v>
      </c>
      <c r="I3819" s="2" t="s">
        <v>12065</v>
      </c>
      <c r="J3819" s="2" t="s">
        <v>522</v>
      </c>
      <c r="K3819" s="2" t="s">
        <v>12066</v>
      </c>
      <c r="L3819" s="3">
        <v>52.2</v>
      </c>
      <c r="M3819" s="3">
        <v>54.81</v>
      </c>
      <c r="N3819" s="3">
        <v>99.99</v>
      </c>
      <c r="O3819" s="2" t="s">
        <v>97</v>
      </c>
      <c r="P3819" s="2" t="s">
        <v>139</v>
      </c>
      <c r="Q3819" s="2" t="s">
        <v>99</v>
      </c>
      <c r="R3819" s="2" t="s">
        <v>100</v>
      </c>
      <c r="S3819" s="2" t="s">
        <v>12067</v>
      </c>
      <c r="T3819" s="2" t="s">
        <v>190</v>
      </c>
      <c r="U3819" s="2" t="s">
        <v>1228</v>
      </c>
      <c r="V3819" s="2" t="s">
        <v>4636</v>
      </c>
      <c r="W3819" s="2" t="s">
        <v>609</v>
      </c>
      <c r="X3819" s="2" t="s">
        <v>100</v>
      </c>
      <c r="Y3819" s="2" t="s">
        <v>12068</v>
      </c>
      <c r="Z3819" s="4">
        <v>356</v>
      </c>
      <c r="AA3819" s="4">
        <f>=ROUNDDOWN(11.8666666666667,0)</f>
      </c>
      <c r="AB3819" s="5">
        <v>30</v>
      </c>
      <c r="AC3819" s="2" t="s">
        <v>307</v>
      </c>
      <c r="AD3819" s="4">
        <v>240</v>
      </c>
      <c r="AE3819" s="4">
        <v>800</v>
      </c>
      <c r="AF3819" s="6">
        <v>65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/>
      <c r="AQ3819" s="8"/>
      <c r="AR3819" s="4"/>
      <c r="AS3819" s="8"/>
      <c r="AT3819" s="7"/>
      <c r="AU3819" s="7"/>
      <c r="AV3819" s="4" t="s">
        <v>100</v>
      </c>
      <c r="AW3819" s="8" t="s">
        <v>100</v>
      </c>
      <c r="AX3819" s="4" t="s">
        <v>100</v>
      </c>
      <c r="AY3819" s="8" t="s">
        <v>100</v>
      </c>
      <c r="AZ3819" s="7" t="s">
        <v>100</v>
      </c>
      <c r="BA3819" s="7" t="s">
        <v>100</v>
      </c>
      <c r="BB3819" s="7"/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/>
      <c r="BJ3819" s="4">
        <v>97</v>
      </c>
      <c r="BK3819" s="8">
        <v>5727.23</v>
      </c>
      <c r="BL3819" s="2" t="s">
        <v>2844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171</v>
      </c>
      <c r="BV3819" s="2" t="s">
        <v>97</v>
      </c>
      <c r="BW3819" s="2" t="s">
        <v>100</v>
      </c>
      <c r="BX3819" s="2" t="s">
        <v>100</v>
      </c>
      <c r="BY3819" s="2" t="s">
        <v>112</v>
      </c>
      <c r="BZ3819" s="2" t="s">
        <v>100</v>
      </c>
    </row>
    <row r="3820">
      <c r="A3820" s="2" t="s">
        <v>12071</v>
      </c>
      <c r="B3820" s="2" t="s">
        <v>11630</v>
      </c>
      <c r="C3820" s="2" t="s">
        <v>12055</v>
      </c>
      <c r="D3820" s="2" t="s">
        <v>963</v>
      </c>
      <c r="E3820" s="2" t="s">
        <v>1486</v>
      </c>
      <c r="F3820" s="2" t="s">
        <v>12072</v>
      </c>
      <c r="G3820" s="2" t="s">
        <v>12073</v>
      </c>
      <c r="H3820" s="2" t="s">
        <v>12074</v>
      </c>
      <c r="I3820" s="2" t="s">
        <v>12075</v>
      </c>
      <c r="J3820" s="2" t="s">
        <v>1443</v>
      </c>
      <c r="K3820" s="2" t="s">
        <v>626</v>
      </c>
      <c r="L3820" s="3">
        <v>38.3</v>
      </c>
      <c r="M3820" s="3">
        <v>40.22</v>
      </c>
      <c r="N3820" s="3">
        <v>79.99</v>
      </c>
      <c r="O3820" s="2" t="s">
        <v>97</v>
      </c>
      <c r="P3820" s="2" t="s">
        <v>707</v>
      </c>
      <c r="Q3820" s="2" t="s">
        <v>99</v>
      </c>
      <c r="R3820" s="2" t="s">
        <v>100</v>
      </c>
      <c r="S3820" s="2" t="s">
        <v>12076</v>
      </c>
      <c r="T3820" s="2" t="s">
        <v>190</v>
      </c>
      <c r="U3820" s="2" t="s">
        <v>901</v>
      </c>
      <c r="V3820" s="2" t="s">
        <v>4636</v>
      </c>
      <c r="W3820" s="2" t="s">
        <v>493</v>
      </c>
      <c r="X3820" s="2" t="s">
        <v>168</v>
      </c>
      <c r="Y3820" s="2" t="s">
        <v>1414</v>
      </c>
      <c r="Z3820" s="4">
        <v>186</v>
      </c>
      <c r="AA3820" s="4">
        <f>=ROUNDDOWN(26.5714285714286,0)</f>
      </c>
      <c r="AB3820" s="5">
        <v>7</v>
      </c>
      <c r="AC3820" s="2" t="s">
        <v>262</v>
      </c>
      <c r="AD3820" s="4">
        <v>30</v>
      </c>
      <c r="AE3820" s="4">
        <v>110</v>
      </c>
      <c r="AF3820" s="6">
        <v>65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/>
      <c r="AQ3820" s="8"/>
      <c r="AR3820" s="4"/>
      <c r="AS3820" s="8"/>
      <c r="AT3820" s="7"/>
      <c r="AU3820" s="7"/>
      <c r="AV3820" s="4" t="s">
        <v>100</v>
      </c>
      <c r="AW3820" s="8" t="s">
        <v>100</v>
      </c>
      <c r="AX3820" s="4" t="s">
        <v>100</v>
      </c>
      <c r="AY3820" s="8" t="s">
        <v>100</v>
      </c>
      <c r="AZ3820" s="7" t="s">
        <v>100</v>
      </c>
      <c r="BA3820" s="7" t="s">
        <v>100</v>
      </c>
      <c r="BB3820" s="7"/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/>
      <c r="BJ3820" s="4">
        <v>22</v>
      </c>
      <c r="BK3820" s="8">
        <v>1000.69</v>
      </c>
      <c r="BL3820" s="2" t="s">
        <v>12077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171</v>
      </c>
      <c r="BV3820" s="2" t="s">
        <v>97</v>
      </c>
      <c r="BW3820" s="2" t="s">
        <v>100</v>
      </c>
      <c r="BX3820" s="2" t="s">
        <v>100</v>
      </c>
      <c r="BY3820" s="2" t="s">
        <v>112</v>
      </c>
      <c r="BZ3820" s="2" t="s">
        <v>149</v>
      </c>
    </row>
    <row r="3821">
      <c r="A3821" s="2" t="s">
        <v>12078</v>
      </c>
      <c r="B3821" s="2" t="s">
        <v>11630</v>
      </c>
      <c r="C3821" s="2" t="s">
        <v>12055</v>
      </c>
      <c r="D3821" s="2" t="s">
        <v>963</v>
      </c>
      <c r="E3821" s="2" t="s">
        <v>1486</v>
      </c>
      <c r="F3821" s="2" t="s">
        <v>12072</v>
      </c>
      <c r="G3821" s="2" t="s">
        <v>12073</v>
      </c>
      <c r="H3821" s="2" t="s">
        <v>12074</v>
      </c>
      <c r="I3821" s="2" t="s">
        <v>12075</v>
      </c>
      <c r="J3821" s="2" t="s">
        <v>522</v>
      </c>
      <c r="K3821" s="2" t="s">
        <v>626</v>
      </c>
      <c r="L3821" s="3">
        <v>49.15</v>
      </c>
      <c r="M3821" s="3">
        <v>51.61</v>
      </c>
      <c r="N3821" s="3">
        <v>99.99</v>
      </c>
      <c r="O3821" s="2" t="s">
        <v>97</v>
      </c>
      <c r="P3821" s="2" t="s">
        <v>707</v>
      </c>
      <c r="Q3821" s="2" t="s">
        <v>99</v>
      </c>
      <c r="R3821" s="2" t="s">
        <v>100</v>
      </c>
      <c r="S3821" s="2" t="s">
        <v>12076</v>
      </c>
      <c r="T3821" s="2" t="s">
        <v>190</v>
      </c>
      <c r="U3821" s="2" t="s">
        <v>1228</v>
      </c>
      <c r="V3821" s="2" t="s">
        <v>4636</v>
      </c>
      <c r="W3821" s="2" t="s">
        <v>493</v>
      </c>
      <c r="X3821" s="2" t="s">
        <v>168</v>
      </c>
      <c r="Y3821" s="2" t="s">
        <v>1414</v>
      </c>
      <c r="Z3821" s="4">
        <v>213</v>
      </c>
      <c r="AA3821" s="4">
        <f>=ROUNDDOWN(35.5,0)</f>
      </c>
      <c r="AB3821" s="5">
        <v>6</v>
      </c>
      <c r="AC3821" s="2" t="s">
        <v>262</v>
      </c>
      <c r="AD3821" s="4">
        <v>40</v>
      </c>
      <c r="AE3821" s="4">
        <v>140</v>
      </c>
      <c r="AF3821" s="6">
        <v>65</v>
      </c>
      <c r="AG3821" s="6"/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/>
      <c r="AQ3821" s="8"/>
      <c r="AR3821" s="4"/>
      <c r="AS3821" s="8"/>
      <c r="AT3821" s="7"/>
      <c r="AU3821" s="7"/>
      <c r="AV3821" s="4" t="s">
        <v>100</v>
      </c>
      <c r="AW3821" s="8" t="s">
        <v>100</v>
      </c>
      <c r="AX3821" s="4" t="s">
        <v>100</v>
      </c>
      <c r="AY3821" s="8" t="s">
        <v>100</v>
      </c>
      <c r="AZ3821" s="7" t="s">
        <v>100</v>
      </c>
      <c r="BA3821" s="7" t="s">
        <v>100</v>
      </c>
      <c r="BB3821" s="7"/>
      <c r="BC3821" s="4" t="s">
        <v>100</v>
      </c>
      <c r="BD3821" s="8" t="s">
        <v>100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/>
      <c r="BJ3821" s="4">
        <v>17</v>
      </c>
      <c r="BK3821" s="8">
        <v>931.24</v>
      </c>
      <c r="BL3821" s="2" t="s">
        <v>5230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171</v>
      </c>
      <c r="BV3821" s="2" t="s">
        <v>97</v>
      </c>
      <c r="BW3821" s="2" t="s">
        <v>100</v>
      </c>
      <c r="BX3821" s="2" t="s">
        <v>100</v>
      </c>
      <c r="BY3821" s="2" t="s">
        <v>112</v>
      </c>
      <c r="BZ3821" s="2" t="s">
        <v>149</v>
      </c>
    </row>
    <row r="3822">
      <c r="A3822" s="2" t="s">
        <v>12079</v>
      </c>
      <c r="B3822" s="2" t="s">
        <v>11630</v>
      </c>
      <c r="C3822" s="2" t="s">
        <v>12055</v>
      </c>
      <c r="D3822" s="2" t="s">
        <v>963</v>
      </c>
      <c r="E3822" s="2" t="s">
        <v>1046</v>
      </c>
      <c r="F3822" s="2" t="s">
        <v>11050</v>
      </c>
      <c r="G3822" s="2" t="s">
        <v>12080</v>
      </c>
      <c r="H3822" s="2" t="s">
        <v>1130</v>
      </c>
      <c r="I3822" s="2" t="s">
        <v>12081</v>
      </c>
      <c r="J3822" s="2" t="s">
        <v>1443</v>
      </c>
      <c r="K3822" s="2" t="s">
        <v>188</v>
      </c>
      <c r="L3822" s="3">
        <v>33.33</v>
      </c>
      <c r="M3822" s="3">
        <v>35</v>
      </c>
      <c r="N3822" s="3">
        <v>69.99</v>
      </c>
      <c r="O3822" s="2" t="s">
        <v>97</v>
      </c>
      <c r="P3822" s="2" t="s">
        <v>707</v>
      </c>
      <c r="Q3822" s="2" t="s">
        <v>99</v>
      </c>
      <c r="R3822" s="2" t="s">
        <v>100</v>
      </c>
      <c r="S3822" s="2" t="s">
        <v>12082</v>
      </c>
      <c r="T3822" s="2" t="s">
        <v>190</v>
      </c>
      <c r="U3822" s="2" t="s">
        <v>894</v>
      </c>
      <c r="V3822" s="2" t="s">
        <v>4636</v>
      </c>
      <c r="W3822" s="2" t="s">
        <v>609</v>
      </c>
      <c r="X3822" s="2" t="s">
        <v>142</v>
      </c>
      <c r="Y3822" s="2" t="s">
        <v>12083</v>
      </c>
      <c r="Z3822" s="4">
        <v>230</v>
      </c>
      <c r="AA3822" s="4">
        <f>=ROUNDDOWN(46,0)</f>
      </c>
      <c r="AB3822" s="5">
        <v>5</v>
      </c>
      <c r="AC3822" s="2" t="s">
        <v>330</v>
      </c>
      <c r="AD3822" s="4">
        <v>80</v>
      </c>
      <c r="AE3822" s="4">
        <v>80</v>
      </c>
      <c r="AF3822" s="6">
        <v>65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/>
      <c r="AQ3822" s="8"/>
      <c r="AR3822" s="4"/>
      <c r="AS3822" s="8"/>
      <c r="AT3822" s="7"/>
      <c r="AU3822" s="7"/>
      <c r="AV3822" s="4" t="s">
        <v>100</v>
      </c>
      <c r="AW3822" s="8" t="s">
        <v>100</v>
      </c>
      <c r="AX3822" s="4" t="s">
        <v>100</v>
      </c>
      <c r="AY3822" s="8" t="s">
        <v>100</v>
      </c>
      <c r="AZ3822" s="7" t="s">
        <v>100</v>
      </c>
      <c r="BA3822" s="7" t="s">
        <v>100</v>
      </c>
      <c r="BB3822" s="7"/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/>
      <c r="BJ3822" s="4">
        <v>8</v>
      </c>
      <c r="BK3822" s="8">
        <v>293.45</v>
      </c>
      <c r="BL3822" s="2" t="s">
        <v>12084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171</v>
      </c>
      <c r="BV3822" s="2" t="s">
        <v>97</v>
      </c>
      <c r="BW3822" s="2" t="s">
        <v>100</v>
      </c>
      <c r="BX3822" s="2" t="s">
        <v>100</v>
      </c>
      <c r="BY3822" s="2" t="s">
        <v>112</v>
      </c>
      <c r="BZ3822" s="2" t="s">
        <v>100</v>
      </c>
    </row>
    <row r="3823">
      <c r="A3823" s="2" t="s">
        <v>12085</v>
      </c>
      <c r="B3823" s="2" t="s">
        <v>11630</v>
      </c>
      <c r="C3823" s="2" t="s">
        <v>12055</v>
      </c>
      <c r="D3823" s="2" t="s">
        <v>963</v>
      </c>
      <c r="E3823" s="2" t="s">
        <v>1046</v>
      </c>
      <c r="F3823" s="2" t="s">
        <v>11050</v>
      </c>
      <c r="G3823" s="2" t="s">
        <v>12080</v>
      </c>
      <c r="H3823" s="2" t="s">
        <v>1130</v>
      </c>
      <c r="I3823" s="2" t="s">
        <v>12081</v>
      </c>
      <c r="J3823" s="2" t="s">
        <v>522</v>
      </c>
      <c r="K3823" s="2" t="s">
        <v>188</v>
      </c>
      <c r="L3823" s="3">
        <v>42.85</v>
      </c>
      <c r="M3823" s="3">
        <v>44.99</v>
      </c>
      <c r="N3823" s="3">
        <v>89.99</v>
      </c>
      <c r="O3823" s="2" t="s">
        <v>97</v>
      </c>
      <c r="P3823" s="2" t="s">
        <v>707</v>
      </c>
      <c r="Q3823" s="2" t="s">
        <v>99</v>
      </c>
      <c r="R3823" s="2" t="s">
        <v>100</v>
      </c>
      <c r="S3823" s="2" t="s">
        <v>12082</v>
      </c>
      <c r="T3823" s="2" t="s">
        <v>190</v>
      </c>
      <c r="U3823" s="2" t="s">
        <v>901</v>
      </c>
      <c r="V3823" s="2" t="s">
        <v>4636</v>
      </c>
      <c r="W3823" s="2" t="s">
        <v>609</v>
      </c>
      <c r="X3823" s="2" t="s">
        <v>142</v>
      </c>
      <c r="Y3823" s="2" t="s">
        <v>12083</v>
      </c>
      <c r="Z3823" s="4">
        <v>291</v>
      </c>
      <c r="AA3823" s="4">
        <f>=ROUNDDOWN(97,0)</f>
      </c>
      <c r="AB3823" s="5">
        <v>3</v>
      </c>
      <c r="AC3823" s="2" t="s">
        <v>100</v>
      </c>
      <c r="AD3823" s="4"/>
      <c r="AE3823" s="4"/>
      <c r="AF3823" s="6">
        <v>65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/>
      <c r="AQ3823" s="8"/>
      <c r="AR3823" s="4"/>
      <c r="AS3823" s="8"/>
      <c r="AT3823" s="7"/>
      <c r="AU3823" s="7"/>
      <c r="AV3823" s="4" t="s">
        <v>100</v>
      </c>
      <c r="AW3823" s="8" t="s">
        <v>100</v>
      </c>
      <c r="AX3823" s="4" t="s">
        <v>100</v>
      </c>
      <c r="AY3823" s="8" t="s">
        <v>100</v>
      </c>
      <c r="AZ3823" s="7" t="s">
        <v>100</v>
      </c>
      <c r="BA3823" s="7" t="s">
        <v>100</v>
      </c>
      <c r="BB3823" s="7"/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/>
      <c r="BJ3823" s="4">
        <v>8</v>
      </c>
      <c r="BK3823" s="8">
        <v>370.62</v>
      </c>
      <c r="BL3823" s="2" t="s">
        <v>880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171</v>
      </c>
      <c r="BV3823" s="2" t="s">
        <v>97</v>
      </c>
      <c r="BW3823" s="2" t="s">
        <v>100</v>
      </c>
      <c r="BX3823" s="2" t="s">
        <v>100</v>
      </c>
      <c r="BY3823" s="2" t="s">
        <v>112</v>
      </c>
      <c r="BZ3823" s="2" t="s">
        <v>100</v>
      </c>
    </row>
    <row r="3824">
      <c r="A3824" s="2" t="s">
        <v>12086</v>
      </c>
      <c r="B3824" s="2" t="s">
        <v>11630</v>
      </c>
      <c r="C3824" s="2" t="s">
        <v>12055</v>
      </c>
      <c r="D3824" s="2" t="s">
        <v>963</v>
      </c>
      <c r="E3824" s="2" t="s">
        <v>1046</v>
      </c>
      <c r="F3824" s="2" t="s">
        <v>1682</v>
      </c>
      <c r="G3824" s="2" t="s">
        <v>7876</v>
      </c>
      <c r="H3824" s="2" t="s">
        <v>12087</v>
      </c>
      <c r="I3824" s="2" t="s">
        <v>12088</v>
      </c>
      <c r="J3824" s="2" t="s">
        <v>1443</v>
      </c>
      <c r="K3824" s="2" t="s">
        <v>706</v>
      </c>
      <c r="L3824" s="3">
        <v>33.33</v>
      </c>
      <c r="M3824" s="3">
        <v>35</v>
      </c>
      <c r="N3824" s="3">
        <v>69.99</v>
      </c>
      <c r="O3824" s="2" t="s">
        <v>97</v>
      </c>
      <c r="P3824" s="2" t="s">
        <v>707</v>
      </c>
      <c r="Q3824" s="2" t="s">
        <v>99</v>
      </c>
      <c r="R3824" s="2" t="s">
        <v>100</v>
      </c>
      <c r="S3824" s="2" t="s">
        <v>12089</v>
      </c>
      <c r="T3824" s="2" t="s">
        <v>190</v>
      </c>
      <c r="U3824" s="2" t="s">
        <v>894</v>
      </c>
      <c r="V3824" s="2" t="s">
        <v>367</v>
      </c>
      <c r="W3824" s="2" t="s">
        <v>609</v>
      </c>
      <c r="X3824" s="2" t="s">
        <v>493</v>
      </c>
      <c r="Y3824" s="2" t="s">
        <v>12090</v>
      </c>
      <c r="Z3824" s="4">
        <v>162</v>
      </c>
      <c r="AA3824" s="4">
        <f>=ROUNDDOWN(40.5,0)</f>
      </c>
      <c r="AB3824" s="5">
        <v>4</v>
      </c>
      <c r="AC3824" s="2" t="s">
        <v>4710</v>
      </c>
      <c r="AD3824" s="4">
        <v>30</v>
      </c>
      <c r="AE3824" s="4">
        <v>30</v>
      </c>
      <c r="AF3824" s="6">
        <v>65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/>
      <c r="AQ3824" s="8"/>
      <c r="AR3824" s="4"/>
      <c r="AS3824" s="8"/>
      <c r="AT3824" s="7"/>
      <c r="AU3824" s="7"/>
      <c r="AV3824" s="4" t="s">
        <v>100</v>
      </c>
      <c r="AW3824" s="8" t="s">
        <v>100</v>
      </c>
      <c r="AX3824" s="4" t="s">
        <v>100</v>
      </c>
      <c r="AY3824" s="8" t="s">
        <v>100</v>
      </c>
      <c r="AZ3824" s="7" t="s">
        <v>100</v>
      </c>
      <c r="BA3824" s="7" t="s">
        <v>100</v>
      </c>
      <c r="BB3824" s="7"/>
      <c r="BC3824" s="4" t="s">
        <v>100</v>
      </c>
      <c r="BD3824" s="8" t="s">
        <v>100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/>
      <c r="BJ3824" s="4">
        <v>10</v>
      </c>
      <c r="BK3824" s="8">
        <v>377.85</v>
      </c>
      <c r="BL3824" s="2" t="s">
        <v>2053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171</v>
      </c>
      <c r="BV3824" s="2" t="s">
        <v>97</v>
      </c>
      <c r="BW3824" s="2" t="s">
        <v>100</v>
      </c>
      <c r="BX3824" s="2" t="s">
        <v>100</v>
      </c>
      <c r="BY3824" s="2" t="s">
        <v>112</v>
      </c>
      <c r="BZ3824" s="2" t="s">
        <v>100</v>
      </c>
    </row>
    <row r="3825">
      <c r="A3825" s="2" t="s">
        <v>12091</v>
      </c>
      <c r="B3825" s="2" t="s">
        <v>11630</v>
      </c>
      <c r="C3825" s="2" t="s">
        <v>12055</v>
      </c>
      <c r="D3825" s="2" t="s">
        <v>963</v>
      </c>
      <c r="E3825" s="2" t="s">
        <v>1046</v>
      </c>
      <c r="F3825" s="2" t="s">
        <v>1682</v>
      </c>
      <c r="G3825" s="2" t="s">
        <v>7876</v>
      </c>
      <c r="H3825" s="2" t="s">
        <v>12087</v>
      </c>
      <c r="I3825" s="2" t="s">
        <v>12088</v>
      </c>
      <c r="J3825" s="2" t="s">
        <v>522</v>
      </c>
      <c r="K3825" s="2" t="s">
        <v>706</v>
      </c>
      <c r="L3825" s="3">
        <v>42.85</v>
      </c>
      <c r="M3825" s="3">
        <v>44.99</v>
      </c>
      <c r="N3825" s="3">
        <v>89.99</v>
      </c>
      <c r="O3825" s="2" t="s">
        <v>97</v>
      </c>
      <c r="P3825" s="2" t="s">
        <v>707</v>
      </c>
      <c r="Q3825" s="2" t="s">
        <v>99</v>
      </c>
      <c r="R3825" s="2" t="s">
        <v>100</v>
      </c>
      <c r="S3825" s="2" t="s">
        <v>12089</v>
      </c>
      <c r="T3825" s="2" t="s">
        <v>190</v>
      </c>
      <c r="U3825" s="2" t="s">
        <v>901</v>
      </c>
      <c r="V3825" s="2" t="s">
        <v>367</v>
      </c>
      <c r="W3825" s="2" t="s">
        <v>609</v>
      </c>
      <c r="X3825" s="2" t="s">
        <v>493</v>
      </c>
      <c r="Y3825" s="2" t="s">
        <v>12090</v>
      </c>
      <c r="Z3825" s="4">
        <v>199</v>
      </c>
      <c r="AA3825" s="4">
        <f>=ROUNDDOWN(49.75,0)</f>
      </c>
      <c r="AB3825" s="5">
        <v>4</v>
      </c>
      <c r="AC3825" s="2" t="s">
        <v>4710</v>
      </c>
      <c r="AD3825" s="4">
        <v>60</v>
      </c>
      <c r="AE3825" s="4">
        <v>60</v>
      </c>
      <c r="AF3825" s="6">
        <v>65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/>
      <c r="AQ3825" s="8"/>
      <c r="AR3825" s="4"/>
      <c r="AS3825" s="8"/>
      <c r="AT3825" s="7"/>
      <c r="AU3825" s="7"/>
      <c r="AV3825" s="4" t="s">
        <v>100</v>
      </c>
      <c r="AW3825" s="8" t="s">
        <v>100</v>
      </c>
      <c r="AX3825" s="4" t="s">
        <v>100</v>
      </c>
      <c r="AY3825" s="8" t="s">
        <v>100</v>
      </c>
      <c r="AZ3825" s="7" t="s">
        <v>100</v>
      </c>
      <c r="BA3825" s="7" t="s">
        <v>100</v>
      </c>
      <c r="BB3825" s="7"/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/>
      <c r="BJ3825" s="4">
        <v>5</v>
      </c>
      <c r="BK3825" s="8">
        <v>239.7</v>
      </c>
      <c r="BL3825" s="2" t="s">
        <v>11207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171</v>
      </c>
      <c r="BV3825" s="2" t="s">
        <v>97</v>
      </c>
      <c r="BW3825" s="2" t="s">
        <v>100</v>
      </c>
      <c r="BX3825" s="2" t="s">
        <v>100</v>
      </c>
      <c r="BY3825" s="2" t="s">
        <v>112</v>
      </c>
      <c r="BZ3825" s="2" t="s">
        <v>100</v>
      </c>
    </row>
    <row r="3826">
      <c r="A3826" s="2" t="s">
        <v>12092</v>
      </c>
      <c r="B3826" s="2" t="s">
        <v>11630</v>
      </c>
      <c r="C3826" s="2" t="s">
        <v>12055</v>
      </c>
      <c r="D3826" s="2" t="s">
        <v>963</v>
      </c>
      <c r="E3826" s="2" t="s">
        <v>964</v>
      </c>
      <c r="F3826" s="2" t="s">
        <v>12093</v>
      </c>
      <c r="G3826" s="2" t="s">
        <v>12094</v>
      </c>
      <c r="H3826" s="2" t="s">
        <v>12095</v>
      </c>
      <c r="I3826" s="2" t="s">
        <v>12096</v>
      </c>
      <c r="J3826" s="2" t="s">
        <v>969</v>
      </c>
      <c r="K3826" s="2" t="s">
        <v>179</v>
      </c>
      <c r="L3826" s="3">
        <v>50</v>
      </c>
      <c r="M3826" s="3">
        <v>52.5</v>
      </c>
      <c r="N3826" s="3">
        <v>99.99</v>
      </c>
      <c r="O3826" s="2" t="s">
        <v>97</v>
      </c>
      <c r="P3826" s="2" t="s">
        <v>707</v>
      </c>
      <c r="Q3826" s="2" t="s">
        <v>99</v>
      </c>
      <c r="R3826" s="2" t="s">
        <v>100</v>
      </c>
      <c r="S3826" s="2" t="s">
        <v>12097</v>
      </c>
      <c r="T3826" s="2" t="s">
        <v>190</v>
      </c>
      <c r="U3826" s="2" t="s">
        <v>355</v>
      </c>
      <c r="V3826" s="2" t="s">
        <v>4636</v>
      </c>
      <c r="W3826" s="2" t="s">
        <v>609</v>
      </c>
      <c r="X3826" s="2" t="s">
        <v>100</v>
      </c>
      <c r="Y3826" s="2" t="s">
        <v>837</v>
      </c>
      <c r="Z3826" s="4">
        <v>71</v>
      </c>
      <c r="AA3826" s="4">
        <f>=ROUNDDOWN(11.8333333333333,0)</f>
      </c>
      <c r="AB3826" s="5">
        <v>6</v>
      </c>
      <c r="AC3826" s="2" t="s">
        <v>2581</v>
      </c>
      <c r="AD3826" s="4">
        <v>70</v>
      </c>
      <c r="AE3826" s="4">
        <v>230</v>
      </c>
      <c r="AF3826" s="6">
        <v>65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/>
      <c r="BD3826" s="8"/>
      <c r="BE3826" s="4"/>
      <c r="BF3826" s="8"/>
      <c r="BG3826" s="7"/>
      <c r="BH3826" s="7"/>
      <c r="BI3826" s="7"/>
      <c r="BJ3826" s="4">
        <v>19</v>
      </c>
      <c r="BK3826" s="8">
        <v>1051.96</v>
      </c>
      <c r="BL3826" s="2" t="s">
        <v>12098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1733</v>
      </c>
      <c r="BX3826" s="2" t="s">
        <v>12099</v>
      </c>
      <c r="BY3826" s="2" t="s">
        <v>112</v>
      </c>
      <c r="BZ3826" s="2" t="s">
        <v>100</v>
      </c>
    </row>
    <row r="3827">
      <c r="A3827" s="2" t="s">
        <v>12100</v>
      </c>
      <c r="B3827" s="2" t="s">
        <v>11630</v>
      </c>
      <c r="C3827" s="2" t="s">
        <v>12055</v>
      </c>
      <c r="D3827" s="2" t="s">
        <v>89</v>
      </c>
      <c r="E3827" s="2" t="s">
        <v>90</v>
      </c>
      <c r="F3827" s="2" t="s">
        <v>613</v>
      </c>
      <c r="G3827" s="2" t="s">
        <v>12063</v>
      </c>
      <c r="H3827" s="2" t="s">
        <v>12064</v>
      </c>
      <c r="I3827" s="2" t="s">
        <v>12101</v>
      </c>
      <c r="J3827" s="2" t="s">
        <v>1443</v>
      </c>
      <c r="K3827" s="2" t="s">
        <v>12066</v>
      </c>
      <c r="L3827" s="3">
        <v>40</v>
      </c>
      <c r="M3827" s="3">
        <v>42</v>
      </c>
      <c r="N3827" s="3">
        <v>79.99</v>
      </c>
      <c r="O3827" s="2" t="s">
        <v>97</v>
      </c>
      <c r="P3827" s="2" t="s">
        <v>98</v>
      </c>
      <c r="Q3827" s="2" t="s">
        <v>99</v>
      </c>
      <c r="R3827" s="2" t="s">
        <v>100</v>
      </c>
      <c r="S3827" s="2" t="s">
        <v>12067</v>
      </c>
      <c r="T3827" s="2" t="s">
        <v>190</v>
      </c>
      <c r="U3827" s="2" t="s">
        <v>901</v>
      </c>
      <c r="V3827" s="2" t="s">
        <v>4636</v>
      </c>
      <c r="W3827" s="2" t="s">
        <v>609</v>
      </c>
      <c r="X3827" s="2" t="s">
        <v>100</v>
      </c>
      <c r="Y3827" s="2" t="s">
        <v>12068</v>
      </c>
      <c r="Z3827" s="4">
        <v>347</v>
      </c>
      <c r="AA3827" s="4">
        <f>=ROUNDDOWN(24.7857142857143,0)</f>
      </c>
      <c r="AB3827" s="5">
        <v>14</v>
      </c>
      <c r="AC3827" s="2" t="s">
        <v>307</v>
      </c>
      <c r="AD3827" s="4">
        <v>260</v>
      </c>
      <c r="AE3827" s="4">
        <v>410</v>
      </c>
      <c r="AF3827" s="6">
        <v>65</v>
      </c>
      <c r="AG3827" s="6"/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/>
      <c r="AQ3827" s="8"/>
      <c r="AR3827" s="4"/>
      <c r="AS3827" s="8"/>
      <c r="AT3827" s="7"/>
      <c r="AU3827" s="7"/>
      <c r="AV3827" s="4" t="s">
        <v>100</v>
      </c>
      <c r="AW3827" s="8" t="s">
        <v>100</v>
      </c>
      <c r="AX3827" s="4" t="s">
        <v>100</v>
      </c>
      <c r="AY3827" s="8" t="s">
        <v>100</v>
      </c>
      <c r="AZ3827" s="7" t="s">
        <v>100</v>
      </c>
      <c r="BA3827" s="7" t="s">
        <v>100</v>
      </c>
      <c r="BB3827" s="7"/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/>
      <c r="BJ3827" s="4">
        <v>30</v>
      </c>
      <c r="BK3827" s="8">
        <v>1496.48</v>
      </c>
      <c r="BL3827" s="2" t="s">
        <v>2390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171</v>
      </c>
      <c r="BV3827" s="2" t="s">
        <v>97</v>
      </c>
      <c r="BW3827" s="2" t="s">
        <v>100</v>
      </c>
      <c r="BX3827" s="2" t="s">
        <v>100</v>
      </c>
      <c r="BY3827" s="2" t="s">
        <v>112</v>
      </c>
      <c r="BZ3827" s="2" t="s">
        <v>149</v>
      </c>
    </row>
    <row r="3828">
      <c r="A3828" s="2" t="s">
        <v>12102</v>
      </c>
      <c r="B3828" s="2" t="s">
        <v>11630</v>
      </c>
      <c r="C3828" s="2" t="s">
        <v>12055</v>
      </c>
      <c r="D3828" s="2" t="s">
        <v>89</v>
      </c>
      <c r="E3828" s="2" t="s">
        <v>90</v>
      </c>
      <c r="F3828" s="2" t="s">
        <v>613</v>
      </c>
      <c r="G3828" s="2" t="s">
        <v>12063</v>
      </c>
      <c r="H3828" s="2" t="s">
        <v>12064</v>
      </c>
      <c r="I3828" s="2" t="s">
        <v>12101</v>
      </c>
      <c r="J3828" s="2" t="s">
        <v>522</v>
      </c>
      <c r="K3828" s="2" t="s">
        <v>12066</v>
      </c>
      <c r="L3828" s="3">
        <v>50</v>
      </c>
      <c r="M3828" s="3">
        <v>52.5</v>
      </c>
      <c r="N3828" s="3">
        <v>99.99</v>
      </c>
      <c r="O3828" s="2" t="s">
        <v>97</v>
      </c>
      <c r="P3828" s="2" t="s">
        <v>98</v>
      </c>
      <c r="Q3828" s="2" t="s">
        <v>99</v>
      </c>
      <c r="R3828" s="2" t="s">
        <v>100</v>
      </c>
      <c r="S3828" s="2" t="s">
        <v>12067</v>
      </c>
      <c r="T3828" s="2" t="s">
        <v>190</v>
      </c>
      <c r="U3828" s="2" t="s">
        <v>1228</v>
      </c>
      <c r="V3828" s="2" t="s">
        <v>4636</v>
      </c>
      <c r="W3828" s="2" t="s">
        <v>609</v>
      </c>
      <c r="X3828" s="2" t="s">
        <v>100</v>
      </c>
      <c r="Y3828" s="2" t="s">
        <v>12068</v>
      </c>
      <c r="Z3828" s="4">
        <v>412</v>
      </c>
      <c r="AA3828" s="4">
        <f>=ROUNDDOWN(21.6842105263158,0)</f>
      </c>
      <c r="AB3828" s="5">
        <v>19</v>
      </c>
      <c r="AC3828" s="2" t="s">
        <v>307</v>
      </c>
      <c r="AD3828" s="4">
        <v>150</v>
      </c>
      <c r="AE3828" s="4">
        <v>400</v>
      </c>
      <c r="AF3828" s="6">
        <v>65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/>
      <c r="AQ3828" s="8"/>
      <c r="AR3828" s="4"/>
      <c r="AS3828" s="8"/>
      <c r="AT3828" s="7"/>
      <c r="AU3828" s="7"/>
      <c r="AV3828" s="4" t="s">
        <v>100</v>
      </c>
      <c r="AW3828" s="8" t="s">
        <v>100</v>
      </c>
      <c r="AX3828" s="4" t="s">
        <v>100</v>
      </c>
      <c r="AY3828" s="8" t="s">
        <v>100</v>
      </c>
      <c r="AZ3828" s="7" t="s">
        <v>100</v>
      </c>
      <c r="BA3828" s="7" t="s">
        <v>100</v>
      </c>
      <c r="BB3828" s="7"/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/>
      <c r="BJ3828" s="4">
        <v>36</v>
      </c>
      <c r="BK3828" s="8">
        <v>2016.94</v>
      </c>
      <c r="BL3828" s="2" t="s">
        <v>859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171</v>
      </c>
      <c r="BV3828" s="2" t="s">
        <v>97</v>
      </c>
      <c r="BW3828" s="2" t="s">
        <v>100</v>
      </c>
      <c r="BX3828" s="2" t="s">
        <v>100</v>
      </c>
      <c r="BY3828" s="2" t="s">
        <v>112</v>
      </c>
      <c r="BZ3828" s="2" t="s">
        <v>149</v>
      </c>
    </row>
    <row r="3829">
      <c r="A3829" s="2" t="s">
        <v>12103</v>
      </c>
      <c r="B3829" s="2" t="s">
        <v>11630</v>
      </c>
      <c r="C3829" s="2" t="s">
        <v>12055</v>
      </c>
      <c r="D3829" s="2" t="s">
        <v>89</v>
      </c>
      <c r="E3829" s="2" t="s">
        <v>90</v>
      </c>
      <c r="F3829" s="2" t="s">
        <v>12104</v>
      </c>
      <c r="G3829" s="2" t="s">
        <v>12105</v>
      </c>
      <c r="H3829" s="2" t="s">
        <v>7643</v>
      </c>
      <c r="I3829" s="2" t="s">
        <v>12106</v>
      </c>
      <c r="J3829" s="2" t="s">
        <v>1443</v>
      </c>
      <c r="K3829" s="2" t="s">
        <v>12107</v>
      </c>
      <c r="L3829" s="3">
        <v>42.85</v>
      </c>
      <c r="M3829" s="3">
        <v>44.99</v>
      </c>
      <c r="N3829" s="3">
        <v>89.99</v>
      </c>
      <c r="O3829" s="2" t="s">
        <v>97</v>
      </c>
      <c r="P3829" s="2" t="s">
        <v>123</v>
      </c>
      <c r="Q3829" s="2" t="s">
        <v>99</v>
      </c>
      <c r="R3829" s="2" t="s">
        <v>100</v>
      </c>
      <c r="S3829" s="2" t="s">
        <v>12108</v>
      </c>
      <c r="T3829" s="2" t="s">
        <v>844</v>
      </c>
      <c r="U3829" s="2" t="s">
        <v>901</v>
      </c>
      <c r="V3829" s="2" t="s">
        <v>192</v>
      </c>
      <c r="W3829" s="2" t="s">
        <v>609</v>
      </c>
      <c r="X3829" s="2" t="s">
        <v>100</v>
      </c>
      <c r="Y3829" s="2" t="s">
        <v>12109</v>
      </c>
      <c r="Z3829" s="4"/>
      <c r="AA3829" s="4">
        <f>=ROUNDDOWN({0},0)</f>
      </c>
      <c r="AB3829" s="5">
        <v>38</v>
      </c>
      <c r="AC3829" s="2" t="s">
        <v>201</v>
      </c>
      <c r="AD3829" s="4">
        <v>150</v>
      </c>
      <c r="AE3829" s="4">
        <v>1380</v>
      </c>
      <c r="AF3829" s="6">
        <v>67</v>
      </c>
      <c r="AG3829" s="6"/>
      <c r="AH3829" s="7">
        <v>0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/>
      <c r="AQ3829" s="8"/>
      <c r="AR3829" s="4"/>
      <c r="AS3829" s="8"/>
      <c r="AT3829" s="7"/>
      <c r="AU3829" s="7"/>
      <c r="AV3829" s="4" t="s">
        <v>100</v>
      </c>
      <c r="AW3829" s="8" t="s">
        <v>100</v>
      </c>
      <c r="AX3829" s="4" t="s">
        <v>100</v>
      </c>
      <c r="AY3829" s="8" t="s">
        <v>100</v>
      </c>
      <c r="AZ3829" s="7" t="s">
        <v>100</v>
      </c>
      <c r="BA3829" s="7" t="s">
        <v>100</v>
      </c>
      <c r="BB3829" s="7"/>
      <c r="BC3829" s="4" t="s">
        <v>100</v>
      </c>
      <c r="BD3829" s="8" t="s">
        <v>100</v>
      </c>
      <c r="BE3829" s="4" t="s">
        <v>100</v>
      </c>
      <c r="BF3829" s="8" t="s">
        <v>100</v>
      </c>
      <c r="BG3829" s="7" t="s">
        <v>100</v>
      </c>
      <c r="BH3829" s="7" t="s">
        <v>100</v>
      </c>
      <c r="BI3829" s="7"/>
      <c r="BJ3829" s="4">
        <v>3</v>
      </c>
      <c r="BK3829" s="8">
        <v>147.84</v>
      </c>
      <c r="BL3829" s="2" t="s">
        <v>2071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171</v>
      </c>
      <c r="BV3829" s="2" t="s">
        <v>97</v>
      </c>
      <c r="BW3829" s="2" t="s">
        <v>100</v>
      </c>
      <c r="BX3829" s="2" t="s">
        <v>100</v>
      </c>
      <c r="BY3829" s="2" t="s">
        <v>112</v>
      </c>
      <c r="BZ3829" s="2" t="s">
        <v>100</v>
      </c>
    </row>
    <row r="3830">
      <c r="A3830" s="2" t="s">
        <v>12110</v>
      </c>
      <c r="B3830" s="2" t="s">
        <v>11630</v>
      </c>
      <c r="C3830" s="2" t="s">
        <v>12055</v>
      </c>
      <c r="D3830" s="2" t="s">
        <v>89</v>
      </c>
      <c r="E3830" s="2" t="s">
        <v>90</v>
      </c>
      <c r="F3830" s="2" t="s">
        <v>12104</v>
      </c>
      <c r="G3830" s="2" t="s">
        <v>12105</v>
      </c>
      <c r="H3830" s="2" t="s">
        <v>7643</v>
      </c>
      <c r="I3830" s="2" t="s">
        <v>12106</v>
      </c>
      <c r="J3830" s="2" t="s">
        <v>522</v>
      </c>
      <c r="K3830" s="2" t="s">
        <v>12107</v>
      </c>
      <c r="L3830" s="3">
        <v>47.61</v>
      </c>
      <c r="M3830" s="3">
        <v>49.99</v>
      </c>
      <c r="N3830" s="3">
        <v>99.99</v>
      </c>
      <c r="O3830" s="2" t="s">
        <v>97</v>
      </c>
      <c r="P3830" s="2" t="s">
        <v>123</v>
      </c>
      <c r="Q3830" s="2" t="s">
        <v>99</v>
      </c>
      <c r="R3830" s="2" t="s">
        <v>100</v>
      </c>
      <c r="S3830" s="2" t="s">
        <v>12108</v>
      </c>
      <c r="T3830" s="2" t="s">
        <v>844</v>
      </c>
      <c r="U3830" s="2" t="s">
        <v>1228</v>
      </c>
      <c r="V3830" s="2" t="s">
        <v>192</v>
      </c>
      <c r="W3830" s="2" t="s">
        <v>609</v>
      </c>
      <c r="X3830" s="2" t="s">
        <v>100</v>
      </c>
      <c r="Y3830" s="2" t="s">
        <v>12111</v>
      </c>
      <c r="Z3830" s="4"/>
      <c r="AA3830" s="4">
        <f>=ROUNDDOWN({0},0)</f>
      </c>
      <c r="AB3830" s="5">
        <v>56</v>
      </c>
      <c r="AC3830" s="2" t="s">
        <v>201</v>
      </c>
      <c r="AD3830" s="4">
        <v>180</v>
      </c>
      <c r="AE3830" s="4">
        <v>1930</v>
      </c>
      <c r="AF3830" s="6">
        <v>67</v>
      </c>
      <c r="AG3830" s="6"/>
      <c r="AH3830" s="7">
        <v>0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/>
      <c r="AQ3830" s="8"/>
      <c r="AR3830" s="4"/>
      <c r="AS3830" s="8"/>
      <c r="AT3830" s="7"/>
      <c r="AU3830" s="7"/>
      <c r="AV3830" s="4" t="s">
        <v>100</v>
      </c>
      <c r="AW3830" s="8" t="s">
        <v>100</v>
      </c>
      <c r="AX3830" s="4" t="s">
        <v>100</v>
      </c>
      <c r="AY3830" s="8" t="s">
        <v>100</v>
      </c>
      <c r="AZ3830" s="7" t="s">
        <v>100</v>
      </c>
      <c r="BA3830" s="7" t="s">
        <v>100</v>
      </c>
      <c r="BB3830" s="7"/>
      <c r="BC3830" s="4" t="s">
        <v>100</v>
      </c>
      <c r="BD3830" s="8" t="s">
        <v>100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/>
      <c r="BJ3830" s="4"/>
      <c r="BK3830" s="8"/>
      <c r="BL3830" s="2" t="s">
        <v>100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171</v>
      </c>
      <c r="BV3830" s="2" t="s">
        <v>97</v>
      </c>
      <c r="BW3830" s="2" t="s">
        <v>100</v>
      </c>
      <c r="BX3830" s="2" t="s">
        <v>100</v>
      </c>
      <c r="BY3830" s="2" t="s">
        <v>112</v>
      </c>
      <c r="BZ3830" s="2" t="s">
        <v>100</v>
      </c>
    </row>
    <row r="3831">
      <c r="A3831" s="2" t="s">
        <v>12112</v>
      </c>
      <c r="B3831" s="2" t="s">
        <v>11630</v>
      </c>
      <c r="C3831" s="2" t="s">
        <v>12055</v>
      </c>
      <c r="D3831" s="2" t="s">
        <v>89</v>
      </c>
      <c r="E3831" s="2" t="s">
        <v>90</v>
      </c>
      <c r="F3831" s="2" t="s">
        <v>12113</v>
      </c>
      <c r="G3831" s="2" t="s">
        <v>11981</v>
      </c>
      <c r="H3831" s="2" t="s">
        <v>12114</v>
      </c>
      <c r="I3831" s="2" t="s">
        <v>12115</v>
      </c>
      <c r="J3831" s="2" t="s">
        <v>1443</v>
      </c>
      <c r="K3831" s="2" t="s">
        <v>4816</v>
      </c>
      <c r="L3831" s="3">
        <v>54.25</v>
      </c>
      <c r="M3831" s="3">
        <v>56.96</v>
      </c>
      <c r="N3831" s="3">
        <v>114.99</v>
      </c>
      <c r="O3831" s="2" t="s">
        <v>97</v>
      </c>
      <c r="P3831" s="2" t="s">
        <v>156</v>
      </c>
      <c r="Q3831" s="2" t="s">
        <v>99</v>
      </c>
      <c r="R3831" s="2" t="s">
        <v>100</v>
      </c>
      <c r="S3831" s="2" t="s">
        <v>12116</v>
      </c>
      <c r="T3831" s="2" t="s">
        <v>190</v>
      </c>
      <c r="U3831" s="2" t="s">
        <v>1228</v>
      </c>
      <c r="V3831" s="2" t="s">
        <v>367</v>
      </c>
      <c r="W3831" s="2" t="s">
        <v>493</v>
      </c>
      <c r="X3831" s="2" t="s">
        <v>168</v>
      </c>
      <c r="Y3831" s="2" t="s">
        <v>9100</v>
      </c>
      <c r="Z3831" s="4">
        <v>37</v>
      </c>
      <c r="AA3831" s="4">
        <f>=ROUNDDOWN(4.11111111111111,0)</f>
      </c>
      <c r="AB3831" s="5">
        <v>9</v>
      </c>
      <c r="AC3831" s="2" t="s">
        <v>1398</v>
      </c>
      <c r="AD3831" s="4">
        <v>180</v>
      </c>
      <c r="AE3831" s="4">
        <v>380</v>
      </c>
      <c r="AF3831" s="6">
        <v>65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/>
      <c r="AQ3831" s="8"/>
      <c r="AR3831" s="4"/>
      <c r="AS3831" s="8"/>
      <c r="AT3831" s="7"/>
      <c r="AU3831" s="7"/>
      <c r="AV3831" s="4" t="s">
        <v>100</v>
      </c>
      <c r="AW3831" s="8" t="s">
        <v>100</v>
      </c>
      <c r="AX3831" s="4" t="s">
        <v>100</v>
      </c>
      <c r="AY3831" s="8" t="s">
        <v>100</v>
      </c>
      <c r="AZ3831" s="7" t="s">
        <v>100</v>
      </c>
      <c r="BA3831" s="7" t="s">
        <v>100</v>
      </c>
      <c r="BB3831" s="7"/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/>
      <c r="BJ3831" s="4">
        <v>37</v>
      </c>
      <c r="BK3831" s="8">
        <v>2176.8</v>
      </c>
      <c r="BL3831" s="2" t="s">
        <v>12117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2551</v>
      </c>
      <c r="BV3831" s="2" t="s">
        <v>97</v>
      </c>
      <c r="BW3831" s="2" t="s">
        <v>100</v>
      </c>
      <c r="BX3831" s="2" t="s">
        <v>100</v>
      </c>
      <c r="BY3831" s="2" t="s">
        <v>112</v>
      </c>
      <c r="BZ3831" s="2" t="s">
        <v>149</v>
      </c>
    </row>
    <row r="3832">
      <c r="A3832" s="2" t="s">
        <v>12118</v>
      </c>
      <c r="B3832" s="2" t="s">
        <v>11630</v>
      </c>
      <c r="C3832" s="2" t="s">
        <v>12055</v>
      </c>
      <c r="D3832" s="2" t="s">
        <v>89</v>
      </c>
      <c r="E3832" s="2" t="s">
        <v>90</v>
      </c>
      <c r="F3832" s="2" t="s">
        <v>12113</v>
      </c>
      <c r="G3832" s="2" t="s">
        <v>11981</v>
      </c>
      <c r="H3832" s="2" t="s">
        <v>12114</v>
      </c>
      <c r="I3832" s="2" t="s">
        <v>12115</v>
      </c>
      <c r="J3832" s="2" t="s">
        <v>522</v>
      </c>
      <c r="K3832" s="2" t="s">
        <v>4816</v>
      </c>
      <c r="L3832" s="3">
        <v>65.1</v>
      </c>
      <c r="M3832" s="3">
        <v>68.36</v>
      </c>
      <c r="N3832" s="3">
        <v>134.99</v>
      </c>
      <c r="O3832" s="2" t="s">
        <v>97</v>
      </c>
      <c r="P3832" s="2" t="s">
        <v>156</v>
      </c>
      <c r="Q3832" s="2" t="s">
        <v>99</v>
      </c>
      <c r="R3832" s="2" t="s">
        <v>100</v>
      </c>
      <c r="S3832" s="2" t="s">
        <v>12116</v>
      </c>
      <c r="T3832" s="2" t="s">
        <v>190</v>
      </c>
      <c r="U3832" s="2" t="s">
        <v>460</v>
      </c>
      <c r="V3832" s="2" t="s">
        <v>367</v>
      </c>
      <c r="W3832" s="2" t="s">
        <v>493</v>
      </c>
      <c r="X3832" s="2" t="s">
        <v>168</v>
      </c>
      <c r="Y3832" s="2" t="s">
        <v>9100</v>
      </c>
      <c r="Z3832" s="4">
        <v>68</v>
      </c>
      <c r="AA3832" s="4">
        <f>=ROUNDDOWN(5.66666666666667,0)</f>
      </c>
      <c r="AB3832" s="5">
        <v>12</v>
      </c>
      <c r="AC3832" s="2" t="s">
        <v>1398</v>
      </c>
      <c r="AD3832" s="4">
        <v>150</v>
      </c>
      <c r="AE3832" s="4">
        <v>490</v>
      </c>
      <c r="AF3832" s="6">
        <v>65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/>
      <c r="AQ3832" s="8"/>
      <c r="AR3832" s="4"/>
      <c r="AS3832" s="8"/>
      <c r="AT3832" s="7"/>
      <c r="AU3832" s="7"/>
      <c r="AV3832" s="4" t="s">
        <v>100</v>
      </c>
      <c r="AW3832" s="8" t="s">
        <v>100</v>
      </c>
      <c r="AX3832" s="4" t="s">
        <v>100</v>
      </c>
      <c r="AY3832" s="8" t="s">
        <v>100</v>
      </c>
      <c r="AZ3832" s="7" t="s">
        <v>100</v>
      </c>
      <c r="BA3832" s="7" t="s">
        <v>100</v>
      </c>
      <c r="BB3832" s="7"/>
      <c r="BC3832" s="4" t="s">
        <v>100</v>
      </c>
      <c r="BD3832" s="8" t="s">
        <v>100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/>
      <c r="BJ3832" s="4">
        <v>82</v>
      </c>
      <c r="BK3832" s="8">
        <v>6047.66</v>
      </c>
      <c r="BL3832" s="2" t="s">
        <v>12119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2551</v>
      </c>
      <c r="BV3832" s="2" t="s">
        <v>97</v>
      </c>
      <c r="BW3832" s="2" t="s">
        <v>100</v>
      </c>
      <c r="BX3832" s="2" t="s">
        <v>100</v>
      </c>
      <c r="BY3832" s="2" t="s">
        <v>112</v>
      </c>
      <c r="BZ3832" s="2" t="s">
        <v>149</v>
      </c>
    </row>
    <row r="3833">
      <c r="A3833" s="2" t="s">
        <v>12120</v>
      </c>
      <c r="B3833" s="2" t="s">
        <v>11630</v>
      </c>
      <c r="C3833" s="2" t="s">
        <v>12055</v>
      </c>
      <c r="D3833" s="2" t="s">
        <v>89</v>
      </c>
      <c r="E3833" s="2" t="s">
        <v>90</v>
      </c>
      <c r="F3833" s="2" t="s">
        <v>11050</v>
      </c>
      <c r="G3833" s="2" t="s">
        <v>12080</v>
      </c>
      <c r="H3833" s="2" t="s">
        <v>1130</v>
      </c>
      <c r="I3833" s="2" t="s">
        <v>12121</v>
      </c>
      <c r="J3833" s="2" t="s">
        <v>1443</v>
      </c>
      <c r="K3833" s="2" t="s">
        <v>188</v>
      </c>
      <c r="L3833" s="3">
        <v>38.4</v>
      </c>
      <c r="M3833" s="3">
        <v>40.32</v>
      </c>
      <c r="N3833" s="3">
        <v>79.99</v>
      </c>
      <c r="O3833" s="2" t="s">
        <v>97</v>
      </c>
      <c r="P3833" s="2" t="s">
        <v>156</v>
      </c>
      <c r="Q3833" s="2" t="s">
        <v>99</v>
      </c>
      <c r="R3833" s="2" t="s">
        <v>100</v>
      </c>
      <c r="S3833" s="2" t="s">
        <v>12082</v>
      </c>
      <c r="T3833" s="2" t="s">
        <v>190</v>
      </c>
      <c r="U3833" s="2" t="s">
        <v>1228</v>
      </c>
      <c r="V3833" s="2" t="s">
        <v>4636</v>
      </c>
      <c r="W3833" s="2" t="s">
        <v>609</v>
      </c>
      <c r="X3833" s="2" t="s">
        <v>142</v>
      </c>
      <c r="Y3833" s="2" t="s">
        <v>12122</v>
      </c>
      <c r="Z3833" s="4">
        <v>222</v>
      </c>
      <c r="AA3833" s="4">
        <f>=ROUNDDOWN(17.0769230769231,0)</f>
      </c>
      <c r="AB3833" s="5">
        <v>13</v>
      </c>
      <c r="AC3833" s="2" t="s">
        <v>550</v>
      </c>
      <c r="AD3833" s="4">
        <v>180</v>
      </c>
      <c r="AE3833" s="4">
        <v>300</v>
      </c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>
        <v>20</v>
      </c>
      <c r="BK3833" s="8">
        <v>846.37</v>
      </c>
      <c r="BL3833" s="2" t="s">
        <v>3078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109</v>
      </c>
      <c r="BV3833" s="2" t="s">
        <v>97</v>
      </c>
      <c r="BW3833" s="2" t="s">
        <v>1567</v>
      </c>
      <c r="BX3833" s="2" t="s">
        <v>4341</v>
      </c>
      <c r="BY3833" s="2" t="s">
        <v>112</v>
      </c>
      <c r="BZ3833" s="2" t="s">
        <v>100</v>
      </c>
    </row>
    <row r="3834">
      <c r="A3834" s="2" t="s">
        <v>12123</v>
      </c>
      <c r="B3834" s="2" t="s">
        <v>11630</v>
      </c>
      <c r="C3834" s="2" t="s">
        <v>12055</v>
      </c>
      <c r="D3834" s="2" t="s">
        <v>89</v>
      </c>
      <c r="E3834" s="2" t="s">
        <v>90</v>
      </c>
      <c r="F3834" s="2" t="s">
        <v>12072</v>
      </c>
      <c r="G3834" s="2" t="s">
        <v>12073</v>
      </c>
      <c r="H3834" s="2" t="s">
        <v>12074</v>
      </c>
      <c r="I3834" s="2" t="s">
        <v>12124</v>
      </c>
      <c r="J3834" s="2" t="s">
        <v>1443</v>
      </c>
      <c r="K3834" s="2" t="s">
        <v>626</v>
      </c>
      <c r="L3834" s="3">
        <v>38.3</v>
      </c>
      <c r="M3834" s="3">
        <v>40.22</v>
      </c>
      <c r="N3834" s="3">
        <v>79.99</v>
      </c>
      <c r="O3834" s="2" t="s">
        <v>97</v>
      </c>
      <c r="P3834" s="2" t="s">
        <v>707</v>
      </c>
      <c r="Q3834" s="2" t="s">
        <v>99</v>
      </c>
      <c r="R3834" s="2" t="s">
        <v>100</v>
      </c>
      <c r="S3834" s="2" t="s">
        <v>12076</v>
      </c>
      <c r="T3834" s="2" t="s">
        <v>190</v>
      </c>
      <c r="U3834" s="2" t="s">
        <v>901</v>
      </c>
      <c r="V3834" s="2" t="s">
        <v>4636</v>
      </c>
      <c r="W3834" s="2" t="s">
        <v>493</v>
      </c>
      <c r="X3834" s="2" t="s">
        <v>168</v>
      </c>
      <c r="Y3834" s="2" t="s">
        <v>1414</v>
      </c>
      <c r="Z3834" s="4">
        <v>126</v>
      </c>
      <c r="AA3834" s="4">
        <f>=ROUNDDOWN(18,0)</f>
      </c>
      <c r="AB3834" s="5">
        <v>7</v>
      </c>
      <c r="AC3834" s="2" t="s">
        <v>262</v>
      </c>
      <c r="AD3834" s="4">
        <v>100</v>
      </c>
      <c r="AE3834" s="4">
        <v>200</v>
      </c>
      <c r="AF3834" s="6">
        <v>65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/>
      <c r="AQ3834" s="8"/>
      <c r="AR3834" s="4"/>
      <c r="AS3834" s="8"/>
      <c r="AT3834" s="7"/>
      <c r="AU3834" s="7"/>
      <c r="AV3834" s="4" t="s">
        <v>100</v>
      </c>
      <c r="AW3834" s="8" t="s">
        <v>100</v>
      </c>
      <c r="AX3834" s="4" t="s">
        <v>100</v>
      </c>
      <c r="AY3834" s="8" t="s">
        <v>100</v>
      </c>
      <c r="AZ3834" s="7" t="s">
        <v>100</v>
      </c>
      <c r="BA3834" s="7" t="s">
        <v>100</v>
      </c>
      <c r="BB3834" s="7"/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/>
      <c r="BJ3834" s="4">
        <v>41</v>
      </c>
      <c r="BK3834" s="8">
        <v>1786.48</v>
      </c>
      <c r="BL3834" s="2" t="s">
        <v>12125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171</v>
      </c>
      <c r="BV3834" s="2" t="s">
        <v>97</v>
      </c>
      <c r="BW3834" s="2" t="s">
        <v>100</v>
      </c>
      <c r="BX3834" s="2" t="s">
        <v>100</v>
      </c>
      <c r="BY3834" s="2" t="s">
        <v>112</v>
      </c>
      <c r="BZ3834" s="2" t="s">
        <v>149</v>
      </c>
    </row>
    <row r="3835">
      <c r="A3835" s="2" t="s">
        <v>12126</v>
      </c>
      <c r="B3835" s="2" t="s">
        <v>11630</v>
      </c>
      <c r="C3835" s="2" t="s">
        <v>12055</v>
      </c>
      <c r="D3835" s="2" t="s">
        <v>89</v>
      </c>
      <c r="E3835" s="2" t="s">
        <v>90</v>
      </c>
      <c r="F3835" s="2" t="s">
        <v>12072</v>
      </c>
      <c r="G3835" s="2" t="s">
        <v>12073</v>
      </c>
      <c r="H3835" s="2" t="s">
        <v>12074</v>
      </c>
      <c r="I3835" s="2" t="s">
        <v>12124</v>
      </c>
      <c r="J3835" s="2" t="s">
        <v>522</v>
      </c>
      <c r="K3835" s="2" t="s">
        <v>626</v>
      </c>
      <c r="L3835" s="3">
        <v>49.15</v>
      </c>
      <c r="M3835" s="3">
        <v>51.61</v>
      </c>
      <c r="N3835" s="3">
        <v>99.99</v>
      </c>
      <c r="O3835" s="2" t="s">
        <v>97</v>
      </c>
      <c r="P3835" s="2" t="s">
        <v>707</v>
      </c>
      <c r="Q3835" s="2" t="s">
        <v>99</v>
      </c>
      <c r="R3835" s="2" t="s">
        <v>100</v>
      </c>
      <c r="S3835" s="2" t="s">
        <v>12076</v>
      </c>
      <c r="T3835" s="2" t="s">
        <v>190</v>
      </c>
      <c r="U3835" s="2" t="s">
        <v>1228</v>
      </c>
      <c r="V3835" s="2" t="s">
        <v>4636</v>
      </c>
      <c r="W3835" s="2" t="s">
        <v>493</v>
      </c>
      <c r="X3835" s="2" t="s">
        <v>168</v>
      </c>
      <c r="Y3835" s="2" t="s">
        <v>1414</v>
      </c>
      <c r="Z3835" s="4">
        <v>144</v>
      </c>
      <c r="AA3835" s="4">
        <f>=ROUNDDOWN(18,0)</f>
      </c>
      <c r="AB3835" s="5">
        <v>8</v>
      </c>
      <c r="AC3835" s="2" t="s">
        <v>262</v>
      </c>
      <c r="AD3835" s="4">
        <v>90</v>
      </c>
      <c r="AE3835" s="4">
        <v>170</v>
      </c>
      <c r="AF3835" s="6">
        <v>65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/>
      <c r="AQ3835" s="8"/>
      <c r="AR3835" s="4"/>
      <c r="AS3835" s="8"/>
      <c r="AT3835" s="7"/>
      <c r="AU3835" s="7"/>
      <c r="AV3835" s="4" t="s">
        <v>100</v>
      </c>
      <c r="AW3835" s="8" t="s">
        <v>100</v>
      </c>
      <c r="AX3835" s="4" t="s">
        <v>100</v>
      </c>
      <c r="AY3835" s="8" t="s">
        <v>100</v>
      </c>
      <c r="AZ3835" s="7" t="s">
        <v>100</v>
      </c>
      <c r="BA3835" s="7" t="s">
        <v>100</v>
      </c>
      <c r="BB3835" s="7"/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/>
      <c r="BJ3835" s="4">
        <v>19</v>
      </c>
      <c r="BK3835" s="8">
        <v>1136.19</v>
      </c>
      <c r="BL3835" s="2" t="s">
        <v>12127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171</v>
      </c>
      <c r="BV3835" s="2" t="s">
        <v>97</v>
      </c>
      <c r="BW3835" s="2" t="s">
        <v>100</v>
      </c>
      <c r="BX3835" s="2" t="s">
        <v>100</v>
      </c>
      <c r="BY3835" s="2" t="s">
        <v>112</v>
      </c>
      <c r="BZ3835" s="2" t="s">
        <v>149</v>
      </c>
    </row>
    <row r="3836">
      <c r="A3836" s="2" t="s">
        <v>12128</v>
      </c>
      <c r="B3836" s="2" t="s">
        <v>11630</v>
      </c>
      <c r="C3836" s="2" t="s">
        <v>12055</v>
      </c>
      <c r="D3836" s="2" t="s">
        <v>1496</v>
      </c>
      <c r="E3836" s="2" t="s">
        <v>1497</v>
      </c>
      <c r="F3836" s="2" t="s">
        <v>12104</v>
      </c>
      <c r="G3836" s="2" t="s">
        <v>12105</v>
      </c>
      <c r="H3836" s="2" t="s">
        <v>7643</v>
      </c>
      <c r="I3836" s="2" t="s">
        <v>12129</v>
      </c>
      <c r="J3836" s="2" t="s">
        <v>1443</v>
      </c>
      <c r="K3836" s="2" t="s">
        <v>12107</v>
      </c>
      <c r="L3836" s="3">
        <v>30.95</v>
      </c>
      <c r="M3836" s="3">
        <v>32.5</v>
      </c>
      <c r="N3836" s="3">
        <v>64.99</v>
      </c>
      <c r="O3836" s="2" t="s">
        <v>97</v>
      </c>
      <c r="P3836" s="2" t="s">
        <v>98</v>
      </c>
      <c r="Q3836" s="2" t="s">
        <v>99</v>
      </c>
      <c r="R3836" s="2" t="s">
        <v>100</v>
      </c>
      <c r="S3836" s="2" t="s">
        <v>12108</v>
      </c>
      <c r="T3836" s="2" t="s">
        <v>844</v>
      </c>
      <c r="U3836" s="2" t="s">
        <v>894</v>
      </c>
      <c r="V3836" s="2" t="s">
        <v>192</v>
      </c>
      <c r="W3836" s="2" t="s">
        <v>609</v>
      </c>
      <c r="X3836" s="2" t="s">
        <v>100</v>
      </c>
      <c r="Y3836" s="2" t="s">
        <v>12111</v>
      </c>
      <c r="Z3836" s="4"/>
      <c r="AA3836" s="4">
        <f>=ROUNDDOWN({0},0)</f>
      </c>
      <c r="AB3836" s="5">
        <v>21</v>
      </c>
      <c r="AC3836" s="2" t="s">
        <v>201</v>
      </c>
      <c r="AD3836" s="4">
        <v>50</v>
      </c>
      <c r="AE3836" s="4">
        <v>950</v>
      </c>
      <c r="AF3836" s="6">
        <v>67</v>
      </c>
      <c r="AG3836" s="6"/>
      <c r="AH3836" s="7">
        <v>0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/>
      <c r="AQ3836" s="8"/>
      <c r="AR3836" s="4"/>
      <c r="AS3836" s="8"/>
      <c r="AT3836" s="7"/>
      <c r="AU3836" s="7"/>
      <c r="AV3836" s="4" t="s">
        <v>100</v>
      </c>
      <c r="AW3836" s="8" t="s">
        <v>100</v>
      </c>
      <c r="AX3836" s="4" t="s">
        <v>100</v>
      </c>
      <c r="AY3836" s="8" t="s">
        <v>100</v>
      </c>
      <c r="AZ3836" s="7" t="s">
        <v>100</v>
      </c>
      <c r="BA3836" s="7" t="s">
        <v>100</v>
      </c>
      <c r="BB3836" s="7"/>
      <c r="BC3836" s="4" t="s">
        <v>100</v>
      </c>
      <c r="BD3836" s="8" t="s">
        <v>100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/>
      <c r="BJ3836" s="4">
        <v>3</v>
      </c>
      <c r="BK3836" s="8">
        <v>106.77</v>
      </c>
      <c r="BL3836" s="2" t="s">
        <v>2071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171</v>
      </c>
      <c r="BV3836" s="2" t="s">
        <v>97</v>
      </c>
      <c r="BW3836" s="2" t="s">
        <v>100</v>
      </c>
      <c r="BX3836" s="2" t="s">
        <v>100</v>
      </c>
      <c r="BY3836" s="2" t="s">
        <v>112</v>
      </c>
      <c r="BZ3836" s="2" t="s">
        <v>100</v>
      </c>
    </row>
    <row r="3837">
      <c r="A3837" s="2" t="s">
        <v>12130</v>
      </c>
      <c r="B3837" s="2" t="s">
        <v>11630</v>
      </c>
      <c r="C3837" s="2" t="s">
        <v>12055</v>
      </c>
      <c r="D3837" s="2" t="s">
        <v>1496</v>
      </c>
      <c r="E3837" s="2" t="s">
        <v>1497</v>
      </c>
      <c r="F3837" s="2" t="s">
        <v>12104</v>
      </c>
      <c r="G3837" s="2" t="s">
        <v>12105</v>
      </c>
      <c r="H3837" s="2" t="s">
        <v>7643</v>
      </c>
      <c r="I3837" s="2" t="s">
        <v>12129</v>
      </c>
      <c r="J3837" s="2" t="s">
        <v>522</v>
      </c>
      <c r="K3837" s="2" t="s">
        <v>12107</v>
      </c>
      <c r="L3837" s="3">
        <v>35.71</v>
      </c>
      <c r="M3837" s="3">
        <v>37.5</v>
      </c>
      <c r="N3837" s="3">
        <v>74.99</v>
      </c>
      <c r="O3837" s="2" t="s">
        <v>97</v>
      </c>
      <c r="P3837" s="2" t="s">
        <v>98</v>
      </c>
      <c r="Q3837" s="2" t="s">
        <v>99</v>
      </c>
      <c r="R3837" s="2" t="s">
        <v>100</v>
      </c>
      <c r="S3837" s="2" t="s">
        <v>12108</v>
      </c>
      <c r="T3837" s="2" t="s">
        <v>844</v>
      </c>
      <c r="U3837" s="2" t="s">
        <v>901</v>
      </c>
      <c r="V3837" s="2" t="s">
        <v>192</v>
      </c>
      <c r="W3837" s="2" t="s">
        <v>609</v>
      </c>
      <c r="X3837" s="2" t="s">
        <v>100</v>
      </c>
      <c r="Y3837" s="2" t="s">
        <v>12111</v>
      </c>
      <c r="Z3837" s="4"/>
      <c r="AA3837" s="4">
        <f>=ROUNDDOWN({0},0)</f>
      </c>
      <c r="AB3837" s="5">
        <v>25</v>
      </c>
      <c r="AC3837" s="2" t="s">
        <v>201</v>
      </c>
      <c r="AD3837" s="4">
        <v>70</v>
      </c>
      <c r="AE3837" s="4">
        <v>940</v>
      </c>
      <c r="AF3837" s="6">
        <v>67</v>
      </c>
      <c r="AG3837" s="6"/>
      <c r="AH3837" s="7">
        <v>0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/>
      <c r="AQ3837" s="8"/>
      <c r="AR3837" s="4"/>
      <c r="AS3837" s="8"/>
      <c r="AT3837" s="7"/>
      <c r="AU3837" s="7"/>
      <c r="AV3837" s="4" t="s">
        <v>100</v>
      </c>
      <c r="AW3837" s="8" t="s">
        <v>100</v>
      </c>
      <c r="AX3837" s="4" t="s">
        <v>100</v>
      </c>
      <c r="AY3837" s="8" t="s">
        <v>100</v>
      </c>
      <c r="AZ3837" s="7" t="s">
        <v>100</v>
      </c>
      <c r="BA3837" s="7" t="s">
        <v>100</v>
      </c>
      <c r="BB3837" s="7"/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/>
      <c r="BJ3837" s="4">
        <v>10</v>
      </c>
      <c r="BK3837" s="8">
        <v>410.7</v>
      </c>
      <c r="BL3837" s="2" t="s">
        <v>2071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171</v>
      </c>
      <c r="BV3837" s="2" t="s">
        <v>97</v>
      </c>
      <c r="BW3837" s="2" t="s">
        <v>100</v>
      </c>
      <c r="BX3837" s="2" t="s">
        <v>100</v>
      </c>
      <c r="BY3837" s="2" t="s">
        <v>112</v>
      </c>
      <c r="BZ3837" s="2" t="s">
        <v>100</v>
      </c>
    </row>
    <row r="3838">
      <c r="A3838" s="2" t="s">
        <v>12131</v>
      </c>
      <c r="B3838" s="2" t="s">
        <v>11630</v>
      </c>
      <c r="C3838" s="2" t="s">
        <v>12055</v>
      </c>
      <c r="D3838" s="2" t="s">
        <v>1496</v>
      </c>
      <c r="E3838" s="2" t="s">
        <v>1648</v>
      </c>
      <c r="F3838" s="2" t="s">
        <v>11505</v>
      </c>
      <c r="G3838" s="2" t="s">
        <v>8042</v>
      </c>
      <c r="H3838" s="2" t="s">
        <v>8402</v>
      </c>
      <c r="I3838" s="2" t="s">
        <v>12132</v>
      </c>
      <c r="J3838" s="2" t="s">
        <v>352</v>
      </c>
      <c r="K3838" s="2" t="s">
        <v>706</v>
      </c>
      <c r="L3838" s="3">
        <v>43.34</v>
      </c>
      <c r="M3838" s="3">
        <v>45.51</v>
      </c>
      <c r="N3838" s="3">
        <v>84.99</v>
      </c>
      <c r="O3838" s="2" t="s">
        <v>97</v>
      </c>
      <c r="P3838" s="2" t="s">
        <v>123</v>
      </c>
      <c r="Q3838" s="2" t="s">
        <v>99</v>
      </c>
      <c r="R3838" s="2" t="s">
        <v>100</v>
      </c>
      <c r="S3838" s="2" t="s">
        <v>12133</v>
      </c>
      <c r="T3838" s="2" t="s">
        <v>190</v>
      </c>
      <c r="U3838" s="2" t="s">
        <v>1228</v>
      </c>
      <c r="V3838" s="2" t="s">
        <v>4677</v>
      </c>
      <c r="W3838" s="2" t="s">
        <v>193</v>
      </c>
      <c r="X3838" s="2" t="s">
        <v>1229</v>
      </c>
      <c r="Y3838" s="2" t="s">
        <v>1052</v>
      </c>
      <c r="Z3838" s="4">
        <v>109</v>
      </c>
      <c r="AA3838" s="4">
        <f>=ROUNDDOWN(10.9,0)</f>
      </c>
      <c r="AB3838" s="5">
        <v>10</v>
      </c>
      <c r="AC3838" s="2" t="s">
        <v>7017</v>
      </c>
      <c r="AD3838" s="4">
        <v>160</v>
      </c>
      <c r="AE3838" s="4">
        <v>390</v>
      </c>
      <c r="AF3838" s="6">
        <v>65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/>
      <c r="AQ3838" s="8"/>
      <c r="AR3838" s="4"/>
      <c r="AS3838" s="8"/>
      <c r="AT3838" s="7"/>
      <c r="AU3838" s="7"/>
      <c r="AV3838" s="4" t="s">
        <v>100</v>
      </c>
      <c r="AW3838" s="8" t="s">
        <v>100</v>
      </c>
      <c r="AX3838" s="4" t="s">
        <v>100</v>
      </c>
      <c r="AY3838" s="8" t="s">
        <v>100</v>
      </c>
      <c r="AZ3838" s="7" t="s">
        <v>100</v>
      </c>
      <c r="BA3838" s="7" t="s">
        <v>100</v>
      </c>
      <c r="BB3838" s="7"/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/>
      <c r="BJ3838" s="4">
        <v>40</v>
      </c>
      <c r="BK3838" s="8">
        <v>1907.76</v>
      </c>
      <c r="BL3838" s="2" t="s">
        <v>1721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2551</v>
      </c>
      <c r="BV3838" s="2" t="s">
        <v>97</v>
      </c>
      <c r="BW3838" s="2" t="s">
        <v>100</v>
      </c>
      <c r="BX3838" s="2" t="s">
        <v>100</v>
      </c>
      <c r="BY3838" s="2" t="s">
        <v>112</v>
      </c>
      <c r="BZ3838" s="2" t="s">
        <v>100</v>
      </c>
    </row>
    <row r="3839">
      <c r="A3839" s="2" t="s">
        <v>12134</v>
      </c>
      <c r="B3839" s="2" t="s">
        <v>11630</v>
      </c>
      <c r="C3839" s="2" t="s">
        <v>12055</v>
      </c>
      <c r="D3839" s="2" t="s">
        <v>1496</v>
      </c>
      <c r="E3839" s="2" t="s">
        <v>1648</v>
      </c>
      <c r="F3839" s="2" t="s">
        <v>11505</v>
      </c>
      <c r="G3839" s="2" t="s">
        <v>8042</v>
      </c>
      <c r="H3839" s="2" t="s">
        <v>8402</v>
      </c>
      <c r="I3839" s="2" t="s">
        <v>12132</v>
      </c>
      <c r="J3839" s="2" t="s">
        <v>522</v>
      </c>
      <c r="K3839" s="2" t="s">
        <v>706</v>
      </c>
      <c r="L3839" s="3">
        <v>53.54</v>
      </c>
      <c r="M3839" s="3">
        <v>56.22</v>
      </c>
      <c r="N3839" s="3">
        <v>104.99</v>
      </c>
      <c r="O3839" s="2" t="s">
        <v>97</v>
      </c>
      <c r="P3839" s="2" t="s">
        <v>123</v>
      </c>
      <c r="Q3839" s="2" t="s">
        <v>99</v>
      </c>
      <c r="R3839" s="2" t="s">
        <v>100</v>
      </c>
      <c r="S3839" s="2" t="s">
        <v>12133</v>
      </c>
      <c r="T3839" s="2" t="s">
        <v>190</v>
      </c>
      <c r="U3839" s="2" t="s">
        <v>460</v>
      </c>
      <c r="V3839" s="2" t="s">
        <v>4677</v>
      </c>
      <c r="W3839" s="2" t="s">
        <v>193</v>
      </c>
      <c r="X3839" s="2" t="s">
        <v>1229</v>
      </c>
      <c r="Y3839" s="2" t="s">
        <v>1052</v>
      </c>
      <c r="Z3839" s="4">
        <v>311</v>
      </c>
      <c r="AA3839" s="4">
        <f>=ROUNDDOWN(28.2727272727273,0)</f>
      </c>
      <c r="AB3839" s="5">
        <v>11</v>
      </c>
      <c r="AC3839" s="2" t="s">
        <v>1767</v>
      </c>
      <c r="AD3839" s="4">
        <v>98</v>
      </c>
      <c r="AE3839" s="4">
        <v>268</v>
      </c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/>
      <c r="AQ3839" s="8"/>
      <c r="AR3839" s="4"/>
      <c r="AS3839" s="8"/>
      <c r="AT3839" s="7"/>
      <c r="AU3839" s="7"/>
      <c r="AV3839" s="4" t="s">
        <v>100</v>
      </c>
      <c r="AW3839" s="8" t="s">
        <v>100</v>
      </c>
      <c r="AX3839" s="4" t="s">
        <v>100</v>
      </c>
      <c r="AY3839" s="8" t="s">
        <v>100</v>
      </c>
      <c r="AZ3839" s="7" t="s">
        <v>100</v>
      </c>
      <c r="BA3839" s="7" t="s">
        <v>100</v>
      </c>
      <c r="BB3839" s="7"/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/>
      <c r="BJ3839" s="4">
        <v>39</v>
      </c>
      <c r="BK3839" s="8">
        <v>2368.83</v>
      </c>
      <c r="BL3839" s="2" t="s">
        <v>12135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2551</v>
      </c>
      <c r="BV3839" s="2" t="s">
        <v>97</v>
      </c>
      <c r="BW3839" s="2" t="s">
        <v>100</v>
      </c>
      <c r="BX3839" s="2" t="s">
        <v>100</v>
      </c>
      <c r="BY3839" s="2" t="s">
        <v>112</v>
      </c>
      <c r="BZ3839" s="2" t="s">
        <v>100</v>
      </c>
    </row>
    <row r="3840">
      <c r="A3840" s="2" t="s">
        <v>12136</v>
      </c>
      <c r="B3840" s="2" t="s">
        <v>11630</v>
      </c>
      <c r="C3840" s="2" t="s">
        <v>12055</v>
      </c>
      <c r="D3840" s="2" t="s">
        <v>1496</v>
      </c>
      <c r="E3840" s="2" t="s">
        <v>1648</v>
      </c>
      <c r="F3840" s="2" t="s">
        <v>12093</v>
      </c>
      <c r="G3840" s="2" t="s">
        <v>12094</v>
      </c>
      <c r="H3840" s="2" t="s">
        <v>12095</v>
      </c>
      <c r="I3840" s="2" t="s">
        <v>12137</v>
      </c>
      <c r="J3840" s="2" t="s">
        <v>522</v>
      </c>
      <c r="K3840" s="2" t="s">
        <v>179</v>
      </c>
      <c r="L3840" s="3">
        <v>45.89</v>
      </c>
      <c r="M3840" s="3">
        <v>48.18</v>
      </c>
      <c r="N3840" s="3">
        <v>89.99</v>
      </c>
      <c r="O3840" s="2" t="s">
        <v>97</v>
      </c>
      <c r="P3840" s="2" t="s">
        <v>98</v>
      </c>
      <c r="Q3840" s="2" t="s">
        <v>99</v>
      </c>
      <c r="R3840" s="2" t="s">
        <v>100</v>
      </c>
      <c r="S3840" s="2" t="s">
        <v>12138</v>
      </c>
      <c r="T3840" s="2" t="s">
        <v>190</v>
      </c>
      <c r="U3840" s="2" t="s">
        <v>460</v>
      </c>
      <c r="V3840" s="2" t="s">
        <v>4636</v>
      </c>
      <c r="W3840" s="2" t="s">
        <v>609</v>
      </c>
      <c r="X3840" s="2" t="s">
        <v>100</v>
      </c>
      <c r="Y3840" s="2" t="s">
        <v>3395</v>
      </c>
      <c r="Z3840" s="4">
        <v>123</v>
      </c>
      <c r="AA3840" s="4">
        <f>=ROUNDDOWN(24.6,0)</f>
      </c>
      <c r="AB3840" s="5">
        <v>5</v>
      </c>
      <c r="AC3840" s="2" t="s">
        <v>550</v>
      </c>
      <c r="AD3840" s="4">
        <v>30</v>
      </c>
      <c r="AE3840" s="4">
        <v>155</v>
      </c>
      <c r="AF3840" s="6">
        <v>65</v>
      </c>
      <c r="AG3840" s="6">
        <v>73</v>
      </c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/>
      <c r="BD3840" s="8"/>
      <c r="BE3840" s="4"/>
      <c r="BF3840" s="8"/>
      <c r="BG3840" s="7"/>
      <c r="BH3840" s="7"/>
      <c r="BI3840" s="7"/>
      <c r="BJ3840" s="4">
        <v>8</v>
      </c>
      <c r="BK3840" s="8">
        <v>393.97</v>
      </c>
      <c r="BL3840" s="2" t="s">
        <v>5201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109</v>
      </c>
      <c r="BV3840" s="2" t="s">
        <v>97</v>
      </c>
      <c r="BW3840" s="2" t="s">
        <v>404</v>
      </c>
      <c r="BX3840" s="2" t="s">
        <v>10056</v>
      </c>
      <c r="BY3840" s="2" t="s">
        <v>112</v>
      </c>
      <c r="BZ3840" s="2" t="s">
        <v>100</v>
      </c>
    </row>
    <row r="3841">
      <c r="A3841" s="2" t="s">
        <v>12139</v>
      </c>
      <c r="B3841" s="2" t="s">
        <v>11630</v>
      </c>
      <c r="C3841" s="2" t="s">
        <v>12055</v>
      </c>
      <c r="D3841" s="2" t="s">
        <v>1496</v>
      </c>
      <c r="E3841" s="2" t="s">
        <v>1648</v>
      </c>
      <c r="F3841" s="2" t="s">
        <v>12113</v>
      </c>
      <c r="G3841" s="2" t="s">
        <v>11981</v>
      </c>
      <c r="H3841" s="2" t="s">
        <v>12114</v>
      </c>
      <c r="I3841" s="2" t="s">
        <v>12140</v>
      </c>
      <c r="J3841" s="2" t="s">
        <v>1443</v>
      </c>
      <c r="K3841" s="2" t="s">
        <v>4816</v>
      </c>
      <c r="L3841" s="3">
        <v>43.13</v>
      </c>
      <c r="M3841" s="3">
        <v>45.29</v>
      </c>
      <c r="N3841" s="3">
        <v>84.99</v>
      </c>
      <c r="O3841" s="2" t="s">
        <v>97</v>
      </c>
      <c r="P3841" s="2" t="s">
        <v>98</v>
      </c>
      <c r="Q3841" s="2" t="s">
        <v>99</v>
      </c>
      <c r="R3841" s="2" t="s">
        <v>100</v>
      </c>
      <c r="S3841" s="2" t="s">
        <v>12116</v>
      </c>
      <c r="T3841" s="2" t="s">
        <v>190</v>
      </c>
      <c r="U3841" s="2" t="s">
        <v>1228</v>
      </c>
      <c r="V3841" s="2" t="s">
        <v>367</v>
      </c>
      <c r="W3841" s="2" t="s">
        <v>493</v>
      </c>
      <c r="X3841" s="2" t="s">
        <v>168</v>
      </c>
      <c r="Y3841" s="2" t="s">
        <v>1526</v>
      </c>
      <c r="Z3841" s="4">
        <v>3</v>
      </c>
      <c r="AA3841" s="4">
        <f>=ROUNDDOWN(0.6,0)</f>
      </c>
      <c r="AB3841" s="5">
        <v>5</v>
      </c>
      <c r="AC3841" s="2" t="s">
        <v>1398</v>
      </c>
      <c r="AD3841" s="4">
        <v>70</v>
      </c>
      <c r="AE3841" s="4">
        <v>230</v>
      </c>
      <c r="AF3841" s="6">
        <v>65</v>
      </c>
      <c r="AG3841" s="6"/>
      <c r="AH3841" s="7">
        <v>0.9355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/>
      <c r="AQ3841" s="8"/>
      <c r="AR3841" s="4"/>
      <c r="AS3841" s="8"/>
      <c r="AT3841" s="7"/>
      <c r="AU3841" s="7"/>
      <c r="AV3841" s="4" t="s">
        <v>100</v>
      </c>
      <c r="AW3841" s="8" t="s">
        <v>100</v>
      </c>
      <c r="AX3841" s="4" t="s">
        <v>100</v>
      </c>
      <c r="AY3841" s="8" t="s">
        <v>100</v>
      </c>
      <c r="AZ3841" s="7" t="s">
        <v>100</v>
      </c>
      <c r="BA3841" s="7" t="s">
        <v>100</v>
      </c>
      <c r="BB3841" s="7"/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/>
      <c r="BJ3841" s="4">
        <v>9</v>
      </c>
      <c r="BK3841" s="8">
        <v>393.09</v>
      </c>
      <c r="BL3841" s="2" t="s">
        <v>12141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2551</v>
      </c>
      <c r="BV3841" s="2" t="s">
        <v>97</v>
      </c>
      <c r="BW3841" s="2" t="s">
        <v>100</v>
      </c>
      <c r="BX3841" s="2" t="s">
        <v>100</v>
      </c>
      <c r="BY3841" s="2" t="s">
        <v>112</v>
      </c>
      <c r="BZ3841" s="2" t="s">
        <v>100</v>
      </c>
    </row>
    <row r="3842">
      <c r="A3842" s="2" t="s">
        <v>12142</v>
      </c>
      <c r="B3842" s="2" t="s">
        <v>11630</v>
      </c>
      <c r="C3842" s="2" t="s">
        <v>12055</v>
      </c>
      <c r="D3842" s="2" t="s">
        <v>1496</v>
      </c>
      <c r="E3842" s="2" t="s">
        <v>1648</v>
      </c>
      <c r="F3842" s="2" t="s">
        <v>12113</v>
      </c>
      <c r="G3842" s="2" t="s">
        <v>11981</v>
      </c>
      <c r="H3842" s="2" t="s">
        <v>12114</v>
      </c>
      <c r="I3842" s="2" t="s">
        <v>12140</v>
      </c>
      <c r="J3842" s="2" t="s">
        <v>522</v>
      </c>
      <c r="K3842" s="2" t="s">
        <v>4816</v>
      </c>
      <c r="L3842" s="3">
        <v>53.78</v>
      </c>
      <c r="M3842" s="3">
        <v>56.47</v>
      </c>
      <c r="N3842" s="3">
        <v>104.99</v>
      </c>
      <c r="O3842" s="2" t="s">
        <v>97</v>
      </c>
      <c r="P3842" s="2" t="s">
        <v>98</v>
      </c>
      <c r="Q3842" s="2" t="s">
        <v>99</v>
      </c>
      <c r="R3842" s="2" t="s">
        <v>100</v>
      </c>
      <c r="S3842" s="2" t="s">
        <v>12116</v>
      </c>
      <c r="T3842" s="2" t="s">
        <v>190</v>
      </c>
      <c r="U3842" s="2" t="s">
        <v>460</v>
      </c>
      <c r="V3842" s="2" t="s">
        <v>367</v>
      </c>
      <c r="W3842" s="2" t="s">
        <v>493</v>
      </c>
      <c r="X3842" s="2" t="s">
        <v>168</v>
      </c>
      <c r="Y3842" s="2" t="s">
        <v>1526</v>
      </c>
      <c r="Z3842" s="4">
        <v>56</v>
      </c>
      <c r="AA3842" s="4">
        <f>=ROUNDDOWN(11.2,0)</f>
      </c>
      <c r="AB3842" s="5">
        <v>5</v>
      </c>
      <c r="AC3842" s="2" t="s">
        <v>1398</v>
      </c>
      <c r="AD3842" s="4">
        <v>110</v>
      </c>
      <c r="AE3842" s="4">
        <v>210</v>
      </c>
      <c r="AF3842" s="6">
        <v>65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/>
      <c r="AQ3842" s="8"/>
      <c r="AR3842" s="4"/>
      <c r="AS3842" s="8"/>
      <c r="AT3842" s="7"/>
      <c r="AU3842" s="7"/>
      <c r="AV3842" s="4" t="s">
        <v>100</v>
      </c>
      <c r="AW3842" s="8" t="s">
        <v>100</v>
      </c>
      <c r="AX3842" s="4" t="s">
        <v>100</v>
      </c>
      <c r="AY3842" s="8" t="s">
        <v>100</v>
      </c>
      <c r="AZ3842" s="7" t="s">
        <v>100</v>
      </c>
      <c r="BA3842" s="7" t="s">
        <v>100</v>
      </c>
      <c r="BB3842" s="7"/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/>
      <c r="BJ3842" s="4">
        <v>14</v>
      </c>
      <c r="BK3842" s="8">
        <v>838.03</v>
      </c>
      <c r="BL3842" s="2" t="s">
        <v>12143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2551</v>
      </c>
      <c r="BV3842" s="2" t="s">
        <v>97</v>
      </c>
      <c r="BW3842" s="2" t="s">
        <v>100</v>
      </c>
      <c r="BX3842" s="2" t="s">
        <v>100</v>
      </c>
      <c r="BY3842" s="2" t="s">
        <v>112</v>
      </c>
      <c r="BZ3842" s="2" t="s">
        <v>100</v>
      </c>
    </row>
    <row r="3843">
      <c r="A3843" s="2" t="s">
        <v>12144</v>
      </c>
      <c r="B3843" s="2" t="s">
        <v>11630</v>
      </c>
      <c r="C3843" s="2" t="s">
        <v>11573</v>
      </c>
      <c r="D3843" s="2" t="s">
        <v>89</v>
      </c>
      <c r="E3843" s="2" t="s">
        <v>90</v>
      </c>
      <c r="F3843" s="2" t="s">
        <v>12145</v>
      </c>
      <c r="G3843" s="2" t="s">
        <v>12146</v>
      </c>
      <c r="H3843" s="2" t="s">
        <v>11632</v>
      </c>
      <c r="I3843" s="2" t="s">
        <v>12147</v>
      </c>
      <c r="J3843" s="2" t="s">
        <v>1443</v>
      </c>
      <c r="K3843" s="2" t="s">
        <v>9897</v>
      </c>
      <c r="L3843" s="3">
        <v>34.18</v>
      </c>
      <c r="M3843" s="3">
        <v>35.89</v>
      </c>
      <c r="N3843" s="3">
        <v>59.99</v>
      </c>
      <c r="O3843" s="2" t="s">
        <v>97</v>
      </c>
      <c r="P3843" s="2" t="s">
        <v>98</v>
      </c>
      <c r="Q3843" s="2" t="s">
        <v>99</v>
      </c>
      <c r="R3843" s="2" t="s">
        <v>100</v>
      </c>
      <c r="S3843" s="2" t="s">
        <v>12148</v>
      </c>
      <c r="T3843" s="2" t="s">
        <v>438</v>
      </c>
      <c r="U3843" s="2" t="s">
        <v>901</v>
      </c>
      <c r="V3843" s="2" t="s">
        <v>4636</v>
      </c>
      <c r="W3843" s="2" t="s">
        <v>493</v>
      </c>
      <c r="X3843" s="2" t="s">
        <v>609</v>
      </c>
      <c r="Y3843" s="2" t="s">
        <v>12149</v>
      </c>
      <c r="Z3843" s="4">
        <v>264</v>
      </c>
      <c r="AA3843" s="4">
        <f>=ROUNDDOWN(13.8947368421053,0)</f>
      </c>
      <c r="AB3843" s="5">
        <v>19</v>
      </c>
      <c r="AC3843" s="2" t="s">
        <v>201</v>
      </c>
      <c r="AD3843" s="4">
        <v>220</v>
      </c>
      <c r="AE3843" s="4">
        <v>220</v>
      </c>
      <c r="AF3843" s="6">
        <v>65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/>
      <c r="AQ3843" s="8"/>
      <c r="AR3843" s="4"/>
      <c r="AS3843" s="8"/>
      <c r="AT3843" s="7"/>
      <c r="AU3843" s="7"/>
      <c r="AV3843" s="4" t="s">
        <v>100</v>
      </c>
      <c r="AW3843" s="8" t="s">
        <v>100</v>
      </c>
      <c r="AX3843" s="4" t="s">
        <v>100</v>
      </c>
      <c r="AY3843" s="8" t="s">
        <v>100</v>
      </c>
      <c r="AZ3843" s="7" t="s">
        <v>100</v>
      </c>
      <c r="BA3843" s="7" t="s">
        <v>100</v>
      </c>
      <c r="BB3843" s="7"/>
      <c r="BC3843" s="4" t="s">
        <v>100</v>
      </c>
      <c r="BD3843" s="8" t="s">
        <v>100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/>
      <c r="BJ3843" s="4">
        <v>69</v>
      </c>
      <c r="BK3843" s="8">
        <v>2662.48</v>
      </c>
      <c r="BL3843" s="2" t="s">
        <v>12150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171</v>
      </c>
      <c r="BV3843" s="2" t="s">
        <v>97</v>
      </c>
      <c r="BW3843" s="2" t="s">
        <v>100</v>
      </c>
      <c r="BX3843" s="2" t="s">
        <v>100</v>
      </c>
      <c r="BY3843" s="2" t="s">
        <v>112</v>
      </c>
      <c r="BZ3843" s="2" t="s">
        <v>149</v>
      </c>
    </row>
    <row r="3844">
      <c r="A3844" s="2" t="s">
        <v>12151</v>
      </c>
      <c r="B3844" s="2" t="s">
        <v>11630</v>
      </c>
      <c r="C3844" s="2" t="s">
        <v>11573</v>
      </c>
      <c r="D3844" s="2" t="s">
        <v>89</v>
      </c>
      <c r="E3844" s="2" t="s">
        <v>90</v>
      </c>
      <c r="F3844" s="2" t="s">
        <v>12145</v>
      </c>
      <c r="G3844" s="2" t="s">
        <v>12146</v>
      </c>
      <c r="H3844" s="2" t="s">
        <v>11632</v>
      </c>
      <c r="I3844" s="2" t="s">
        <v>12147</v>
      </c>
      <c r="J3844" s="2" t="s">
        <v>522</v>
      </c>
      <c r="K3844" s="2" t="s">
        <v>9897</v>
      </c>
      <c r="L3844" s="3">
        <v>39.06</v>
      </c>
      <c r="M3844" s="3">
        <v>41.01</v>
      </c>
      <c r="N3844" s="3">
        <v>69.99</v>
      </c>
      <c r="O3844" s="2" t="s">
        <v>97</v>
      </c>
      <c r="P3844" s="2" t="s">
        <v>98</v>
      </c>
      <c r="Q3844" s="2" t="s">
        <v>99</v>
      </c>
      <c r="R3844" s="2" t="s">
        <v>100</v>
      </c>
      <c r="S3844" s="2" t="s">
        <v>12148</v>
      </c>
      <c r="T3844" s="2" t="s">
        <v>438</v>
      </c>
      <c r="U3844" s="2" t="s">
        <v>1228</v>
      </c>
      <c r="V3844" s="2" t="s">
        <v>4636</v>
      </c>
      <c r="W3844" s="2" t="s">
        <v>493</v>
      </c>
      <c r="X3844" s="2" t="s">
        <v>609</v>
      </c>
      <c r="Y3844" s="2" t="s">
        <v>12149</v>
      </c>
      <c r="Z3844" s="4">
        <v>271</v>
      </c>
      <c r="AA3844" s="4">
        <f>=ROUNDDOWN(18.0666666666667,0)</f>
      </c>
      <c r="AB3844" s="5">
        <v>15</v>
      </c>
      <c r="AC3844" s="2" t="s">
        <v>201</v>
      </c>
      <c r="AD3844" s="4">
        <v>170</v>
      </c>
      <c r="AE3844" s="4">
        <v>170</v>
      </c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/>
      <c r="AQ3844" s="8"/>
      <c r="AR3844" s="4"/>
      <c r="AS3844" s="8"/>
      <c r="AT3844" s="7"/>
      <c r="AU3844" s="7"/>
      <c r="AV3844" s="4" t="s">
        <v>100</v>
      </c>
      <c r="AW3844" s="8" t="s">
        <v>100</v>
      </c>
      <c r="AX3844" s="4" t="s">
        <v>100</v>
      </c>
      <c r="AY3844" s="8" t="s">
        <v>100</v>
      </c>
      <c r="AZ3844" s="7" t="s">
        <v>100</v>
      </c>
      <c r="BA3844" s="7" t="s">
        <v>100</v>
      </c>
      <c r="BB3844" s="7"/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/>
      <c r="BJ3844" s="4">
        <v>54</v>
      </c>
      <c r="BK3844" s="8">
        <v>2471.78</v>
      </c>
      <c r="BL3844" s="2" t="s">
        <v>4352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171</v>
      </c>
      <c r="BV3844" s="2" t="s">
        <v>97</v>
      </c>
      <c r="BW3844" s="2" t="s">
        <v>100</v>
      </c>
      <c r="BX3844" s="2" t="s">
        <v>100</v>
      </c>
      <c r="BY3844" s="2" t="s">
        <v>112</v>
      </c>
      <c r="BZ3844" s="2" t="s">
        <v>149</v>
      </c>
    </row>
    <row r="3845">
      <c r="A3845" s="2" t="s">
        <v>12152</v>
      </c>
      <c r="B3845" s="2" t="s">
        <v>11630</v>
      </c>
      <c r="C3845" s="2" t="s">
        <v>11573</v>
      </c>
      <c r="D3845" s="2" t="s">
        <v>89</v>
      </c>
      <c r="E3845" s="2" t="s">
        <v>90</v>
      </c>
      <c r="F3845" s="2" t="s">
        <v>12153</v>
      </c>
      <c r="G3845" s="2" t="s">
        <v>8403</v>
      </c>
      <c r="H3845" s="2" t="s">
        <v>11981</v>
      </c>
      <c r="I3845" s="2" t="s">
        <v>12154</v>
      </c>
      <c r="J3845" s="2" t="s">
        <v>1443</v>
      </c>
      <c r="K3845" s="2" t="s">
        <v>471</v>
      </c>
      <c r="L3845" s="3">
        <v>38.4</v>
      </c>
      <c r="M3845" s="3">
        <v>40.32</v>
      </c>
      <c r="N3845" s="3">
        <v>79.99</v>
      </c>
      <c r="O3845" s="2" t="s">
        <v>97</v>
      </c>
      <c r="P3845" s="2" t="s">
        <v>98</v>
      </c>
      <c r="Q3845" s="2" t="s">
        <v>99</v>
      </c>
      <c r="R3845" s="2" t="s">
        <v>100</v>
      </c>
      <c r="S3845" s="2" t="s">
        <v>12155</v>
      </c>
      <c r="T3845" s="2" t="s">
        <v>4296</v>
      </c>
      <c r="U3845" s="2" t="s">
        <v>901</v>
      </c>
      <c r="V3845" s="2" t="s">
        <v>3451</v>
      </c>
      <c r="W3845" s="2" t="s">
        <v>609</v>
      </c>
      <c r="X3845" s="2" t="s">
        <v>493</v>
      </c>
      <c r="Y3845" s="2" t="s">
        <v>2148</v>
      </c>
      <c r="Z3845" s="4">
        <v>328</v>
      </c>
      <c r="AA3845" s="4">
        <f>=ROUNDDOWN(46.8571428571429,0)</f>
      </c>
      <c r="AB3845" s="5">
        <v>7</v>
      </c>
      <c r="AC3845" s="2" t="s">
        <v>100</v>
      </c>
      <c r="AD3845" s="4"/>
      <c r="AE3845" s="4"/>
      <c r="AF3845" s="6">
        <v>65</v>
      </c>
      <c r="AG3845" s="6"/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/>
      <c r="BD3845" s="8"/>
      <c r="BE3845" s="4"/>
      <c r="BF3845" s="8"/>
      <c r="BG3845" s="7"/>
      <c r="BH3845" s="7"/>
      <c r="BI3845" s="7"/>
      <c r="BJ3845" s="4">
        <v>23</v>
      </c>
      <c r="BK3845" s="8">
        <v>966.34</v>
      </c>
      <c r="BL3845" s="2" t="s">
        <v>12156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109</v>
      </c>
      <c r="BV3845" s="2" t="s">
        <v>97</v>
      </c>
      <c r="BW3845" s="2" t="s">
        <v>1221</v>
      </c>
      <c r="BX3845" s="2" t="s">
        <v>12157</v>
      </c>
      <c r="BY3845" s="2" t="s">
        <v>112</v>
      </c>
      <c r="BZ3845" s="2" t="s">
        <v>100</v>
      </c>
    </row>
    <row r="3846">
      <c r="A3846" s="2" t="s">
        <v>12158</v>
      </c>
      <c r="B3846" s="2" t="s">
        <v>11630</v>
      </c>
      <c r="C3846" s="2" t="s">
        <v>11573</v>
      </c>
      <c r="D3846" s="2" t="s">
        <v>89</v>
      </c>
      <c r="E3846" s="2" t="s">
        <v>90</v>
      </c>
      <c r="F3846" s="2" t="s">
        <v>7330</v>
      </c>
      <c r="G3846" s="2" t="s">
        <v>12159</v>
      </c>
      <c r="H3846" s="2" t="s">
        <v>12160</v>
      </c>
      <c r="I3846" s="2" t="s">
        <v>12161</v>
      </c>
      <c r="J3846" s="2" t="s">
        <v>1443</v>
      </c>
      <c r="K3846" s="2" t="s">
        <v>188</v>
      </c>
      <c r="L3846" s="3">
        <v>30.95</v>
      </c>
      <c r="M3846" s="3">
        <v>32.5</v>
      </c>
      <c r="N3846" s="3">
        <v>64.99</v>
      </c>
      <c r="O3846" s="2" t="s">
        <v>97</v>
      </c>
      <c r="P3846" s="2" t="s">
        <v>98</v>
      </c>
      <c r="Q3846" s="2" t="s">
        <v>99</v>
      </c>
      <c r="R3846" s="2" t="s">
        <v>100</v>
      </c>
      <c r="S3846" s="2" t="s">
        <v>12162</v>
      </c>
      <c r="T3846" s="2" t="s">
        <v>438</v>
      </c>
      <c r="U3846" s="2" t="s">
        <v>901</v>
      </c>
      <c r="V3846" s="2" t="s">
        <v>461</v>
      </c>
      <c r="W3846" s="2" t="s">
        <v>609</v>
      </c>
      <c r="X3846" s="2" t="s">
        <v>100</v>
      </c>
      <c r="Y3846" s="2" t="s">
        <v>675</v>
      </c>
      <c r="Z3846" s="4">
        <v>115</v>
      </c>
      <c r="AA3846" s="4">
        <f>=ROUNDDOWN(4.79166666666667,0)</f>
      </c>
      <c r="AB3846" s="5">
        <v>24</v>
      </c>
      <c r="AC3846" s="2" t="s">
        <v>206</v>
      </c>
      <c r="AD3846" s="4">
        <v>150</v>
      </c>
      <c r="AE3846" s="4">
        <v>650</v>
      </c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/>
      <c r="AQ3846" s="8"/>
      <c r="AR3846" s="4"/>
      <c r="AS3846" s="8"/>
      <c r="AT3846" s="7"/>
      <c r="AU3846" s="7"/>
      <c r="AV3846" s="4" t="s">
        <v>100</v>
      </c>
      <c r="AW3846" s="8" t="s">
        <v>100</v>
      </c>
      <c r="AX3846" s="4" t="s">
        <v>100</v>
      </c>
      <c r="AY3846" s="8" t="s">
        <v>100</v>
      </c>
      <c r="AZ3846" s="7" t="s">
        <v>100</v>
      </c>
      <c r="BA3846" s="7" t="s">
        <v>100</v>
      </c>
      <c r="BB3846" s="7"/>
      <c r="BC3846" s="4" t="s">
        <v>100</v>
      </c>
      <c r="BD3846" s="8" t="s">
        <v>100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/>
      <c r="BJ3846" s="4">
        <v>89</v>
      </c>
      <c r="BK3846" s="8">
        <v>3305.09</v>
      </c>
      <c r="BL3846" s="2" t="s">
        <v>12163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171</v>
      </c>
      <c r="BV3846" s="2" t="s">
        <v>97</v>
      </c>
      <c r="BW3846" s="2" t="s">
        <v>100</v>
      </c>
      <c r="BX3846" s="2" t="s">
        <v>100</v>
      </c>
      <c r="BY3846" s="2" t="s">
        <v>112</v>
      </c>
      <c r="BZ3846" s="2" t="s">
        <v>100</v>
      </c>
    </row>
    <row r="3847">
      <c r="A3847" s="2" t="s">
        <v>12164</v>
      </c>
      <c r="B3847" s="2" t="s">
        <v>11630</v>
      </c>
      <c r="C3847" s="2" t="s">
        <v>11573</v>
      </c>
      <c r="D3847" s="2" t="s">
        <v>89</v>
      </c>
      <c r="E3847" s="2" t="s">
        <v>90</v>
      </c>
      <c r="F3847" s="2" t="s">
        <v>7330</v>
      </c>
      <c r="G3847" s="2" t="s">
        <v>12159</v>
      </c>
      <c r="H3847" s="2" t="s">
        <v>12160</v>
      </c>
      <c r="I3847" s="2" t="s">
        <v>12161</v>
      </c>
      <c r="J3847" s="2" t="s">
        <v>522</v>
      </c>
      <c r="K3847" s="2" t="s">
        <v>188</v>
      </c>
      <c r="L3847" s="3">
        <v>38.09</v>
      </c>
      <c r="M3847" s="3">
        <v>39.99</v>
      </c>
      <c r="N3847" s="3">
        <v>79.99</v>
      </c>
      <c r="O3847" s="2" t="s">
        <v>97</v>
      </c>
      <c r="P3847" s="2" t="s">
        <v>98</v>
      </c>
      <c r="Q3847" s="2" t="s">
        <v>99</v>
      </c>
      <c r="R3847" s="2" t="s">
        <v>100</v>
      </c>
      <c r="S3847" s="2" t="s">
        <v>12162</v>
      </c>
      <c r="T3847" s="2" t="s">
        <v>438</v>
      </c>
      <c r="U3847" s="2" t="s">
        <v>1228</v>
      </c>
      <c r="V3847" s="2" t="s">
        <v>461</v>
      </c>
      <c r="W3847" s="2" t="s">
        <v>609</v>
      </c>
      <c r="X3847" s="2" t="s">
        <v>100</v>
      </c>
      <c r="Y3847" s="2" t="s">
        <v>675</v>
      </c>
      <c r="Z3847" s="4">
        <v>222</v>
      </c>
      <c r="AA3847" s="4">
        <f>=ROUNDDOWN(14.8,0)</f>
      </c>
      <c r="AB3847" s="5">
        <v>15</v>
      </c>
      <c r="AC3847" s="2" t="s">
        <v>206</v>
      </c>
      <c r="AD3847" s="4">
        <v>150</v>
      </c>
      <c r="AE3847" s="4">
        <v>250</v>
      </c>
      <c r="AF3847" s="6">
        <v>65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</v>
      </c>
      <c r="AP3847" s="4"/>
      <c r="AQ3847" s="8"/>
      <c r="AR3847" s="4"/>
      <c r="AS3847" s="8"/>
      <c r="AT3847" s="7"/>
      <c r="AU3847" s="7"/>
      <c r="AV3847" s="4" t="s">
        <v>100</v>
      </c>
      <c r="AW3847" s="8" t="s">
        <v>100</v>
      </c>
      <c r="AX3847" s="4" t="s">
        <v>100</v>
      </c>
      <c r="AY3847" s="8" t="s">
        <v>100</v>
      </c>
      <c r="AZ3847" s="7" t="s">
        <v>100</v>
      </c>
      <c r="BA3847" s="7" t="s">
        <v>100</v>
      </c>
      <c r="BB3847" s="7"/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/>
      <c r="BJ3847" s="4">
        <v>63</v>
      </c>
      <c r="BK3847" s="8">
        <v>3063.78</v>
      </c>
      <c r="BL3847" s="2" t="s">
        <v>11294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171</v>
      </c>
      <c r="BV3847" s="2" t="s">
        <v>97</v>
      </c>
      <c r="BW3847" s="2" t="s">
        <v>100</v>
      </c>
      <c r="BX3847" s="2" t="s">
        <v>100</v>
      </c>
      <c r="BY3847" s="2" t="s">
        <v>112</v>
      </c>
      <c r="BZ3847" s="2" t="s">
        <v>100</v>
      </c>
    </row>
    <row r="3848">
      <c r="A3848" s="2" t="s">
        <v>12165</v>
      </c>
      <c r="B3848" s="2" t="s">
        <v>11630</v>
      </c>
      <c r="C3848" s="2" t="s">
        <v>11573</v>
      </c>
      <c r="D3848" s="2" t="s">
        <v>89</v>
      </c>
      <c r="E3848" s="2" t="s">
        <v>90</v>
      </c>
      <c r="F3848" s="2" t="s">
        <v>7330</v>
      </c>
      <c r="G3848" s="2" t="s">
        <v>12159</v>
      </c>
      <c r="H3848" s="2" t="s">
        <v>12160</v>
      </c>
      <c r="I3848" s="2" t="s">
        <v>12161</v>
      </c>
      <c r="J3848" s="2" t="s">
        <v>1443</v>
      </c>
      <c r="K3848" s="2" t="s">
        <v>5281</v>
      </c>
      <c r="L3848" s="3">
        <v>30.95</v>
      </c>
      <c r="M3848" s="3">
        <v>32.5</v>
      </c>
      <c r="N3848" s="3">
        <v>64.99</v>
      </c>
      <c r="O3848" s="2" t="s">
        <v>97</v>
      </c>
      <c r="P3848" s="2" t="s">
        <v>98</v>
      </c>
      <c r="Q3848" s="2" t="s">
        <v>99</v>
      </c>
      <c r="R3848" s="2" t="s">
        <v>100</v>
      </c>
      <c r="S3848" s="2" t="s">
        <v>12166</v>
      </c>
      <c r="T3848" s="2" t="s">
        <v>438</v>
      </c>
      <c r="U3848" s="2" t="s">
        <v>901</v>
      </c>
      <c r="V3848" s="2" t="s">
        <v>461</v>
      </c>
      <c r="W3848" s="2" t="s">
        <v>609</v>
      </c>
      <c r="X3848" s="2" t="s">
        <v>100</v>
      </c>
      <c r="Y3848" s="2" t="s">
        <v>100</v>
      </c>
      <c r="Z3848" s="4"/>
      <c r="AA3848" s="4">
        <f>=ROUNDDOWN({0},0)</f>
      </c>
      <c r="AB3848" s="5">
        <v>11</v>
      </c>
      <c r="AC3848" s="2" t="s">
        <v>173</v>
      </c>
      <c r="AD3848" s="4">
        <v>180</v>
      </c>
      <c r="AE3848" s="4">
        <v>460</v>
      </c>
      <c r="AF3848" s="6">
        <v>65</v>
      </c>
      <c r="AG3848" s="6"/>
      <c r="AH3848" s="7">
        <v>0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/>
      <c r="AQ3848" s="8"/>
      <c r="AR3848" s="4"/>
      <c r="AS3848" s="8"/>
      <c r="AT3848" s="7"/>
      <c r="AU3848" s="7"/>
      <c r="AV3848" s="4" t="s">
        <v>100</v>
      </c>
      <c r="AW3848" s="8" t="s">
        <v>100</v>
      </c>
      <c r="AX3848" s="4" t="s">
        <v>100</v>
      </c>
      <c r="AY3848" s="8" t="s">
        <v>100</v>
      </c>
      <c r="AZ3848" s="7" t="s">
        <v>100</v>
      </c>
      <c r="BA3848" s="7" t="s">
        <v>100</v>
      </c>
      <c r="BB3848" s="7"/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/>
      <c r="BJ3848" s="4"/>
      <c r="BK3848" s="8"/>
      <c r="BL3848" s="2" t="s">
        <v>100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2526</v>
      </c>
      <c r="BV3848" s="2" t="s">
        <v>97</v>
      </c>
      <c r="BW3848" s="2" t="s">
        <v>100</v>
      </c>
      <c r="BX3848" s="2" t="s">
        <v>100</v>
      </c>
      <c r="BY3848" s="2" t="s">
        <v>112</v>
      </c>
      <c r="BZ3848" s="2" t="s">
        <v>100</v>
      </c>
    </row>
    <row r="3849">
      <c r="A3849" s="2" t="s">
        <v>12167</v>
      </c>
      <c r="B3849" s="2" t="s">
        <v>11630</v>
      </c>
      <c r="C3849" s="2" t="s">
        <v>11573</v>
      </c>
      <c r="D3849" s="2" t="s">
        <v>89</v>
      </c>
      <c r="E3849" s="2" t="s">
        <v>90</v>
      </c>
      <c r="F3849" s="2" t="s">
        <v>7330</v>
      </c>
      <c r="G3849" s="2" t="s">
        <v>12159</v>
      </c>
      <c r="H3849" s="2" t="s">
        <v>12160</v>
      </c>
      <c r="I3849" s="2" t="s">
        <v>12161</v>
      </c>
      <c r="J3849" s="2" t="s">
        <v>522</v>
      </c>
      <c r="K3849" s="2" t="s">
        <v>5281</v>
      </c>
      <c r="L3849" s="3">
        <v>38.09</v>
      </c>
      <c r="M3849" s="3">
        <v>39.99</v>
      </c>
      <c r="N3849" s="3">
        <v>79.99</v>
      </c>
      <c r="O3849" s="2" t="s">
        <v>97</v>
      </c>
      <c r="P3849" s="2" t="s">
        <v>98</v>
      </c>
      <c r="Q3849" s="2" t="s">
        <v>99</v>
      </c>
      <c r="R3849" s="2" t="s">
        <v>100</v>
      </c>
      <c r="S3849" s="2" t="s">
        <v>12166</v>
      </c>
      <c r="T3849" s="2" t="s">
        <v>438</v>
      </c>
      <c r="U3849" s="2" t="s">
        <v>1228</v>
      </c>
      <c r="V3849" s="2" t="s">
        <v>461</v>
      </c>
      <c r="W3849" s="2" t="s">
        <v>609</v>
      </c>
      <c r="X3849" s="2" t="s">
        <v>100</v>
      </c>
      <c r="Y3849" s="2" t="s">
        <v>100</v>
      </c>
      <c r="Z3849" s="4"/>
      <c r="AA3849" s="4">
        <f>=ROUNDDOWN({0},0)</f>
      </c>
      <c r="AB3849" s="5">
        <v>9</v>
      </c>
      <c r="AC3849" s="2" t="s">
        <v>173</v>
      </c>
      <c r="AD3849" s="4">
        <v>140</v>
      </c>
      <c r="AE3849" s="4">
        <v>340</v>
      </c>
      <c r="AF3849" s="6">
        <v>65</v>
      </c>
      <c r="AG3849" s="6"/>
      <c r="AH3849" s="7">
        <v>0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/>
      <c r="AQ3849" s="8"/>
      <c r="AR3849" s="4"/>
      <c r="AS3849" s="8"/>
      <c r="AT3849" s="7"/>
      <c r="AU3849" s="7"/>
      <c r="AV3849" s="4" t="s">
        <v>100</v>
      </c>
      <c r="AW3849" s="8" t="s">
        <v>100</v>
      </c>
      <c r="AX3849" s="4" t="s">
        <v>100</v>
      </c>
      <c r="AY3849" s="8" t="s">
        <v>100</v>
      </c>
      <c r="AZ3849" s="7" t="s">
        <v>100</v>
      </c>
      <c r="BA3849" s="7" t="s">
        <v>100</v>
      </c>
      <c r="BB3849" s="7"/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/>
      <c r="BJ3849" s="4"/>
      <c r="BK3849" s="8"/>
      <c r="BL3849" s="2" t="s">
        <v>100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2526</v>
      </c>
      <c r="BV3849" s="2" t="s">
        <v>97</v>
      </c>
      <c r="BW3849" s="2" t="s">
        <v>100</v>
      </c>
      <c r="BX3849" s="2" t="s">
        <v>100</v>
      </c>
      <c r="BY3849" s="2" t="s">
        <v>112</v>
      </c>
      <c r="BZ3849" s="2" t="s">
        <v>100</v>
      </c>
    </row>
    <row r="3850">
      <c r="A3850" s="2" t="s">
        <v>12168</v>
      </c>
      <c r="B3850" s="2" t="s">
        <v>11630</v>
      </c>
      <c r="C3850" s="2" t="s">
        <v>11573</v>
      </c>
      <c r="D3850" s="2" t="s">
        <v>89</v>
      </c>
      <c r="E3850" s="2" t="s">
        <v>887</v>
      </c>
      <c r="F3850" s="2" t="s">
        <v>7290</v>
      </c>
      <c r="G3850" s="2" t="s">
        <v>8320</v>
      </c>
      <c r="H3850" s="2" t="s">
        <v>11453</v>
      </c>
      <c r="I3850" s="2" t="s">
        <v>12169</v>
      </c>
      <c r="J3850" s="2" t="s">
        <v>1443</v>
      </c>
      <c r="K3850" s="2" t="s">
        <v>256</v>
      </c>
      <c r="L3850" s="3">
        <v>28.57</v>
      </c>
      <c r="M3850" s="3">
        <v>30</v>
      </c>
      <c r="N3850" s="3">
        <v>59.99</v>
      </c>
      <c r="O3850" s="2" t="s">
        <v>97</v>
      </c>
      <c r="P3850" s="2" t="s">
        <v>98</v>
      </c>
      <c r="Q3850" s="2" t="s">
        <v>99</v>
      </c>
      <c r="R3850" s="2" t="s">
        <v>100</v>
      </c>
      <c r="S3850" s="2" t="s">
        <v>12170</v>
      </c>
      <c r="T3850" s="2" t="s">
        <v>4296</v>
      </c>
      <c r="U3850" s="2" t="s">
        <v>894</v>
      </c>
      <c r="V3850" s="2" t="s">
        <v>2510</v>
      </c>
      <c r="W3850" s="2" t="s">
        <v>609</v>
      </c>
      <c r="X3850" s="2" t="s">
        <v>100</v>
      </c>
      <c r="Y3850" s="2" t="s">
        <v>4448</v>
      </c>
      <c r="Z3850" s="4">
        <v>107</v>
      </c>
      <c r="AA3850" s="4">
        <f>=ROUNDDOWN(6.29411764705882,0)</f>
      </c>
      <c r="AB3850" s="5">
        <v>17</v>
      </c>
      <c r="AC3850" s="2" t="s">
        <v>1452</v>
      </c>
      <c r="AD3850" s="4">
        <v>370</v>
      </c>
      <c r="AE3850" s="4">
        <v>570</v>
      </c>
      <c r="AF3850" s="6">
        <v>65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/>
      <c r="AQ3850" s="8"/>
      <c r="AR3850" s="4"/>
      <c r="AS3850" s="8"/>
      <c r="AT3850" s="7"/>
      <c r="AU3850" s="7"/>
      <c r="AV3850" s="4" t="s">
        <v>100</v>
      </c>
      <c r="AW3850" s="8" t="s">
        <v>100</v>
      </c>
      <c r="AX3850" s="4" t="s">
        <v>100</v>
      </c>
      <c r="AY3850" s="8" t="s">
        <v>100</v>
      </c>
      <c r="AZ3850" s="7" t="s">
        <v>100</v>
      </c>
      <c r="BA3850" s="7" t="s">
        <v>100</v>
      </c>
      <c r="BB3850" s="7"/>
      <c r="BC3850" s="4" t="s">
        <v>100</v>
      </c>
      <c r="BD3850" s="8" t="s">
        <v>100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/>
      <c r="BJ3850" s="4">
        <v>72</v>
      </c>
      <c r="BK3850" s="8">
        <v>2270.58</v>
      </c>
      <c r="BL3850" s="2" t="s">
        <v>8757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171</v>
      </c>
      <c r="BV3850" s="2" t="s">
        <v>97</v>
      </c>
      <c r="BW3850" s="2" t="s">
        <v>100</v>
      </c>
      <c r="BX3850" s="2" t="s">
        <v>100</v>
      </c>
      <c r="BY3850" s="2" t="s">
        <v>112</v>
      </c>
      <c r="BZ3850" s="2" t="s">
        <v>100</v>
      </c>
    </row>
    <row r="3851">
      <c r="A3851" s="2" t="s">
        <v>12171</v>
      </c>
      <c r="B3851" s="2" t="s">
        <v>11630</v>
      </c>
      <c r="C3851" s="2" t="s">
        <v>11573</v>
      </c>
      <c r="D3851" s="2" t="s">
        <v>89</v>
      </c>
      <c r="E3851" s="2" t="s">
        <v>887</v>
      </c>
      <c r="F3851" s="2" t="s">
        <v>7290</v>
      </c>
      <c r="G3851" s="2" t="s">
        <v>8320</v>
      </c>
      <c r="H3851" s="2" t="s">
        <v>11453</v>
      </c>
      <c r="I3851" s="2" t="s">
        <v>12169</v>
      </c>
      <c r="J3851" s="2" t="s">
        <v>522</v>
      </c>
      <c r="K3851" s="2" t="s">
        <v>256</v>
      </c>
      <c r="L3851" s="3">
        <v>33.33</v>
      </c>
      <c r="M3851" s="3">
        <v>35</v>
      </c>
      <c r="N3851" s="3">
        <v>69.99</v>
      </c>
      <c r="O3851" s="2" t="s">
        <v>97</v>
      </c>
      <c r="P3851" s="2" t="s">
        <v>98</v>
      </c>
      <c r="Q3851" s="2" t="s">
        <v>99</v>
      </c>
      <c r="R3851" s="2" t="s">
        <v>100</v>
      </c>
      <c r="S3851" s="2" t="s">
        <v>12170</v>
      </c>
      <c r="T3851" s="2" t="s">
        <v>4296</v>
      </c>
      <c r="U3851" s="2" t="s">
        <v>901</v>
      </c>
      <c r="V3851" s="2" t="s">
        <v>2510</v>
      </c>
      <c r="W3851" s="2" t="s">
        <v>609</v>
      </c>
      <c r="X3851" s="2" t="s">
        <v>100</v>
      </c>
      <c r="Y3851" s="2" t="s">
        <v>12172</v>
      </c>
      <c r="Z3851" s="4">
        <v>207</v>
      </c>
      <c r="AA3851" s="4">
        <f>=ROUNDDOWN(10.35,0)</f>
      </c>
      <c r="AB3851" s="5">
        <v>20</v>
      </c>
      <c r="AC3851" s="2" t="s">
        <v>1452</v>
      </c>
      <c r="AD3851" s="4">
        <v>230</v>
      </c>
      <c r="AE3851" s="4">
        <v>630</v>
      </c>
      <c r="AF3851" s="6">
        <v>65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/>
      <c r="AQ3851" s="8"/>
      <c r="AR3851" s="4"/>
      <c r="AS3851" s="8"/>
      <c r="AT3851" s="7"/>
      <c r="AU3851" s="7"/>
      <c r="AV3851" s="4" t="s">
        <v>100</v>
      </c>
      <c r="AW3851" s="8" t="s">
        <v>100</v>
      </c>
      <c r="AX3851" s="4" t="s">
        <v>100</v>
      </c>
      <c r="AY3851" s="8" t="s">
        <v>100</v>
      </c>
      <c r="AZ3851" s="7" t="s">
        <v>100</v>
      </c>
      <c r="BA3851" s="7" t="s">
        <v>100</v>
      </c>
      <c r="BB3851" s="7"/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/>
      <c r="BJ3851" s="4">
        <v>42</v>
      </c>
      <c r="BK3851" s="8">
        <v>1553.14</v>
      </c>
      <c r="BL3851" s="2" t="s">
        <v>12173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171</v>
      </c>
      <c r="BV3851" s="2" t="s">
        <v>97</v>
      </c>
      <c r="BW3851" s="2" t="s">
        <v>100</v>
      </c>
      <c r="BX3851" s="2" t="s">
        <v>100</v>
      </c>
      <c r="BY3851" s="2" t="s">
        <v>112</v>
      </c>
      <c r="BZ3851" s="2" t="s">
        <v>100</v>
      </c>
    </row>
    <row r="3852">
      <c r="A3852" s="16" t="s">
        <v>12174</v>
      </c>
      <c r="B3852" s="9" t="s">
        <v>100</v>
      </c>
      <c r="C3852" s="9" t="s">
        <v>100</v>
      </c>
      <c r="D3852" s="9" t="s">
        <v>100</v>
      </c>
      <c r="E3852" s="9" t="s">
        <v>100</v>
      </c>
      <c r="F3852" s="9" t="s">
        <v>100</v>
      </c>
      <c r="G3852" s="9" t="s">
        <v>100</v>
      </c>
      <c r="H3852" s="9" t="s">
        <v>100</v>
      </c>
      <c r="I3852" s="9" t="s">
        <v>100</v>
      </c>
      <c r="J3852" s="9" t="s">
        <v>100</v>
      </c>
      <c r="K3852" s="9" t="s">
        <v>100</v>
      </c>
      <c r="L3852" s="10"/>
      <c r="M3852" s="10"/>
      <c r="N3852" s="10"/>
      <c r="O3852" s="9" t="s">
        <v>100</v>
      </c>
      <c r="P3852" s="9" t="s">
        <v>100</v>
      </c>
      <c r="Q3852" s="9" t="s">
        <v>100</v>
      </c>
      <c r="R3852" s="9" t="s">
        <v>100</v>
      </c>
      <c r="S3852" s="9" t="s">
        <v>100</v>
      </c>
      <c r="T3852" s="9" t="s">
        <v>100</v>
      </c>
      <c r="U3852" s="9" t="s">
        <v>100</v>
      </c>
      <c r="V3852" s="9" t="s">
        <v>100</v>
      </c>
      <c r="W3852" s="9" t="s">
        <v>100</v>
      </c>
      <c r="X3852" s="9" t="s">
        <v>100</v>
      </c>
      <c r="Y3852" s="9" t="s">
        <v>100</v>
      </c>
      <c r="Z3852" s="11">
        <v>1106540</v>
      </c>
      <c r="AA3852" s="11">
        <f>=ROUNDDOWN({0},0)</f>
      </c>
      <c r="AB3852" s="12">
        <v>68642</v>
      </c>
      <c r="AC3852" s="9" t="s">
        <v>100</v>
      </c>
      <c r="AD3852" s="11"/>
      <c r="AE3852" s="11">
        <v>1343737</v>
      </c>
      <c r="AF3852" s="13"/>
      <c r="AG3852" s="13"/>
      <c r="AH3852" s="14"/>
      <c r="AI3852" s="11"/>
      <c r="AJ3852" s="11">
        <f>=ROUNDDOWN({0},0)</f>
      </c>
      <c r="AK3852" s="12"/>
      <c r="AL3852" s="9" t="s">
        <v>100</v>
      </c>
      <c r="AM3852" s="11"/>
      <c r="AN3852" s="11">
        <v>6620</v>
      </c>
      <c r="AO3852" s="14"/>
      <c r="AP3852" s="11">
        <v>1727</v>
      </c>
      <c r="AQ3852" s="15">
        <v>59252.08</v>
      </c>
      <c r="AR3852" s="11"/>
      <c r="AS3852" s="15"/>
      <c r="AT3852" s="14"/>
      <c r="AU3852" s="14"/>
      <c r="AV3852" s="11">
        <v>1727</v>
      </c>
      <c r="AW3852" s="15">
        <v>59252.08</v>
      </c>
      <c r="AX3852" s="11"/>
      <c r="AY3852" s="15"/>
      <c r="AZ3852" s="14"/>
      <c r="BA3852" s="14"/>
      <c r="BB3852" s="14"/>
      <c r="BC3852" s="11">
        <v>1727</v>
      </c>
      <c r="BD3852" s="15">
        <v>59252.08</v>
      </c>
      <c r="BE3852" s="11"/>
      <c r="BF3852" s="15"/>
      <c r="BG3852" s="14"/>
      <c r="BH3852" s="14"/>
      <c r="BI3852" s="14"/>
      <c r="BJ3852" s="11"/>
      <c r="BK3852" s="15"/>
      <c r="BL3852" s="9" t="s">
        <v>100</v>
      </c>
      <c r="BM3852" s="14"/>
      <c r="BN3852" s="14"/>
      <c r="BO3852" s="11">
        <v>1727</v>
      </c>
      <c r="BP3852" s="15">
        <v>59252.08</v>
      </c>
      <c r="BQ3852" s="11"/>
      <c r="BR3852" s="15"/>
      <c r="BS3852" s="14"/>
      <c r="BT3852" s="14"/>
      <c r="BU3852" s="9" t="s">
        <v>100</v>
      </c>
      <c r="BV3852" s="9" t="s">
        <v>100</v>
      </c>
      <c r="BW3852" s="9" t="s">
        <v>100</v>
      </c>
      <c r="BX3852" s="9" t="s">
        <v>100</v>
      </c>
      <c r="BY3852" s="9" t="s">
        <v>100</v>
      </c>
      <c r="BZ3852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10"/>
    <mergeCell ref="BD6:BD10"/>
    <mergeCell ref="BE6:BE10"/>
    <mergeCell ref="BF6:BF10"/>
    <mergeCell ref="BG6:BG10"/>
    <mergeCell ref="BH6:BH10"/>
    <mergeCell ref="BC11:BC18"/>
    <mergeCell ref="BD11:BD18"/>
    <mergeCell ref="BE11:BE18"/>
    <mergeCell ref="BF11:BF18"/>
    <mergeCell ref="BG11:BG18"/>
    <mergeCell ref="BH11:BH18"/>
    <mergeCell ref="BC19:BC24"/>
    <mergeCell ref="BD19:BD24"/>
    <mergeCell ref="BE19:BE24"/>
    <mergeCell ref="BF19:BF24"/>
    <mergeCell ref="BG19:BG24"/>
    <mergeCell ref="BH19:BH24"/>
    <mergeCell ref="BC25:BC32"/>
    <mergeCell ref="BD25:BD32"/>
    <mergeCell ref="BE25:BE32"/>
    <mergeCell ref="BF25:BF32"/>
    <mergeCell ref="BG25:BG32"/>
    <mergeCell ref="BH25:BH32"/>
    <mergeCell ref="BC33:BC34"/>
    <mergeCell ref="BD33:BD34"/>
    <mergeCell ref="BE33:BE34"/>
    <mergeCell ref="BF33:BF34"/>
    <mergeCell ref="BG33:BG34"/>
    <mergeCell ref="BH33:BH34"/>
    <mergeCell ref="BC35:BC42"/>
    <mergeCell ref="BD35:BD42"/>
    <mergeCell ref="BE35:BE42"/>
    <mergeCell ref="BF35:BF42"/>
    <mergeCell ref="BG35:BG42"/>
    <mergeCell ref="BH35:BH42"/>
    <mergeCell ref="BC43:BC49"/>
    <mergeCell ref="BD43:BD49"/>
    <mergeCell ref="BE43:BE49"/>
    <mergeCell ref="BF43:BF49"/>
    <mergeCell ref="BG43:BG49"/>
    <mergeCell ref="BH43:BH49"/>
    <mergeCell ref="BC51:BC52"/>
    <mergeCell ref="BD51:BD52"/>
    <mergeCell ref="BE51:BE52"/>
    <mergeCell ref="BF51:BF52"/>
    <mergeCell ref="BG51:BG52"/>
    <mergeCell ref="BH51:BH52"/>
    <mergeCell ref="BC53:BC60"/>
    <mergeCell ref="BD53:BD60"/>
    <mergeCell ref="BE53:BE60"/>
    <mergeCell ref="BF53:BF60"/>
    <mergeCell ref="BG53:BG60"/>
    <mergeCell ref="BH53:BH60"/>
    <mergeCell ref="BC61:BC62"/>
    <mergeCell ref="BD61:BD62"/>
    <mergeCell ref="BE61:BE62"/>
    <mergeCell ref="BF61:BF62"/>
    <mergeCell ref="BG61:BG62"/>
    <mergeCell ref="BH61:BH62"/>
    <mergeCell ref="BC63:BC74"/>
    <mergeCell ref="BD63:BD74"/>
    <mergeCell ref="BE63:BE74"/>
    <mergeCell ref="BF63:BF74"/>
    <mergeCell ref="BG63:BG74"/>
    <mergeCell ref="BH63:BH74"/>
    <mergeCell ref="BC76:BC79"/>
    <mergeCell ref="BD76:BD79"/>
    <mergeCell ref="BE76:BE79"/>
    <mergeCell ref="BF76:BF79"/>
    <mergeCell ref="BG76:BG79"/>
    <mergeCell ref="BH76:BH79"/>
    <mergeCell ref="BC80:BC85"/>
    <mergeCell ref="BD80:BD85"/>
    <mergeCell ref="BE80:BE85"/>
    <mergeCell ref="BF80:BF85"/>
    <mergeCell ref="BG80:BG85"/>
    <mergeCell ref="BH80:BH85"/>
    <mergeCell ref="BC86:BC87"/>
    <mergeCell ref="BD86:BD87"/>
    <mergeCell ref="BE86:BE87"/>
    <mergeCell ref="BF86:BF87"/>
    <mergeCell ref="BG86:BG87"/>
    <mergeCell ref="BH86:BH87"/>
    <mergeCell ref="BC89:BC91"/>
    <mergeCell ref="BD89:BD91"/>
    <mergeCell ref="BE89:BE91"/>
    <mergeCell ref="BF89:BF91"/>
    <mergeCell ref="BG89:BG91"/>
    <mergeCell ref="BH89:BH91"/>
    <mergeCell ref="BC93:BC95"/>
    <mergeCell ref="BD93:BD95"/>
    <mergeCell ref="BE93:BE95"/>
    <mergeCell ref="BF93:BF95"/>
    <mergeCell ref="BG93:BG95"/>
    <mergeCell ref="BH93:BH95"/>
    <mergeCell ref="BC96:BC98"/>
    <mergeCell ref="BD96:BD98"/>
    <mergeCell ref="BE96:BE98"/>
    <mergeCell ref="BF96:BF98"/>
    <mergeCell ref="BG96:BG98"/>
    <mergeCell ref="BH96:BH98"/>
    <mergeCell ref="BC99:BC102"/>
    <mergeCell ref="BD99:BD102"/>
    <mergeCell ref="BE99:BE102"/>
    <mergeCell ref="BF99:BF102"/>
    <mergeCell ref="BG99:BG102"/>
    <mergeCell ref="BH99:BH102"/>
    <mergeCell ref="BC104:BC109"/>
    <mergeCell ref="BD104:BD109"/>
    <mergeCell ref="BE104:BE109"/>
    <mergeCell ref="BF104:BF109"/>
    <mergeCell ref="BG104:BG109"/>
    <mergeCell ref="BH104:BH109"/>
    <mergeCell ref="BC110:BC111"/>
    <mergeCell ref="BD110:BD111"/>
    <mergeCell ref="BE110:BE111"/>
    <mergeCell ref="BF110:BF111"/>
    <mergeCell ref="BG110:BG111"/>
    <mergeCell ref="BH110:BH111"/>
    <mergeCell ref="BC112:BC114"/>
    <mergeCell ref="BD112:BD114"/>
    <mergeCell ref="BE112:BE114"/>
    <mergeCell ref="BF112:BF114"/>
    <mergeCell ref="BG112:BG114"/>
    <mergeCell ref="BH112:BH114"/>
    <mergeCell ref="BC116:BC117"/>
    <mergeCell ref="BD116:BD117"/>
    <mergeCell ref="BE116:BE117"/>
    <mergeCell ref="BF116:BF117"/>
    <mergeCell ref="BG116:BG117"/>
    <mergeCell ref="BH116:BH117"/>
    <mergeCell ref="BC118:BC120"/>
    <mergeCell ref="BD118:BD120"/>
    <mergeCell ref="BE118:BE120"/>
    <mergeCell ref="BF118:BF120"/>
    <mergeCell ref="BG118:BG120"/>
    <mergeCell ref="BH118:BH120"/>
    <mergeCell ref="BC123:BC126"/>
    <mergeCell ref="BD123:BD126"/>
    <mergeCell ref="BE123:BE126"/>
    <mergeCell ref="BF123:BF126"/>
    <mergeCell ref="BG123:BG126"/>
    <mergeCell ref="BH123:BH126"/>
    <mergeCell ref="BC128:BC130"/>
    <mergeCell ref="BD128:BD130"/>
    <mergeCell ref="BE128:BE130"/>
    <mergeCell ref="BF128:BF130"/>
    <mergeCell ref="BG128:BG130"/>
    <mergeCell ref="BH128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6:BC138"/>
    <mergeCell ref="BD136:BD138"/>
    <mergeCell ref="BE136:BE138"/>
    <mergeCell ref="BF136:BF138"/>
    <mergeCell ref="BG136:BG138"/>
    <mergeCell ref="BH136:BH138"/>
    <mergeCell ref="BC139:BC144"/>
    <mergeCell ref="BD139:BD144"/>
    <mergeCell ref="BE139:BE144"/>
    <mergeCell ref="BF139:BF144"/>
    <mergeCell ref="BG139:BG144"/>
    <mergeCell ref="BH139:BH144"/>
    <mergeCell ref="BC145:BC154"/>
    <mergeCell ref="BD145:BD154"/>
    <mergeCell ref="BE145:BE154"/>
    <mergeCell ref="BF145:BF154"/>
    <mergeCell ref="BG145:BG154"/>
    <mergeCell ref="BH145:BH154"/>
    <mergeCell ref="BC155:BC157"/>
    <mergeCell ref="BD155:BD157"/>
    <mergeCell ref="BE155:BE157"/>
    <mergeCell ref="BF155:BF157"/>
    <mergeCell ref="BG155:BG157"/>
    <mergeCell ref="BH155:BH157"/>
    <mergeCell ref="BC158:BC163"/>
    <mergeCell ref="BD158:BD163"/>
    <mergeCell ref="BE158:BE163"/>
    <mergeCell ref="BF158:BF163"/>
    <mergeCell ref="BG158:BG163"/>
    <mergeCell ref="BH158:BH163"/>
    <mergeCell ref="BC164:BC167"/>
    <mergeCell ref="BD164:BD167"/>
    <mergeCell ref="BE164:BE167"/>
    <mergeCell ref="BF164:BF167"/>
    <mergeCell ref="BG164:BG167"/>
    <mergeCell ref="BH164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83:BC184"/>
    <mergeCell ref="BD183:BD184"/>
    <mergeCell ref="BE183:BE184"/>
    <mergeCell ref="BF183:BF184"/>
    <mergeCell ref="BG183:BG184"/>
    <mergeCell ref="BH183:BH184"/>
    <mergeCell ref="BC185:BC188"/>
    <mergeCell ref="BD185:BD188"/>
    <mergeCell ref="BE185:BE188"/>
    <mergeCell ref="BF185:BF188"/>
    <mergeCell ref="BG185:BG188"/>
    <mergeCell ref="BH185:BH188"/>
    <mergeCell ref="BC189:BC203"/>
    <mergeCell ref="BD189:BD203"/>
    <mergeCell ref="BE189:BE203"/>
    <mergeCell ref="BF189:BF203"/>
    <mergeCell ref="BG189:BG203"/>
    <mergeCell ref="BH189:BH203"/>
    <mergeCell ref="BC204:BC205"/>
    <mergeCell ref="BD204:BD205"/>
    <mergeCell ref="BE204:BE205"/>
    <mergeCell ref="BF204:BF205"/>
    <mergeCell ref="BG204:BG205"/>
    <mergeCell ref="BH204:BH205"/>
    <mergeCell ref="BC206:BC211"/>
    <mergeCell ref="BD206:BD211"/>
    <mergeCell ref="BE206:BE211"/>
    <mergeCell ref="BF206:BF211"/>
    <mergeCell ref="BG206:BG211"/>
    <mergeCell ref="BH206:BH211"/>
    <mergeCell ref="BC212:BC216"/>
    <mergeCell ref="BD212:BD216"/>
    <mergeCell ref="BE212:BE216"/>
    <mergeCell ref="BF212:BF216"/>
    <mergeCell ref="BG212:BG216"/>
    <mergeCell ref="BH212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1:BC223"/>
    <mergeCell ref="BD221:BD223"/>
    <mergeCell ref="BE221:BE223"/>
    <mergeCell ref="BF221:BF223"/>
    <mergeCell ref="BG221:BG223"/>
    <mergeCell ref="BH221:BH223"/>
    <mergeCell ref="BC224:BC227"/>
    <mergeCell ref="BD224:BD227"/>
    <mergeCell ref="BE224:BE227"/>
    <mergeCell ref="BF224:BF227"/>
    <mergeCell ref="BG224:BG227"/>
    <mergeCell ref="BH224:BH227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4:BC237"/>
    <mergeCell ref="BD234:BD237"/>
    <mergeCell ref="BE234:BE237"/>
    <mergeCell ref="BF234:BF237"/>
    <mergeCell ref="BG234:BG237"/>
    <mergeCell ref="BH234:BH237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6:BC249"/>
    <mergeCell ref="BD246:BD249"/>
    <mergeCell ref="BE246:BE249"/>
    <mergeCell ref="BF246:BF249"/>
    <mergeCell ref="BG246:BG249"/>
    <mergeCell ref="BH246:BH249"/>
    <mergeCell ref="BC250:BC252"/>
    <mergeCell ref="BD250:BD252"/>
    <mergeCell ref="BE250:BE252"/>
    <mergeCell ref="BF250:BF252"/>
    <mergeCell ref="BG250:BG252"/>
    <mergeCell ref="BH250:BH252"/>
    <mergeCell ref="BC253:BC257"/>
    <mergeCell ref="BD253:BD257"/>
    <mergeCell ref="BE253:BE257"/>
    <mergeCell ref="BF253:BF257"/>
    <mergeCell ref="BG253:BG257"/>
    <mergeCell ref="BH253:BH257"/>
    <mergeCell ref="BC258:BC259"/>
    <mergeCell ref="BD258:BD259"/>
    <mergeCell ref="BE258:BE259"/>
    <mergeCell ref="BF258:BF259"/>
    <mergeCell ref="BG258:BG259"/>
    <mergeCell ref="BH258:BH259"/>
    <mergeCell ref="BC260:BC263"/>
    <mergeCell ref="BD260:BD263"/>
    <mergeCell ref="BE260:BE263"/>
    <mergeCell ref="BF260:BF263"/>
    <mergeCell ref="BG260:BG263"/>
    <mergeCell ref="BH260:BH263"/>
    <mergeCell ref="BC264:BC265"/>
    <mergeCell ref="BD264:BD265"/>
    <mergeCell ref="BE264:BE265"/>
    <mergeCell ref="BF264:BF265"/>
    <mergeCell ref="BG264:BG265"/>
    <mergeCell ref="BH264:BH265"/>
    <mergeCell ref="BC266:BC269"/>
    <mergeCell ref="BD266:BD269"/>
    <mergeCell ref="BE266:BE269"/>
    <mergeCell ref="BF266:BF269"/>
    <mergeCell ref="BG266:BG269"/>
    <mergeCell ref="BH266:BH269"/>
    <mergeCell ref="BC271:BC272"/>
    <mergeCell ref="BD271:BD272"/>
    <mergeCell ref="BE271:BE272"/>
    <mergeCell ref="BF271:BF272"/>
    <mergeCell ref="BG271:BG272"/>
    <mergeCell ref="BH271:BH272"/>
    <mergeCell ref="BC273:BC275"/>
    <mergeCell ref="BD273:BD275"/>
    <mergeCell ref="BE273:BE275"/>
    <mergeCell ref="BF273:BF275"/>
    <mergeCell ref="BG273:BG275"/>
    <mergeCell ref="BH273:BH275"/>
    <mergeCell ref="BC276:BC283"/>
    <mergeCell ref="BD276:BD283"/>
    <mergeCell ref="BE276:BE283"/>
    <mergeCell ref="BF276:BF283"/>
    <mergeCell ref="BG276:BG283"/>
    <mergeCell ref="BH276:BH283"/>
    <mergeCell ref="BC284:BC291"/>
    <mergeCell ref="BD284:BD291"/>
    <mergeCell ref="BE284:BE291"/>
    <mergeCell ref="BF284:BF291"/>
    <mergeCell ref="BG284:BG291"/>
    <mergeCell ref="BH284:BH291"/>
    <mergeCell ref="BC292:BC294"/>
    <mergeCell ref="BD292:BD294"/>
    <mergeCell ref="BE292:BE294"/>
    <mergeCell ref="BF292:BF294"/>
    <mergeCell ref="BG292:BG294"/>
    <mergeCell ref="BH292:BH294"/>
    <mergeCell ref="BC295:BC298"/>
    <mergeCell ref="BD295:BD298"/>
    <mergeCell ref="BE295:BE298"/>
    <mergeCell ref="BF295:BF298"/>
    <mergeCell ref="BG295:BG298"/>
    <mergeCell ref="BH295:BH298"/>
    <mergeCell ref="BC299:BC305"/>
    <mergeCell ref="BD299:BD305"/>
    <mergeCell ref="BE299:BE305"/>
    <mergeCell ref="BF299:BF305"/>
    <mergeCell ref="BG299:BG305"/>
    <mergeCell ref="BH299:BH305"/>
    <mergeCell ref="BC306:BC307"/>
    <mergeCell ref="BD306:BD307"/>
    <mergeCell ref="BE306:BE307"/>
    <mergeCell ref="BF306:BF307"/>
    <mergeCell ref="BG306:BG307"/>
    <mergeCell ref="BH306:BH307"/>
    <mergeCell ref="BC308:BC311"/>
    <mergeCell ref="BD308:BD311"/>
    <mergeCell ref="BE308:BE311"/>
    <mergeCell ref="BF308:BF311"/>
    <mergeCell ref="BG308:BG311"/>
    <mergeCell ref="BH308:BH311"/>
    <mergeCell ref="BC312:BC314"/>
    <mergeCell ref="BD312:BD314"/>
    <mergeCell ref="BE312:BE314"/>
    <mergeCell ref="BF312:BF314"/>
    <mergeCell ref="BG312:BG314"/>
    <mergeCell ref="BH312:BH314"/>
    <mergeCell ref="BC315:BC316"/>
    <mergeCell ref="BD315:BD316"/>
    <mergeCell ref="BE315:BE316"/>
    <mergeCell ref="BF315:BF316"/>
    <mergeCell ref="BG315:BG316"/>
    <mergeCell ref="BH315:BH316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8"/>
    <mergeCell ref="BD335:BD338"/>
    <mergeCell ref="BE335:BE338"/>
    <mergeCell ref="BF335:BF338"/>
    <mergeCell ref="BG335:BG338"/>
    <mergeCell ref="BH335:BH338"/>
    <mergeCell ref="BC339:BC344"/>
    <mergeCell ref="BD339:BD344"/>
    <mergeCell ref="BE339:BE344"/>
    <mergeCell ref="BF339:BF344"/>
    <mergeCell ref="BG339:BG344"/>
    <mergeCell ref="BH339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2"/>
    <mergeCell ref="BD349:BD352"/>
    <mergeCell ref="BE349:BE352"/>
    <mergeCell ref="BF349:BF352"/>
    <mergeCell ref="BG349:BG352"/>
    <mergeCell ref="BH349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1"/>
    <mergeCell ref="BD359:BD361"/>
    <mergeCell ref="BE359:BE361"/>
    <mergeCell ref="BF359:BF361"/>
    <mergeCell ref="BG359:BG361"/>
    <mergeCell ref="BH359:BH361"/>
    <mergeCell ref="BC362:BC363"/>
    <mergeCell ref="BD362:BD363"/>
    <mergeCell ref="BE362:BE363"/>
    <mergeCell ref="BF362:BF363"/>
    <mergeCell ref="BG362:BG363"/>
    <mergeCell ref="BH362:BH363"/>
    <mergeCell ref="BC364:BC367"/>
    <mergeCell ref="BD364:BD367"/>
    <mergeCell ref="BE364:BE367"/>
    <mergeCell ref="BF364:BF367"/>
    <mergeCell ref="BG364:BG367"/>
    <mergeCell ref="BH364:BH367"/>
    <mergeCell ref="BC368:BC371"/>
    <mergeCell ref="BD368:BD371"/>
    <mergeCell ref="BE368:BE371"/>
    <mergeCell ref="BF368:BF371"/>
    <mergeCell ref="BG368:BG371"/>
    <mergeCell ref="BH368:BH371"/>
    <mergeCell ref="BC372:BC373"/>
    <mergeCell ref="BD372:BD373"/>
    <mergeCell ref="BE372:BE373"/>
    <mergeCell ref="BF372:BF373"/>
    <mergeCell ref="BG372:BG373"/>
    <mergeCell ref="BH372:BH373"/>
    <mergeCell ref="BC376:BC377"/>
    <mergeCell ref="BD376:BD377"/>
    <mergeCell ref="BE376:BE377"/>
    <mergeCell ref="BF376:BF377"/>
    <mergeCell ref="BG376:BG377"/>
    <mergeCell ref="BH376:BH377"/>
    <mergeCell ref="BC378:BC385"/>
    <mergeCell ref="BD378:BD385"/>
    <mergeCell ref="BE378:BE385"/>
    <mergeCell ref="BF378:BF385"/>
    <mergeCell ref="BG378:BG385"/>
    <mergeCell ref="BH378:BH385"/>
    <mergeCell ref="BC386:BC397"/>
    <mergeCell ref="BD386:BD397"/>
    <mergeCell ref="BE386:BE397"/>
    <mergeCell ref="BF386:BF397"/>
    <mergeCell ref="BG386:BG397"/>
    <mergeCell ref="BH386:BH397"/>
    <mergeCell ref="BC398:BC402"/>
    <mergeCell ref="BD398:BD402"/>
    <mergeCell ref="BE398:BE402"/>
    <mergeCell ref="BF398:BF402"/>
    <mergeCell ref="BG398:BG402"/>
    <mergeCell ref="BH398:BH402"/>
    <mergeCell ref="BC403:BC412"/>
    <mergeCell ref="BD403:BD412"/>
    <mergeCell ref="BE403:BE412"/>
    <mergeCell ref="BF403:BF412"/>
    <mergeCell ref="BG403:BG412"/>
    <mergeCell ref="BH403:BH412"/>
    <mergeCell ref="BC413:BC415"/>
    <mergeCell ref="BD413:BD415"/>
    <mergeCell ref="BE413:BE415"/>
    <mergeCell ref="BF413:BF415"/>
    <mergeCell ref="BG413:BG415"/>
    <mergeCell ref="BH413:BH415"/>
    <mergeCell ref="BC416:BC419"/>
    <mergeCell ref="BD416:BD419"/>
    <mergeCell ref="BE416:BE419"/>
    <mergeCell ref="BF416:BF419"/>
    <mergeCell ref="BG416:BG419"/>
    <mergeCell ref="BH416:BH419"/>
    <mergeCell ref="BC420:BC424"/>
    <mergeCell ref="BD420:BD424"/>
    <mergeCell ref="BE420:BE424"/>
    <mergeCell ref="BF420:BF424"/>
    <mergeCell ref="BG420:BG424"/>
    <mergeCell ref="BH420:BH424"/>
    <mergeCell ref="BC425:BC427"/>
    <mergeCell ref="BD425:BD427"/>
    <mergeCell ref="BE425:BE427"/>
    <mergeCell ref="BF425:BF427"/>
    <mergeCell ref="BG425:BG427"/>
    <mergeCell ref="BH425:BH427"/>
    <mergeCell ref="BC428:BC432"/>
    <mergeCell ref="BD428:BD432"/>
    <mergeCell ref="BE428:BE432"/>
    <mergeCell ref="BF428:BF432"/>
    <mergeCell ref="BG428:BG432"/>
    <mergeCell ref="BH428:BH432"/>
    <mergeCell ref="BC433:BC437"/>
    <mergeCell ref="BD433:BD437"/>
    <mergeCell ref="BE433:BE437"/>
    <mergeCell ref="BF433:BF437"/>
    <mergeCell ref="BG433:BG437"/>
    <mergeCell ref="BH433:BH437"/>
    <mergeCell ref="BC438:BC442"/>
    <mergeCell ref="BD438:BD442"/>
    <mergeCell ref="BE438:BE442"/>
    <mergeCell ref="BF438:BF442"/>
    <mergeCell ref="BG438:BG442"/>
    <mergeCell ref="BH438:BH442"/>
    <mergeCell ref="BC443:BC447"/>
    <mergeCell ref="BD443:BD447"/>
    <mergeCell ref="BE443:BE447"/>
    <mergeCell ref="BF443:BF447"/>
    <mergeCell ref="BG443:BG447"/>
    <mergeCell ref="BH443:BH447"/>
    <mergeCell ref="BC448:BC462"/>
    <mergeCell ref="BD448:BD462"/>
    <mergeCell ref="BE448:BE462"/>
    <mergeCell ref="BF448:BF462"/>
    <mergeCell ref="BG448:BG462"/>
    <mergeCell ref="BH448:BH462"/>
    <mergeCell ref="BC463:BC467"/>
    <mergeCell ref="BD463:BD467"/>
    <mergeCell ref="BE463:BE467"/>
    <mergeCell ref="BF463:BF467"/>
    <mergeCell ref="BG463:BG467"/>
    <mergeCell ref="BH463:BH467"/>
    <mergeCell ref="BC468:BC470"/>
    <mergeCell ref="BD468:BD470"/>
    <mergeCell ref="BE468:BE470"/>
    <mergeCell ref="BF468:BF470"/>
    <mergeCell ref="BG468:BG470"/>
    <mergeCell ref="BH468:BH470"/>
    <mergeCell ref="BC471:BC481"/>
    <mergeCell ref="BD471:BD481"/>
    <mergeCell ref="BE471:BE481"/>
    <mergeCell ref="BF471:BF481"/>
    <mergeCell ref="BG471:BG481"/>
    <mergeCell ref="BH471:BH481"/>
    <mergeCell ref="BC482:BC486"/>
    <mergeCell ref="BD482:BD486"/>
    <mergeCell ref="BE482:BE486"/>
    <mergeCell ref="BF482:BF486"/>
    <mergeCell ref="BG482:BG486"/>
    <mergeCell ref="BH482:BH486"/>
    <mergeCell ref="BC487:BC488"/>
    <mergeCell ref="BD487:BD488"/>
    <mergeCell ref="BE487:BE488"/>
    <mergeCell ref="BF487:BF488"/>
    <mergeCell ref="BG487:BG488"/>
    <mergeCell ref="BH487:BH488"/>
    <mergeCell ref="BC489:BC492"/>
    <mergeCell ref="BD489:BD492"/>
    <mergeCell ref="BE489:BE492"/>
    <mergeCell ref="BF489:BF492"/>
    <mergeCell ref="BG489:BG492"/>
    <mergeCell ref="BH489:BH492"/>
    <mergeCell ref="BC493:BC501"/>
    <mergeCell ref="BD493:BD501"/>
    <mergeCell ref="BE493:BE501"/>
    <mergeCell ref="BF493:BF501"/>
    <mergeCell ref="BG493:BG501"/>
    <mergeCell ref="BH493:BH501"/>
    <mergeCell ref="BC502:BC506"/>
    <mergeCell ref="BD502:BD506"/>
    <mergeCell ref="BE502:BE506"/>
    <mergeCell ref="BF502:BF506"/>
    <mergeCell ref="BG502:BG506"/>
    <mergeCell ref="BH502:BH506"/>
    <mergeCell ref="BC507:BC514"/>
    <mergeCell ref="BD507:BD514"/>
    <mergeCell ref="BE507:BE514"/>
    <mergeCell ref="BF507:BF514"/>
    <mergeCell ref="BG507:BG514"/>
    <mergeCell ref="BH507:BH514"/>
    <mergeCell ref="BC515:BC520"/>
    <mergeCell ref="BD515:BD520"/>
    <mergeCell ref="BE515:BE520"/>
    <mergeCell ref="BF515:BF520"/>
    <mergeCell ref="BG515:BG520"/>
    <mergeCell ref="BH515:BH520"/>
    <mergeCell ref="BC521:BC531"/>
    <mergeCell ref="BD521:BD531"/>
    <mergeCell ref="BE521:BE531"/>
    <mergeCell ref="BF521:BF531"/>
    <mergeCell ref="BG521:BG531"/>
    <mergeCell ref="BH521:BH531"/>
    <mergeCell ref="BC532:BC537"/>
    <mergeCell ref="BD532:BD537"/>
    <mergeCell ref="BE532:BE537"/>
    <mergeCell ref="BF532:BF537"/>
    <mergeCell ref="BG532:BG537"/>
    <mergeCell ref="BH532:BH537"/>
    <mergeCell ref="BC538:BC540"/>
    <mergeCell ref="BD538:BD540"/>
    <mergeCell ref="BE538:BE540"/>
    <mergeCell ref="BF538:BF540"/>
    <mergeCell ref="BG538:BG540"/>
    <mergeCell ref="BH538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5:BC547"/>
    <mergeCell ref="BD545:BD547"/>
    <mergeCell ref="BE545:BE547"/>
    <mergeCell ref="BF545:BF547"/>
    <mergeCell ref="BG545:BG547"/>
    <mergeCell ref="BH545:BH547"/>
    <mergeCell ref="BC548:BC551"/>
    <mergeCell ref="BD548:BD551"/>
    <mergeCell ref="BE548:BE551"/>
    <mergeCell ref="BF548:BF551"/>
    <mergeCell ref="BG548:BG551"/>
    <mergeCell ref="BH548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9"/>
    <mergeCell ref="BD556:BD559"/>
    <mergeCell ref="BE556:BE559"/>
    <mergeCell ref="BF556:BF559"/>
    <mergeCell ref="BG556:BG559"/>
    <mergeCell ref="BH556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6"/>
    <mergeCell ref="BD564:BD566"/>
    <mergeCell ref="BE564:BE566"/>
    <mergeCell ref="BF564:BF566"/>
    <mergeCell ref="BG564:BG566"/>
    <mergeCell ref="BH564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8:BC581"/>
    <mergeCell ref="BD578:BD581"/>
    <mergeCell ref="BE578:BE581"/>
    <mergeCell ref="BF578:BF581"/>
    <mergeCell ref="BG578:BG581"/>
    <mergeCell ref="BH578:BH581"/>
    <mergeCell ref="BC582:BC584"/>
    <mergeCell ref="BD582:BD584"/>
    <mergeCell ref="BE582:BE584"/>
    <mergeCell ref="BF582:BF584"/>
    <mergeCell ref="BG582:BG584"/>
    <mergeCell ref="BH582:BH584"/>
    <mergeCell ref="BC585:BC588"/>
    <mergeCell ref="BD585:BD588"/>
    <mergeCell ref="BE585:BE588"/>
    <mergeCell ref="BF585:BF588"/>
    <mergeCell ref="BG585:BG588"/>
    <mergeCell ref="BH585:BH588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602"/>
    <mergeCell ref="BD597:BD602"/>
    <mergeCell ref="BE597:BE602"/>
    <mergeCell ref="BF597:BF602"/>
    <mergeCell ref="BG597:BG602"/>
    <mergeCell ref="BH597:BH602"/>
    <mergeCell ref="BC610:BC614"/>
    <mergeCell ref="BD610:BD614"/>
    <mergeCell ref="BE610:BE614"/>
    <mergeCell ref="BF610:BF614"/>
    <mergeCell ref="BG610:BG614"/>
    <mergeCell ref="BH610:BH614"/>
    <mergeCell ref="BC615:BC616"/>
    <mergeCell ref="BD615:BD616"/>
    <mergeCell ref="BE615:BE616"/>
    <mergeCell ref="BF615:BF616"/>
    <mergeCell ref="BG615:BG616"/>
    <mergeCell ref="BH615:BH616"/>
    <mergeCell ref="BC617:BC625"/>
    <mergeCell ref="BD617:BD625"/>
    <mergeCell ref="BE617:BE625"/>
    <mergeCell ref="BF617:BF625"/>
    <mergeCell ref="BG617:BG625"/>
    <mergeCell ref="BH617:BH625"/>
    <mergeCell ref="BC626:BC628"/>
    <mergeCell ref="BD626:BD628"/>
    <mergeCell ref="BE626:BE628"/>
    <mergeCell ref="BF626:BF628"/>
    <mergeCell ref="BG626:BG628"/>
    <mergeCell ref="BH626:BH628"/>
    <mergeCell ref="BC629:BC632"/>
    <mergeCell ref="BD629:BD632"/>
    <mergeCell ref="BE629:BE632"/>
    <mergeCell ref="BF629:BF632"/>
    <mergeCell ref="BG629:BG632"/>
    <mergeCell ref="BH629:BH632"/>
    <mergeCell ref="BC633:BC636"/>
    <mergeCell ref="BD633:BD636"/>
    <mergeCell ref="BE633:BE636"/>
    <mergeCell ref="BF633:BF636"/>
    <mergeCell ref="BG633:BG636"/>
    <mergeCell ref="BH633:BH636"/>
    <mergeCell ref="BC637:BC640"/>
    <mergeCell ref="BD637:BD640"/>
    <mergeCell ref="BE637:BE640"/>
    <mergeCell ref="BF637:BF640"/>
    <mergeCell ref="BG637:BG640"/>
    <mergeCell ref="BH637:BH640"/>
    <mergeCell ref="BC641:BC644"/>
    <mergeCell ref="BD641:BD644"/>
    <mergeCell ref="BE641:BE644"/>
    <mergeCell ref="BF641:BF644"/>
    <mergeCell ref="BG641:BG644"/>
    <mergeCell ref="BH641:BH644"/>
    <mergeCell ref="BC645:BC646"/>
    <mergeCell ref="BD645:BD646"/>
    <mergeCell ref="BE645:BE646"/>
    <mergeCell ref="BF645:BF646"/>
    <mergeCell ref="BG645:BG646"/>
    <mergeCell ref="BH645:BH646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58"/>
    <mergeCell ref="BD655:BD658"/>
    <mergeCell ref="BE655:BE658"/>
    <mergeCell ref="BF655:BF658"/>
    <mergeCell ref="BG655:BG658"/>
    <mergeCell ref="BH655:BH658"/>
    <mergeCell ref="BC659:BC662"/>
    <mergeCell ref="BD659:BD662"/>
    <mergeCell ref="BE659:BE662"/>
    <mergeCell ref="BF659:BF662"/>
    <mergeCell ref="BG659:BG662"/>
    <mergeCell ref="BH659:BH662"/>
    <mergeCell ref="BC663:BC664"/>
    <mergeCell ref="BD663:BD664"/>
    <mergeCell ref="BE663:BE664"/>
    <mergeCell ref="BF663:BF664"/>
    <mergeCell ref="BG663:BG664"/>
    <mergeCell ref="BH663:BH664"/>
    <mergeCell ref="BC665:BC667"/>
    <mergeCell ref="BD665:BD667"/>
    <mergeCell ref="BE665:BE667"/>
    <mergeCell ref="BF665:BF667"/>
    <mergeCell ref="BG665:BG667"/>
    <mergeCell ref="BH665:BH667"/>
    <mergeCell ref="BC668:BC669"/>
    <mergeCell ref="BD668:BD669"/>
    <mergeCell ref="BE668:BE669"/>
    <mergeCell ref="BF668:BF669"/>
    <mergeCell ref="BG668:BG669"/>
    <mergeCell ref="BH668:BH669"/>
    <mergeCell ref="BC670:BC673"/>
    <mergeCell ref="BD670:BD673"/>
    <mergeCell ref="BE670:BE673"/>
    <mergeCell ref="BF670:BF673"/>
    <mergeCell ref="BG670:BG673"/>
    <mergeCell ref="BH670:BH673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9"/>
    <mergeCell ref="BD686:BD689"/>
    <mergeCell ref="BE686:BE689"/>
    <mergeCell ref="BF686:BF689"/>
    <mergeCell ref="BG686:BG689"/>
    <mergeCell ref="BH686:BH689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700"/>
    <mergeCell ref="BD698:BD700"/>
    <mergeCell ref="BE698:BE700"/>
    <mergeCell ref="BF698:BF700"/>
    <mergeCell ref="BG698:BG700"/>
    <mergeCell ref="BH698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9"/>
    <mergeCell ref="BD705:BD709"/>
    <mergeCell ref="BE705:BE709"/>
    <mergeCell ref="BF705:BF709"/>
    <mergeCell ref="BG705:BG709"/>
    <mergeCell ref="BH705:BH709"/>
    <mergeCell ref="BC712:BC713"/>
    <mergeCell ref="BD712:BD713"/>
    <mergeCell ref="BE712:BE713"/>
    <mergeCell ref="BF712:BF713"/>
    <mergeCell ref="BG712:BG713"/>
    <mergeCell ref="BH712:BH713"/>
    <mergeCell ref="BC714:BC719"/>
    <mergeCell ref="BD714:BD719"/>
    <mergeCell ref="BE714:BE719"/>
    <mergeCell ref="BF714:BF719"/>
    <mergeCell ref="BG714:BG719"/>
    <mergeCell ref="BH714:BH719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4:BC727"/>
    <mergeCell ref="BD724:BD727"/>
    <mergeCell ref="BE724:BE727"/>
    <mergeCell ref="BF724:BF727"/>
    <mergeCell ref="BG724:BG727"/>
    <mergeCell ref="BH724:BH727"/>
    <mergeCell ref="BC728:BC735"/>
    <mergeCell ref="BD728:BD735"/>
    <mergeCell ref="BE728:BE735"/>
    <mergeCell ref="BF728:BF735"/>
    <mergeCell ref="BG728:BG735"/>
    <mergeCell ref="BH728:BH735"/>
    <mergeCell ref="BC736:BC743"/>
    <mergeCell ref="BD736:BD743"/>
    <mergeCell ref="BE736:BE743"/>
    <mergeCell ref="BF736:BF743"/>
    <mergeCell ref="BG736:BG743"/>
    <mergeCell ref="BH736:BH743"/>
    <mergeCell ref="BC744:BC745"/>
    <mergeCell ref="BD744:BD745"/>
    <mergeCell ref="BE744:BE745"/>
    <mergeCell ref="BF744:BF745"/>
    <mergeCell ref="BG744:BG745"/>
    <mergeCell ref="BH744:BH745"/>
    <mergeCell ref="BC746:BC753"/>
    <mergeCell ref="BD746:BD753"/>
    <mergeCell ref="BE746:BE753"/>
    <mergeCell ref="BF746:BF753"/>
    <mergeCell ref="BG746:BG753"/>
    <mergeCell ref="BH746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69"/>
    <mergeCell ref="BD766:BD769"/>
    <mergeCell ref="BE766:BE769"/>
    <mergeCell ref="BF766:BF769"/>
    <mergeCell ref="BG766:BG769"/>
    <mergeCell ref="BH766:BH769"/>
    <mergeCell ref="BC770:BC771"/>
    <mergeCell ref="BD770:BD771"/>
    <mergeCell ref="BE770:BE771"/>
    <mergeCell ref="BF770:BF771"/>
    <mergeCell ref="BG770:BG771"/>
    <mergeCell ref="BH770:BH771"/>
    <mergeCell ref="BC772:BC777"/>
    <mergeCell ref="BD772:BD777"/>
    <mergeCell ref="BE772:BE777"/>
    <mergeCell ref="BF772:BF777"/>
    <mergeCell ref="BG772:BG777"/>
    <mergeCell ref="BH772:BH777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5"/>
    <mergeCell ref="BD782:BD785"/>
    <mergeCell ref="BE782:BE785"/>
    <mergeCell ref="BF782:BF785"/>
    <mergeCell ref="BG782:BG785"/>
    <mergeCell ref="BH782:BH785"/>
    <mergeCell ref="BC786:BC793"/>
    <mergeCell ref="BD786:BD793"/>
    <mergeCell ref="BE786:BE793"/>
    <mergeCell ref="BF786:BF793"/>
    <mergeCell ref="BG786:BG793"/>
    <mergeCell ref="BH786:BH793"/>
    <mergeCell ref="BC794:BC801"/>
    <mergeCell ref="BD794:BD801"/>
    <mergeCell ref="BE794:BE801"/>
    <mergeCell ref="BF794:BF801"/>
    <mergeCell ref="BG794:BG801"/>
    <mergeCell ref="BH794:BH801"/>
    <mergeCell ref="BC802:BC803"/>
    <mergeCell ref="BD802:BD803"/>
    <mergeCell ref="BE802:BE803"/>
    <mergeCell ref="BF802:BF803"/>
    <mergeCell ref="BG802:BG803"/>
    <mergeCell ref="BH802:BH803"/>
    <mergeCell ref="BC804:BC811"/>
    <mergeCell ref="BD804:BD811"/>
    <mergeCell ref="BE804:BE811"/>
    <mergeCell ref="BF804:BF811"/>
    <mergeCell ref="BG804:BG811"/>
    <mergeCell ref="BH804:BH811"/>
    <mergeCell ref="BC812:BC815"/>
    <mergeCell ref="BD812:BD815"/>
    <mergeCell ref="BE812:BE815"/>
    <mergeCell ref="BF812:BF815"/>
    <mergeCell ref="BG812:BG815"/>
    <mergeCell ref="BH812:BH815"/>
    <mergeCell ref="BC816:BC819"/>
    <mergeCell ref="BD816:BD819"/>
    <mergeCell ref="BE816:BE819"/>
    <mergeCell ref="BF816:BF819"/>
    <mergeCell ref="BG816:BG819"/>
    <mergeCell ref="BH816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41"/>
    <mergeCell ref="BD838:BD841"/>
    <mergeCell ref="BE838:BE841"/>
    <mergeCell ref="BF838:BF841"/>
    <mergeCell ref="BG838:BG841"/>
    <mergeCell ref="BH838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63"/>
    <mergeCell ref="BD858:BD863"/>
    <mergeCell ref="BE858:BE863"/>
    <mergeCell ref="BF858:BF863"/>
    <mergeCell ref="BG858:BG863"/>
    <mergeCell ref="BH858:BH863"/>
    <mergeCell ref="BC866:BC867"/>
    <mergeCell ref="BD866:BD867"/>
    <mergeCell ref="BE866:BE867"/>
    <mergeCell ref="BF866:BF867"/>
    <mergeCell ref="BG866:BG867"/>
    <mergeCell ref="BH866:BH867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2:BC875"/>
    <mergeCell ref="BD872:BD875"/>
    <mergeCell ref="BE872:BE875"/>
    <mergeCell ref="BF872:BF875"/>
    <mergeCell ref="BG872:BG875"/>
    <mergeCell ref="BH872:BH875"/>
    <mergeCell ref="BC876:BC877"/>
    <mergeCell ref="BD876:BD877"/>
    <mergeCell ref="BE876:BE877"/>
    <mergeCell ref="BF876:BF877"/>
    <mergeCell ref="BG876:BG877"/>
    <mergeCell ref="BH876:BH877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9"/>
    <mergeCell ref="BD886:BD889"/>
    <mergeCell ref="BE886:BE889"/>
    <mergeCell ref="BF886:BF889"/>
    <mergeCell ref="BG886:BG889"/>
    <mergeCell ref="BH886:BH889"/>
    <mergeCell ref="BC890:BC891"/>
    <mergeCell ref="BD890:BD891"/>
    <mergeCell ref="BE890:BE891"/>
    <mergeCell ref="BF890:BF891"/>
    <mergeCell ref="BG890:BG891"/>
    <mergeCell ref="BH890:BH891"/>
    <mergeCell ref="BC893:BC894"/>
    <mergeCell ref="BD893:BD894"/>
    <mergeCell ref="BE893:BE894"/>
    <mergeCell ref="BF893:BF894"/>
    <mergeCell ref="BG893:BG894"/>
    <mergeCell ref="BH893:BH894"/>
    <mergeCell ref="BC921:BC923"/>
    <mergeCell ref="BD921:BD923"/>
    <mergeCell ref="BE921:BE923"/>
    <mergeCell ref="BF921:BF923"/>
    <mergeCell ref="BG921:BG923"/>
    <mergeCell ref="BH921:BH923"/>
    <mergeCell ref="BC928:BC929"/>
    <mergeCell ref="BD928:BD929"/>
    <mergeCell ref="BE928:BE929"/>
    <mergeCell ref="BF928:BF929"/>
    <mergeCell ref="BG928:BG929"/>
    <mergeCell ref="BH928:BH929"/>
    <mergeCell ref="BC936:BC938"/>
    <mergeCell ref="BD936:BD938"/>
    <mergeCell ref="BE936:BE938"/>
    <mergeCell ref="BF936:BF938"/>
    <mergeCell ref="BG936:BG938"/>
    <mergeCell ref="BH936:BH938"/>
    <mergeCell ref="BC941:BC943"/>
    <mergeCell ref="BD941:BD943"/>
    <mergeCell ref="BE941:BE943"/>
    <mergeCell ref="BF941:BF943"/>
    <mergeCell ref="BG941:BG943"/>
    <mergeCell ref="BH941:BH943"/>
    <mergeCell ref="BC945:BC947"/>
    <mergeCell ref="BD945:BD947"/>
    <mergeCell ref="BE945:BE947"/>
    <mergeCell ref="BF945:BF947"/>
    <mergeCell ref="BG945:BG947"/>
    <mergeCell ref="BH945:BH947"/>
    <mergeCell ref="BC949:BC950"/>
    <mergeCell ref="BD949:BD950"/>
    <mergeCell ref="BE949:BE950"/>
    <mergeCell ref="BF949:BF950"/>
    <mergeCell ref="BG949:BG950"/>
    <mergeCell ref="BH949:BH950"/>
    <mergeCell ref="BC952:BC954"/>
    <mergeCell ref="BD952:BD954"/>
    <mergeCell ref="BE952:BE954"/>
    <mergeCell ref="BF952:BF954"/>
    <mergeCell ref="BG952:BG954"/>
    <mergeCell ref="BH952:BH954"/>
    <mergeCell ref="BC972:BC973"/>
    <mergeCell ref="BD972:BD973"/>
    <mergeCell ref="BE972:BE973"/>
    <mergeCell ref="BF972:BF973"/>
    <mergeCell ref="BG972:BG973"/>
    <mergeCell ref="BH972:BH973"/>
    <mergeCell ref="BC978:BC980"/>
    <mergeCell ref="BD978:BD980"/>
    <mergeCell ref="BE978:BE980"/>
    <mergeCell ref="BF978:BF980"/>
    <mergeCell ref="BG978:BG980"/>
    <mergeCell ref="BH978:BH980"/>
    <mergeCell ref="BC988:BC989"/>
    <mergeCell ref="BD988:BD989"/>
    <mergeCell ref="BE988:BE989"/>
    <mergeCell ref="BF988:BF989"/>
    <mergeCell ref="BG988:BG989"/>
    <mergeCell ref="BH988:BH989"/>
    <mergeCell ref="BC990:BC991"/>
    <mergeCell ref="BD990:BD991"/>
    <mergeCell ref="BE990:BE991"/>
    <mergeCell ref="BF990:BF991"/>
    <mergeCell ref="BG990:BG991"/>
    <mergeCell ref="BH990:BH991"/>
    <mergeCell ref="BC994:BC1001"/>
    <mergeCell ref="BD994:BD1001"/>
    <mergeCell ref="BE994:BE1001"/>
    <mergeCell ref="BF994:BF1001"/>
    <mergeCell ref="BG994:BG1001"/>
    <mergeCell ref="BH994:BH1001"/>
    <mergeCell ref="BC1002:BC1003"/>
    <mergeCell ref="BD1002:BD1003"/>
    <mergeCell ref="BE1002:BE1003"/>
    <mergeCell ref="BF1002:BF1003"/>
    <mergeCell ref="BG1002:BG1003"/>
    <mergeCell ref="BH1002:BH1003"/>
    <mergeCell ref="BC1023:BC1028"/>
    <mergeCell ref="BD1023:BD1028"/>
    <mergeCell ref="BE1023:BE1028"/>
    <mergeCell ref="BF1023:BF1028"/>
    <mergeCell ref="BG1023:BG1028"/>
    <mergeCell ref="BH1023:BH1028"/>
    <mergeCell ref="BC1030:BC1034"/>
    <mergeCell ref="BD1030:BD1034"/>
    <mergeCell ref="BE1030:BE1034"/>
    <mergeCell ref="BF1030:BF1034"/>
    <mergeCell ref="BG1030:BG1034"/>
    <mergeCell ref="BH1030:BH1034"/>
    <mergeCell ref="BC1035:BC1037"/>
    <mergeCell ref="BD1035:BD1037"/>
    <mergeCell ref="BE1035:BE1037"/>
    <mergeCell ref="BF1035:BF1037"/>
    <mergeCell ref="BG1035:BG1037"/>
    <mergeCell ref="BH1035:BH1037"/>
    <mergeCell ref="BC1038:BC1039"/>
    <mergeCell ref="BD1038:BD1039"/>
    <mergeCell ref="BE1038:BE1039"/>
    <mergeCell ref="BF1038:BF1039"/>
    <mergeCell ref="BG1038:BG1039"/>
    <mergeCell ref="BH1038:BH1039"/>
    <mergeCell ref="BC1040:BC1044"/>
    <mergeCell ref="BD1040:BD1044"/>
    <mergeCell ref="BE1040:BE1044"/>
    <mergeCell ref="BF1040:BF1044"/>
    <mergeCell ref="BG1040:BG1044"/>
    <mergeCell ref="BH1040:BH1044"/>
    <mergeCell ref="BC1045:BC1049"/>
    <mergeCell ref="BD1045:BD1049"/>
    <mergeCell ref="BE1045:BE1049"/>
    <mergeCell ref="BF1045:BF1049"/>
    <mergeCell ref="BG1045:BG1049"/>
    <mergeCell ref="BH1045:BH1049"/>
    <mergeCell ref="BC1050:BC1054"/>
    <mergeCell ref="BD1050:BD1054"/>
    <mergeCell ref="BE1050:BE1054"/>
    <mergeCell ref="BF1050:BF1054"/>
    <mergeCell ref="BG1050:BG1054"/>
    <mergeCell ref="BH1050:BH1054"/>
    <mergeCell ref="BC1055:BC1059"/>
    <mergeCell ref="BD1055:BD1059"/>
    <mergeCell ref="BE1055:BE1059"/>
    <mergeCell ref="BF1055:BF1059"/>
    <mergeCell ref="BG1055:BG1059"/>
    <mergeCell ref="BH1055:BH1059"/>
    <mergeCell ref="BC1060:BC1064"/>
    <mergeCell ref="BD1060:BD1064"/>
    <mergeCell ref="BE1060:BE1064"/>
    <mergeCell ref="BF1060:BF1064"/>
    <mergeCell ref="BG1060:BG1064"/>
    <mergeCell ref="BH1060:BH1064"/>
    <mergeCell ref="BC1065:BC1069"/>
    <mergeCell ref="BD1065:BD1069"/>
    <mergeCell ref="BE1065:BE1069"/>
    <mergeCell ref="BF1065:BF1069"/>
    <mergeCell ref="BG1065:BG1069"/>
    <mergeCell ref="BH1065:BH1069"/>
    <mergeCell ref="BC1071:BC1073"/>
    <mergeCell ref="BD1071:BD1073"/>
    <mergeCell ref="BE1071:BE1073"/>
    <mergeCell ref="BF1071:BF1073"/>
    <mergeCell ref="BG1071:BG1073"/>
    <mergeCell ref="BH1071:BH1073"/>
    <mergeCell ref="BC1074:BC1075"/>
    <mergeCell ref="BD1074:BD1075"/>
    <mergeCell ref="BE1074:BE1075"/>
    <mergeCell ref="BF1074:BF1075"/>
    <mergeCell ref="BG1074:BG1075"/>
    <mergeCell ref="BH1074:BH1075"/>
    <mergeCell ref="BC1077:BC1079"/>
    <mergeCell ref="BD1077:BD1079"/>
    <mergeCell ref="BE1077:BE1079"/>
    <mergeCell ref="BF1077:BF1079"/>
    <mergeCell ref="BG1077:BG1079"/>
    <mergeCell ref="BH1077:BH1079"/>
    <mergeCell ref="BC1080:BC1082"/>
    <mergeCell ref="BD1080:BD1082"/>
    <mergeCell ref="BE1080:BE1082"/>
    <mergeCell ref="BF1080:BF1082"/>
    <mergeCell ref="BG1080:BG1082"/>
    <mergeCell ref="BH1080:BH1082"/>
    <mergeCell ref="BC1083:BC1084"/>
    <mergeCell ref="BD1083:BD1084"/>
    <mergeCell ref="BE1083:BE1084"/>
    <mergeCell ref="BF1083:BF1084"/>
    <mergeCell ref="BG1083:BG1084"/>
    <mergeCell ref="BH1083:BH1084"/>
    <mergeCell ref="BC1085:BC1087"/>
    <mergeCell ref="BD1085:BD1087"/>
    <mergeCell ref="BE1085:BE1087"/>
    <mergeCell ref="BF1085:BF1087"/>
    <mergeCell ref="BG1085:BG1087"/>
    <mergeCell ref="BH1085:BH1087"/>
    <mergeCell ref="BC1088:BC1090"/>
    <mergeCell ref="BD1088:BD1090"/>
    <mergeCell ref="BE1088:BE1090"/>
    <mergeCell ref="BF1088:BF1090"/>
    <mergeCell ref="BG1088:BG1090"/>
    <mergeCell ref="BH1088:BH1090"/>
    <mergeCell ref="BC1091:BC1093"/>
    <mergeCell ref="BD1091:BD1093"/>
    <mergeCell ref="BE1091:BE1093"/>
    <mergeCell ref="BF1091:BF1093"/>
    <mergeCell ref="BG1091:BG1093"/>
    <mergeCell ref="BH1091:BH1093"/>
    <mergeCell ref="BC1094:BC1099"/>
    <mergeCell ref="BD1094:BD1099"/>
    <mergeCell ref="BE1094:BE1099"/>
    <mergeCell ref="BF1094:BF1099"/>
    <mergeCell ref="BG1094:BG1099"/>
    <mergeCell ref="BH1094:BH1099"/>
    <mergeCell ref="BC1100:BC1104"/>
    <mergeCell ref="BD1100:BD1104"/>
    <mergeCell ref="BE1100:BE1104"/>
    <mergeCell ref="BF1100:BF1104"/>
    <mergeCell ref="BG1100:BG1104"/>
    <mergeCell ref="BH1100:BH1104"/>
    <mergeCell ref="BC1105:BC1121"/>
    <mergeCell ref="BD1105:BD1121"/>
    <mergeCell ref="BE1105:BE1121"/>
    <mergeCell ref="BF1105:BF1121"/>
    <mergeCell ref="BG1105:BG1121"/>
    <mergeCell ref="BH1105:BH1121"/>
    <mergeCell ref="BC1122:BC1127"/>
    <mergeCell ref="BD1122:BD1127"/>
    <mergeCell ref="BE1122:BE1127"/>
    <mergeCell ref="BF1122:BF1127"/>
    <mergeCell ref="BG1122:BG1127"/>
    <mergeCell ref="BH1122:BH1127"/>
    <mergeCell ref="BC1128:BC1142"/>
    <mergeCell ref="BD1128:BD1142"/>
    <mergeCell ref="BE1128:BE1142"/>
    <mergeCell ref="BF1128:BF1142"/>
    <mergeCell ref="BG1128:BG1142"/>
    <mergeCell ref="BH1128:BH1142"/>
    <mergeCell ref="BC1143:BC1144"/>
    <mergeCell ref="BD1143:BD1144"/>
    <mergeCell ref="BE1143:BE1144"/>
    <mergeCell ref="BF1143:BF1144"/>
    <mergeCell ref="BG1143:BG1144"/>
    <mergeCell ref="BH1143:BH1144"/>
    <mergeCell ref="BC1145:BC1146"/>
    <mergeCell ref="BD1145:BD1146"/>
    <mergeCell ref="BE1145:BE1146"/>
    <mergeCell ref="BF1145:BF1146"/>
    <mergeCell ref="BG1145:BG1146"/>
    <mergeCell ref="BH1145:BH1146"/>
    <mergeCell ref="BC1147:BC1148"/>
    <mergeCell ref="BD1147:BD1148"/>
    <mergeCell ref="BE1147:BE1148"/>
    <mergeCell ref="BF1147:BF1148"/>
    <mergeCell ref="BG1147:BG1148"/>
    <mergeCell ref="BH1147:BH1148"/>
    <mergeCell ref="BC1149:BC1150"/>
    <mergeCell ref="BD1149:BD1150"/>
    <mergeCell ref="BE1149:BE1150"/>
    <mergeCell ref="BF1149:BF1150"/>
    <mergeCell ref="BG1149:BG1150"/>
    <mergeCell ref="BH1149:BH1150"/>
    <mergeCell ref="BC1151:BC1153"/>
    <mergeCell ref="BD1151:BD1153"/>
    <mergeCell ref="BE1151:BE1153"/>
    <mergeCell ref="BF1151:BF1153"/>
    <mergeCell ref="BG1151:BG1153"/>
    <mergeCell ref="BH1151:BH1153"/>
    <mergeCell ref="BC1154:BC1162"/>
    <mergeCell ref="BD1154:BD1162"/>
    <mergeCell ref="BE1154:BE1162"/>
    <mergeCell ref="BF1154:BF1162"/>
    <mergeCell ref="BG1154:BG1162"/>
    <mergeCell ref="BH1154:BH1162"/>
    <mergeCell ref="BC1163:BC1165"/>
    <mergeCell ref="BD1163:BD1165"/>
    <mergeCell ref="BE1163:BE1165"/>
    <mergeCell ref="BF1163:BF1165"/>
    <mergeCell ref="BG1163:BG1165"/>
    <mergeCell ref="BH1163:BH1165"/>
    <mergeCell ref="BC1166:BC1171"/>
    <mergeCell ref="BD1166:BD1171"/>
    <mergeCell ref="BE1166:BE1171"/>
    <mergeCell ref="BF1166:BF1171"/>
    <mergeCell ref="BG1166:BG1171"/>
    <mergeCell ref="BH1166:BH1171"/>
    <mergeCell ref="BC1172:BC1173"/>
    <mergeCell ref="BD1172:BD1173"/>
    <mergeCell ref="BE1172:BE1173"/>
    <mergeCell ref="BF1172:BF1173"/>
    <mergeCell ref="BG1172:BG1173"/>
    <mergeCell ref="BH1172:BH1173"/>
    <mergeCell ref="BC1174:BC1179"/>
    <mergeCell ref="BD1174:BD1179"/>
    <mergeCell ref="BE1174:BE1179"/>
    <mergeCell ref="BF1174:BF1179"/>
    <mergeCell ref="BG1174:BG1179"/>
    <mergeCell ref="BH1174:BH1179"/>
    <mergeCell ref="BC1182:BC1186"/>
    <mergeCell ref="BD1182:BD1186"/>
    <mergeCell ref="BE1182:BE1186"/>
    <mergeCell ref="BF1182:BF1186"/>
    <mergeCell ref="BG1182:BG1186"/>
    <mergeCell ref="BH1182:BH1186"/>
    <mergeCell ref="BC1187:BC1188"/>
    <mergeCell ref="BD1187:BD1188"/>
    <mergeCell ref="BE1187:BE1188"/>
    <mergeCell ref="BF1187:BF1188"/>
    <mergeCell ref="BG1187:BG1188"/>
    <mergeCell ref="BH1187:BH1188"/>
    <mergeCell ref="BC1189:BC1191"/>
    <mergeCell ref="BD1189:BD1191"/>
    <mergeCell ref="BE1189:BE1191"/>
    <mergeCell ref="BF1189:BF1191"/>
    <mergeCell ref="BG1189:BG1191"/>
    <mergeCell ref="BH1189:BH1191"/>
    <mergeCell ref="BC1192:BC1193"/>
    <mergeCell ref="BD1192:BD1193"/>
    <mergeCell ref="BE1192:BE1193"/>
    <mergeCell ref="BF1192:BF1193"/>
    <mergeCell ref="BG1192:BG1193"/>
    <mergeCell ref="BH1192:BH1193"/>
    <mergeCell ref="BC1194:BC1195"/>
    <mergeCell ref="BD1194:BD1195"/>
    <mergeCell ref="BE1194:BE1195"/>
    <mergeCell ref="BF1194:BF1195"/>
    <mergeCell ref="BG1194:BG1195"/>
    <mergeCell ref="BH1194:BH1195"/>
    <mergeCell ref="BC1196:BC1199"/>
    <mergeCell ref="BD1196:BD1199"/>
    <mergeCell ref="BE1196:BE1199"/>
    <mergeCell ref="BF1196:BF1199"/>
    <mergeCell ref="BG1196:BG1199"/>
    <mergeCell ref="BH1196:BH1199"/>
    <mergeCell ref="BC1203:BC1205"/>
    <mergeCell ref="BD1203:BD1205"/>
    <mergeCell ref="BE1203:BE1205"/>
    <mergeCell ref="BF1203:BF1205"/>
    <mergeCell ref="BG1203:BG1205"/>
    <mergeCell ref="BH1203:BH1205"/>
    <mergeCell ref="BC1209:BC1210"/>
    <mergeCell ref="BD1209:BD1210"/>
    <mergeCell ref="BE1209:BE1210"/>
    <mergeCell ref="BF1209:BF1210"/>
    <mergeCell ref="BG1209:BG1210"/>
    <mergeCell ref="BH1209:BH1210"/>
    <mergeCell ref="BC1212:BC1213"/>
    <mergeCell ref="BD1212:BD1213"/>
    <mergeCell ref="BE1212:BE1213"/>
    <mergeCell ref="BF1212:BF1213"/>
    <mergeCell ref="BG1212:BG1213"/>
    <mergeCell ref="BH1212:BH1213"/>
    <mergeCell ref="BC1215:BC1216"/>
    <mergeCell ref="BD1215:BD1216"/>
    <mergeCell ref="BE1215:BE1216"/>
    <mergeCell ref="BF1215:BF1216"/>
    <mergeCell ref="BG1215:BG1216"/>
    <mergeCell ref="BH1215:BH1216"/>
    <mergeCell ref="BC1217:BC1218"/>
    <mergeCell ref="BD1217:BD1218"/>
    <mergeCell ref="BE1217:BE1218"/>
    <mergeCell ref="BF1217:BF1218"/>
    <mergeCell ref="BG1217:BG1218"/>
    <mergeCell ref="BH1217:BH1218"/>
    <mergeCell ref="BC1220:BC1221"/>
    <mergeCell ref="BD1220:BD1221"/>
    <mergeCell ref="BE1220:BE1221"/>
    <mergeCell ref="BF1220:BF1221"/>
    <mergeCell ref="BG1220:BG1221"/>
    <mergeCell ref="BH1220:BH1221"/>
    <mergeCell ref="BC1222:BC1224"/>
    <mergeCell ref="BD1222:BD1224"/>
    <mergeCell ref="BE1222:BE1224"/>
    <mergeCell ref="BF1222:BF1224"/>
    <mergeCell ref="BG1222:BG1224"/>
    <mergeCell ref="BH1222:BH1224"/>
    <mergeCell ref="BC1225:BC1226"/>
    <mergeCell ref="BD1225:BD1226"/>
    <mergeCell ref="BE1225:BE1226"/>
    <mergeCell ref="BF1225:BF1226"/>
    <mergeCell ref="BG1225:BG1226"/>
    <mergeCell ref="BH1225:BH1226"/>
    <mergeCell ref="BC1228:BC1239"/>
    <mergeCell ref="BD1228:BD1239"/>
    <mergeCell ref="BE1228:BE1239"/>
    <mergeCell ref="BF1228:BF1239"/>
    <mergeCell ref="BG1228:BG1239"/>
    <mergeCell ref="BH1228:BH1239"/>
    <mergeCell ref="BC1240:BC1242"/>
    <mergeCell ref="BD1240:BD1242"/>
    <mergeCell ref="BE1240:BE1242"/>
    <mergeCell ref="BF1240:BF1242"/>
    <mergeCell ref="BG1240:BG1242"/>
    <mergeCell ref="BH1240:BH1242"/>
    <mergeCell ref="BC1243:BC1249"/>
    <mergeCell ref="BD1243:BD1249"/>
    <mergeCell ref="BE1243:BE1249"/>
    <mergeCell ref="BF1243:BF1249"/>
    <mergeCell ref="BG1243:BG1249"/>
    <mergeCell ref="BH1243:BH1249"/>
    <mergeCell ref="BC1250:BC1256"/>
    <mergeCell ref="BD1250:BD1256"/>
    <mergeCell ref="BE1250:BE1256"/>
    <mergeCell ref="BF1250:BF1256"/>
    <mergeCell ref="BG1250:BG1256"/>
    <mergeCell ref="BH1250:BH1256"/>
    <mergeCell ref="BC1258:BC1262"/>
    <mergeCell ref="BD1258:BD1262"/>
    <mergeCell ref="BE1258:BE1262"/>
    <mergeCell ref="BF1258:BF1262"/>
    <mergeCell ref="BG1258:BG1262"/>
    <mergeCell ref="BH1258:BH1262"/>
    <mergeCell ref="BC1263:BC1265"/>
    <mergeCell ref="BD1263:BD1265"/>
    <mergeCell ref="BE1263:BE1265"/>
    <mergeCell ref="BF1263:BF1265"/>
    <mergeCell ref="BG1263:BG1265"/>
    <mergeCell ref="BH1263:BH1265"/>
    <mergeCell ref="BC1266:BC1276"/>
    <mergeCell ref="BD1266:BD1276"/>
    <mergeCell ref="BE1266:BE1276"/>
    <mergeCell ref="BF1266:BF1276"/>
    <mergeCell ref="BG1266:BG1276"/>
    <mergeCell ref="BH1266:BH1276"/>
    <mergeCell ref="BC1278:BC1279"/>
    <mergeCell ref="BD1278:BD1279"/>
    <mergeCell ref="BE1278:BE1279"/>
    <mergeCell ref="BF1278:BF1279"/>
    <mergeCell ref="BG1278:BG1279"/>
    <mergeCell ref="BH1278:BH1279"/>
    <mergeCell ref="BC1280:BC1282"/>
    <mergeCell ref="BD1280:BD1282"/>
    <mergeCell ref="BE1280:BE1282"/>
    <mergeCell ref="BF1280:BF1282"/>
    <mergeCell ref="BG1280:BG1282"/>
    <mergeCell ref="BH1280:BH1282"/>
    <mergeCell ref="BC1285:BC1302"/>
    <mergeCell ref="BD1285:BD1302"/>
    <mergeCell ref="BE1285:BE1302"/>
    <mergeCell ref="BF1285:BF1302"/>
    <mergeCell ref="BG1285:BG1302"/>
    <mergeCell ref="BH1285:BH1302"/>
    <mergeCell ref="BC1303:BC1304"/>
    <mergeCell ref="BD1303:BD1304"/>
    <mergeCell ref="BE1303:BE1304"/>
    <mergeCell ref="BF1303:BF1304"/>
    <mergeCell ref="BG1303:BG1304"/>
    <mergeCell ref="BH1303:BH1304"/>
    <mergeCell ref="BC1305:BC1306"/>
    <mergeCell ref="BD1305:BD1306"/>
    <mergeCell ref="BE1305:BE1306"/>
    <mergeCell ref="BF1305:BF1306"/>
    <mergeCell ref="BG1305:BG1306"/>
    <mergeCell ref="BH1305:BH1306"/>
    <mergeCell ref="BC1312:BC1313"/>
    <mergeCell ref="BD1312:BD1313"/>
    <mergeCell ref="BE1312:BE1313"/>
    <mergeCell ref="BF1312:BF1313"/>
    <mergeCell ref="BG1312:BG1313"/>
    <mergeCell ref="BH1312:BH1313"/>
    <mergeCell ref="BC1315:BC1316"/>
    <mergeCell ref="BD1315:BD1316"/>
    <mergeCell ref="BE1315:BE1316"/>
    <mergeCell ref="BF1315:BF1316"/>
    <mergeCell ref="BG1315:BG1316"/>
    <mergeCell ref="BH1315:BH1316"/>
    <mergeCell ref="BC1317:BC1325"/>
    <mergeCell ref="BD1317:BD1325"/>
    <mergeCell ref="BE1317:BE1325"/>
    <mergeCell ref="BF1317:BF1325"/>
    <mergeCell ref="BG1317:BG1325"/>
    <mergeCell ref="BH1317:BH1325"/>
    <mergeCell ref="BC1326:BC1329"/>
    <mergeCell ref="BD1326:BD1329"/>
    <mergeCell ref="BE1326:BE1329"/>
    <mergeCell ref="BF1326:BF1329"/>
    <mergeCell ref="BG1326:BG1329"/>
    <mergeCell ref="BH1326:BH1329"/>
    <mergeCell ref="BC1330:BC1332"/>
    <mergeCell ref="BD1330:BD1332"/>
    <mergeCell ref="BE1330:BE1332"/>
    <mergeCell ref="BF1330:BF1332"/>
    <mergeCell ref="BG1330:BG1332"/>
    <mergeCell ref="BH1330:BH1332"/>
    <mergeCell ref="BC1334:BC1335"/>
    <mergeCell ref="BD1334:BD1335"/>
    <mergeCell ref="BE1334:BE1335"/>
    <mergeCell ref="BF1334:BF1335"/>
    <mergeCell ref="BG1334:BG1335"/>
    <mergeCell ref="BH1334:BH1335"/>
    <mergeCell ref="BC1337:BC1364"/>
    <mergeCell ref="BD1337:BD1364"/>
    <mergeCell ref="BE1337:BE1364"/>
    <mergeCell ref="BF1337:BF1364"/>
    <mergeCell ref="BG1337:BG1364"/>
    <mergeCell ref="BH1337:BH1364"/>
    <mergeCell ref="BC1365:BC1404"/>
    <mergeCell ref="BD1365:BD1404"/>
    <mergeCell ref="BE1365:BE1404"/>
    <mergeCell ref="BF1365:BF1404"/>
    <mergeCell ref="BG1365:BG1404"/>
    <mergeCell ref="BH1365:BH1404"/>
    <mergeCell ref="BC1405:BC1426"/>
    <mergeCell ref="BD1405:BD1426"/>
    <mergeCell ref="BE1405:BE1426"/>
    <mergeCell ref="BF1405:BF1426"/>
    <mergeCell ref="BG1405:BG1426"/>
    <mergeCell ref="BH1405:BH1426"/>
    <mergeCell ref="BC1427:BC1432"/>
    <mergeCell ref="BD1427:BD1432"/>
    <mergeCell ref="BE1427:BE1432"/>
    <mergeCell ref="BF1427:BF1432"/>
    <mergeCell ref="BG1427:BG1432"/>
    <mergeCell ref="BH1427:BH1432"/>
    <mergeCell ref="BC1433:BC1435"/>
    <mergeCell ref="BD1433:BD1435"/>
    <mergeCell ref="BE1433:BE1435"/>
    <mergeCell ref="BF1433:BF1435"/>
    <mergeCell ref="BG1433:BG1435"/>
    <mergeCell ref="BH1433:BH1435"/>
    <mergeCell ref="BC1436:BC1444"/>
    <mergeCell ref="BD1436:BD1444"/>
    <mergeCell ref="BE1436:BE1444"/>
    <mergeCell ref="BF1436:BF1444"/>
    <mergeCell ref="BG1436:BG1444"/>
    <mergeCell ref="BH1436:BH1444"/>
    <mergeCell ref="BC1445:BC1447"/>
    <mergeCell ref="BD1445:BD1447"/>
    <mergeCell ref="BE1445:BE1447"/>
    <mergeCell ref="BF1445:BF1447"/>
    <mergeCell ref="BG1445:BG1447"/>
    <mergeCell ref="BH1445:BH1447"/>
    <mergeCell ref="BC1448:BC1455"/>
    <mergeCell ref="BD1448:BD1455"/>
    <mergeCell ref="BE1448:BE1455"/>
    <mergeCell ref="BF1448:BF1455"/>
    <mergeCell ref="BG1448:BG1455"/>
    <mergeCell ref="BH1448:BH1455"/>
    <mergeCell ref="BC1456:BC1463"/>
    <mergeCell ref="BD1456:BD1463"/>
    <mergeCell ref="BE1456:BE1463"/>
    <mergeCell ref="BF1456:BF1463"/>
    <mergeCell ref="BG1456:BG1463"/>
    <mergeCell ref="BH1456:BH1463"/>
    <mergeCell ref="BC1464:BC1467"/>
    <mergeCell ref="BD1464:BD1467"/>
    <mergeCell ref="BE1464:BE1467"/>
    <mergeCell ref="BF1464:BF1467"/>
    <mergeCell ref="BG1464:BG1467"/>
    <mergeCell ref="BH1464:BH1467"/>
    <mergeCell ref="BC1468:BC1473"/>
    <mergeCell ref="BD1468:BD1473"/>
    <mergeCell ref="BE1468:BE1473"/>
    <mergeCell ref="BF1468:BF1473"/>
    <mergeCell ref="BG1468:BG1473"/>
    <mergeCell ref="BH1468:BH1473"/>
    <mergeCell ref="BC1474:BC1478"/>
    <mergeCell ref="BD1474:BD1478"/>
    <mergeCell ref="BE1474:BE1478"/>
    <mergeCell ref="BF1474:BF1478"/>
    <mergeCell ref="BG1474:BG1478"/>
    <mergeCell ref="BH1474:BH1478"/>
    <mergeCell ref="BC1479:BC1484"/>
    <mergeCell ref="BD1479:BD1484"/>
    <mergeCell ref="BE1479:BE1484"/>
    <mergeCell ref="BF1479:BF1484"/>
    <mergeCell ref="BG1479:BG1484"/>
    <mergeCell ref="BH1479:BH1484"/>
    <mergeCell ref="BC1485:BC1502"/>
    <mergeCell ref="BD1485:BD1502"/>
    <mergeCell ref="BE1485:BE1502"/>
    <mergeCell ref="BF1485:BF1502"/>
    <mergeCell ref="BG1485:BG1502"/>
    <mergeCell ref="BH1485:BH1502"/>
    <mergeCell ref="BC1503:BC1526"/>
    <mergeCell ref="BD1503:BD1526"/>
    <mergeCell ref="BE1503:BE1526"/>
    <mergeCell ref="BF1503:BF1526"/>
    <mergeCell ref="BG1503:BG1526"/>
    <mergeCell ref="BH1503:BH1526"/>
    <mergeCell ref="BC1527:BC1544"/>
    <mergeCell ref="BD1527:BD1544"/>
    <mergeCell ref="BE1527:BE1544"/>
    <mergeCell ref="BF1527:BF1544"/>
    <mergeCell ref="BG1527:BG1544"/>
    <mergeCell ref="BH1527:BH1544"/>
    <mergeCell ref="BC1545:BC1556"/>
    <mergeCell ref="BD1545:BD1556"/>
    <mergeCell ref="BE1545:BE1556"/>
    <mergeCell ref="BF1545:BF1556"/>
    <mergeCell ref="BG1545:BG1556"/>
    <mergeCell ref="BH1545:BH1556"/>
    <mergeCell ref="BC1557:BC1566"/>
    <mergeCell ref="BD1557:BD1566"/>
    <mergeCell ref="BE1557:BE1566"/>
    <mergeCell ref="BF1557:BF1566"/>
    <mergeCell ref="BG1557:BG1566"/>
    <mergeCell ref="BH1557:BH1566"/>
    <mergeCell ref="BC1567:BC1572"/>
    <mergeCell ref="BD1567:BD1572"/>
    <mergeCell ref="BE1567:BE1572"/>
    <mergeCell ref="BF1567:BF1572"/>
    <mergeCell ref="BG1567:BG1572"/>
    <mergeCell ref="BH1567:BH1572"/>
    <mergeCell ref="BC1573:BC1578"/>
    <mergeCell ref="BD1573:BD1578"/>
    <mergeCell ref="BE1573:BE1578"/>
    <mergeCell ref="BF1573:BF1578"/>
    <mergeCell ref="BG1573:BG1578"/>
    <mergeCell ref="BH1573:BH1578"/>
    <mergeCell ref="BC1579:BC1583"/>
    <mergeCell ref="BD1579:BD1583"/>
    <mergeCell ref="BE1579:BE1583"/>
    <mergeCell ref="BF1579:BF1583"/>
    <mergeCell ref="BG1579:BG1583"/>
    <mergeCell ref="BH1579:BH1583"/>
    <mergeCell ref="BC1584:BC1586"/>
    <mergeCell ref="BD1584:BD1586"/>
    <mergeCell ref="BE1584:BE1586"/>
    <mergeCell ref="BF1584:BF1586"/>
    <mergeCell ref="BG1584:BG1586"/>
    <mergeCell ref="BH1584:BH1586"/>
    <mergeCell ref="BC1587:BC1592"/>
    <mergeCell ref="BD1587:BD1592"/>
    <mergeCell ref="BE1587:BE1592"/>
    <mergeCell ref="BF1587:BF1592"/>
    <mergeCell ref="BG1587:BG1592"/>
    <mergeCell ref="BH1587:BH1592"/>
    <mergeCell ref="BC1593:BC1601"/>
    <mergeCell ref="BD1593:BD1601"/>
    <mergeCell ref="BE1593:BE1601"/>
    <mergeCell ref="BF1593:BF1601"/>
    <mergeCell ref="BG1593:BG1601"/>
    <mergeCell ref="BH1593:BH1601"/>
    <mergeCell ref="BC1602:BC1604"/>
    <mergeCell ref="BD1602:BD1604"/>
    <mergeCell ref="BE1602:BE1604"/>
    <mergeCell ref="BF1602:BF1604"/>
    <mergeCell ref="BG1602:BG1604"/>
    <mergeCell ref="BH1602:BH1604"/>
    <mergeCell ref="BC1605:BC1609"/>
    <mergeCell ref="BD1605:BD1609"/>
    <mergeCell ref="BE1605:BE1609"/>
    <mergeCell ref="BF1605:BF1609"/>
    <mergeCell ref="BG1605:BG1609"/>
    <mergeCell ref="BH1605:BH1609"/>
    <mergeCell ref="BC1610:BC1615"/>
    <mergeCell ref="BD1610:BD1615"/>
    <mergeCell ref="BE1610:BE1615"/>
    <mergeCell ref="BF1610:BF1615"/>
    <mergeCell ref="BG1610:BG1615"/>
    <mergeCell ref="BH1610:BH1615"/>
    <mergeCell ref="BC1616:BC1619"/>
    <mergeCell ref="BD1616:BD1619"/>
    <mergeCell ref="BE1616:BE1619"/>
    <mergeCell ref="BF1616:BF1619"/>
    <mergeCell ref="BG1616:BG1619"/>
    <mergeCell ref="BH1616:BH1619"/>
    <mergeCell ref="BC1620:BC1622"/>
    <mergeCell ref="BD1620:BD1622"/>
    <mergeCell ref="BE1620:BE1622"/>
    <mergeCell ref="BF1620:BF1622"/>
    <mergeCell ref="BG1620:BG1622"/>
    <mergeCell ref="BH1620:BH1622"/>
    <mergeCell ref="BC1623:BC1624"/>
    <mergeCell ref="BD1623:BD1624"/>
    <mergeCell ref="BE1623:BE1624"/>
    <mergeCell ref="BF1623:BF1624"/>
    <mergeCell ref="BG1623:BG1624"/>
    <mergeCell ref="BH1623:BH1624"/>
    <mergeCell ref="BC1625:BC1631"/>
    <mergeCell ref="BD1625:BD1631"/>
    <mergeCell ref="BE1625:BE1631"/>
    <mergeCell ref="BF1625:BF1631"/>
    <mergeCell ref="BG1625:BG1631"/>
    <mergeCell ref="BH1625:BH1631"/>
    <mergeCell ref="BC1632:BC1639"/>
    <mergeCell ref="BD1632:BD1639"/>
    <mergeCell ref="BE1632:BE1639"/>
    <mergeCell ref="BF1632:BF1639"/>
    <mergeCell ref="BG1632:BG1639"/>
    <mergeCell ref="BH1632:BH1639"/>
    <mergeCell ref="BC1640:BC1642"/>
    <mergeCell ref="BD1640:BD1642"/>
    <mergeCell ref="BE1640:BE1642"/>
    <mergeCell ref="BF1640:BF1642"/>
    <mergeCell ref="BG1640:BG1642"/>
    <mergeCell ref="BH1640:BH1642"/>
    <mergeCell ref="BC1643:BC1644"/>
    <mergeCell ref="BD1643:BD1644"/>
    <mergeCell ref="BE1643:BE1644"/>
    <mergeCell ref="BF1643:BF1644"/>
    <mergeCell ref="BG1643:BG1644"/>
    <mergeCell ref="BH1643:BH1644"/>
    <mergeCell ref="BC1645:BC1646"/>
    <mergeCell ref="BD1645:BD1646"/>
    <mergeCell ref="BE1645:BE1646"/>
    <mergeCell ref="BF1645:BF1646"/>
    <mergeCell ref="BG1645:BG1646"/>
    <mergeCell ref="BH1645:BH1646"/>
    <mergeCell ref="BC1647:BC1655"/>
    <mergeCell ref="BD1647:BD1655"/>
    <mergeCell ref="BE1647:BE1655"/>
    <mergeCell ref="BF1647:BF1655"/>
    <mergeCell ref="BG1647:BG1655"/>
    <mergeCell ref="BH1647:BH1655"/>
    <mergeCell ref="BC1656:BC1658"/>
    <mergeCell ref="BD1656:BD1658"/>
    <mergeCell ref="BE1656:BE1658"/>
    <mergeCell ref="BF1656:BF1658"/>
    <mergeCell ref="BG1656:BG1658"/>
    <mergeCell ref="BH1656:BH1658"/>
    <mergeCell ref="BC1660:BC1661"/>
    <mergeCell ref="BD1660:BD1661"/>
    <mergeCell ref="BE1660:BE1661"/>
    <mergeCell ref="BF1660:BF1661"/>
    <mergeCell ref="BG1660:BG1661"/>
    <mergeCell ref="BH1660:BH1661"/>
    <mergeCell ref="BC1662:BC1663"/>
    <mergeCell ref="BD1662:BD1663"/>
    <mergeCell ref="BE1662:BE1663"/>
    <mergeCell ref="BF1662:BF1663"/>
    <mergeCell ref="BG1662:BG1663"/>
    <mergeCell ref="BH1662:BH1663"/>
    <mergeCell ref="BC1664:BC1674"/>
    <mergeCell ref="BD1664:BD1674"/>
    <mergeCell ref="BE1664:BE1674"/>
    <mergeCell ref="BF1664:BF1674"/>
    <mergeCell ref="BG1664:BG1674"/>
    <mergeCell ref="BH1664:BH1674"/>
    <mergeCell ref="BC1675:BC1686"/>
    <mergeCell ref="BD1675:BD1686"/>
    <mergeCell ref="BE1675:BE1686"/>
    <mergeCell ref="BF1675:BF1686"/>
    <mergeCell ref="BG1675:BG1686"/>
    <mergeCell ref="BH1675:BH1686"/>
    <mergeCell ref="BC1687:BC1697"/>
    <mergeCell ref="BD1687:BD1697"/>
    <mergeCell ref="BE1687:BE1697"/>
    <mergeCell ref="BF1687:BF1697"/>
    <mergeCell ref="BG1687:BG1697"/>
    <mergeCell ref="BH1687:BH1697"/>
    <mergeCell ref="BC1698:BC1709"/>
    <mergeCell ref="BD1698:BD1709"/>
    <mergeCell ref="BE1698:BE1709"/>
    <mergeCell ref="BF1698:BF1709"/>
    <mergeCell ref="BG1698:BG1709"/>
    <mergeCell ref="BH1698:BH1709"/>
    <mergeCell ref="BC1710:BC1715"/>
    <mergeCell ref="BD1710:BD1715"/>
    <mergeCell ref="BE1710:BE1715"/>
    <mergeCell ref="BF1710:BF1715"/>
    <mergeCell ref="BG1710:BG1715"/>
    <mergeCell ref="BH1710:BH1715"/>
    <mergeCell ref="BC1716:BC1721"/>
    <mergeCell ref="BD1716:BD1721"/>
    <mergeCell ref="BE1716:BE1721"/>
    <mergeCell ref="BF1716:BF1721"/>
    <mergeCell ref="BG1716:BG1721"/>
    <mergeCell ref="BH1716:BH1721"/>
    <mergeCell ref="BC1722:BC1727"/>
    <mergeCell ref="BD1722:BD1727"/>
    <mergeCell ref="BE1722:BE1727"/>
    <mergeCell ref="BF1722:BF1727"/>
    <mergeCell ref="BG1722:BG1727"/>
    <mergeCell ref="BH1722:BH1727"/>
    <mergeCell ref="BC1728:BC1755"/>
    <mergeCell ref="BD1728:BD1755"/>
    <mergeCell ref="BE1728:BE1755"/>
    <mergeCell ref="BF1728:BF1755"/>
    <mergeCell ref="BG1728:BG1755"/>
    <mergeCell ref="BH1728:BH1755"/>
    <mergeCell ref="BC1756:BC1763"/>
    <mergeCell ref="BD1756:BD1763"/>
    <mergeCell ref="BE1756:BE1763"/>
    <mergeCell ref="BF1756:BF1763"/>
    <mergeCell ref="BG1756:BG1763"/>
    <mergeCell ref="BH1756:BH1763"/>
    <mergeCell ref="BC1764:BC1781"/>
    <mergeCell ref="BD1764:BD1781"/>
    <mergeCell ref="BE1764:BE1781"/>
    <mergeCell ref="BF1764:BF1781"/>
    <mergeCell ref="BG1764:BG1781"/>
    <mergeCell ref="BH1764:BH1781"/>
    <mergeCell ref="BC1782:BC1785"/>
    <mergeCell ref="BD1782:BD1785"/>
    <mergeCell ref="BE1782:BE1785"/>
    <mergeCell ref="BF1782:BF1785"/>
    <mergeCell ref="BG1782:BG1785"/>
    <mergeCell ref="BH1782:BH1785"/>
    <mergeCell ref="BC1786:BC1791"/>
    <mergeCell ref="BD1786:BD1791"/>
    <mergeCell ref="BE1786:BE1791"/>
    <mergeCell ref="BF1786:BF1791"/>
    <mergeCell ref="BG1786:BG1791"/>
    <mergeCell ref="BH1786:BH1791"/>
    <mergeCell ref="BC1792:BC1794"/>
    <mergeCell ref="BD1792:BD1794"/>
    <mergeCell ref="BE1792:BE1794"/>
    <mergeCell ref="BF1792:BF1794"/>
    <mergeCell ref="BG1792:BG1794"/>
    <mergeCell ref="BH1792:BH1794"/>
    <mergeCell ref="BC1795:BC1822"/>
    <mergeCell ref="BD1795:BD1822"/>
    <mergeCell ref="BE1795:BE1822"/>
    <mergeCell ref="BF1795:BF1822"/>
    <mergeCell ref="BG1795:BG1822"/>
    <mergeCell ref="BH1795:BH1822"/>
    <mergeCell ref="BC1823:BC1824"/>
    <mergeCell ref="BD1823:BD1824"/>
    <mergeCell ref="BE1823:BE1824"/>
    <mergeCell ref="BF1823:BF1824"/>
    <mergeCell ref="BG1823:BG1824"/>
    <mergeCell ref="BH1823:BH1824"/>
    <mergeCell ref="BC1826:BC1828"/>
    <mergeCell ref="BD1826:BD1828"/>
    <mergeCell ref="BE1826:BE1828"/>
    <mergeCell ref="BF1826:BF1828"/>
    <mergeCell ref="BG1826:BG1828"/>
    <mergeCell ref="BH1826:BH1828"/>
    <mergeCell ref="BC1829:BC1830"/>
    <mergeCell ref="BD1829:BD1830"/>
    <mergeCell ref="BE1829:BE1830"/>
    <mergeCell ref="BF1829:BF1830"/>
    <mergeCell ref="BG1829:BG1830"/>
    <mergeCell ref="BH1829:BH1830"/>
    <mergeCell ref="BC1832:BC1834"/>
    <mergeCell ref="BD1832:BD1834"/>
    <mergeCell ref="BE1832:BE1834"/>
    <mergeCell ref="BF1832:BF1834"/>
    <mergeCell ref="BG1832:BG1834"/>
    <mergeCell ref="BH1832:BH1834"/>
    <mergeCell ref="BC1835:BC1857"/>
    <mergeCell ref="BD1835:BD1857"/>
    <mergeCell ref="BE1835:BE1857"/>
    <mergeCell ref="BF1835:BF1857"/>
    <mergeCell ref="BG1835:BG1857"/>
    <mergeCell ref="BH1835:BH1857"/>
    <mergeCell ref="BC1858:BC1860"/>
    <mergeCell ref="BD1858:BD1860"/>
    <mergeCell ref="BE1858:BE1860"/>
    <mergeCell ref="BF1858:BF1860"/>
    <mergeCell ref="BG1858:BG1860"/>
    <mergeCell ref="BH1858:BH1860"/>
    <mergeCell ref="BC1861:BC1863"/>
    <mergeCell ref="BD1861:BD1863"/>
    <mergeCell ref="BE1861:BE1863"/>
    <mergeCell ref="BF1861:BF1863"/>
    <mergeCell ref="BG1861:BG1863"/>
    <mergeCell ref="BH1861:BH1863"/>
    <mergeCell ref="BC1864:BC1866"/>
    <mergeCell ref="BD1864:BD1866"/>
    <mergeCell ref="BE1864:BE1866"/>
    <mergeCell ref="BF1864:BF1866"/>
    <mergeCell ref="BG1864:BG1866"/>
    <mergeCell ref="BH1864:BH1866"/>
    <mergeCell ref="BC1867:BC1869"/>
    <mergeCell ref="BD1867:BD1869"/>
    <mergeCell ref="BE1867:BE1869"/>
    <mergeCell ref="BF1867:BF1869"/>
    <mergeCell ref="BG1867:BG1869"/>
    <mergeCell ref="BH1867:BH1869"/>
    <mergeCell ref="BC1870:BC1871"/>
    <mergeCell ref="BD1870:BD1871"/>
    <mergeCell ref="BE1870:BE1871"/>
    <mergeCell ref="BF1870:BF1871"/>
    <mergeCell ref="BG1870:BG1871"/>
    <mergeCell ref="BH1870:BH1871"/>
    <mergeCell ref="BC1872:BC1893"/>
    <mergeCell ref="BD1872:BD1893"/>
    <mergeCell ref="BE1872:BE1893"/>
    <mergeCell ref="BF1872:BF1893"/>
    <mergeCell ref="BG1872:BG1893"/>
    <mergeCell ref="BH1872:BH1893"/>
    <mergeCell ref="BC1894:BC1895"/>
    <mergeCell ref="BD1894:BD1895"/>
    <mergeCell ref="BE1894:BE1895"/>
    <mergeCell ref="BF1894:BF1895"/>
    <mergeCell ref="BG1894:BG1895"/>
    <mergeCell ref="BH1894:BH1895"/>
    <mergeCell ref="BC1896:BC1899"/>
    <mergeCell ref="BD1896:BD1899"/>
    <mergeCell ref="BE1896:BE1899"/>
    <mergeCell ref="BF1896:BF1899"/>
    <mergeCell ref="BG1896:BG1899"/>
    <mergeCell ref="BH1896:BH1899"/>
    <mergeCell ref="BC1900:BC1906"/>
    <mergeCell ref="BD1900:BD1906"/>
    <mergeCell ref="BE1900:BE1906"/>
    <mergeCell ref="BF1900:BF1906"/>
    <mergeCell ref="BG1900:BG1906"/>
    <mergeCell ref="BH1900:BH1906"/>
    <mergeCell ref="BC1907:BC1915"/>
    <mergeCell ref="BD1907:BD1915"/>
    <mergeCell ref="BE1907:BE1915"/>
    <mergeCell ref="BF1907:BF1915"/>
    <mergeCell ref="BG1907:BG1915"/>
    <mergeCell ref="BH1907:BH1915"/>
    <mergeCell ref="BC1916:BC1921"/>
    <mergeCell ref="BD1916:BD1921"/>
    <mergeCell ref="BE1916:BE1921"/>
    <mergeCell ref="BF1916:BF1921"/>
    <mergeCell ref="BG1916:BG1921"/>
    <mergeCell ref="BH1916:BH1921"/>
    <mergeCell ref="BC1922:BC1933"/>
    <mergeCell ref="BD1922:BD1933"/>
    <mergeCell ref="BE1922:BE1933"/>
    <mergeCell ref="BF1922:BF1933"/>
    <mergeCell ref="BG1922:BG1933"/>
    <mergeCell ref="BH1922:BH1933"/>
    <mergeCell ref="BC1934:BC1942"/>
    <mergeCell ref="BD1934:BD1942"/>
    <mergeCell ref="BE1934:BE1942"/>
    <mergeCell ref="BF1934:BF1942"/>
    <mergeCell ref="BG1934:BG1942"/>
    <mergeCell ref="BH1934:BH1942"/>
    <mergeCell ref="BC1943:BC1945"/>
    <mergeCell ref="BD1943:BD1945"/>
    <mergeCell ref="BE1943:BE1945"/>
    <mergeCell ref="BF1943:BF1945"/>
    <mergeCell ref="BG1943:BG1945"/>
    <mergeCell ref="BH1943:BH1945"/>
    <mergeCell ref="BC1946:BC1950"/>
    <mergeCell ref="BD1946:BD1950"/>
    <mergeCell ref="BE1946:BE1950"/>
    <mergeCell ref="BF1946:BF1950"/>
    <mergeCell ref="BG1946:BG1950"/>
    <mergeCell ref="BH1946:BH1950"/>
    <mergeCell ref="BC1951:BC1966"/>
    <mergeCell ref="BD1951:BD1966"/>
    <mergeCell ref="BE1951:BE1966"/>
    <mergeCell ref="BF1951:BF1966"/>
    <mergeCell ref="BG1951:BG1966"/>
    <mergeCell ref="BH1951:BH1966"/>
    <mergeCell ref="BC1967:BC1969"/>
    <mergeCell ref="BD1967:BD1969"/>
    <mergeCell ref="BE1967:BE1969"/>
    <mergeCell ref="BF1967:BF1969"/>
    <mergeCell ref="BG1967:BG1969"/>
    <mergeCell ref="BH1967:BH1969"/>
    <mergeCell ref="BC1980:BC1981"/>
    <mergeCell ref="BD1980:BD1981"/>
    <mergeCell ref="BE1980:BE1981"/>
    <mergeCell ref="BF1980:BF1981"/>
    <mergeCell ref="BG1980:BG1981"/>
    <mergeCell ref="BH1980:BH1981"/>
    <mergeCell ref="BC1982:BC1984"/>
    <mergeCell ref="BD1982:BD1984"/>
    <mergeCell ref="BE1982:BE1984"/>
    <mergeCell ref="BF1982:BF1984"/>
    <mergeCell ref="BG1982:BG1984"/>
    <mergeCell ref="BH1982:BH1984"/>
    <mergeCell ref="BC1985:BC1986"/>
    <mergeCell ref="BD1985:BD1986"/>
    <mergeCell ref="BE1985:BE1986"/>
    <mergeCell ref="BF1985:BF1986"/>
    <mergeCell ref="BG1985:BG1986"/>
    <mergeCell ref="BH1985:BH1986"/>
    <mergeCell ref="BC1988:BC1989"/>
    <mergeCell ref="BD1988:BD1989"/>
    <mergeCell ref="BE1988:BE1989"/>
    <mergeCell ref="BF1988:BF1989"/>
    <mergeCell ref="BG1988:BG1989"/>
    <mergeCell ref="BH1988:BH1989"/>
    <mergeCell ref="BC1991:BC1997"/>
    <mergeCell ref="BD1991:BD1997"/>
    <mergeCell ref="BE1991:BE1997"/>
    <mergeCell ref="BF1991:BF1997"/>
    <mergeCell ref="BG1991:BG1997"/>
    <mergeCell ref="BH1991:BH1997"/>
    <mergeCell ref="BC1999:BC2004"/>
    <mergeCell ref="BD1999:BD2004"/>
    <mergeCell ref="BE1999:BE2004"/>
    <mergeCell ref="BF1999:BF2004"/>
    <mergeCell ref="BG1999:BG2004"/>
    <mergeCell ref="BH1999:BH2004"/>
    <mergeCell ref="BC2005:BC2009"/>
    <mergeCell ref="BD2005:BD2009"/>
    <mergeCell ref="BE2005:BE2009"/>
    <mergeCell ref="BF2005:BF2009"/>
    <mergeCell ref="BG2005:BG2009"/>
    <mergeCell ref="BH2005:BH2009"/>
    <mergeCell ref="BC2014:BC2015"/>
    <mergeCell ref="BD2014:BD2015"/>
    <mergeCell ref="BE2014:BE2015"/>
    <mergeCell ref="BF2014:BF2015"/>
    <mergeCell ref="BG2014:BG2015"/>
    <mergeCell ref="BH2014:BH2015"/>
    <mergeCell ref="BC2026:BC2027"/>
    <mergeCell ref="BD2026:BD2027"/>
    <mergeCell ref="BE2026:BE2027"/>
    <mergeCell ref="BF2026:BF2027"/>
    <mergeCell ref="BG2026:BG2027"/>
    <mergeCell ref="BH2026:BH2027"/>
    <mergeCell ref="BC2029:BC2030"/>
    <mergeCell ref="BD2029:BD2030"/>
    <mergeCell ref="BE2029:BE2030"/>
    <mergeCell ref="BF2029:BF2030"/>
    <mergeCell ref="BG2029:BG2030"/>
    <mergeCell ref="BH2029:BH2030"/>
    <mergeCell ref="BC2034:BC2035"/>
    <mergeCell ref="BD2034:BD2035"/>
    <mergeCell ref="BE2034:BE2035"/>
    <mergeCell ref="BF2034:BF2035"/>
    <mergeCell ref="BG2034:BG2035"/>
    <mergeCell ref="BH2034:BH2035"/>
    <mergeCell ref="BC2037:BC2038"/>
    <mergeCell ref="BD2037:BD2038"/>
    <mergeCell ref="BE2037:BE2038"/>
    <mergeCell ref="BF2037:BF2038"/>
    <mergeCell ref="BG2037:BG2038"/>
    <mergeCell ref="BH2037:BH2038"/>
    <mergeCell ref="BC2041:BC2042"/>
    <mergeCell ref="BD2041:BD2042"/>
    <mergeCell ref="BE2041:BE2042"/>
    <mergeCell ref="BF2041:BF2042"/>
    <mergeCell ref="BG2041:BG2042"/>
    <mergeCell ref="BH2041:BH2042"/>
    <mergeCell ref="BC2044:BC2045"/>
    <mergeCell ref="BD2044:BD2045"/>
    <mergeCell ref="BE2044:BE2045"/>
    <mergeCell ref="BF2044:BF2045"/>
    <mergeCell ref="BG2044:BG2045"/>
    <mergeCell ref="BH2044:BH2045"/>
    <mergeCell ref="BC2049:BC2050"/>
    <mergeCell ref="BD2049:BD2050"/>
    <mergeCell ref="BE2049:BE2050"/>
    <mergeCell ref="BF2049:BF2050"/>
    <mergeCell ref="BG2049:BG2050"/>
    <mergeCell ref="BH2049:BH2050"/>
    <mergeCell ref="BC2053:BC2055"/>
    <mergeCell ref="BD2053:BD2055"/>
    <mergeCell ref="BE2053:BE2055"/>
    <mergeCell ref="BF2053:BF2055"/>
    <mergeCell ref="BG2053:BG2055"/>
    <mergeCell ref="BH2053:BH2055"/>
    <mergeCell ref="BC2056:BC2057"/>
    <mergeCell ref="BD2056:BD2057"/>
    <mergeCell ref="BE2056:BE2057"/>
    <mergeCell ref="BF2056:BF2057"/>
    <mergeCell ref="BG2056:BG2057"/>
    <mergeCell ref="BH2056:BH2057"/>
    <mergeCell ref="BC2059:BC2061"/>
    <mergeCell ref="BD2059:BD2061"/>
    <mergeCell ref="BE2059:BE2061"/>
    <mergeCell ref="BF2059:BF2061"/>
    <mergeCell ref="BG2059:BG2061"/>
    <mergeCell ref="BH2059:BH2061"/>
    <mergeCell ref="BC2066:BC2067"/>
    <mergeCell ref="BD2066:BD2067"/>
    <mergeCell ref="BE2066:BE2067"/>
    <mergeCell ref="BF2066:BF2067"/>
    <mergeCell ref="BG2066:BG2067"/>
    <mergeCell ref="BH2066:BH2067"/>
    <mergeCell ref="BC2068:BC2069"/>
    <mergeCell ref="BD2068:BD2069"/>
    <mergeCell ref="BE2068:BE2069"/>
    <mergeCell ref="BF2068:BF2069"/>
    <mergeCell ref="BG2068:BG2069"/>
    <mergeCell ref="BH2068:BH2069"/>
    <mergeCell ref="BC2072:BC2074"/>
    <mergeCell ref="BD2072:BD2074"/>
    <mergeCell ref="BE2072:BE2074"/>
    <mergeCell ref="BF2072:BF2074"/>
    <mergeCell ref="BG2072:BG2074"/>
    <mergeCell ref="BH2072:BH2074"/>
    <mergeCell ref="BC2083:BC2084"/>
    <mergeCell ref="BD2083:BD2084"/>
    <mergeCell ref="BE2083:BE2084"/>
    <mergeCell ref="BF2083:BF2084"/>
    <mergeCell ref="BG2083:BG2084"/>
    <mergeCell ref="BH2083:BH2084"/>
    <mergeCell ref="BC2086:BC2087"/>
    <mergeCell ref="BD2086:BD2087"/>
    <mergeCell ref="BE2086:BE2087"/>
    <mergeCell ref="BF2086:BF2087"/>
    <mergeCell ref="BG2086:BG2087"/>
    <mergeCell ref="BH2086:BH2087"/>
    <mergeCell ref="BC2090:BC2092"/>
    <mergeCell ref="BD2090:BD2092"/>
    <mergeCell ref="BE2090:BE2092"/>
    <mergeCell ref="BF2090:BF2092"/>
    <mergeCell ref="BG2090:BG2092"/>
    <mergeCell ref="BH2090:BH2092"/>
    <mergeCell ref="BC2093:BC2094"/>
    <mergeCell ref="BD2093:BD2094"/>
    <mergeCell ref="BE2093:BE2094"/>
    <mergeCell ref="BF2093:BF2094"/>
    <mergeCell ref="BG2093:BG2094"/>
    <mergeCell ref="BH2093:BH2094"/>
    <mergeCell ref="BC2096:BC2097"/>
    <mergeCell ref="BD2096:BD2097"/>
    <mergeCell ref="BE2096:BE2097"/>
    <mergeCell ref="BF2096:BF2097"/>
    <mergeCell ref="BG2096:BG2097"/>
    <mergeCell ref="BH2096:BH2097"/>
    <mergeCell ref="BC2102:BC2103"/>
    <mergeCell ref="BD2102:BD2103"/>
    <mergeCell ref="BE2102:BE2103"/>
    <mergeCell ref="BF2102:BF2103"/>
    <mergeCell ref="BG2102:BG2103"/>
    <mergeCell ref="BH2102:BH2103"/>
    <mergeCell ref="BC2110:BC2116"/>
    <mergeCell ref="BD2110:BD2116"/>
    <mergeCell ref="BE2110:BE2116"/>
    <mergeCell ref="BF2110:BF2116"/>
    <mergeCell ref="BG2110:BG2116"/>
    <mergeCell ref="BH2110:BH2116"/>
    <mergeCell ref="BC2117:BC2120"/>
    <mergeCell ref="BD2117:BD2120"/>
    <mergeCell ref="BE2117:BE2120"/>
    <mergeCell ref="BF2117:BF2120"/>
    <mergeCell ref="BG2117:BG2120"/>
    <mergeCell ref="BH2117:BH2120"/>
    <mergeCell ref="BC2121:BC2125"/>
    <mergeCell ref="BD2121:BD2125"/>
    <mergeCell ref="BE2121:BE2125"/>
    <mergeCell ref="BF2121:BF2125"/>
    <mergeCell ref="BG2121:BG2125"/>
    <mergeCell ref="BH2121:BH2125"/>
    <mergeCell ref="BC2127:BC2131"/>
    <mergeCell ref="BD2127:BD2131"/>
    <mergeCell ref="BE2127:BE2131"/>
    <mergeCell ref="BF2127:BF2131"/>
    <mergeCell ref="BG2127:BG2131"/>
    <mergeCell ref="BH2127:BH2131"/>
    <mergeCell ref="BC2133:BC2137"/>
    <mergeCell ref="BD2133:BD2137"/>
    <mergeCell ref="BE2133:BE2137"/>
    <mergeCell ref="BF2133:BF2137"/>
    <mergeCell ref="BG2133:BG2137"/>
    <mergeCell ref="BH2133:BH2137"/>
    <mergeCell ref="BC2140:BC2142"/>
    <mergeCell ref="BD2140:BD2142"/>
    <mergeCell ref="BE2140:BE2142"/>
    <mergeCell ref="BF2140:BF2142"/>
    <mergeCell ref="BG2140:BG2142"/>
    <mergeCell ref="BH2140:BH2142"/>
    <mergeCell ref="BC2145:BC2146"/>
    <mergeCell ref="BD2145:BD2146"/>
    <mergeCell ref="BE2145:BE2146"/>
    <mergeCell ref="BF2145:BF2146"/>
    <mergeCell ref="BG2145:BG2146"/>
    <mergeCell ref="BH2145:BH2146"/>
    <mergeCell ref="BC2147:BC2150"/>
    <mergeCell ref="BD2147:BD2150"/>
    <mergeCell ref="BE2147:BE2150"/>
    <mergeCell ref="BF2147:BF2150"/>
    <mergeCell ref="BG2147:BG2150"/>
    <mergeCell ref="BH2147:BH2150"/>
    <mergeCell ref="BC2153:BC2155"/>
    <mergeCell ref="BD2153:BD2155"/>
    <mergeCell ref="BE2153:BE2155"/>
    <mergeCell ref="BF2153:BF2155"/>
    <mergeCell ref="BG2153:BG2155"/>
    <mergeCell ref="BH2153:BH2155"/>
    <mergeCell ref="BC2156:BC2157"/>
    <mergeCell ref="BD2156:BD2157"/>
    <mergeCell ref="BE2156:BE2157"/>
    <mergeCell ref="BF2156:BF2157"/>
    <mergeCell ref="BG2156:BG2157"/>
    <mergeCell ref="BH2156:BH2157"/>
    <mergeCell ref="BC2158:BC2159"/>
    <mergeCell ref="BD2158:BD2159"/>
    <mergeCell ref="BE2158:BE2159"/>
    <mergeCell ref="BF2158:BF2159"/>
    <mergeCell ref="BG2158:BG2159"/>
    <mergeCell ref="BH2158:BH2159"/>
    <mergeCell ref="BC2160:BC2161"/>
    <mergeCell ref="BD2160:BD2161"/>
    <mergeCell ref="BE2160:BE2161"/>
    <mergeCell ref="BF2160:BF2161"/>
    <mergeCell ref="BG2160:BG2161"/>
    <mergeCell ref="BH2160:BH2161"/>
    <mergeCell ref="BC2163:BC2164"/>
    <mergeCell ref="BD2163:BD2164"/>
    <mergeCell ref="BE2163:BE2164"/>
    <mergeCell ref="BF2163:BF2164"/>
    <mergeCell ref="BG2163:BG2164"/>
    <mergeCell ref="BH2163:BH2164"/>
    <mergeCell ref="BC2166:BC2168"/>
    <mergeCell ref="BD2166:BD2168"/>
    <mergeCell ref="BE2166:BE2168"/>
    <mergeCell ref="BF2166:BF2168"/>
    <mergeCell ref="BG2166:BG2168"/>
    <mergeCell ref="BH2166:BH2168"/>
    <mergeCell ref="BC2169:BC2172"/>
    <mergeCell ref="BD2169:BD2172"/>
    <mergeCell ref="BE2169:BE2172"/>
    <mergeCell ref="BF2169:BF2172"/>
    <mergeCell ref="BG2169:BG2172"/>
    <mergeCell ref="BH2169:BH2172"/>
    <mergeCell ref="BC2174:BC2175"/>
    <mergeCell ref="BD2174:BD2175"/>
    <mergeCell ref="BE2174:BE2175"/>
    <mergeCell ref="BF2174:BF2175"/>
    <mergeCell ref="BG2174:BG2175"/>
    <mergeCell ref="BH2174:BH2175"/>
    <mergeCell ref="BC2178:BC2179"/>
    <mergeCell ref="BD2178:BD2179"/>
    <mergeCell ref="BE2178:BE2179"/>
    <mergeCell ref="BF2178:BF2179"/>
    <mergeCell ref="BG2178:BG2179"/>
    <mergeCell ref="BH2178:BH2179"/>
    <mergeCell ref="BC2180:BC2181"/>
    <mergeCell ref="BD2180:BD2181"/>
    <mergeCell ref="BE2180:BE2181"/>
    <mergeCell ref="BF2180:BF2181"/>
    <mergeCell ref="BG2180:BG2181"/>
    <mergeCell ref="BH2180:BH2181"/>
    <mergeCell ref="BC2183:BC2186"/>
    <mergeCell ref="BD2183:BD2186"/>
    <mergeCell ref="BE2183:BE2186"/>
    <mergeCell ref="BF2183:BF2186"/>
    <mergeCell ref="BG2183:BG2186"/>
    <mergeCell ref="BH2183:BH2186"/>
    <mergeCell ref="BC2188:BC2193"/>
    <mergeCell ref="BD2188:BD2193"/>
    <mergeCell ref="BE2188:BE2193"/>
    <mergeCell ref="BF2188:BF2193"/>
    <mergeCell ref="BG2188:BG2193"/>
    <mergeCell ref="BH2188:BH2193"/>
    <mergeCell ref="BC2199:BC2200"/>
    <mergeCell ref="BD2199:BD2200"/>
    <mergeCell ref="BE2199:BE2200"/>
    <mergeCell ref="BF2199:BF2200"/>
    <mergeCell ref="BG2199:BG2200"/>
    <mergeCell ref="BH2199:BH2200"/>
    <mergeCell ref="BC2211:BC2213"/>
    <mergeCell ref="BD2211:BD2213"/>
    <mergeCell ref="BE2211:BE2213"/>
    <mergeCell ref="BF2211:BF2213"/>
    <mergeCell ref="BG2211:BG2213"/>
    <mergeCell ref="BH2211:BH2213"/>
    <mergeCell ref="BC2214:BC2217"/>
    <mergeCell ref="BD2214:BD2217"/>
    <mergeCell ref="BE2214:BE2217"/>
    <mergeCell ref="BF2214:BF2217"/>
    <mergeCell ref="BG2214:BG2217"/>
    <mergeCell ref="BH2214:BH2217"/>
    <mergeCell ref="BC2218:BC2221"/>
    <mergeCell ref="BD2218:BD2221"/>
    <mergeCell ref="BE2218:BE2221"/>
    <mergeCell ref="BF2218:BF2221"/>
    <mergeCell ref="BG2218:BG2221"/>
    <mergeCell ref="BH2218:BH2221"/>
    <mergeCell ref="BC2222:BC2224"/>
    <mergeCell ref="BD2222:BD2224"/>
    <mergeCell ref="BE2222:BE2224"/>
    <mergeCell ref="BF2222:BF2224"/>
    <mergeCell ref="BG2222:BG2224"/>
    <mergeCell ref="BH2222:BH2224"/>
    <mergeCell ref="BC2227:BC2229"/>
    <mergeCell ref="BD2227:BD2229"/>
    <mergeCell ref="BE2227:BE2229"/>
    <mergeCell ref="BF2227:BF2229"/>
    <mergeCell ref="BG2227:BG2229"/>
    <mergeCell ref="BH2227:BH2229"/>
    <mergeCell ref="BC2231:BC2234"/>
    <mergeCell ref="BD2231:BD2234"/>
    <mergeCell ref="BE2231:BE2234"/>
    <mergeCell ref="BF2231:BF2234"/>
    <mergeCell ref="BG2231:BG2234"/>
    <mergeCell ref="BH2231:BH2234"/>
    <mergeCell ref="BC2238:BC2240"/>
    <mergeCell ref="BD2238:BD2240"/>
    <mergeCell ref="BE2238:BE2240"/>
    <mergeCell ref="BF2238:BF2240"/>
    <mergeCell ref="BG2238:BG2240"/>
    <mergeCell ref="BH2238:BH2240"/>
    <mergeCell ref="BC2241:BC2242"/>
    <mergeCell ref="BD2241:BD2242"/>
    <mergeCell ref="BE2241:BE2242"/>
    <mergeCell ref="BF2241:BF2242"/>
    <mergeCell ref="BG2241:BG2242"/>
    <mergeCell ref="BH2241:BH2242"/>
    <mergeCell ref="BC2244:BC2245"/>
    <mergeCell ref="BD2244:BD2245"/>
    <mergeCell ref="BE2244:BE2245"/>
    <mergeCell ref="BF2244:BF2245"/>
    <mergeCell ref="BG2244:BG2245"/>
    <mergeCell ref="BH2244:BH2245"/>
    <mergeCell ref="BC2246:BC2247"/>
    <mergeCell ref="BD2246:BD2247"/>
    <mergeCell ref="BE2246:BE2247"/>
    <mergeCell ref="BF2246:BF2247"/>
    <mergeCell ref="BG2246:BG2247"/>
    <mergeCell ref="BH2246:BH2247"/>
    <mergeCell ref="BC2250:BC2252"/>
    <mergeCell ref="BD2250:BD2252"/>
    <mergeCell ref="BE2250:BE2252"/>
    <mergeCell ref="BF2250:BF2252"/>
    <mergeCell ref="BG2250:BG2252"/>
    <mergeCell ref="BH2250:BH2252"/>
    <mergeCell ref="BC2253:BC2254"/>
    <mergeCell ref="BD2253:BD2254"/>
    <mergeCell ref="BE2253:BE2254"/>
    <mergeCell ref="BF2253:BF2254"/>
    <mergeCell ref="BG2253:BG2254"/>
    <mergeCell ref="BH2253:BH2254"/>
    <mergeCell ref="BC2255:BC2257"/>
    <mergeCell ref="BD2255:BD2257"/>
    <mergeCell ref="BE2255:BE2257"/>
    <mergeCell ref="BF2255:BF2257"/>
    <mergeCell ref="BG2255:BG2257"/>
    <mergeCell ref="BH2255:BH2257"/>
    <mergeCell ref="BC2258:BC2261"/>
    <mergeCell ref="BD2258:BD2261"/>
    <mergeCell ref="BE2258:BE2261"/>
    <mergeCell ref="BF2258:BF2261"/>
    <mergeCell ref="BG2258:BG2261"/>
    <mergeCell ref="BH2258:BH2261"/>
    <mergeCell ref="BC2266:BC2267"/>
    <mergeCell ref="BD2266:BD2267"/>
    <mergeCell ref="BE2266:BE2267"/>
    <mergeCell ref="BF2266:BF2267"/>
    <mergeCell ref="BG2266:BG2267"/>
    <mergeCell ref="BH2266:BH2267"/>
    <mergeCell ref="BC2271:BC2273"/>
    <mergeCell ref="BD2271:BD2273"/>
    <mergeCell ref="BE2271:BE2273"/>
    <mergeCell ref="BF2271:BF2273"/>
    <mergeCell ref="BG2271:BG2273"/>
    <mergeCell ref="BH2271:BH2273"/>
    <mergeCell ref="BC2276:BC2277"/>
    <mergeCell ref="BD2276:BD2277"/>
    <mergeCell ref="BE2276:BE2277"/>
    <mergeCell ref="BF2276:BF2277"/>
    <mergeCell ref="BG2276:BG2277"/>
    <mergeCell ref="BH2276:BH2277"/>
    <mergeCell ref="BC2280:BC2282"/>
    <mergeCell ref="BD2280:BD2282"/>
    <mergeCell ref="BE2280:BE2282"/>
    <mergeCell ref="BF2280:BF2282"/>
    <mergeCell ref="BG2280:BG2282"/>
    <mergeCell ref="BH2280:BH2282"/>
    <mergeCell ref="BC2285:BC2287"/>
    <mergeCell ref="BD2285:BD2287"/>
    <mergeCell ref="BE2285:BE2287"/>
    <mergeCell ref="BF2285:BF2287"/>
    <mergeCell ref="BG2285:BG2287"/>
    <mergeCell ref="BH2285:BH2287"/>
    <mergeCell ref="BC2290:BC2294"/>
    <mergeCell ref="BD2290:BD2294"/>
    <mergeCell ref="BE2290:BE2294"/>
    <mergeCell ref="BF2290:BF2294"/>
    <mergeCell ref="BG2290:BG2294"/>
    <mergeCell ref="BH2290:BH2294"/>
    <mergeCell ref="BC2297:BC2298"/>
    <mergeCell ref="BD2297:BD2298"/>
    <mergeCell ref="BE2297:BE2298"/>
    <mergeCell ref="BF2297:BF2298"/>
    <mergeCell ref="BG2297:BG2298"/>
    <mergeCell ref="BH2297:BH2298"/>
    <mergeCell ref="BC2299:BC2301"/>
    <mergeCell ref="BD2299:BD2301"/>
    <mergeCell ref="BE2299:BE2301"/>
    <mergeCell ref="BF2299:BF2301"/>
    <mergeCell ref="BG2299:BG2301"/>
    <mergeCell ref="BH2299:BH2301"/>
    <mergeCell ref="BC2302:BC2303"/>
    <mergeCell ref="BD2302:BD2303"/>
    <mergeCell ref="BE2302:BE2303"/>
    <mergeCell ref="BF2302:BF2303"/>
    <mergeCell ref="BG2302:BG2303"/>
    <mergeCell ref="BH2302:BH2303"/>
    <mergeCell ref="BC2305:BC2307"/>
    <mergeCell ref="BD2305:BD2307"/>
    <mergeCell ref="BE2305:BE2307"/>
    <mergeCell ref="BF2305:BF2307"/>
    <mergeCell ref="BG2305:BG2307"/>
    <mergeCell ref="BH2305:BH2307"/>
    <mergeCell ref="BC2312:BC2313"/>
    <mergeCell ref="BD2312:BD2313"/>
    <mergeCell ref="BE2312:BE2313"/>
    <mergeCell ref="BF2312:BF2313"/>
    <mergeCell ref="BG2312:BG2313"/>
    <mergeCell ref="BH2312:BH2313"/>
    <mergeCell ref="BC2315:BC2316"/>
    <mergeCell ref="BD2315:BD2316"/>
    <mergeCell ref="BE2315:BE2316"/>
    <mergeCell ref="BF2315:BF2316"/>
    <mergeCell ref="BG2315:BG2316"/>
    <mergeCell ref="BH2315:BH2316"/>
    <mergeCell ref="BC2317:BC2320"/>
    <mergeCell ref="BD2317:BD2320"/>
    <mergeCell ref="BE2317:BE2320"/>
    <mergeCell ref="BF2317:BF2320"/>
    <mergeCell ref="BG2317:BG2320"/>
    <mergeCell ref="BH2317:BH2320"/>
    <mergeCell ref="BC2321:BC2322"/>
    <mergeCell ref="BD2321:BD2322"/>
    <mergeCell ref="BE2321:BE2322"/>
    <mergeCell ref="BF2321:BF2322"/>
    <mergeCell ref="BG2321:BG2322"/>
    <mergeCell ref="BH2321:BH2322"/>
    <mergeCell ref="BC2323:BC2326"/>
    <mergeCell ref="BD2323:BD2326"/>
    <mergeCell ref="BE2323:BE2326"/>
    <mergeCell ref="BF2323:BF2326"/>
    <mergeCell ref="BG2323:BG2326"/>
    <mergeCell ref="BH2323:BH2326"/>
    <mergeCell ref="BC2328:BC2330"/>
    <mergeCell ref="BD2328:BD2330"/>
    <mergeCell ref="BE2328:BE2330"/>
    <mergeCell ref="BF2328:BF2330"/>
    <mergeCell ref="BG2328:BG2330"/>
    <mergeCell ref="BH2328:BH2330"/>
    <mergeCell ref="BC2333:BC2337"/>
    <mergeCell ref="BD2333:BD2337"/>
    <mergeCell ref="BE2333:BE2337"/>
    <mergeCell ref="BF2333:BF2337"/>
    <mergeCell ref="BG2333:BG2337"/>
    <mergeCell ref="BH2333:BH2337"/>
    <mergeCell ref="BC2339:BC2340"/>
    <mergeCell ref="BD2339:BD2340"/>
    <mergeCell ref="BE2339:BE2340"/>
    <mergeCell ref="BF2339:BF2340"/>
    <mergeCell ref="BG2339:BG2340"/>
    <mergeCell ref="BH2339:BH2340"/>
    <mergeCell ref="BC2343:BC2345"/>
    <mergeCell ref="BD2343:BD2345"/>
    <mergeCell ref="BE2343:BE2345"/>
    <mergeCell ref="BF2343:BF2345"/>
    <mergeCell ref="BG2343:BG2345"/>
    <mergeCell ref="BH2343:BH2345"/>
    <mergeCell ref="BC2351:BC2353"/>
    <mergeCell ref="BD2351:BD2353"/>
    <mergeCell ref="BE2351:BE2353"/>
    <mergeCell ref="BF2351:BF2353"/>
    <mergeCell ref="BG2351:BG2353"/>
    <mergeCell ref="BH2351:BH2353"/>
    <mergeCell ref="BC2354:BC2355"/>
    <mergeCell ref="BD2354:BD2355"/>
    <mergeCell ref="BE2354:BE2355"/>
    <mergeCell ref="BF2354:BF2355"/>
    <mergeCell ref="BG2354:BG2355"/>
    <mergeCell ref="BH2354:BH2355"/>
    <mergeCell ref="BC2359:BC2360"/>
    <mergeCell ref="BD2359:BD2360"/>
    <mergeCell ref="BE2359:BE2360"/>
    <mergeCell ref="BF2359:BF2360"/>
    <mergeCell ref="BG2359:BG2360"/>
    <mergeCell ref="BH2359:BH2360"/>
    <mergeCell ref="BC2362:BC2364"/>
    <mergeCell ref="BD2362:BD2364"/>
    <mergeCell ref="BE2362:BE2364"/>
    <mergeCell ref="BF2362:BF2364"/>
    <mergeCell ref="BG2362:BG2364"/>
    <mergeCell ref="BH2362:BH2364"/>
    <mergeCell ref="BC2365:BC2366"/>
    <mergeCell ref="BD2365:BD2366"/>
    <mergeCell ref="BE2365:BE2366"/>
    <mergeCell ref="BF2365:BF2366"/>
    <mergeCell ref="BG2365:BG2366"/>
    <mergeCell ref="BH2365:BH2366"/>
    <mergeCell ref="BC2369:BC2370"/>
    <mergeCell ref="BD2369:BD2370"/>
    <mergeCell ref="BE2369:BE2370"/>
    <mergeCell ref="BF2369:BF2370"/>
    <mergeCell ref="BG2369:BG2370"/>
    <mergeCell ref="BH2369:BH2370"/>
    <mergeCell ref="BC2371:BC2374"/>
    <mergeCell ref="BD2371:BD2374"/>
    <mergeCell ref="BE2371:BE2374"/>
    <mergeCell ref="BF2371:BF2374"/>
    <mergeCell ref="BG2371:BG2374"/>
    <mergeCell ref="BH2371:BH2374"/>
    <mergeCell ref="BC2375:BC2376"/>
    <mergeCell ref="BD2375:BD2376"/>
    <mergeCell ref="BE2375:BE2376"/>
    <mergeCell ref="BF2375:BF2376"/>
    <mergeCell ref="BG2375:BG2376"/>
    <mergeCell ref="BH2375:BH2376"/>
    <mergeCell ref="BC2377:BC2378"/>
    <mergeCell ref="BD2377:BD2378"/>
    <mergeCell ref="BE2377:BE2378"/>
    <mergeCell ref="BF2377:BF2378"/>
    <mergeCell ref="BG2377:BG2378"/>
    <mergeCell ref="BH2377:BH2378"/>
    <mergeCell ref="BC2380:BC2381"/>
    <mergeCell ref="BD2380:BD2381"/>
    <mergeCell ref="BE2380:BE2381"/>
    <mergeCell ref="BF2380:BF2381"/>
    <mergeCell ref="BG2380:BG2381"/>
    <mergeCell ref="BH2380:BH2381"/>
    <mergeCell ref="BC2383:BC2384"/>
    <mergeCell ref="BD2383:BD2384"/>
    <mergeCell ref="BE2383:BE2384"/>
    <mergeCell ref="BF2383:BF2384"/>
    <mergeCell ref="BG2383:BG2384"/>
    <mergeCell ref="BH2383:BH2384"/>
    <mergeCell ref="BC2388:BC2391"/>
    <mergeCell ref="BD2388:BD2391"/>
    <mergeCell ref="BE2388:BE2391"/>
    <mergeCell ref="BF2388:BF2391"/>
    <mergeCell ref="BG2388:BG2391"/>
    <mergeCell ref="BH2388:BH2391"/>
    <mergeCell ref="BC2392:BC2393"/>
    <mergeCell ref="BD2392:BD2393"/>
    <mergeCell ref="BE2392:BE2393"/>
    <mergeCell ref="BF2392:BF2393"/>
    <mergeCell ref="BG2392:BG2393"/>
    <mergeCell ref="BH2392:BH2393"/>
    <mergeCell ref="BC2395:BC2396"/>
    <mergeCell ref="BD2395:BD2396"/>
    <mergeCell ref="BE2395:BE2396"/>
    <mergeCell ref="BF2395:BF2396"/>
    <mergeCell ref="BG2395:BG2396"/>
    <mergeCell ref="BH2395:BH2396"/>
    <mergeCell ref="BC2397:BC2398"/>
    <mergeCell ref="BD2397:BD2398"/>
    <mergeCell ref="BE2397:BE2398"/>
    <mergeCell ref="BF2397:BF2398"/>
    <mergeCell ref="BG2397:BG2398"/>
    <mergeCell ref="BH2397:BH2398"/>
    <mergeCell ref="BC2409:BC2410"/>
    <mergeCell ref="BD2409:BD2410"/>
    <mergeCell ref="BE2409:BE2410"/>
    <mergeCell ref="BF2409:BF2410"/>
    <mergeCell ref="BG2409:BG2410"/>
    <mergeCell ref="BH2409:BH2410"/>
    <mergeCell ref="BC2411:BC2412"/>
    <mergeCell ref="BD2411:BD2412"/>
    <mergeCell ref="BE2411:BE2412"/>
    <mergeCell ref="BF2411:BF2412"/>
    <mergeCell ref="BG2411:BG2412"/>
    <mergeCell ref="BH2411:BH2412"/>
    <mergeCell ref="BC2413:BC2415"/>
    <mergeCell ref="BD2413:BD2415"/>
    <mergeCell ref="BE2413:BE2415"/>
    <mergeCell ref="BF2413:BF2415"/>
    <mergeCell ref="BG2413:BG2415"/>
    <mergeCell ref="BH2413:BH2415"/>
    <mergeCell ref="BC2416:BC2417"/>
    <mergeCell ref="BD2416:BD2417"/>
    <mergeCell ref="BE2416:BE2417"/>
    <mergeCell ref="BF2416:BF2417"/>
    <mergeCell ref="BG2416:BG2417"/>
    <mergeCell ref="BH2416:BH2417"/>
    <mergeCell ref="BC2423:BC2424"/>
    <mergeCell ref="BD2423:BD2424"/>
    <mergeCell ref="BE2423:BE2424"/>
    <mergeCell ref="BF2423:BF2424"/>
    <mergeCell ref="BG2423:BG2424"/>
    <mergeCell ref="BH2423:BH2424"/>
    <mergeCell ref="BC2426:BC2427"/>
    <mergeCell ref="BD2426:BD2427"/>
    <mergeCell ref="BE2426:BE2427"/>
    <mergeCell ref="BF2426:BF2427"/>
    <mergeCell ref="BG2426:BG2427"/>
    <mergeCell ref="BH2426:BH2427"/>
    <mergeCell ref="BC2430:BC2432"/>
    <mergeCell ref="BD2430:BD2432"/>
    <mergeCell ref="BE2430:BE2432"/>
    <mergeCell ref="BF2430:BF2432"/>
    <mergeCell ref="BG2430:BG2432"/>
    <mergeCell ref="BH2430:BH2432"/>
    <mergeCell ref="BC2433:BC2434"/>
    <mergeCell ref="BD2433:BD2434"/>
    <mergeCell ref="BE2433:BE2434"/>
    <mergeCell ref="BF2433:BF2434"/>
    <mergeCell ref="BG2433:BG2434"/>
    <mergeCell ref="BH2433:BH2434"/>
    <mergeCell ref="BC2435:BC2438"/>
    <mergeCell ref="BD2435:BD2438"/>
    <mergeCell ref="BE2435:BE2438"/>
    <mergeCell ref="BF2435:BF2438"/>
    <mergeCell ref="BG2435:BG2438"/>
    <mergeCell ref="BH2435:BH2438"/>
    <mergeCell ref="BC2450:BC2451"/>
    <mergeCell ref="BD2450:BD2451"/>
    <mergeCell ref="BE2450:BE2451"/>
    <mergeCell ref="BF2450:BF2451"/>
    <mergeCell ref="BG2450:BG2451"/>
    <mergeCell ref="BH2450:BH2451"/>
    <mergeCell ref="BC2455:BC2456"/>
    <mergeCell ref="BD2455:BD2456"/>
    <mergeCell ref="BE2455:BE2456"/>
    <mergeCell ref="BF2455:BF2456"/>
    <mergeCell ref="BG2455:BG2456"/>
    <mergeCell ref="BH2455:BH2456"/>
    <mergeCell ref="BC2460:BC2463"/>
    <mergeCell ref="BD2460:BD2463"/>
    <mergeCell ref="BE2460:BE2463"/>
    <mergeCell ref="BF2460:BF2463"/>
    <mergeCell ref="BG2460:BG2463"/>
    <mergeCell ref="BH2460:BH2463"/>
    <mergeCell ref="BC2467:BC2468"/>
    <mergeCell ref="BD2467:BD2468"/>
    <mergeCell ref="BE2467:BE2468"/>
    <mergeCell ref="BF2467:BF2468"/>
    <mergeCell ref="BG2467:BG2468"/>
    <mergeCell ref="BH2467:BH2468"/>
    <mergeCell ref="BC2472:BC2474"/>
    <mergeCell ref="BD2472:BD2474"/>
    <mergeCell ref="BE2472:BE2474"/>
    <mergeCell ref="BF2472:BF2474"/>
    <mergeCell ref="BG2472:BG2474"/>
    <mergeCell ref="BH2472:BH2474"/>
    <mergeCell ref="BC2475:BC2476"/>
    <mergeCell ref="BD2475:BD2476"/>
    <mergeCell ref="BE2475:BE2476"/>
    <mergeCell ref="BF2475:BF2476"/>
    <mergeCell ref="BG2475:BG2476"/>
    <mergeCell ref="BH2475:BH2476"/>
    <mergeCell ref="BC2479:BC2482"/>
    <mergeCell ref="BD2479:BD2482"/>
    <mergeCell ref="BE2479:BE2482"/>
    <mergeCell ref="BF2479:BF2482"/>
    <mergeCell ref="BG2479:BG2482"/>
    <mergeCell ref="BH2479:BH2482"/>
    <mergeCell ref="BC2488:BC2489"/>
    <mergeCell ref="BD2488:BD2489"/>
    <mergeCell ref="BE2488:BE2489"/>
    <mergeCell ref="BF2488:BF2489"/>
    <mergeCell ref="BG2488:BG2489"/>
    <mergeCell ref="BH2488:BH2489"/>
    <mergeCell ref="BC2495:BC2496"/>
    <mergeCell ref="BD2495:BD2496"/>
    <mergeCell ref="BE2495:BE2496"/>
    <mergeCell ref="BF2495:BF2496"/>
    <mergeCell ref="BG2495:BG2496"/>
    <mergeCell ref="BH2495:BH2496"/>
    <mergeCell ref="BC2499:BC2500"/>
    <mergeCell ref="BD2499:BD2500"/>
    <mergeCell ref="BE2499:BE2500"/>
    <mergeCell ref="BF2499:BF2500"/>
    <mergeCell ref="BG2499:BG2500"/>
    <mergeCell ref="BH2499:BH2500"/>
    <mergeCell ref="BC2527:BC2528"/>
    <mergeCell ref="BD2527:BD2528"/>
    <mergeCell ref="BE2527:BE2528"/>
    <mergeCell ref="BF2527:BF2528"/>
    <mergeCell ref="BG2527:BG2528"/>
    <mergeCell ref="BH2527:BH2528"/>
    <mergeCell ref="BC2529:BC2530"/>
    <mergeCell ref="BD2529:BD2530"/>
    <mergeCell ref="BE2529:BE2530"/>
    <mergeCell ref="BF2529:BF2530"/>
    <mergeCell ref="BG2529:BG2530"/>
    <mergeCell ref="BH2529:BH2530"/>
    <mergeCell ref="BC2531:BC2539"/>
    <mergeCell ref="BD2531:BD2539"/>
    <mergeCell ref="BE2531:BE2539"/>
    <mergeCell ref="BF2531:BF2539"/>
    <mergeCell ref="BG2531:BG2539"/>
    <mergeCell ref="BH2531:BH2539"/>
    <mergeCell ref="BC2540:BC2541"/>
    <mergeCell ref="BD2540:BD2541"/>
    <mergeCell ref="BE2540:BE2541"/>
    <mergeCell ref="BF2540:BF2541"/>
    <mergeCell ref="BG2540:BG2541"/>
    <mergeCell ref="BH2540:BH2541"/>
    <mergeCell ref="BC2542:BC2547"/>
    <mergeCell ref="BD2542:BD2547"/>
    <mergeCell ref="BE2542:BE2547"/>
    <mergeCell ref="BF2542:BF2547"/>
    <mergeCell ref="BG2542:BG2547"/>
    <mergeCell ref="BH2542:BH2547"/>
    <mergeCell ref="BC2549:BC2583"/>
    <mergeCell ref="BD2549:BD2583"/>
    <mergeCell ref="BE2549:BE2583"/>
    <mergeCell ref="BF2549:BF2583"/>
    <mergeCell ref="BG2549:BG2583"/>
    <mergeCell ref="BH2549:BH2583"/>
    <mergeCell ref="BC2584:BC2607"/>
    <mergeCell ref="BD2584:BD2607"/>
    <mergeCell ref="BE2584:BE2607"/>
    <mergeCell ref="BF2584:BF2607"/>
    <mergeCell ref="BG2584:BG2607"/>
    <mergeCell ref="BH2584:BH2607"/>
    <mergeCell ref="BC2608:BC2630"/>
    <mergeCell ref="BD2608:BD2630"/>
    <mergeCell ref="BE2608:BE2630"/>
    <mergeCell ref="BF2608:BF2630"/>
    <mergeCell ref="BG2608:BG2630"/>
    <mergeCell ref="BH2608:BH2630"/>
    <mergeCell ref="BC2631:BC2655"/>
    <mergeCell ref="BD2631:BD2655"/>
    <mergeCell ref="BE2631:BE2655"/>
    <mergeCell ref="BF2631:BF2655"/>
    <mergeCell ref="BG2631:BG2655"/>
    <mergeCell ref="BH2631:BH2655"/>
    <mergeCell ref="BC2656:BC2685"/>
    <mergeCell ref="BD2656:BD2685"/>
    <mergeCell ref="BE2656:BE2685"/>
    <mergeCell ref="BF2656:BF2685"/>
    <mergeCell ref="BG2656:BG2685"/>
    <mergeCell ref="BH2656:BH2685"/>
    <mergeCell ref="BC2686:BC2724"/>
    <mergeCell ref="BD2686:BD2724"/>
    <mergeCell ref="BE2686:BE2724"/>
    <mergeCell ref="BF2686:BF2724"/>
    <mergeCell ref="BG2686:BG2724"/>
    <mergeCell ref="BH2686:BH2724"/>
    <mergeCell ref="BC2725:BC2741"/>
    <mergeCell ref="BD2725:BD2741"/>
    <mergeCell ref="BE2725:BE2741"/>
    <mergeCell ref="BF2725:BF2741"/>
    <mergeCell ref="BG2725:BG2741"/>
    <mergeCell ref="BH2725:BH2741"/>
    <mergeCell ref="BC2742:BC2749"/>
    <mergeCell ref="BD2742:BD2749"/>
    <mergeCell ref="BE2742:BE2749"/>
    <mergeCell ref="BF2742:BF2749"/>
    <mergeCell ref="BG2742:BG2749"/>
    <mergeCell ref="BH2742:BH2749"/>
    <mergeCell ref="BC2750:BC2757"/>
    <mergeCell ref="BD2750:BD2757"/>
    <mergeCell ref="BE2750:BE2757"/>
    <mergeCell ref="BF2750:BF2757"/>
    <mergeCell ref="BG2750:BG2757"/>
    <mergeCell ref="BH2750:BH2757"/>
    <mergeCell ref="BC2758:BC2772"/>
    <mergeCell ref="BD2758:BD2772"/>
    <mergeCell ref="BE2758:BE2772"/>
    <mergeCell ref="BF2758:BF2772"/>
    <mergeCell ref="BG2758:BG2772"/>
    <mergeCell ref="BH2758:BH2772"/>
    <mergeCell ref="BC2773:BC2787"/>
    <mergeCell ref="BD2773:BD2787"/>
    <mergeCell ref="BE2773:BE2787"/>
    <mergeCell ref="BF2773:BF2787"/>
    <mergeCell ref="BG2773:BG2787"/>
    <mergeCell ref="BH2773:BH2787"/>
    <mergeCell ref="BC2788:BC2800"/>
    <mergeCell ref="BD2788:BD2800"/>
    <mergeCell ref="BE2788:BE2800"/>
    <mergeCell ref="BF2788:BF2800"/>
    <mergeCell ref="BG2788:BG2800"/>
    <mergeCell ref="BH2788:BH2800"/>
    <mergeCell ref="BC2801:BC2812"/>
    <mergeCell ref="BD2801:BD2812"/>
    <mergeCell ref="BE2801:BE2812"/>
    <mergeCell ref="BF2801:BF2812"/>
    <mergeCell ref="BG2801:BG2812"/>
    <mergeCell ref="BH2801:BH2812"/>
    <mergeCell ref="BC2813:BC2824"/>
    <mergeCell ref="BD2813:BD2824"/>
    <mergeCell ref="BE2813:BE2824"/>
    <mergeCell ref="BF2813:BF2824"/>
    <mergeCell ref="BG2813:BG2824"/>
    <mergeCell ref="BH2813:BH2824"/>
    <mergeCell ref="BC2825:BC2838"/>
    <mergeCell ref="BD2825:BD2838"/>
    <mergeCell ref="BE2825:BE2838"/>
    <mergeCell ref="BF2825:BF2838"/>
    <mergeCell ref="BG2825:BG2838"/>
    <mergeCell ref="BH2825:BH2838"/>
    <mergeCell ref="BC2839:BC2894"/>
    <mergeCell ref="BD2839:BD2894"/>
    <mergeCell ref="BE2839:BE2894"/>
    <mergeCell ref="BF2839:BF2894"/>
    <mergeCell ref="BG2839:BG2894"/>
    <mergeCell ref="BH2839:BH2894"/>
    <mergeCell ref="BC2895:BC2909"/>
    <mergeCell ref="BD2895:BD2909"/>
    <mergeCell ref="BE2895:BE2909"/>
    <mergeCell ref="BF2895:BF2909"/>
    <mergeCell ref="BG2895:BG2909"/>
    <mergeCell ref="BH2895:BH2909"/>
    <mergeCell ref="BC2910:BC2918"/>
    <mergeCell ref="BD2910:BD2918"/>
    <mergeCell ref="BE2910:BE2918"/>
    <mergeCell ref="BF2910:BF2918"/>
    <mergeCell ref="BG2910:BG2918"/>
    <mergeCell ref="BH2910:BH2918"/>
    <mergeCell ref="BC2919:BC2927"/>
    <mergeCell ref="BD2919:BD2927"/>
    <mergeCell ref="BE2919:BE2927"/>
    <mergeCell ref="BF2919:BF2927"/>
    <mergeCell ref="BG2919:BG2927"/>
    <mergeCell ref="BH2919:BH2927"/>
    <mergeCell ref="BC2928:BC2965"/>
    <mergeCell ref="BD2928:BD2965"/>
    <mergeCell ref="BE2928:BE2965"/>
    <mergeCell ref="BF2928:BF2965"/>
    <mergeCell ref="BG2928:BG2965"/>
    <mergeCell ref="BH2928:BH2965"/>
    <mergeCell ref="BC2966:BC2973"/>
    <mergeCell ref="BD2966:BD2973"/>
    <mergeCell ref="BE2966:BE2973"/>
    <mergeCell ref="BF2966:BF2973"/>
    <mergeCell ref="BG2966:BG2973"/>
    <mergeCell ref="BH2966:BH2973"/>
    <mergeCell ref="BC2974:BC3096"/>
    <mergeCell ref="BD2974:BD3096"/>
    <mergeCell ref="BE2974:BE3096"/>
    <mergeCell ref="BF2974:BF3096"/>
    <mergeCell ref="BG2974:BG3096"/>
    <mergeCell ref="BH2974:BH3096"/>
    <mergeCell ref="BC3097:BC3170"/>
    <mergeCell ref="BD3097:BD3170"/>
    <mergeCell ref="BE3097:BE3170"/>
    <mergeCell ref="BF3097:BF3170"/>
    <mergeCell ref="BG3097:BG3170"/>
    <mergeCell ref="BH3097:BH3170"/>
    <mergeCell ref="BC3171:BC3194"/>
    <mergeCell ref="BD3171:BD3194"/>
    <mergeCell ref="BE3171:BE3194"/>
    <mergeCell ref="BF3171:BF3194"/>
    <mergeCell ref="BG3171:BG3194"/>
    <mergeCell ref="BH3171:BH3194"/>
    <mergeCell ref="BC3195:BC3243"/>
    <mergeCell ref="BD3195:BD3243"/>
    <mergeCell ref="BE3195:BE3243"/>
    <mergeCell ref="BF3195:BF3243"/>
    <mergeCell ref="BG3195:BG3243"/>
    <mergeCell ref="BH3195:BH3243"/>
    <mergeCell ref="BC3244:BC3246"/>
    <mergeCell ref="BD3244:BD3246"/>
    <mergeCell ref="BE3244:BE3246"/>
    <mergeCell ref="BF3244:BF3246"/>
    <mergeCell ref="BG3244:BG3246"/>
    <mergeCell ref="BH3244:BH3246"/>
    <mergeCell ref="BC3247:BC3265"/>
    <mergeCell ref="BD3247:BD3265"/>
    <mergeCell ref="BE3247:BE3265"/>
    <mergeCell ref="BF3247:BF3265"/>
    <mergeCell ref="BG3247:BG3265"/>
    <mergeCell ref="BH3247:BH3265"/>
    <mergeCell ref="BC3266:BC3277"/>
    <mergeCell ref="BD3266:BD3277"/>
    <mergeCell ref="BE3266:BE3277"/>
    <mergeCell ref="BF3266:BF3277"/>
    <mergeCell ref="BG3266:BG3277"/>
    <mergeCell ref="BH3266:BH3277"/>
    <mergeCell ref="BC3278:BC3284"/>
    <mergeCell ref="BD3278:BD3284"/>
    <mergeCell ref="BE3278:BE3284"/>
    <mergeCell ref="BF3278:BF3284"/>
    <mergeCell ref="BG3278:BG3284"/>
    <mergeCell ref="BH3278:BH3284"/>
    <mergeCell ref="BC3285:BC3291"/>
    <mergeCell ref="BD3285:BD3291"/>
    <mergeCell ref="BE3285:BE3291"/>
    <mergeCell ref="BF3285:BF3291"/>
    <mergeCell ref="BG3285:BG3291"/>
    <mergeCell ref="BH3285:BH3291"/>
    <mergeCell ref="BC3292:BC3306"/>
    <mergeCell ref="BD3292:BD3306"/>
    <mergeCell ref="BE3292:BE3306"/>
    <mergeCell ref="BF3292:BF3306"/>
    <mergeCell ref="BG3292:BG3306"/>
    <mergeCell ref="BH3292:BH3306"/>
    <mergeCell ref="BC3307:BC3316"/>
    <mergeCell ref="BD3307:BD3316"/>
    <mergeCell ref="BE3307:BE3316"/>
    <mergeCell ref="BF3307:BF3316"/>
    <mergeCell ref="BG3307:BG3316"/>
    <mergeCell ref="BH3307:BH3316"/>
    <mergeCell ref="BC3317:BC3322"/>
    <mergeCell ref="BD3317:BD3322"/>
    <mergeCell ref="BE3317:BE3322"/>
    <mergeCell ref="BF3317:BF3322"/>
    <mergeCell ref="BG3317:BG3322"/>
    <mergeCell ref="BH3317:BH3322"/>
    <mergeCell ref="BC3323:BC3327"/>
    <mergeCell ref="BD3323:BD3327"/>
    <mergeCell ref="BE3323:BE3327"/>
    <mergeCell ref="BF3323:BF3327"/>
    <mergeCell ref="BG3323:BG3327"/>
    <mergeCell ref="BH3323:BH3327"/>
    <mergeCell ref="BC3328:BC3334"/>
    <mergeCell ref="BD3328:BD3334"/>
    <mergeCell ref="BE3328:BE3334"/>
    <mergeCell ref="BF3328:BF3334"/>
    <mergeCell ref="BG3328:BG3334"/>
    <mergeCell ref="BH3328:BH3334"/>
    <mergeCell ref="BC3335:BC3339"/>
    <mergeCell ref="BD3335:BD3339"/>
    <mergeCell ref="BE3335:BE3339"/>
    <mergeCell ref="BF3335:BF3339"/>
    <mergeCell ref="BG3335:BG3339"/>
    <mergeCell ref="BH3335:BH3339"/>
    <mergeCell ref="BC3340:BC3344"/>
    <mergeCell ref="BD3340:BD3344"/>
    <mergeCell ref="BE3340:BE3344"/>
    <mergeCell ref="BF3340:BF3344"/>
    <mergeCell ref="BG3340:BG3344"/>
    <mergeCell ref="BH3340:BH3344"/>
    <mergeCell ref="BC3345:BC3350"/>
    <mergeCell ref="BD3345:BD3350"/>
    <mergeCell ref="BE3345:BE3350"/>
    <mergeCell ref="BF3345:BF3350"/>
    <mergeCell ref="BG3345:BG3350"/>
    <mergeCell ref="BH3345:BH3350"/>
    <mergeCell ref="BC3351:BC3357"/>
    <mergeCell ref="BD3351:BD3357"/>
    <mergeCell ref="BE3351:BE3357"/>
    <mergeCell ref="BF3351:BF3357"/>
    <mergeCell ref="BG3351:BG3357"/>
    <mergeCell ref="BH3351:BH3357"/>
    <mergeCell ref="BC3358:BC3361"/>
    <mergeCell ref="BD3358:BD3361"/>
    <mergeCell ref="BE3358:BE3361"/>
    <mergeCell ref="BF3358:BF3361"/>
    <mergeCell ref="BG3358:BG3361"/>
    <mergeCell ref="BH3358:BH3361"/>
    <mergeCell ref="BC3362:BC3372"/>
    <mergeCell ref="BD3362:BD3372"/>
    <mergeCell ref="BE3362:BE3372"/>
    <mergeCell ref="BF3362:BF3372"/>
    <mergeCell ref="BG3362:BG3372"/>
    <mergeCell ref="BH3362:BH3372"/>
    <mergeCell ref="BC3373:BC3379"/>
    <mergeCell ref="BD3373:BD3379"/>
    <mergeCell ref="BE3373:BE3379"/>
    <mergeCell ref="BF3373:BF3379"/>
    <mergeCell ref="BG3373:BG3379"/>
    <mergeCell ref="BH3373:BH3379"/>
    <mergeCell ref="BC3380:BC3381"/>
    <mergeCell ref="BD3380:BD3381"/>
    <mergeCell ref="BE3380:BE3381"/>
    <mergeCell ref="BF3380:BF3381"/>
    <mergeCell ref="BG3380:BG3381"/>
    <mergeCell ref="BH3380:BH3381"/>
    <mergeCell ref="BC3382:BC3390"/>
    <mergeCell ref="BD3382:BD3390"/>
    <mergeCell ref="BE3382:BE3390"/>
    <mergeCell ref="BF3382:BF3390"/>
    <mergeCell ref="BG3382:BG3390"/>
    <mergeCell ref="BH3382:BH3390"/>
    <mergeCell ref="BC3391:BC3409"/>
    <mergeCell ref="BD3391:BD3409"/>
    <mergeCell ref="BE3391:BE3409"/>
    <mergeCell ref="BF3391:BF3409"/>
    <mergeCell ref="BG3391:BG3409"/>
    <mergeCell ref="BH3391:BH3409"/>
    <mergeCell ref="BC3410:BC3412"/>
    <mergeCell ref="BD3410:BD3412"/>
    <mergeCell ref="BE3410:BE3412"/>
    <mergeCell ref="BF3410:BF3412"/>
    <mergeCell ref="BG3410:BG3412"/>
    <mergeCell ref="BH3410:BH3412"/>
    <mergeCell ref="BC3413:BC3415"/>
    <mergeCell ref="BD3413:BD3415"/>
    <mergeCell ref="BE3413:BE3415"/>
    <mergeCell ref="BF3413:BF3415"/>
    <mergeCell ref="BG3413:BG3415"/>
    <mergeCell ref="BH3413:BH3415"/>
    <mergeCell ref="BC3416:BC3417"/>
    <mergeCell ref="BD3416:BD3417"/>
    <mergeCell ref="BE3416:BE3417"/>
    <mergeCell ref="BF3416:BF3417"/>
    <mergeCell ref="BG3416:BG3417"/>
    <mergeCell ref="BH3416:BH3417"/>
    <mergeCell ref="BC3418:BC3422"/>
    <mergeCell ref="BD3418:BD3422"/>
    <mergeCell ref="BE3418:BE3422"/>
    <mergeCell ref="BF3418:BF3422"/>
    <mergeCell ref="BG3418:BG3422"/>
    <mergeCell ref="BH3418:BH3422"/>
    <mergeCell ref="BC3423:BC3429"/>
    <mergeCell ref="BD3423:BD3429"/>
    <mergeCell ref="BE3423:BE3429"/>
    <mergeCell ref="BF3423:BF3429"/>
    <mergeCell ref="BG3423:BG3429"/>
    <mergeCell ref="BH3423:BH3429"/>
    <mergeCell ref="BC3430:BC3431"/>
    <mergeCell ref="BD3430:BD3431"/>
    <mergeCell ref="BE3430:BE3431"/>
    <mergeCell ref="BF3430:BF3431"/>
    <mergeCell ref="BG3430:BG3431"/>
    <mergeCell ref="BH3430:BH3431"/>
    <mergeCell ref="BC3432:BC3434"/>
    <mergeCell ref="BD3432:BD3434"/>
    <mergeCell ref="BE3432:BE3434"/>
    <mergeCell ref="BF3432:BF3434"/>
    <mergeCell ref="BG3432:BG3434"/>
    <mergeCell ref="BH3432:BH3434"/>
    <mergeCell ref="BC3435:BC3439"/>
    <mergeCell ref="BD3435:BD3439"/>
    <mergeCell ref="BE3435:BE3439"/>
    <mergeCell ref="BF3435:BF3439"/>
    <mergeCell ref="BG3435:BG3439"/>
    <mergeCell ref="BH3435:BH3439"/>
    <mergeCell ref="BC3440:BC3441"/>
    <mergeCell ref="BD3440:BD3441"/>
    <mergeCell ref="BE3440:BE3441"/>
    <mergeCell ref="BF3440:BF3441"/>
    <mergeCell ref="BG3440:BG3441"/>
    <mergeCell ref="BH3440:BH3441"/>
    <mergeCell ref="BC3442:BC3449"/>
    <mergeCell ref="BD3442:BD3449"/>
    <mergeCell ref="BE3442:BE3449"/>
    <mergeCell ref="BF3442:BF3449"/>
    <mergeCell ref="BG3442:BG3449"/>
    <mergeCell ref="BH3442:BH3449"/>
    <mergeCell ref="BC3450:BC3456"/>
    <mergeCell ref="BD3450:BD3456"/>
    <mergeCell ref="BE3450:BE3456"/>
    <mergeCell ref="BF3450:BF3456"/>
    <mergeCell ref="BG3450:BG3456"/>
    <mergeCell ref="BH3450:BH3456"/>
    <mergeCell ref="BC3457:BC3461"/>
    <mergeCell ref="BD3457:BD3461"/>
    <mergeCell ref="BE3457:BE3461"/>
    <mergeCell ref="BF3457:BF3461"/>
    <mergeCell ref="BG3457:BG3461"/>
    <mergeCell ref="BH3457:BH3461"/>
    <mergeCell ref="BC3462:BC3466"/>
    <mergeCell ref="BD3462:BD3466"/>
    <mergeCell ref="BE3462:BE3466"/>
    <mergeCell ref="BF3462:BF3466"/>
    <mergeCell ref="BG3462:BG3466"/>
    <mergeCell ref="BH3462:BH3466"/>
    <mergeCell ref="BC3467:BC3469"/>
    <mergeCell ref="BD3467:BD3469"/>
    <mergeCell ref="BE3467:BE3469"/>
    <mergeCell ref="BF3467:BF3469"/>
    <mergeCell ref="BG3467:BG3469"/>
    <mergeCell ref="BH3467:BH3469"/>
    <mergeCell ref="BC3470:BC3471"/>
    <mergeCell ref="BD3470:BD3471"/>
    <mergeCell ref="BE3470:BE3471"/>
    <mergeCell ref="BF3470:BF3471"/>
    <mergeCell ref="BG3470:BG3471"/>
    <mergeCell ref="BH3470:BH3471"/>
    <mergeCell ref="BC3473:BC3475"/>
    <mergeCell ref="BD3473:BD3475"/>
    <mergeCell ref="BE3473:BE3475"/>
    <mergeCell ref="BF3473:BF3475"/>
    <mergeCell ref="BG3473:BG3475"/>
    <mergeCell ref="BH3473:BH3475"/>
    <mergeCell ref="BC3476:BC3477"/>
    <mergeCell ref="BD3476:BD3477"/>
    <mergeCell ref="BE3476:BE3477"/>
    <mergeCell ref="BF3476:BF3477"/>
    <mergeCell ref="BG3476:BG3477"/>
    <mergeCell ref="BH3476:BH3477"/>
    <mergeCell ref="BC3478:BC3487"/>
    <mergeCell ref="BD3478:BD3487"/>
    <mergeCell ref="BE3478:BE3487"/>
    <mergeCell ref="BF3478:BF3487"/>
    <mergeCell ref="BG3478:BG3487"/>
    <mergeCell ref="BH3478:BH3487"/>
    <mergeCell ref="BC3488:BC3497"/>
    <mergeCell ref="BD3488:BD3497"/>
    <mergeCell ref="BE3488:BE3497"/>
    <mergeCell ref="BF3488:BF3497"/>
    <mergeCell ref="BG3488:BG3497"/>
    <mergeCell ref="BH3488:BH3497"/>
    <mergeCell ref="BC3498:BC3530"/>
    <mergeCell ref="BD3498:BD3530"/>
    <mergeCell ref="BE3498:BE3530"/>
    <mergeCell ref="BF3498:BF3530"/>
    <mergeCell ref="BG3498:BG3530"/>
    <mergeCell ref="BH3498:BH3530"/>
    <mergeCell ref="BC3531:BC3540"/>
    <mergeCell ref="BD3531:BD3540"/>
    <mergeCell ref="BE3531:BE3540"/>
    <mergeCell ref="BF3531:BF3540"/>
    <mergeCell ref="BG3531:BG3540"/>
    <mergeCell ref="BH3531:BH3540"/>
    <mergeCell ref="BC3541:BC3542"/>
    <mergeCell ref="BD3541:BD3542"/>
    <mergeCell ref="BE3541:BE3542"/>
    <mergeCell ref="BF3541:BF3542"/>
    <mergeCell ref="BG3541:BG3542"/>
    <mergeCell ref="BH3541:BH3542"/>
    <mergeCell ref="BC3543:BC3544"/>
    <mergeCell ref="BD3543:BD3544"/>
    <mergeCell ref="BE3543:BE3544"/>
    <mergeCell ref="BF3543:BF3544"/>
    <mergeCell ref="BG3543:BG3544"/>
    <mergeCell ref="BH3543:BH3544"/>
    <mergeCell ref="BC3545:BC3548"/>
    <mergeCell ref="BD3545:BD3548"/>
    <mergeCell ref="BE3545:BE3548"/>
    <mergeCell ref="BF3545:BF3548"/>
    <mergeCell ref="BG3545:BG3548"/>
    <mergeCell ref="BH3545:BH3548"/>
    <mergeCell ref="BC3549:BC3551"/>
    <mergeCell ref="BD3549:BD3551"/>
    <mergeCell ref="BE3549:BE3551"/>
    <mergeCell ref="BF3549:BF3551"/>
    <mergeCell ref="BG3549:BG3551"/>
    <mergeCell ref="BH3549:BH3551"/>
    <mergeCell ref="BC3552:BC3555"/>
    <mergeCell ref="BD3552:BD3555"/>
    <mergeCell ref="BE3552:BE3555"/>
    <mergeCell ref="BF3552:BF3555"/>
    <mergeCell ref="BG3552:BG3555"/>
    <mergeCell ref="BH3552:BH3555"/>
    <mergeCell ref="BC3556:BC3562"/>
    <mergeCell ref="BD3556:BD3562"/>
    <mergeCell ref="BE3556:BE3562"/>
    <mergeCell ref="BF3556:BF3562"/>
    <mergeCell ref="BG3556:BG3562"/>
    <mergeCell ref="BH3556:BH3562"/>
    <mergeCell ref="BC3563:BC3564"/>
    <mergeCell ref="BD3563:BD3564"/>
    <mergeCell ref="BE3563:BE3564"/>
    <mergeCell ref="BF3563:BF3564"/>
    <mergeCell ref="BG3563:BG3564"/>
    <mergeCell ref="BH3563:BH3564"/>
    <mergeCell ref="BC3565:BC3574"/>
    <mergeCell ref="BD3565:BD3574"/>
    <mergeCell ref="BE3565:BE3574"/>
    <mergeCell ref="BF3565:BF3574"/>
    <mergeCell ref="BG3565:BG3574"/>
    <mergeCell ref="BH3565:BH3574"/>
    <mergeCell ref="BC3575:BC3576"/>
    <mergeCell ref="BD3575:BD3576"/>
    <mergeCell ref="BE3575:BE3576"/>
    <mergeCell ref="BF3575:BF3576"/>
    <mergeCell ref="BG3575:BG3576"/>
    <mergeCell ref="BH3575:BH3576"/>
    <mergeCell ref="BC3577:BC3581"/>
    <mergeCell ref="BD3577:BD3581"/>
    <mergeCell ref="BE3577:BE3581"/>
    <mergeCell ref="BF3577:BF3581"/>
    <mergeCell ref="BG3577:BG3581"/>
    <mergeCell ref="BH3577:BH3581"/>
    <mergeCell ref="BC3582:BC3584"/>
    <mergeCell ref="BD3582:BD3584"/>
    <mergeCell ref="BE3582:BE3584"/>
    <mergeCell ref="BF3582:BF3584"/>
    <mergeCell ref="BG3582:BG3584"/>
    <mergeCell ref="BH3582:BH3584"/>
    <mergeCell ref="BC3585:BC3587"/>
    <mergeCell ref="BD3585:BD3587"/>
    <mergeCell ref="BE3585:BE3587"/>
    <mergeCell ref="BF3585:BF3587"/>
    <mergeCell ref="BG3585:BG3587"/>
    <mergeCell ref="BH3585:BH3587"/>
    <mergeCell ref="BC3588:BC3590"/>
    <mergeCell ref="BD3588:BD3590"/>
    <mergeCell ref="BE3588:BE3590"/>
    <mergeCell ref="BF3588:BF3590"/>
    <mergeCell ref="BG3588:BG3590"/>
    <mergeCell ref="BH3588:BH3590"/>
    <mergeCell ref="BC3591:BC3593"/>
    <mergeCell ref="BD3591:BD3593"/>
    <mergeCell ref="BE3591:BE3593"/>
    <mergeCell ref="BF3591:BF3593"/>
    <mergeCell ref="BG3591:BG3593"/>
    <mergeCell ref="BH3591:BH3593"/>
    <mergeCell ref="BC3594:BC3597"/>
    <mergeCell ref="BD3594:BD3597"/>
    <mergeCell ref="BE3594:BE3597"/>
    <mergeCell ref="BF3594:BF3597"/>
    <mergeCell ref="BG3594:BG3597"/>
    <mergeCell ref="BH3594:BH3597"/>
    <mergeCell ref="BC3600:BC3601"/>
    <mergeCell ref="BD3600:BD3601"/>
    <mergeCell ref="BE3600:BE3601"/>
    <mergeCell ref="BF3600:BF3601"/>
    <mergeCell ref="BG3600:BG3601"/>
    <mergeCell ref="BH3600:BH3601"/>
    <mergeCell ref="BC3602:BC3608"/>
    <mergeCell ref="BD3602:BD3608"/>
    <mergeCell ref="BE3602:BE3608"/>
    <mergeCell ref="BF3602:BF3608"/>
    <mergeCell ref="BG3602:BG3608"/>
    <mergeCell ref="BH3602:BH3608"/>
    <mergeCell ref="BC3609:BC3610"/>
    <mergeCell ref="BD3609:BD3610"/>
    <mergeCell ref="BE3609:BE3610"/>
    <mergeCell ref="BF3609:BF3610"/>
    <mergeCell ref="BG3609:BG3610"/>
    <mergeCell ref="BH3609:BH3610"/>
    <mergeCell ref="BC3611:BC3612"/>
    <mergeCell ref="BD3611:BD3612"/>
    <mergeCell ref="BE3611:BE3612"/>
    <mergeCell ref="BF3611:BF3612"/>
    <mergeCell ref="BG3611:BG3612"/>
    <mergeCell ref="BH3611:BH3612"/>
    <mergeCell ref="BC3613:BC3616"/>
    <mergeCell ref="BD3613:BD3616"/>
    <mergeCell ref="BE3613:BE3616"/>
    <mergeCell ref="BF3613:BF3616"/>
    <mergeCell ref="BG3613:BG3616"/>
    <mergeCell ref="BH3613:BH3616"/>
    <mergeCell ref="BC3617:BC3618"/>
    <mergeCell ref="BD3617:BD3618"/>
    <mergeCell ref="BE3617:BE3618"/>
    <mergeCell ref="BF3617:BF3618"/>
    <mergeCell ref="BG3617:BG3618"/>
    <mergeCell ref="BH3617:BH3618"/>
    <mergeCell ref="BC3620:BC3628"/>
    <mergeCell ref="BD3620:BD3628"/>
    <mergeCell ref="BE3620:BE3628"/>
    <mergeCell ref="BF3620:BF3628"/>
    <mergeCell ref="BG3620:BG3628"/>
    <mergeCell ref="BH3620:BH3628"/>
    <mergeCell ref="BC3629:BC3635"/>
    <mergeCell ref="BD3629:BD3635"/>
    <mergeCell ref="BE3629:BE3635"/>
    <mergeCell ref="BF3629:BF3635"/>
    <mergeCell ref="BG3629:BG3635"/>
    <mergeCell ref="BH3629:BH3635"/>
    <mergeCell ref="BC3636:BC3637"/>
    <mergeCell ref="BD3636:BD3637"/>
    <mergeCell ref="BE3636:BE3637"/>
    <mergeCell ref="BF3636:BF3637"/>
    <mergeCell ref="BG3636:BG3637"/>
    <mergeCell ref="BH3636:BH3637"/>
    <mergeCell ref="BC3639:BC3661"/>
    <mergeCell ref="BD3639:BD3661"/>
    <mergeCell ref="BE3639:BE3661"/>
    <mergeCell ref="BF3639:BF3661"/>
    <mergeCell ref="BG3639:BG3661"/>
    <mergeCell ref="BH3639:BH3661"/>
    <mergeCell ref="BC3664:BC3665"/>
    <mergeCell ref="BD3664:BD3665"/>
    <mergeCell ref="BE3664:BE3665"/>
    <mergeCell ref="BF3664:BF3665"/>
    <mergeCell ref="BG3664:BG3665"/>
    <mergeCell ref="BH3664:BH3665"/>
    <mergeCell ref="BC3667:BC3669"/>
    <mergeCell ref="BD3667:BD3669"/>
    <mergeCell ref="BE3667:BE3669"/>
    <mergeCell ref="BF3667:BF3669"/>
    <mergeCell ref="BG3667:BG3669"/>
    <mergeCell ref="BH3667:BH3669"/>
    <mergeCell ref="BC3670:BC3678"/>
    <mergeCell ref="BD3670:BD3678"/>
    <mergeCell ref="BE3670:BE3678"/>
    <mergeCell ref="BF3670:BF3678"/>
    <mergeCell ref="BG3670:BG3678"/>
    <mergeCell ref="BH3670:BH3678"/>
    <mergeCell ref="BC3680:BC3682"/>
    <mergeCell ref="BD3680:BD3682"/>
    <mergeCell ref="BE3680:BE3682"/>
    <mergeCell ref="BF3680:BF3682"/>
    <mergeCell ref="BG3680:BG3682"/>
    <mergeCell ref="BH3680:BH3682"/>
    <mergeCell ref="BC3683:BC3684"/>
    <mergeCell ref="BD3683:BD3684"/>
    <mergeCell ref="BE3683:BE3684"/>
    <mergeCell ref="BF3683:BF3684"/>
    <mergeCell ref="BG3683:BG3684"/>
    <mergeCell ref="BH3683:BH3684"/>
    <mergeCell ref="BC3685:BC3691"/>
    <mergeCell ref="BD3685:BD3691"/>
    <mergeCell ref="BE3685:BE3691"/>
    <mergeCell ref="BF3685:BF3691"/>
    <mergeCell ref="BG3685:BG3691"/>
    <mergeCell ref="BH3685:BH3691"/>
    <mergeCell ref="BC3692:BC3695"/>
    <mergeCell ref="BD3692:BD3695"/>
    <mergeCell ref="BE3692:BE3695"/>
    <mergeCell ref="BF3692:BF3695"/>
    <mergeCell ref="BG3692:BG3695"/>
    <mergeCell ref="BH3692:BH3695"/>
    <mergeCell ref="BC3696:BC3700"/>
    <mergeCell ref="BD3696:BD3700"/>
    <mergeCell ref="BE3696:BE3700"/>
    <mergeCell ref="BF3696:BF3700"/>
    <mergeCell ref="BG3696:BG3700"/>
    <mergeCell ref="BH3696:BH3700"/>
    <mergeCell ref="BC3701:BC3721"/>
    <mergeCell ref="BD3701:BD3721"/>
    <mergeCell ref="BE3701:BE3721"/>
    <mergeCell ref="BF3701:BF3721"/>
    <mergeCell ref="BG3701:BG3721"/>
    <mergeCell ref="BH3701:BH3721"/>
    <mergeCell ref="BC3722:BC3730"/>
    <mergeCell ref="BD3722:BD3730"/>
    <mergeCell ref="BE3722:BE3730"/>
    <mergeCell ref="BF3722:BF3730"/>
    <mergeCell ref="BG3722:BG3730"/>
    <mergeCell ref="BH3722:BH3730"/>
    <mergeCell ref="BC3731:BC3739"/>
    <mergeCell ref="BD3731:BD3739"/>
    <mergeCell ref="BE3731:BE3739"/>
    <mergeCell ref="BF3731:BF3739"/>
    <mergeCell ref="BG3731:BG3739"/>
    <mergeCell ref="BH3731:BH3739"/>
    <mergeCell ref="BC3740:BC3742"/>
    <mergeCell ref="BD3740:BD3742"/>
    <mergeCell ref="BE3740:BE3742"/>
    <mergeCell ref="BF3740:BF3742"/>
    <mergeCell ref="BG3740:BG3742"/>
    <mergeCell ref="BH3740:BH3742"/>
    <mergeCell ref="BC3743:BC3754"/>
    <mergeCell ref="BD3743:BD3754"/>
    <mergeCell ref="BE3743:BE3754"/>
    <mergeCell ref="BF3743:BF3754"/>
    <mergeCell ref="BG3743:BG3754"/>
    <mergeCell ref="BH3743:BH3754"/>
    <mergeCell ref="BC3755:BC3756"/>
    <mergeCell ref="BD3755:BD3756"/>
    <mergeCell ref="BE3755:BE3756"/>
    <mergeCell ref="BF3755:BF3756"/>
    <mergeCell ref="BG3755:BG3756"/>
    <mergeCell ref="BH3755:BH3756"/>
    <mergeCell ref="BC3757:BC3762"/>
    <mergeCell ref="BD3757:BD3762"/>
    <mergeCell ref="BE3757:BE3762"/>
    <mergeCell ref="BF3757:BF3762"/>
    <mergeCell ref="BG3757:BG3762"/>
    <mergeCell ref="BH3757:BH3762"/>
    <mergeCell ref="BC3765:BC3766"/>
    <mergeCell ref="BD3765:BD3766"/>
    <mergeCell ref="BE3765:BE3766"/>
    <mergeCell ref="BF3765:BF3766"/>
    <mergeCell ref="BG3765:BG3766"/>
    <mergeCell ref="BH3765:BH3766"/>
    <mergeCell ref="BC3767:BC3776"/>
    <mergeCell ref="BD3767:BD3776"/>
    <mergeCell ref="BE3767:BE3776"/>
    <mergeCell ref="BF3767:BF3776"/>
    <mergeCell ref="BG3767:BG3776"/>
    <mergeCell ref="BH3767:BH3776"/>
    <mergeCell ref="BC3777:BC3782"/>
    <mergeCell ref="BD3777:BD3782"/>
    <mergeCell ref="BE3777:BE3782"/>
    <mergeCell ref="BF3777:BF3782"/>
    <mergeCell ref="BG3777:BG3782"/>
    <mergeCell ref="BH3777:BH3782"/>
    <mergeCell ref="BC3783:BC3784"/>
    <mergeCell ref="BD3783:BD3784"/>
    <mergeCell ref="BE3783:BE3784"/>
    <mergeCell ref="BF3783:BF3784"/>
    <mergeCell ref="BG3783:BG3784"/>
    <mergeCell ref="BH3783:BH3784"/>
    <mergeCell ref="BC3785:BC3786"/>
    <mergeCell ref="BD3785:BD3786"/>
    <mergeCell ref="BE3785:BE3786"/>
    <mergeCell ref="BF3785:BF3786"/>
    <mergeCell ref="BG3785:BG3786"/>
    <mergeCell ref="BH3785:BH3786"/>
    <mergeCell ref="BC3787:BC3789"/>
    <mergeCell ref="BD3787:BD3789"/>
    <mergeCell ref="BE3787:BE3789"/>
    <mergeCell ref="BF3787:BF3789"/>
    <mergeCell ref="BG3787:BG3789"/>
    <mergeCell ref="BH3787:BH3789"/>
    <mergeCell ref="BC3792:BC3797"/>
    <mergeCell ref="BD3792:BD3797"/>
    <mergeCell ref="BE3792:BE3797"/>
    <mergeCell ref="BF3792:BF3797"/>
    <mergeCell ref="BG3792:BG3797"/>
    <mergeCell ref="BH3792:BH3797"/>
    <mergeCell ref="BC3798:BC3799"/>
    <mergeCell ref="BD3798:BD3799"/>
    <mergeCell ref="BE3798:BE3799"/>
    <mergeCell ref="BF3798:BF3799"/>
    <mergeCell ref="BG3798:BG3799"/>
    <mergeCell ref="BH3798:BH3799"/>
    <mergeCell ref="BC3801:BC3802"/>
    <mergeCell ref="BD3801:BD3802"/>
    <mergeCell ref="BE3801:BE3802"/>
    <mergeCell ref="BF3801:BF3802"/>
    <mergeCell ref="BG3801:BG3802"/>
    <mergeCell ref="BH3801:BH3802"/>
    <mergeCell ref="BC3805:BC3806"/>
    <mergeCell ref="BD3805:BD3806"/>
    <mergeCell ref="BE3805:BE3806"/>
    <mergeCell ref="BF3805:BF3806"/>
    <mergeCell ref="BG3805:BG3806"/>
    <mergeCell ref="BH3805:BH3806"/>
    <mergeCell ref="BC3807:BC3809"/>
    <mergeCell ref="BD3807:BD3809"/>
    <mergeCell ref="BE3807:BE3809"/>
    <mergeCell ref="BF3807:BF3809"/>
    <mergeCell ref="BG3807:BG3809"/>
    <mergeCell ref="BH3807:BH3809"/>
    <mergeCell ref="BC3810:BC3811"/>
    <mergeCell ref="BD3810:BD3811"/>
    <mergeCell ref="BE3810:BE3811"/>
    <mergeCell ref="BF3810:BF3811"/>
    <mergeCell ref="BG3810:BG3811"/>
    <mergeCell ref="BH3810:BH3811"/>
    <mergeCell ref="BC3812:BC3813"/>
    <mergeCell ref="BD3812:BD3813"/>
    <mergeCell ref="BE3812:BE3813"/>
    <mergeCell ref="BF3812:BF3813"/>
    <mergeCell ref="BG3812:BG3813"/>
    <mergeCell ref="BH3812:BH3813"/>
    <mergeCell ref="BC3814:BC3815"/>
    <mergeCell ref="BD3814:BD3815"/>
    <mergeCell ref="BE3814:BE3815"/>
    <mergeCell ref="BF3814:BF3815"/>
    <mergeCell ref="BG3814:BG3815"/>
    <mergeCell ref="BH3814:BH3815"/>
    <mergeCell ref="BC3816:BC3817"/>
    <mergeCell ref="BD3816:BD3817"/>
    <mergeCell ref="BE3816:BE3817"/>
    <mergeCell ref="BF3816:BF3817"/>
    <mergeCell ref="BG3816:BG3817"/>
    <mergeCell ref="BH3816:BH3817"/>
    <mergeCell ref="BC3818:BC3819"/>
    <mergeCell ref="BD3818:BD3819"/>
    <mergeCell ref="BE3818:BE3819"/>
    <mergeCell ref="BF3818:BF3819"/>
    <mergeCell ref="BG3818:BG3819"/>
    <mergeCell ref="BH3818:BH3819"/>
    <mergeCell ref="BC3820:BC3821"/>
    <mergeCell ref="BD3820:BD3821"/>
    <mergeCell ref="BE3820:BE3821"/>
    <mergeCell ref="BF3820:BF3821"/>
    <mergeCell ref="BG3820:BG3821"/>
    <mergeCell ref="BH3820:BH3821"/>
    <mergeCell ref="BC3822:BC3823"/>
    <mergeCell ref="BD3822:BD3823"/>
    <mergeCell ref="BE3822:BE3823"/>
    <mergeCell ref="BF3822:BF3823"/>
    <mergeCell ref="BG3822:BG3823"/>
    <mergeCell ref="BH3822:BH3823"/>
    <mergeCell ref="BC3824:BC3825"/>
    <mergeCell ref="BD3824:BD3825"/>
    <mergeCell ref="BE3824:BE3825"/>
    <mergeCell ref="BF3824:BF3825"/>
    <mergeCell ref="BG3824:BG3825"/>
    <mergeCell ref="BH3824:BH3825"/>
    <mergeCell ref="BC3827:BC3828"/>
    <mergeCell ref="BD3827:BD3828"/>
    <mergeCell ref="BE3827:BE3828"/>
    <mergeCell ref="BF3827:BF3828"/>
    <mergeCell ref="BG3827:BG3828"/>
    <mergeCell ref="BH3827:BH3828"/>
    <mergeCell ref="BC3829:BC3830"/>
    <mergeCell ref="BD3829:BD3830"/>
    <mergeCell ref="BE3829:BE3830"/>
    <mergeCell ref="BF3829:BF3830"/>
    <mergeCell ref="BG3829:BG3830"/>
    <mergeCell ref="BH3829:BH3830"/>
    <mergeCell ref="BC3831:BC3832"/>
    <mergeCell ref="BD3831:BD3832"/>
    <mergeCell ref="BE3831:BE3832"/>
    <mergeCell ref="BF3831:BF3832"/>
    <mergeCell ref="BG3831:BG3832"/>
    <mergeCell ref="BH3831:BH3832"/>
    <mergeCell ref="BC3834:BC3835"/>
    <mergeCell ref="BD3834:BD3835"/>
    <mergeCell ref="BE3834:BE3835"/>
    <mergeCell ref="BF3834:BF3835"/>
    <mergeCell ref="BG3834:BG3835"/>
    <mergeCell ref="BH3834:BH3835"/>
    <mergeCell ref="BC3836:BC3837"/>
    <mergeCell ref="BD3836:BD3837"/>
    <mergeCell ref="BE3836:BE3837"/>
    <mergeCell ref="BF3836:BF3837"/>
    <mergeCell ref="BG3836:BG3837"/>
    <mergeCell ref="BH3836:BH3837"/>
    <mergeCell ref="BC3838:BC3839"/>
    <mergeCell ref="BD3838:BD3839"/>
    <mergeCell ref="BE3838:BE3839"/>
    <mergeCell ref="BF3838:BF3839"/>
    <mergeCell ref="BG3838:BG3839"/>
    <mergeCell ref="BH3838:BH3839"/>
    <mergeCell ref="BC3841:BC3842"/>
    <mergeCell ref="BD3841:BD3842"/>
    <mergeCell ref="BE3841:BE3842"/>
    <mergeCell ref="BF3841:BF3842"/>
    <mergeCell ref="BG3841:BG3842"/>
    <mergeCell ref="BH3841:BH3842"/>
    <mergeCell ref="BC3843:BC3844"/>
    <mergeCell ref="BD3843:BD3844"/>
    <mergeCell ref="BE3843:BE3844"/>
    <mergeCell ref="BF3843:BF3844"/>
    <mergeCell ref="BG3843:BG3844"/>
    <mergeCell ref="BH3843:BH3844"/>
    <mergeCell ref="BC3846:BC3849"/>
    <mergeCell ref="BD3846:BD3849"/>
    <mergeCell ref="BE3846:BE3849"/>
    <mergeCell ref="BF3846:BF3849"/>
    <mergeCell ref="BG3846:BG3849"/>
    <mergeCell ref="BH3846:BH3849"/>
    <mergeCell ref="BC3850:BC3851"/>
    <mergeCell ref="BD3850:BD3851"/>
    <mergeCell ref="BE3850:BE3851"/>
    <mergeCell ref="BF3850:BF3851"/>
    <mergeCell ref="BG3850:BG3851"/>
    <mergeCell ref="BH3850:BH3851"/>
    <mergeCell ref="AV6:AV8"/>
    <mergeCell ref="AW6:AW8"/>
    <mergeCell ref="AX6:AX8"/>
    <mergeCell ref="AY6:AY8"/>
    <mergeCell ref="AZ6:AZ8"/>
    <mergeCell ref="BA6:BA8"/>
    <mergeCell ref="BI6:BI8"/>
    <mergeCell ref="AV9:AV10"/>
    <mergeCell ref="AW9:AW10"/>
    <mergeCell ref="AX9:AX10"/>
    <mergeCell ref="AY9:AY10"/>
    <mergeCell ref="AZ9:AZ10"/>
    <mergeCell ref="BA9:BA10"/>
    <mergeCell ref="BI9:BI10"/>
    <mergeCell ref="AV11:AV12"/>
    <mergeCell ref="AW11:AW12"/>
    <mergeCell ref="AX11:AX12"/>
    <mergeCell ref="AY11:AY12"/>
    <mergeCell ref="AZ11:AZ12"/>
    <mergeCell ref="BA11:BA12"/>
    <mergeCell ref="BI11:BI12"/>
    <mergeCell ref="AV13:AV14"/>
    <mergeCell ref="AW13:AW14"/>
    <mergeCell ref="AX13:AX14"/>
    <mergeCell ref="AY13:AY14"/>
    <mergeCell ref="AZ13:AZ14"/>
    <mergeCell ref="BA13:BA14"/>
    <mergeCell ref="BI13:BI14"/>
    <mergeCell ref="AV15:AV17"/>
    <mergeCell ref="AW15:AW17"/>
    <mergeCell ref="AX15:AX17"/>
    <mergeCell ref="AY15:AY17"/>
    <mergeCell ref="AZ15:AZ17"/>
    <mergeCell ref="BA15:BA17"/>
    <mergeCell ref="BI15:BI17"/>
    <mergeCell ref="AV19:AV21"/>
    <mergeCell ref="AW19:AW21"/>
    <mergeCell ref="AX19:AX21"/>
    <mergeCell ref="AY19:AY21"/>
    <mergeCell ref="AZ19:AZ21"/>
    <mergeCell ref="BA19:BA21"/>
    <mergeCell ref="BI19:BI21"/>
    <mergeCell ref="AV22:AV24"/>
    <mergeCell ref="AW22:AW24"/>
    <mergeCell ref="AX22:AX24"/>
    <mergeCell ref="AY22:AY24"/>
    <mergeCell ref="AZ22:AZ24"/>
    <mergeCell ref="BA22:BA24"/>
    <mergeCell ref="BI22:BI24"/>
    <mergeCell ref="AV25:AV27"/>
    <mergeCell ref="AW25:AW27"/>
    <mergeCell ref="AX25:AX27"/>
    <mergeCell ref="AY25:AY27"/>
    <mergeCell ref="AZ25:AZ27"/>
    <mergeCell ref="BA25:BA27"/>
    <mergeCell ref="BI25:BI27"/>
    <mergeCell ref="AV28:AV29"/>
    <mergeCell ref="AW28:AW29"/>
    <mergeCell ref="AX28:AX29"/>
    <mergeCell ref="AY28:AY29"/>
    <mergeCell ref="AZ28:AZ29"/>
    <mergeCell ref="BA28:BA29"/>
    <mergeCell ref="BI28:BI29"/>
    <mergeCell ref="AV30:AV32"/>
    <mergeCell ref="AW30:AW32"/>
    <mergeCell ref="AX30:AX32"/>
    <mergeCell ref="AY30:AY32"/>
    <mergeCell ref="AZ30:AZ32"/>
    <mergeCell ref="BA30:BA32"/>
    <mergeCell ref="BI30:BI32"/>
    <mergeCell ref="AV35:AV37"/>
    <mergeCell ref="AW35:AW37"/>
    <mergeCell ref="AX35:AX37"/>
    <mergeCell ref="AY35:AY37"/>
    <mergeCell ref="AZ35:AZ37"/>
    <mergeCell ref="BA35:BA37"/>
    <mergeCell ref="BI35:BI37"/>
    <mergeCell ref="AV38:AV39"/>
    <mergeCell ref="AW38:AW39"/>
    <mergeCell ref="AX38:AX39"/>
    <mergeCell ref="AY38:AY39"/>
    <mergeCell ref="AZ38:AZ39"/>
    <mergeCell ref="BA38:BA39"/>
    <mergeCell ref="BI38:BI39"/>
    <mergeCell ref="AV40:AV42"/>
    <mergeCell ref="AW40:AW42"/>
    <mergeCell ref="AX40:AX42"/>
    <mergeCell ref="AY40:AY42"/>
    <mergeCell ref="AZ40:AZ42"/>
    <mergeCell ref="BA40:BA42"/>
    <mergeCell ref="BI40:BI42"/>
    <mergeCell ref="AV43:AV44"/>
    <mergeCell ref="AW43:AW44"/>
    <mergeCell ref="AX43:AX44"/>
    <mergeCell ref="AY43:AY44"/>
    <mergeCell ref="AZ43:AZ44"/>
    <mergeCell ref="BA43:BA44"/>
    <mergeCell ref="BI43:BI44"/>
    <mergeCell ref="AV46:AV48"/>
    <mergeCell ref="AW46:AW48"/>
    <mergeCell ref="AX46:AX48"/>
    <mergeCell ref="AY46:AY48"/>
    <mergeCell ref="AZ46:AZ48"/>
    <mergeCell ref="BA46:BA48"/>
    <mergeCell ref="BI46:BI48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7"/>
    <mergeCell ref="AW55:AW57"/>
    <mergeCell ref="AX55:AX57"/>
    <mergeCell ref="AY55:AY57"/>
    <mergeCell ref="AZ55:AZ57"/>
    <mergeCell ref="BA55:BA57"/>
    <mergeCell ref="BI55:BI57"/>
    <mergeCell ref="AV58:AV60"/>
    <mergeCell ref="AW58:AW60"/>
    <mergeCell ref="AX58:AX60"/>
    <mergeCell ref="AY58:AY60"/>
    <mergeCell ref="AZ58:AZ60"/>
    <mergeCell ref="BA58:BA60"/>
    <mergeCell ref="BI58:BI60"/>
    <mergeCell ref="AV61:AV62"/>
    <mergeCell ref="AW61:AW62"/>
    <mergeCell ref="AX61:AX62"/>
    <mergeCell ref="AY61:AY62"/>
    <mergeCell ref="AZ61:AZ62"/>
    <mergeCell ref="BA61:BA62"/>
    <mergeCell ref="BI61:BI62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2"/>
    <mergeCell ref="AW70:AW72"/>
    <mergeCell ref="AX70:AX72"/>
    <mergeCell ref="AY70:AY72"/>
    <mergeCell ref="AZ70:AZ72"/>
    <mergeCell ref="BA70:BA72"/>
    <mergeCell ref="BI70:BI72"/>
    <mergeCell ref="AV73:AV74"/>
    <mergeCell ref="AW73:AW74"/>
    <mergeCell ref="AX73:AX74"/>
    <mergeCell ref="AY73:AY74"/>
    <mergeCell ref="AZ73:AZ74"/>
    <mergeCell ref="BA73:BA74"/>
    <mergeCell ref="BI73:BI74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4"/>
    <mergeCell ref="AW83:AW84"/>
    <mergeCell ref="AX83:AX84"/>
    <mergeCell ref="AY83:AY84"/>
    <mergeCell ref="AZ83:AZ84"/>
    <mergeCell ref="BA83:BA84"/>
    <mergeCell ref="BI83:BI84"/>
    <mergeCell ref="AV86:AV87"/>
    <mergeCell ref="AW86:AW87"/>
    <mergeCell ref="AX86:AX87"/>
    <mergeCell ref="AY86:AY87"/>
    <mergeCell ref="AZ86:AZ87"/>
    <mergeCell ref="BA86:BA87"/>
    <mergeCell ref="AV89:AV91"/>
    <mergeCell ref="AW89:AW91"/>
    <mergeCell ref="AX89:AX91"/>
    <mergeCell ref="AY89:AY91"/>
    <mergeCell ref="AZ89:AZ91"/>
    <mergeCell ref="BA89:BA91"/>
    <mergeCell ref="AV93:AV95"/>
    <mergeCell ref="AW93:AW95"/>
    <mergeCell ref="AX93:AX95"/>
    <mergeCell ref="AY93:AY95"/>
    <mergeCell ref="AZ93:AZ95"/>
    <mergeCell ref="BA93:BA95"/>
    <mergeCell ref="AV96:AV98"/>
    <mergeCell ref="AW96:AW98"/>
    <mergeCell ref="AX96:AX98"/>
    <mergeCell ref="AY96:AY98"/>
    <mergeCell ref="AZ96:AZ98"/>
    <mergeCell ref="BA96:BA98"/>
    <mergeCell ref="AV99:AV100"/>
    <mergeCell ref="AW99:AW100"/>
    <mergeCell ref="AX99:AX100"/>
    <mergeCell ref="AY99:AY100"/>
    <mergeCell ref="AZ99:AZ100"/>
    <mergeCell ref="BA99:BA100"/>
    <mergeCell ref="AV101:AV102"/>
    <mergeCell ref="AW101:AW102"/>
    <mergeCell ref="AX101:AX102"/>
    <mergeCell ref="AY101:AY102"/>
    <mergeCell ref="AZ101:AZ102"/>
    <mergeCell ref="BA101:BA102"/>
    <mergeCell ref="AV104:AV106"/>
    <mergeCell ref="AW104:AW106"/>
    <mergeCell ref="AX104:AX106"/>
    <mergeCell ref="AY104:AY106"/>
    <mergeCell ref="AZ104:AZ106"/>
    <mergeCell ref="BA104:BA106"/>
    <mergeCell ref="AV107:AV109"/>
    <mergeCell ref="AW107:AW109"/>
    <mergeCell ref="AX107:AX109"/>
    <mergeCell ref="AY107:AY109"/>
    <mergeCell ref="AZ107:AZ109"/>
    <mergeCell ref="BA107:BA109"/>
    <mergeCell ref="AV110:AV111"/>
    <mergeCell ref="AW110:AW111"/>
    <mergeCell ref="AX110:AX111"/>
    <mergeCell ref="AY110:AY111"/>
    <mergeCell ref="AZ110:AZ111"/>
    <mergeCell ref="BA110:BA111"/>
    <mergeCell ref="AV112:AV114"/>
    <mergeCell ref="AW112:AW114"/>
    <mergeCell ref="AX112:AX114"/>
    <mergeCell ref="AY112:AY114"/>
    <mergeCell ref="AZ112:AZ114"/>
    <mergeCell ref="BA112:BA114"/>
    <mergeCell ref="AV116:AV117"/>
    <mergeCell ref="AW116:AW117"/>
    <mergeCell ref="AX116:AX117"/>
    <mergeCell ref="AY116:AY117"/>
    <mergeCell ref="AZ116:AZ117"/>
    <mergeCell ref="BA116:BA117"/>
    <mergeCell ref="AV118:AV120"/>
    <mergeCell ref="AW118:AW120"/>
    <mergeCell ref="AX118:AX120"/>
    <mergeCell ref="AY118:AY120"/>
    <mergeCell ref="AZ118:AZ120"/>
    <mergeCell ref="BA118:BA120"/>
    <mergeCell ref="AV123:AV124"/>
    <mergeCell ref="AW123:AW124"/>
    <mergeCell ref="AX123:AX124"/>
    <mergeCell ref="AY123:AY124"/>
    <mergeCell ref="AZ123:AZ124"/>
    <mergeCell ref="BA123:BA124"/>
    <mergeCell ref="AV125:AV126"/>
    <mergeCell ref="AW125:AW126"/>
    <mergeCell ref="AX125:AX126"/>
    <mergeCell ref="AY125:AY126"/>
    <mergeCell ref="AZ125:AZ126"/>
    <mergeCell ref="BA125:BA126"/>
    <mergeCell ref="AV128:AV130"/>
    <mergeCell ref="AW128:AW130"/>
    <mergeCell ref="AX128:AX130"/>
    <mergeCell ref="AY128:AY130"/>
    <mergeCell ref="AZ128:AZ130"/>
    <mergeCell ref="BA128:BA130"/>
    <mergeCell ref="AV131:AV132"/>
    <mergeCell ref="AW131:AW132"/>
    <mergeCell ref="AX131:AX132"/>
    <mergeCell ref="AY131:AY132"/>
    <mergeCell ref="AZ131:AZ132"/>
    <mergeCell ref="BA131:BA132"/>
    <mergeCell ref="AV133:AV134"/>
    <mergeCell ref="AW133:AW134"/>
    <mergeCell ref="AX133:AX134"/>
    <mergeCell ref="AY133:AY134"/>
    <mergeCell ref="AZ133:AZ134"/>
    <mergeCell ref="BA133:BA134"/>
    <mergeCell ref="AV136:AV138"/>
    <mergeCell ref="AW136:AW138"/>
    <mergeCell ref="AX136:AX138"/>
    <mergeCell ref="AY136:AY138"/>
    <mergeCell ref="AZ136:AZ138"/>
    <mergeCell ref="BA136:BA138"/>
    <mergeCell ref="AV139:AV141"/>
    <mergeCell ref="AW139:AW141"/>
    <mergeCell ref="AX139:AX141"/>
    <mergeCell ref="AY139:AY141"/>
    <mergeCell ref="AZ139:AZ141"/>
    <mergeCell ref="BA139:BA141"/>
    <mergeCell ref="AV142:AV144"/>
    <mergeCell ref="AW142:AW144"/>
    <mergeCell ref="AX142:AX144"/>
    <mergeCell ref="AY142:AY144"/>
    <mergeCell ref="AZ142:AZ144"/>
    <mergeCell ref="BA142:BA144"/>
    <mergeCell ref="AV145:AV148"/>
    <mergeCell ref="AW145:AW148"/>
    <mergeCell ref="AX145:AX148"/>
    <mergeCell ref="AY145:AY148"/>
    <mergeCell ref="AZ145:AZ148"/>
    <mergeCell ref="BA145:BA148"/>
    <mergeCell ref="BI145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AV158:AV160"/>
    <mergeCell ref="AW158:AW160"/>
    <mergeCell ref="AX158:AX160"/>
    <mergeCell ref="AY158:AY160"/>
    <mergeCell ref="AZ158:AZ160"/>
    <mergeCell ref="BA158:BA160"/>
    <mergeCell ref="AV161:AV163"/>
    <mergeCell ref="AW161:AW163"/>
    <mergeCell ref="AX161:AX163"/>
    <mergeCell ref="AY161:AY163"/>
    <mergeCell ref="AZ161:AZ163"/>
    <mergeCell ref="BA161:BA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4:AV175"/>
    <mergeCell ref="AW174:AW175"/>
    <mergeCell ref="AX174:AX175"/>
    <mergeCell ref="AY174:AY175"/>
    <mergeCell ref="AZ174:AZ175"/>
    <mergeCell ref="BA174:BA175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2"/>
    <mergeCell ref="AW200:AW202"/>
    <mergeCell ref="AX200:AX202"/>
    <mergeCell ref="AY200:AY202"/>
    <mergeCell ref="AZ200:AZ202"/>
    <mergeCell ref="BA200:BA202"/>
    <mergeCell ref="BI200:BI202"/>
    <mergeCell ref="AV204:AV205"/>
    <mergeCell ref="AW204:AW205"/>
    <mergeCell ref="AX204:AX205"/>
    <mergeCell ref="AY204:AY205"/>
    <mergeCell ref="AZ204:AZ205"/>
    <mergeCell ref="BA204:BA205"/>
    <mergeCell ref="BI204:BI205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7:AV218"/>
    <mergeCell ref="AW217:AW218"/>
    <mergeCell ref="AX217:AX218"/>
    <mergeCell ref="AY217:AY218"/>
    <mergeCell ref="AZ217:AZ218"/>
    <mergeCell ref="BA217:BA218"/>
    <mergeCell ref="AV219:AV220"/>
    <mergeCell ref="AW219:AW220"/>
    <mergeCell ref="AX219:AX220"/>
    <mergeCell ref="AY219:AY220"/>
    <mergeCell ref="AZ219:AZ220"/>
    <mergeCell ref="BA219:BA220"/>
    <mergeCell ref="AV221:AV222"/>
    <mergeCell ref="AW221:AW222"/>
    <mergeCell ref="AX221:AX222"/>
    <mergeCell ref="AY221:AY222"/>
    <mergeCell ref="AZ221:AZ222"/>
    <mergeCell ref="BA221:BA222"/>
    <mergeCell ref="AV224:AV225"/>
    <mergeCell ref="AW224:AW225"/>
    <mergeCell ref="AX224:AX225"/>
    <mergeCell ref="AY224:AY225"/>
    <mergeCell ref="AZ224:AZ225"/>
    <mergeCell ref="BA224:BA225"/>
    <mergeCell ref="BI224:BI225"/>
    <mergeCell ref="AV229:AV230"/>
    <mergeCell ref="AW229:AW230"/>
    <mergeCell ref="AX229:AX230"/>
    <mergeCell ref="AY229:AY230"/>
    <mergeCell ref="AZ229:AZ230"/>
    <mergeCell ref="BA229:BA230"/>
    <mergeCell ref="BI229:BI230"/>
    <mergeCell ref="AV235:AV236"/>
    <mergeCell ref="AW235:AW236"/>
    <mergeCell ref="AX235:AX236"/>
    <mergeCell ref="AY235:AY236"/>
    <mergeCell ref="AZ235:AZ236"/>
    <mergeCell ref="BA235:BA236"/>
    <mergeCell ref="BI235:BI236"/>
    <mergeCell ref="AV241:AV242"/>
    <mergeCell ref="AW241:AW242"/>
    <mergeCell ref="AX241:AX242"/>
    <mergeCell ref="AY241:AY242"/>
    <mergeCell ref="AZ241:AZ242"/>
    <mergeCell ref="BA241:BA242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3:AV254"/>
    <mergeCell ref="AW253:AW254"/>
    <mergeCell ref="AX253:AX254"/>
    <mergeCell ref="AY253:AY254"/>
    <mergeCell ref="AZ253:AZ254"/>
    <mergeCell ref="BA253:BA254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AV268:AV269"/>
    <mergeCell ref="AW268:AW269"/>
    <mergeCell ref="AX268:AX269"/>
    <mergeCell ref="AY268:AY269"/>
    <mergeCell ref="AZ268:AZ269"/>
    <mergeCell ref="BA268:BA269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BI273:BI274"/>
    <mergeCell ref="AV276:AV277"/>
    <mergeCell ref="AW276:AW277"/>
    <mergeCell ref="AX276:AX277"/>
    <mergeCell ref="AY276:AY277"/>
    <mergeCell ref="AZ276:AZ277"/>
    <mergeCell ref="BA276:BA277"/>
    <mergeCell ref="BI276:BI277"/>
    <mergeCell ref="AV281:AV282"/>
    <mergeCell ref="AW281:AW282"/>
    <mergeCell ref="AX281:AX282"/>
    <mergeCell ref="AY281:AY282"/>
    <mergeCell ref="AZ281:AZ282"/>
    <mergeCell ref="BA281:BA282"/>
    <mergeCell ref="BI281:BI282"/>
    <mergeCell ref="AV284:AV285"/>
    <mergeCell ref="AW284:AW285"/>
    <mergeCell ref="AX284:AX285"/>
    <mergeCell ref="AY284:AY285"/>
    <mergeCell ref="AZ284:AZ285"/>
    <mergeCell ref="BA284:BA285"/>
    <mergeCell ref="AV286:AV287"/>
    <mergeCell ref="AW286:AW287"/>
    <mergeCell ref="AX286:AX287"/>
    <mergeCell ref="AY286:AY287"/>
    <mergeCell ref="AZ286:AZ287"/>
    <mergeCell ref="BA286:BA287"/>
    <mergeCell ref="AV288:AV289"/>
    <mergeCell ref="AW288:AW289"/>
    <mergeCell ref="AX288:AX289"/>
    <mergeCell ref="AY288:AY289"/>
    <mergeCell ref="AZ288:AZ289"/>
    <mergeCell ref="BA288:BA289"/>
    <mergeCell ref="AV290:AV291"/>
    <mergeCell ref="AW290:AW291"/>
    <mergeCell ref="AX290:AX291"/>
    <mergeCell ref="AY290:AY291"/>
    <mergeCell ref="AZ290:AZ291"/>
    <mergeCell ref="BA290:BA291"/>
    <mergeCell ref="AV292:AV293"/>
    <mergeCell ref="AW292:AW293"/>
    <mergeCell ref="AX292:AX293"/>
    <mergeCell ref="AY292:AY293"/>
    <mergeCell ref="AZ292:AZ293"/>
    <mergeCell ref="BA292:BA293"/>
    <mergeCell ref="AV295:AV296"/>
    <mergeCell ref="AW295:AW296"/>
    <mergeCell ref="AX295:AX296"/>
    <mergeCell ref="AY295:AY296"/>
    <mergeCell ref="AZ295:AZ296"/>
    <mergeCell ref="BA295:BA296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AV357:AV358"/>
    <mergeCell ref="AW357:AW358"/>
    <mergeCell ref="AX357:AX358"/>
    <mergeCell ref="AY357:AY358"/>
    <mergeCell ref="AZ357:AZ358"/>
    <mergeCell ref="BA357:BA358"/>
    <mergeCell ref="AV359:AV361"/>
    <mergeCell ref="AW359:AW361"/>
    <mergeCell ref="AX359:AX361"/>
    <mergeCell ref="AY359:AY361"/>
    <mergeCell ref="AZ359:AZ361"/>
    <mergeCell ref="BA359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8:AV382"/>
    <mergeCell ref="AW378:AW382"/>
    <mergeCell ref="AX378:AX382"/>
    <mergeCell ref="AY378:AY382"/>
    <mergeCell ref="AZ378:AZ382"/>
    <mergeCell ref="BA378:BA382"/>
    <mergeCell ref="BI378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9"/>
    <mergeCell ref="AW386:AW389"/>
    <mergeCell ref="AX386:AX389"/>
    <mergeCell ref="AY386:AY389"/>
    <mergeCell ref="AZ386:AZ389"/>
    <mergeCell ref="BA386:BA389"/>
    <mergeCell ref="BI386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7"/>
    <mergeCell ref="AW394:AW397"/>
    <mergeCell ref="AX394:AX397"/>
    <mergeCell ref="AY394:AY397"/>
    <mergeCell ref="AZ394:AZ397"/>
    <mergeCell ref="BA394:BA397"/>
    <mergeCell ref="BI394:BI397"/>
    <mergeCell ref="AV398:AV402"/>
    <mergeCell ref="AW398:AW402"/>
    <mergeCell ref="AX398:AX402"/>
    <mergeCell ref="AY398:AY402"/>
    <mergeCell ref="AZ398:AZ402"/>
    <mergeCell ref="BA398:BA402"/>
    <mergeCell ref="BI398:BI402"/>
    <mergeCell ref="AV403:AV407"/>
    <mergeCell ref="AW403:AW407"/>
    <mergeCell ref="AX403:AX407"/>
    <mergeCell ref="AY403:AY407"/>
    <mergeCell ref="AZ403:AZ407"/>
    <mergeCell ref="BA403:BA407"/>
    <mergeCell ref="BI403:BI407"/>
    <mergeCell ref="AV408:AV412"/>
    <mergeCell ref="AW408:AW412"/>
    <mergeCell ref="AX408:AX412"/>
    <mergeCell ref="AY408:AY412"/>
    <mergeCell ref="AZ408:AZ412"/>
    <mergeCell ref="BA408:BA412"/>
    <mergeCell ref="BI408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9"/>
    <mergeCell ref="AW416:AW419"/>
    <mergeCell ref="AX416:AX419"/>
    <mergeCell ref="AY416:AY419"/>
    <mergeCell ref="AZ416:AZ419"/>
    <mergeCell ref="BA416:BA419"/>
    <mergeCell ref="BI416:BI419"/>
    <mergeCell ref="AV420:AV424"/>
    <mergeCell ref="AW420:AW424"/>
    <mergeCell ref="AX420:AX424"/>
    <mergeCell ref="AY420:AY424"/>
    <mergeCell ref="AZ420:AZ424"/>
    <mergeCell ref="BA420:BA424"/>
    <mergeCell ref="BI420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32"/>
    <mergeCell ref="AW428:AW432"/>
    <mergeCell ref="AX428:AX432"/>
    <mergeCell ref="AY428:AY432"/>
    <mergeCell ref="AZ428:AZ432"/>
    <mergeCell ref="BA428:BA432"/>
    <mergeCell ref="AV433:AV437"/>
    <mergeCell ref="AW433:AW437"/>
    <mergeCell ref="AX433:AX437"/>
    <mergeCell ref="AY433:AY437"/>
    <mergeCell ref="AZ433:AZ437"/>
    <mergeCell ref="BA433:BA437"/>
    <mergeCell ref="AV438:AV442"/>
    <mergeCell ref="AW438:AW442"/>
    <mergeCell ref="AX438:AX442"/>
    <mergeCell ref="AY438:AY442"/>
    <mergeCell ref="AZ438:AZ442"/>
    <mergeCell ref="BA438:BA442"/>
    <mergeCell ref="AV443:AV447"/>
    <mergeCell ref="AW443:AW447"/>
    <mergeCell ref="AX443:AX447"/>
    <mergeCell ref="AY443:AY447"/>
    <mergeCell ref="AZ443:AZ447"/>
    <mergeCell ref="BA443:BA447"/>
    <mergeCell ref="AV448:AV452"/>
    <mergeCell ref="AW448:AW452"/>
    <mergeCell ref="AX448:AX452"/>
    <mergeCell ref="AY448:AY452"/>
    <mergeCell ref="AZ448:AZ452"/>
    <mergeCell ref="BA448:BA452"/>
    <mergeCell ref="AV453:AV457"/>
    <mergeCell ref="AW453:AW457"/>
    <mergeCell ref="AX453:AX457"/>
    <mergeCell ref="AY453:AY457"/>
    <mergeCell ref="AZ453:AZ457"/>
    <mergeCell ref="BA453:BA457"/>
    <mergeCell ref="AV458:AV462"/>
    <mergeCell ref="AW458:AW462"/>
    <mergeCell ref="AX458:AX462"/>
    <mergeCell ref="AY458:AY462"/>
    <mergeCell ref="AZ458:AZ462"/>
    <mergeCell ref="BA458:BA462"/>
    <mergeCell ref="AV463:AV467"/>
    <mergeCell ref="AW463:AW467"/>
    <mergeCell ref="AX463:AX467"/>
    <mergeCell ref="AY463:AY467"/>
    <mergeCell ref="AZ463:AZ467"/>
    <mergeCell ref="BA463:BA467"/>
    <mergeCell ref="AV468:AV470"/>
    <mergeCell ref="AW468:AW470"/>
    <mergeCell ref="AX468:AX470"/>
    <mergeCell ref="AY468:AY470"/>
    <mergeCell ref="AZ468:AZ470"/>
    <mergeCell ref="BA468:BA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8"/>
    <mergeCell ref="AW477:AW478"/>
    <mergeCell ref="AX477:AX478"/>
    <mergeCell ref="AY477:AY478"/>
    <mergeCell ref="AZ477:AZ478"/>
    <mergeCell ref="BA477:BA478"/>
    <mergeCell ref="BI477:BI478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2"/>
    <mergeCell ref="AW489:AW492"/>
    <mergeCell ref="AX489:AX492"/>
    <mergeCell ref="AY489:AY492"/>
    <mergeCell ref="AZ489:AZ492"/>
    <mergeCell ref="BA489:BA492"/>
    <mergeCell ref="BI489:BI492"/>
    <mergeCell ref="AV493:AV496"/>
    <mergeCell ref="AW493:AW496"/>
    <mergeCell ref="AX493:AX496"/>
    <mergeCell ref="AY493:AY496"/>
    <mergeCell ref="AZ493:AZ496"/>
    <mergeCell ref="BA493:BA496"/>
    <mergeCell ref="BI493:BI496"/>
    <mergeCell ref="AV497:AV501"/>
    <mergeCell ref="AW497:AW501"/>
    <mergeCell ref="AX497:AX501"/>
    <mergeCell ref="AY497:AY501"/>
    <mergeCell ref="AZ497:AZ501"/>
    <mergeCell ref="BA497:BA501"/>
    <mergeCell ref="BI497:BI501"/>
    <mergeCell ref="AV502:AV506"/>
    <mergeCell ref="AW502:AW506"/>
    <mergeCell ref="AX502:AX506"/>
    <mergeCell ref="AY502:AY506"/>
    <mergeCell ref="AZ502:AZ506"/>
    <mergeCell ref="BA502:BA506"/>
    <mergeCell ref="BI502:BI506"/>
    <mergeCell ref="AV507:AV508"/>
    <mergeCell ref="AW507:AW508"/>
    <mergeCell ref="AX507:AX508"/>
    <mergeCell ref="AY507:AY508"/>
    <mergeCell ref="AZ507:AZ508"/>
    <mergeCell ref="BA507:BA508"/>
    <mergeCell ref="BI507:BI508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5"/>
    <mergeCell ref="AW523:AW525"/>
    <mergeCell ref="AX523:AX525"/>
    <mergeCell ref="AY523:AY525"/>
    <mergeCell ref="AZ523:AZ525"/>
    <mergeCell ref="BA523:BA525"/>
    <mergeCell ref="BI523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4"/>
    <mergeCell ref="AW532:AW534"/>
    <mergeCell ref="AX532:AX534"/>
    <mergeCell ref="AY532:AY534"/>
    <mergeCell ref="AZ532:AZ534"/>
    <mergeCell ref="BA532:BA534"/>
    <mergeCell ref="AV535:AV537"/>
    <mergeCell ref="AW535:AW537"/>
    <mergeCell ref="AX535:AX537"/>
    <mergeCell ref="AY535:AY537"/>
    <mergeCell ref="AZ535:AZ537"/>
    <mergeCell ref="BA535:BA537"/>
    <mergeCell ref="AV538:AV540"/>
    <mergeCell ref="AW538:AW540"/>
    <mergeCell ref="AX538:AX540"/>
    <mergeCell ref="AY538:AY540"/>
    <mergeCell ref="AZ538:AZ540"/>
    <mergeCell ref="BA538:BA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AV545:AV547"/>
    <mergeCell ref="AW545:AW547"/>
    <mergeCell ref="AX545:AX547"/>
    <mergeCell ref="AY545:AY547"/>
    <mergeCell ref="AZ545:AZ547"/>
    <mergeCell ref="BA545:BA547"/>
    <mergeCell ref="AV548:AV549"/>
    <mergeCell ref="AW548:AW549"/>
    <mergeCell ref="AX548:AX549"/>
    <mergeCell ref="AY548:AY549"/>
    <mergeCell ref="AZ548:AZ549"/>
    <mergeCell ref="BA548:BA549"/>
    <mergeCell ref="AV550:AV551"/>
    <mergeCell ref="AW550:AW551"/>
    <mergeCell ref="AX550:AX551"/>
    <mergeCell ref="AY550:AY551"/>
    <mergeCell ref="AZ550:AZ551"/>
    <mergeCell ref="BA550:BA551"/>
    <mergeCell ref="AV552:AV553"/>
    <mergeCell ref="AW552:AW553"/>
    <mergeCell ref="AX552:AX553"/>
    <mergeCell ref="AY552:AY553"/>
    <mergeCell ref="AZ552:AZ553"/>
    <mergeCell ref="BA552:BA553"/>
    <mergeCell ref="AV554:AV555"/>
    <mergeCell ref="AW554:AW555"/>
    <mergeCell ref="AX554:AX555"/>
    <mergeCell ref="AY554:AY555"/>
    <mergeCell ref="AZ554:AZ555"/>
    <mergeCell ref="BA554:BA555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AV562:AV563"/>
    <mergeCell ref="AW562:AW563"/>
    <mergeCell ref="AX562:AX563"/>
    <mergeCell ref="AY562:AY563"/>
    <mergeCell ref="AZ562:AZ563"/>
    <mergeCell ref="BA562:BA563"/>
    <mergeCell ref="AV564:AV566"/>
    <mergeCell ref="AW564:AW566"/>
    <mergeCell ref="AX564:AX566"/>
    <mergeCell ref="AY564:AY566"/>
    <mergeCell ref="AZ564:AZ566"/>
    <mergeCell ref="BA564:BA566"/>
    <mergeCell ref="AV567:AV568"/>
    <mergeCell ref="AW567:AW568"/>
    <mergeCell ref="AX567:AX568"/>
    <mergeCell ref="AY567:AY568"/>
    <mergeCell ref="AZ567:AZ568"/>
    <mergeCell ref="BA567:BA568"/>
    <mergeCell ref="AV569:AV570"/>
    <mergeCell ref="AW569:AW570"/>
    <mergeCell ref="AX569:AX570"/>
    <mergeCell ref="AY569:AY570"/>
    <mergeCell ref="AZ569:AZ570"/>
    <mergeCell ref="BA569:BA570"/>
    <mergeCell ref="AV578:AV581"/>
    <mergeCell ref="AW578:AW581"/>
    <mergeCell ref="AX578:AX581"/>
    <mergeCell ref="AY578:AY581"/>
    <mergeCell ref="AZ578:AZ581"/>
    <mergeCell ref="BA578:BA581"/>
    <mergeCell ref="AV582:AV584"/>
    <mergeCell ref="AW582:AW584"/>
    <mergeCell ref="AX582:AX584"/>
    <mergeCell ref="AY582:AY584"/>
    <mergeCell ref="AZ582:AZ584"/>
    <mergeCell ref="BA582:BA584"/>
    <mergeCell ref="AV585:AV588"/>
    <mergeCell ref="AW585:AW588"/>
    <mergeCell ref="AX585:AX588"/>
    <mergeCell ref="AY585:AY588"/>
    <mergeCell ref="AZ585:AZ588"/>
    <mergeCell ref="BA585:BA588"/>
    <mergeCell ref="AV591:AV592"/>
    <mergeCell ref="AW591:AW592"/>
    <mergeCell ref="AX591:AX592"/>
    <mergeCell ref="AY591:AY592"/>
    <mergeCell ref="AZ591:AZ592"/>
    <mergeCell ref="BA591:BA592"/>
    <mergeCell ref="AV593:AV594"/>
    <mergeCell ref="AW593:AW594"/>
    <mergeCell ref="AX593:AX594"/>
    <mergeCell ref="AY593:AY594"/>
    <mergeCell ref="AZ593:AZ594"/>
    <mergeCell ref="BA593:BA594"/>
    <mergeCell ref="AV595:AV596"/>
    <mergeCell ref="AW595:AW596"/>
    <mergeCell ref="AX595:AX596"/>
    <mergeCell ref="AY595:AY596"/>
    <mergeCell ref="AZ595:AZ596"/>
    <mergeCell ref="BA595:BA596"/>
    <mergeCell ref="AV597:AV598"/>
    <mergeCell ref="AW597:AW598"/>
    <mergeCell ref="AX597:AX598"/>
    <mergeCell ref="AY597:AY598"/>
    <mergeCell ref="AZ597:AZ598"/>
    <mergeCell ref="BA597:BA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AV610:AV614"/>
    <mergeCell ref="AW610:AW614"/>
    <mergeCell ref="AX610:AX614"/>
    <mergeCell ref="AY610:AY614"/>
    <mergeCell ref="AZ610:AZ614"/>
    <mergeCell ref="BA610:BA614"/>
    <mergeCell ref="AV615:AV616"/>
    <mergeCell ref="AW615:AW616"/>
    <mergeCell ref="AX615:AX616"/>
    <mergeCell ref="AY615:AY616"/>
    <mergeCell ref="AZ615:AZ616"/>
    <mergeCell ref="BA615:BA616"/>
    <mergeCell ref="AV617:AV621"/>
    <mergeCell ref="AW617:AW621"/>
    <mergeCell ref="AX617:AX621"/>
    <mergeCell ref="AY617:AY621"/>
    <mergeCell ref="AZ617:AZ621"/>
    <mergeCell ref="BA617:BA621"/>
    <mergeCell ref="AV622:AV625"/>
    <mergeCell ref="AW622:AW625"/>
    <mergeCell ref="AX622:AX625"/>
    <mergeCell ref="AY622:AY625"/>
    <mergeCell ref="AZ622:AZ625"/>
    <mergeCell ref="BA622:BA625"/>
    <mergeCell ref="AV626:AV628"/>
    <mergeCell ref="AW626:AW628"/>
    <mergeCell ref="AX626:AX628"/>
    <mergeCell ref="AY626:AY628"/>
    <mergeCell ref="AZ626:AZ628"/>
    <mergeCell ref="BA626:BA628"/>
    <mergeCell ref="AV629:AV632"/>
    <mergeCell ref="AW629:AW632"/>
    <mergeCell ref="AX629:AX632"/>
    <mergeCell ref="AY629:AY632"/>
    <mergeCell ref="AZ629:AZ632"/>
    <mergeCell ref="BA629:BA632"/>
    <mergeCell ref="AV633:AV636"/>
    <mergeCell ref="AW633:AW636"/>
    <mergeCell ref="AX633:AX636"/>
    <mergeCell ref="AY633:AY636"/>
    <mergeCell ref="AZ633:AZ636"/>
    <mergeCell ref="BA633:BA636"/>
    <mergeCell ref="AV637:AV640"/>
    <mergeCell ref="AW637:AW640"/>
    <mergeCell ref="AX637:AX640"/>
    <mergeCell ref="AY637:AY640"/>
    <mergeCell ref="AZ637:AZ640"/>
    <mergeCell ref="BA637:BA640"/>
    <mergeCell ref="AV641:AV644"/>
    <mergeCell ref="AW641:AW644"/>
    <mergeCell ref="AX641:AX644"/>
    <mergeCell ref="AY641:AY644"/>
    <mergeCell ref="AZ641:AZ644"/>
    <mergeCell ref="BA641:BA644"/>
    <mergeCell ref="AV645:AV646"/>
    <mergeCell ref="AW645:AW646"/>
    <mergeCell ref="AX645:AX646"/>
    <mergeCell ref="AY645:AY646"/>
    <mergeCell ref="AZ645:AZ646"/>
    <mergeCell ref="BA645:BA646"/>
    <mergeCell ref="AV647:AV650"/>
    <mergeCell ref="AW647:AW650"/>
    <mergeCell ref="AX647:AX650"/>
    <mergeCell ref="AY647:AY650"/>
    <mergeCell ref="AZ647:AZ650"/>
    <mergeCell ref="BA647:BA650"/>
    <mergeCell ref="AV651:AV654"/>
    <mergeCell ref="AW651:AW654"/>
    <mergeCell ref="AX651:AX654"/>
    <mergeCell ref="AY651:AY654"/>
    <mergeCell ref="AZ651:AZ654"/>
    <mergeCell ref="BA651:BA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5:AV667"/>
    <mergeCell ref="AW665:AW667"/>
    <mergeCell ref="AX665:AX667"/>
    <mergeCell ref="AY665:AY667"/>
    <mergeCell ref="AZ665:AZ667"/>
    <mergeCell ref="BA665:BA667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9:AV700"/>
    <mergeCell ref="AW699:AW700"/>
    <mergeCell ref="AX699:AX700"/>
    <mergeCell ref="AY699:AY700"/>
    <mergeCell ref="AZ699:AZ700"/>
    <mergeCell ref="BA699:BA700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AV840:AV841"/>
    <mergeCell ref="AW840:AW841"/>
    <mergeCell ref="AX840:AX841"/>
    <mergeCell ref="AY840:AY841"/>
    <mergeCell ref="AZ840:AZ841"/>
    <mergeCell ref="BA840:BA841"/>
    <mergeCell ref="AV842:AV843"/>
    <mergeCell ref="AW842:AW843"/>
    <mergeCell ref="AX842:AX843"/>
    <mergeCell ref="AY842:AY843"/>
    <mergeCell ref="AZ842:AZ843"/>
    <mergeCell ref="BA842:BA843"/>
    <mergeCell ref="AV844:AV845"/>
    <mergeCell ref="AW844:AW845"/>
    <mergeCell ref="AX844:AX845"/>
    <mergeCell ref="AY844:AY845"/>
    <mergeCell ref="AZ844:AZ845"/>
    <mergeCell ref="BA844:BA845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978:AV979"/>
    <mergeCell ref="AW978:AW979"/>
    <mergeCell ref="AX978:AX979"/>
    <mergeCell ref="AY978:AY979"/>
    <mergeCell ref="AZ978:AZ979"/>
    <mergeCell ref="BA978:BA979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998:AV999"/>
    <mergeCell ref="AW998:AW999"/>
    <mergeCell ref="AX998:AX999"/>
    <mergeCell ref="AY998:AY999"/>
    <mergeCell ref="AZ998:AZ999"/>
    <mergeCell ref="BA998:BA999"/>
    <mergeCell ref="AV1000:AV1001"/>
    <mergeCell ref="AW1000:AW1001"/>
    <mergeCell ref="AX1000:AX1001"/>
    <mergeCell ref="AY1000:AY1001"/>
    <mergeCell ref="AZ1000:AZ1001"/>
    <mergeCell ref="BA1000:BA1001"/>
    <mergeCell ref="AV1023:AV1028"/>
    <mergeCell ref="AW1023:AW1028"/>
    <mergeCell ref="AX1023:AX1028"/>
    <mergeCell ref="AY1023:AY1028"/>
    <mergeCell ref="AZ1023:AZ1028"/>
    <mergeCell ref="BA1023:BA1028"/>
    <mergeCell ref="BI1023:BI1028"/>
    <mergeCell ref="AV1030:AV1034"/>
    <mergeCell ref="AW1030:AW1034"/>
    <mergeCell ref="AX1030:AX1034"/>
    <mergeCell ref="AY1030:AY1034"/>
    <mergeCell ref="AZ1030:AZ1034"/>
    <mergeCell ref="BA1030:BA1034"/>
    <mergeCell ref="BI1030:BI1034"/>
    <mergeCell ref="AV1035:AV1037"/>
    <mergeCell ref="AW1035:AW1037"/>
    <mergeCell ref="AX1035:AX1037"/>
    <mergeCell ref="AY1035:AY1037"/>
    <mergeCell ref="AZ1035:AZ1037"/>
    <mergeCell ref="BA1035:BA1037"/>
    <mergeCell ref="AV1038:AV1039"/>
    <mergeCell ref="AW1038:AW1039"/>
    <mergeCell ref="AX1038:AX1039"/>
    <mergeCell ref="AY1038:AY1039"/>
    <mergeCell ref="AZ1038:AZ1039"/>
    <mergeCell ref="BA1038:BA1039"/>
    <mergeCell ref="AV1040:AV1044"/>
    <mergeCell ref="AW1040:AW1044"/>
    <mergeCell ref="AX1040:AX1044"/>
    <mergeCell ref="AY1040:AY1044"/>
    <mergeCell ref="AZ1040:AZ1044"/>
    <mergeCell ref="BA1040:BA1044"/>
    <mergeCell ref="BI1040:BI1044"/>
    <mergeCell ref="AV1045:AV1049"/>
    <mergeCell ref="AW1045:AW1049"/>
    <mergeCell ref="AX1045:AX1049"/>
    <mergeCell ref="AY1045:AY1049"/>
    <mergeCell ref="AZ1045:AZ1049"/>
    <mergeCell ref="BA1045:BA1049"/>
    <mergeCell ref="BI1045:BI1049"/>
    <mergeCell ref="AV1050:AV1054"/>
    <mergeCell ref="AW1050:AW1054"/>
    <mergeCell ref="AX1050:AX1054"/>
    <mergeCell ref="AY1050:AY1054"/>
    <mergeCell ref="AZ1050:AZ1054"/>
    <mergeCell ref="BA1050:BA1054"/>
    <mergeCell ref="AV1055:AV1059"/>
    <mergeCell ref="AW1055:AW1059"/>
    <mergeCell ref="AX1055:AX1059"/>
    <mergeCell ref="AY1055:AY1059"/>
    <mergeCell ref="AZ1055:AZ1059"/>
    <mergeCell ref="BA1055:BA1059"/>
    <mergeCell ref="AV1060:AV1064"/>
    <mergeCell ref="AW1060:AW1064"/>
    <mergeCell ref="AX1060:AX1064"/>
    <mergeCell ref="AY1060:AY1064"/>
    <mergeCell ref="AZ1060:AZ1064"/>
    <mergeCell ref="BA1060:BA1064"/>
    <mergeCell ref="AV1065:AV1069"/>
    <mergeCell ref="AW1065:AW1069"/>
    <mergeCell ref="AX1065:AX1069"/>
    <mergeCell ref="AY1065:AY1069"/>
    <mergeCell ref="AZ1065:AZ1069"/>
    <mergeCell ref="BA1065:BA1069"/>
    <mergeCell ref="AV1071:AV1073"/>
    <mergeCell ref="AW1071:AW1073"/>
    <mergeCell ref="AX1071:AX1073"/>
    <mergeCell ref="AY1071:AY1073"/>
    <mergeCell ref="AZ1071:AZ1073"/>
    <mergeCell ref="BA1071:BA1073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7:AV1079"/>
    <mergeCell ref="AW1077:AW1079"/>
    <mergeCell ref="AX1077:AX1079"/>
    <mergeCell ref="AY1077:AY1079"/>
    <mergeCell ref="AZ1077:AZ1079"/>
    <mergeCell ref="BA1077:BA1079"/>
    <mergeCell ref="AV1080:AV1082"/>
    <mergeCell ref="AW1080:AW1082"/>
    <mergeCell ref="AX1080:AX1082"/>
    <mergeCell ref="AY1080:AY1082"/>
    <mergeCell ref="AZ1080:AZ1082"/>
    <mergeCell ref="BA1080:BA1082"/>
    <mergeCell ref="AV1083:AV1084"/>
    <mergeCell ref="AW1083:AW1084"/>
    <mergeCell ref="AX1083:AX1084"/>
    <mergeCell ref="AY1083:AY1084"/>
    <mergeCell ref="AZ1083:AZ1084"/>
    <mergeCell ref="BA1083:BA1084"/>
    <mergeCell ref="AV1085:AV1087"/>
    <mergeCell ref="AW1085:AW1087"/>
    <mergeCell ref="AX1085:AX1087"/>
    <mergeCell ref="AY1085:AY1087"/>
    <mergeCell ref="AZ1085:AZ1087"/>
    <mergeCell ref="BA1085:BA1087"/>
    <mergeCell ref="AV1088:AV1090"/>
    <mergeCell ref="AW1088:AW1090"/>
    <mergeCell ref="AX1088:AX1090"/>
    <mergeCell ref="AY1088:AY1090"/>
    <mergeCell ref="AZ1088:AZ1090"/>
    <mergeCell ref="BA1088:BA1090"/>
    <mergeCell ref="AV1091:AV1093"/>
    <mergeCell ref="AW1091:AW1093"/>
    <mergeCell ref="AX1091:AX1093"/>
    <mergeCell ref="AY1091:AY1093"/>
    <mergeCell ref="AZ1091:AZ1093"/>
    <mergeCell ref="BA1091:BA1093"/>
    <mergeCell ref="AV1094:AV1099"/>
    <mergeCell ref="AW1094:AW1099"/>
    <mergeCell ref="AX1094:AX1099"/>
    <mergeCell ref="AY1094:AY1099"/>
    <mergeCell ref="AZ1094:AZ1099"/>
    <mergeCell ref="BA1094:BA1099"/>
    <mergeCell ref="BI1094:BI1099"/>
    <mergeCell ref="AV1100:AV1104"/>
    <mergeCell ref="AW1100:AW1104"/>
    <mergeCell ref="AX1100:AX1104"/>
    <mergeCell ref="AY1100:AY1104"/>
    <mergeCell ref="AZ1100:AZ1104"/>
    <mergeCell ref="BA1100:BA1104"/>
    <mergeCell ref="BI1100:BI1104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11:AV1112"/>
    <mergeCell ref="AW1111:AW1112"/>
    <mergeCell ref="AX1111:AX1112"/>
    <mergeCell ref="AY1111:AY1112"/>
    <mergeCell ref="AZ1111:AZ1112"/>
    <mergeCell ref="BA1111:BA1112"/>
    <mergeCell ref="BI1111:BI1112"/>
    <mergeCell ref="AV1113:AV1115"/>
    <mergeCell ref="AW1113:AW1115"/>
    <mergeCell ref="AX1113:AX1115"/>
    <mergeCell ref="AY1113:AY1115"/>
    <mergeCell ref="AZ1113:AZ1115"/>
    <mergeCell ref="BA1113:BA1115"/>
    <mergeCell ref="BI1113:BI1115"/>
    <mergeCell ref="AV1116:AV1117"/>
    <mergeCell ref="AW1116:AW1117"/>
    <mergeCell ref="AX1116:AX1117"/>
    <mergeCell ref="AY1116:AY1117"/>
    <mergeCell ref="AZ1116:AZ1117"/>
    <mergeCell ref="BA1116:BA1117"/>
    <mergeCell ref="BI1116:BI1117"/>
    <mergeCell ref="AV1119:AV1121"/>
    <mergeCell ref="AW1119:AW1121"/>
    <mergeCell ref="AX1119:AX1121"/>
    <mergeCell ref="AY1119:AY1121"/>
    <mergeCell ref="AZ1119:AZ1121"/>
    <mergeCell ref="BA1119:BA1121"/>
    <mergeCell ref="BI1119:BI1121"/>
    <mergeCell ref="AV1123:AV1124"/>
    <mergeCell ref="AW1123:AW1124"/>
    <mergeCell ref="AX1123:AX1124"/>
    <mergeCell ref="AY1123:AY1124"/>
    <mergeCell ref="AZ1123:AZ1124"/>
    <mergeCell ref="BA1123:BA1124"/>
    <mergeCell ref="BI1123:BI1124"/>
    <mergeCell ref="AV1126:AV1127"/>
    <mergeCell ref="AW1126:AW1127"/>
    <mergeCell ref="AX1126:AX1127"/>
    <mergeCell ref="AY1126:AY1127"/>
    <mergeCell ref="AZ1126:AZ1127"/>
    <mergeCell ref="BA1126:BA1127"/>
    <mergeCell ref="BI1126:BI1127"/>
    <mergeCell ref="AV1128:AV1130"/>
    <mergeCell ref="AW1128:AW1130"/>
    <mergeCell ref="AX1128:AX1130"/>
    <mergeCell ref="AY1128:AY1130"/>
    <mergeCell ref="AZ1128:AZ1130"/>
    <mergeCell ref="BA1128:BA1130"/>
    <mergeCell ref="BI1128:BI1130"/>
    <mergeCell ref="AV1131:AV1133"/>
    <mergeCell ref="AW1131:AW1133"/>
    <mergeCell ref="AX1131:AX1133"/>
    <mergeCell ref="AY1131:AY1133"/>
    <mergeCell ref="AZ1131:AZ1133"/>
    <mergeCell ref="BA1131:BA1133"/>
    <mergeCell ref="BI1131:BI1133"/>
    <mergeCell ref="AV1134:AV1136"/>
    <mergeCell ref="AW1134:AW1136"/>
    <mergeCell ref="AX1134:AX1136"/>
    <mergeCell ref="AY1134:AY1136"/>
    <mergeCell ref="AZ1134:AZ1136"/>
    <mergeCell ref="BA1134:BA1136"/>
    <mergeCell ref="BI1134:BI1136"/>
    <mergeCell ref="AV1137:AV1139"/>
    <mergeCell ref="AW1137:AW1139"/>
    <mergeCell ref="AX1137:AX1139"/>
    <mergeCell ref="AY1137:AY1139"/>
    <mergeCell ref="AZ1137:AZ1139"/>
    <mergeCell ref="BA1137:BA1139"/>
    <mergeCell ref="BI1137:BI1139"/>
    <mergeCell ref="AV1140:AV1142"/>
    <mergeCell ref="AW1140:AW1142"/>
    <mergeCell ref="AX1140:AX1142"/>
    <mergeCell ref="AY1140:AY1142"/>
    <mergeCell ref="AZ1140:AZ1142"/>
    <mergeCell ref="BA1140:BA1142"/>
    <mergeCell ref="BI1140:BI1142"/>
    <mergeCell ref="AV1143:AV1144"/>
    <mergeCell ref="AW1143:AW1144"/>
    <mergeCell ref="AX1143:AX1144"/>
    <mergeCell ref="AY1143:AY1144"/>
    <mergeCell ref="AZ1143:AZ1144"/>
    <mergeCell ref="BA1143:BA1144"/>
    <mergeCell ref="BI1143:BI1144"/>
    <mergeCell ref="AV1145:AV1146"/>
    <mergeCell ref="AW1145:AW1146"/>
    <mergeCell ref="AX1145:AX1146"/>
    <mergeCell ref="AY1145:AY1146"/>
    <mergeCell ref="AZ1145:AZ1146"/>
    <mergeCell ref="BA1145:BA1146"/>
    <mergeCell ref="AV1147:AV1148"/>
    <mergeCell ref="AW1147:AW1148"/>
    <mergeCell ref="AX1147:AX1148"/>
    <mergeCell ref="AY1147:AY1148"/>
    <mergeCell ref="AZ1147:AZ1148"/>
    <mergeCell ref="BA1147:BA1148"/>
    <mergeCell ref="AV1149:AV1150"/>
    <mergeCell ref="AW1149:AW1150"/>
    <mergeCell ref="AX1149:AX1150"/>
    <mergeCell ref="AY1149:AY1150"/>
    <mergeCell ref="AZ1149:AZ1150"/>
    <mergeCell ref="BA1149:BA1150"/>
    <mergeCell ref="AV1151:AV1153"/>
    <mergeCell ref="AW1151:AW1153"/>
    <mergeCell ref="AX1151:AX1153"/>
    <mergeCell ref="AY1151:AY1153"/>
    <mergeCell ref="AZ1151:AZ1153"/>
    <mergeCell ref="BA1151:BA1153"/>
    <mergeCell ref="BI1151:BI1153"/>
    <mergeCell ref="AV1154:AV1156"/>
    <mergeCell ref="AW1154:AW1156"/>
    <mergeCell ref="AX1154:AX1156"/>
    <mergeCell ref="AY1154:AY1156"/>
    <mergeCell ref="AZ1154:AZ1156"/>
    <mergeCell ref="BA1154:BA1156"/>
    <mergeCell ref="AV1157:AV1159"/>
    <mergeCell ref="AW1157:AW1159"/>
    <mergeCell ref="AX1157:AX1159"/>
    <mergeCell ref="AY1157:AY1159"/>
    <mergeCell ref="AZ1157:AZ1159"/>
    <mergeCell ref="BA1157:BA1159"/>
    <mergeCell ref="AV1160:AV1162"/>
    <mergeCell ref="AW1160:AW1162"/>
    <mergeCell ref="AX1160:AX1162"/>
    <mergeCell ref="AY1160:AY1162"/>
    <mergeCell ref="AZ1160:AZ1162"/>
    <mergeCell ref="BA1160:BA1162"/>
    <mergeCell ref="AV1166:AV1167"/>
    <mergeCell ref="AW1166:AW1167"/>
    <mergeCell ref="AX1166:AX1167"/>
    <mergeCell ref="AY1166:AY1167"/>
    <mergeCell ref="AZ1166:AZ1167"/>
    <mergeCell ref="BA1166:BA1167"/>
    <mergeCell ref="AV1168:AV1169"/>
    <mergeCell ref="AW1168:AW1169"/>
    <mergeCell ref="AX1168:AX1169"/>
    <mergeCell ref="AY1168:AY1169"/>
    <mergeCell ref="AZ1168:AZ1169"/>
    <mergeCell ref="BA1168:BA1169"/>
    <mergeCell ref="AV1170:AV1171"/>
    <mergeCell ref="AW1170:AW1171"/>
    <mergeCell ref="AX1170:AX1171"/>
    <mergeCell ref="AY1170:AY1171"/>
    <mergeCell ref="AZ1170:AZ1171"/>
    <mergeCell ref="BA1170:BA1171"/>
    <mergeCell ref="AV1172:AV1173"/>
    <mergeCell ref="AW1172:AW1173"/>
    <mergeCell ref="AX1172:AX1173"/>
    <mergeCell ref="AY1172:AY1173"/>
    <mergeCell ref="AZ1172:AZ1173"/>
    <mergeCell ref="BA1172:BA1173"/>
    <mergeCell ref="AV1174:AV1175"/>
    <mergeCell ref="AW1174:AW1175"/>
    <mergeCell ref="AX1174:AX1175"/>
    <mergeCell ref="AY1174:AY1175"/>
    <mergeCell ref="AZ1174:AZ1175"/>
    <mergeCell ref="BA1174:BA1175"/>
    <mergeCell ref="AV1176:AV1177"/>
    <mergeCell ref="AW1176:AW1177"/>
    <mergeCell ref="AX1176:AX1177"/>
    <mergeCell ref="AY1176:AY1177"/>
    <mergeCell ref="AZ1176:AZ1177"/>
    <mergeCell ref="BA1176:BA1177"/>
    <mergeCell ref="AV1178:AV1179"/>
    <mergeCell ref="AW1178:AW1179"/>
    <mergeCell ref="AX1178:AX1179"/>
    <mergeCell ref="AY1178:AY1179"/>
    <mergeCell ref="AZ1178:AZ1179"/>
    <mergeCell ref="BA1178:BA1179"/>
    <mergeCell ref="AV1196:AV1197"/>
    <mergeCell ref="AW1196:AW1197"/>
    <mergeCell ref="AX1196:AX1197"/>
    <mergeCell ref="AY1196:AY1197"/>
    <mergeCell ref="AZ1196:AZ1197"/>
    <mergeCell ref="BA1196:BA1197"/>
    <mergeCell ref="BI1196:BI1197"/>
    <mergeCell ref="AV1228:AV1229"/>
    <mergeCell ref="AW1228:AW1229"/>
    <mergeCell ref="AX1228:AX1229"/>
    <mergeCell ref="AY1228:AY1229"/>
    <mergeCell ref="AZ1228:AZ1229"/>
    <mergeCell ref="BA1228:BA1229"/>
    <mergeCell ref="BI1228:BI1229"/>
    <mergeCell ref="AV1230:AV1232"/>
    <mergeCell ref="AW1230:AW1232"/>
    <mergeCell ref="AX1230:AX1232"/>
    <mergeCell ref="AY1230:AY1232"/>
    <mergeCell ref="AZ1230:AZ1232"/>
    <mergeCell ref="BA1230:BA1232"/>
    <mergeCell ref="BI1230:BI1232"/>
    <mergeCell ref="AV1233:AV1234"/>
    <mergeCell ref="AW1233:AW1234"/>
    <mergeCell ref="AX1233:AX1234"/>
    <mergeCell ref="AY1233:AY1234"/>
    <mergeCell ref="AZ1233:AZ1234"/>
    <mergeCell ref="BA1233:BA1234"/>
    <mergeCell ref="BI1233:BI1234"/>
    <mergeCell ref="AV1235:AV1236"/>
    <mergeCell ref="AW1235:AW1236"/>
    <mergeCell ref="AX1235:AX1236"/>
    <mergeCell ref="AY1235:AY1236"/>
    <mergeCell ref="AZ1235:AZ1236"/>
    <mergeCell ref="BA1235:BA1236"/>
    <mergeCell ref="BI1235:BI1236"/>
    <mergeCell ref="AV1237:AV1239"/>
    <mergeCell ref="AW1237:AW1239"/>
    <mergeCell ref="AX1237:AX1239"/>
    <mergeCell ref="AY1237:AY1239"/>
    <mergeCell ref="AZ1237:AZ1239"/>
    <mergeCell ref="BA1237:BA1239"/>
    <mergeCell ref="BI1237:BI1239"/>
    <mergeCell ref="AV1240:AV1241"/>
    <mergeCell ref="AW1240:AW1241"/>
    <mergeCell ref="AX1240:AX1241"/>
    <mergeCell ref="AY1240:AY1241"/>
    <mergeCell ref="AZ1240:AZ1241"/>
    <mergeCell ref="BA1240:BA1241"/>
    <mergeCell ref="BI1240:BI1241"/>
    <mergeCell ref="AV1243:AV1245"/>
    <mergeCell ref="AW1243:AW1245"/>
    <mergeCell ref="AX1243:AX1245"/>
    <mergeCell ref="AY1243:AY1245"/>
    <mergeCell ref="AZ1243:AZ1245"/>
    <mergeCell ref="BA1243:BA1245"/>
    <mergeCell ref="BI1243:BI1245"/>
    <mergeCell ref="AV1246:AV1247"/>
    <mergeCell ref="AW1246:AW1247"/>
    <mergeCell ref="AX1246:AX1247"/>
    <mergeCell ref="AY1246:AY1247"/>
    <mergeCell ref="AZ1246:AZ1247"/>
    <mergeCell ref="BA1246:BA1247"/>
    <mergeCell ref="BI1246:BI1247"/>
    <mergeCell ref="AV1248:AV1249"/>
    <mergeCell ref="AW1248:AW1249"/>
    <mergeCell ref="AX1248:AX1249"/>
    <mergeCell ref="AY1248:AY1249"/>
    <mergeCell ref="AZ1248:AZ1249"/>
    <mergeCell ref="BA1248:BA1249"/>
    <mergeCell ref="BI1248:BI1249"/>
    <mergeCell ref="AV1250:AV1251"/>
    <mergeCell ref="AW1250:AW1251"/>
    <mergeCell ref="AX1250:AX1251"/>
    <mergeCell ref="AY1250:AY1251"/>
    <mergeCell ref="AZ1250:AZ1251"/>
    <mergeCell ref="BA1250:BA1251"/>
    <mergeCell ref="AV1252:AV1254"/>
    <mergeCell ref="AW1252:AW1254"/>
    <mergeCell ref="AX1252:AX1254"/>
    <mergeCell ref="AY1252:AY1254"/>
    <mergeCell ref="AZ1252:AZ1254"/>
    <mergeCell ref="BA1252:BA1254"/>
    <mergeCell ref="AV1255:AV1256"/>
    <mergeCell ref="AW1255:AW1256"/>
    <mergeCell ref="AX1255:AX1256"/>
    <mergeCell ref="AY1255:AY1256"/>
    <mergeCell ref="AZ1255:AZ1256"/>
    <mergeCell ref="BA1255:BA1256"/>
    <mergeCell ref="AV1258:AV1259"/>
    <mergeCell ref="AW1258:AW1259"/>
    <mergeCell ref="AX1258:AX1259"/>
    <mergeCell ref="AY1258:AY1259"/>
    <mergeCell ref="AZ1258:AZ1259"/>
    <mergeCell ref="BA1258:BA1259"/>
    <mergeCell ref="AV1261:AV1262"/>
    <mergeCell ref="AW1261:AW1262"/>
    <mergeCell ref="AX1261:AX1262"/>
    <mergeCell ref="AY1261:AY1262"/>
    <mergeCell ref="AZ1261:AZ1262"/>
    <mergeCell ref="BA1261:BA1262"/>
    <mergeCell ref="AV1263:AV1264"/>
    <mergeCell ref="AW1263:AW1264"/>
    <mergeCell ref="AX1263:AX1264"/>
    <mergeCell ref="AY1263:AY1264"/>
    <mergeCell ref="AZ1263:AZ1264"/>
    <mergeCell ref="BA1263:BA1264"/>
    <mergeCell ref="AV1266:AV1268"/>
    <mergeCell ref="AW1266:AW1268"/>
    <mergeCell ref="AX1266:AX1268"/>
    <mergeCell ref="AY1266:AY1268"/>
    <mergeCell ref="AZ1266:AZ1268"/>
    <mergeCell ref="BA1266:BA1268"/>
    <mergeCell ref="AV1269:AV1270"/>
    <mergeCell ref="AW1269:AW1270"/>
    <mergeCell ref="AX1269:AX1270"/>
    <mergeCell ref="AY1269:AY1270"/>
    <mergeCell ref="AZ1269:AZ1270"/>
    <mergeCell ref="BA1269:BA1270"/>
    <mergeCell ref="AV1271:AV1273"/>
    <mergeCell ref="AW1271:AW1273"/>
    <mergeCell ref="AX1271:AX1273"/>
    <mergeCell ref="AY1271:AY1273"/>
    <mergeCell ref="AZ1271:AZ1273"/>
    <mergeCell ref="BA1271:BA1273"/>
    <mergeCell ref="AV1274:AV1276"/>
    <mergeCell ref="AW1274:AW1276"/>
    <mergeCell ref="AX1274:AX1276"/>
    <mergeCell ref="AY1274:AY1276"/>
    <mergeCell ref="AZ1274:AZ1276"/>
    <mergeCell ref="BA1274:BA1276"/>
    <mergeCell ref="AV1285:AV1288"/>
    <mergeCell ref="AW1285:AW1288"/>
    <mergeCell ref="AX1285:AX1288"/>
    <mergeCell ref="AY1285:AY1288"/>
    <mergeCell ref="AZ1285:AZ1288"/>
    <mergeCell ref="BA1285:BA1288"/>
    <mergeCell ref="BI1285:BI1288"/>
    <mergeCell ref="AV1289:AV1290"/>
    <mergeCell ref="AW1289:AW1290"/>
    <mergeCell ref="AX1289:AX1290"/>
    <mergeCell ref="AY1289:AY1290"/>
    <mergeCell ref="AZ1289:AZ1290"/>
    <mergeCell ref="BA1289:BA1290"/>
    <mergeCell ref="BI1289:BI1290"/>
    <mergeCell ref="AV1291:AV1294"/>
    <mergeCell ref="AW1291:AW1294"/>
    <mergeCell ref="AX1291:AX1294"/>
    <mergeCell ref="AY1291:AY1294"/>
    <mergeCell ref="AZ1291:AZ1294"/>
    <mergeCell ref="BA1291:BA1294"/>
    <mergeCell ref="BI1291:BI1294"/>
    <mergeCell ref="AV1295:AV1298"/>
    <mergeCell ref="AW1295:AW1298"/>
    <mergeCell ref="AX1295:AX1298"/>
    <mergeCell ref="AY1295:AY1298"/>
    <mergeCell ref="AZ1295:AZ1298"/>
    <mergeCell ref="BA1295:BA1298"/>
    <mergeCell ref="BI1295:BI1298"/>
    <mergeCell ref="AV1299:AV1302"/>
    <mergeCell ref="AW1299:AW1302"/>
    <mergeCell ref="AX1299:AX1302"/>
    <mergeCell ref="AY1299:AY1302"/>
    <mergeCell ref="AZ1299:AZ1302"/>
    <mergeCell ref="BA1299:BA1302"/>
    <mergeCell ref="BI1299:BI1302"/>
    <mergeCell ref="AV1303:AV1304"/>
    <mergeCell ref="AW1303:AW1304"/>
    <mergeCell ref="AX1303:AX1304"/>
    <mergeCell ref="AY1303:AY1304"/>
    <mergeCell ref="AZ1303:AZ1304"/>
    <mergeCell ref="BA1303:BA1304"/>
    <mergeCell ref="AV1317:AV1319"/>
    <mergeCell ref="AW1317:AW1319"/>
    <mergeCell ref="AX1317:AX1319"/>
    <mergeCell ref="AY1317:AY1319"/>
    <mergeCell ref="AZ1317:AZ1319"/>
    <mergeCell ref="BA1317:BA1319"/>
    <mergeCell ref="AV1320:AV1322"/>
    <mergeCell ref="AW1320:AW1322"/>
    <mergeCell ref="AX1320:AX1322"/>
    <mergeCell ref="AY1320:AY1322"/>
    <mergeCell ref="AZ1320:AZ1322"/>
    <mergeCell ref="BA1320:BA1322"/>
    <mergeCell ref="AV1323:AV1325"/>
    <mergeCell ref="AW1323:AW1325"/>
    <mergeCell ref="AX1323:AX1325"/>
    <mergeCell ref="AY1323:AY1325"/>
    <mergeCell ref="AZ1323:AZ1325"/>
    <mergeCell ref="BA1323:BA1325"/>
    <mergeCell ref="AV1326:AV1327"/>
    <mergeCell ref="AW1326:AW1327"/>
    <mergeCell ref="AX1326:AX1327"/>
    <mergeCell ref="AY1326:AY1327"/>
    <mergeCell ref="AZ1326:AZ1327"/>
    <mergeCell ref="BA1326:BA1327"/>
    <mergeCell ref="AV1328:AV1329"/>
    <mergeCell ref="AW1328:AW1329"/>
    <mergeCell ref="AX1328:AX1329"/>
    <mergeCell ref="AY1328:AY1329"/>
    <mergeCell ref="AZ1328:AZ1329"/>
    <mergeCell ref="BA1328:BA1329"/>
    <mergeCell ref="AV1337:AV1340"/>
    <mergeCell ref="AW1337:AW1340"/>
    <mergeCell ref="AX1337:AX1340"/>
    <mergeCell ref="AY1337:AY1340"/>
    <mergeCell ref="AZ1337:AZ1340"/>
    <mergeCell ref="BA1337:BA1340"/>
    <mergeCell ref="BI1337:BI1340"/>
    <mergeCell ref="AV1341:AV1344"/>
    <mergeCell ref="AW1341:AW1344"/>
    <mergeCell ref="AX1341:AX1344"/>
    <mergeCell ref="AY1341:AY1344"/>
    <mergeCell ref="AZ1341:AZ1344"/>
    <mergeCell ref="BA1341:BA1344"/>
    <mergeCell ref="BI1341:BI1344"/>
    <mergeCell ref="AV1345:AV1348"/>
    <mergeCell ref="AW1345:AW1348"/>
    <mergeCell ref="AX1345:AX1348"/>
    <mergeCell ref="AY1345:AY1348"/>
    <mergeCell ref="AZ1345:AZ1348"/>
    <mergeCell ref="BA1345:BA1348"/>
    <mergeCell ref="BI1345:BI1348"/>
    <mergeCell ref="AV1349:AV1352"/>
    <mergeCell ref="AW1349:AW1352"/>
    <mergeCell ref="AX1349:AX1352"/>
    <mergeCell ref="AY1349:AY1352"/>
    <mergeCell ref="AZ1349:AZ1352"/>
    <mergeCell ref="BA1349:BA1352"/>
    <mergeCell ref="BI1349:BI1352"/>
    <mergeCell ref="AV1353:AV1356"/>
    <mergeCell ref="AW1353:AW1356"/>
    <mergeCell ref="AX1353:AX1356"/>
    <mergeCell ref="AY1353:AY1356"/>
    <mergeCell ref="AZ1353:AZ1356"/>
    <mergeCell ref="BA1353:BA1356"/>
    <mergeCell ref="BI1353:BI1356"/>
    <mergeCell ref="AV1357:AV1360"/>
    <mergeCell ref="AW1357:AW1360"/>
    <mergeCell ref="AX1357:AX1360"/>
    <mergeCell ref="AY1357:AY1360"/>
    <mergeCell ref="AZ1357:AZ1360"/>
    <mergeCell ref="BA1357:BA1360"/>
    <mergeCell ref="BI1357:BI1360"/>
    <mergeCell ref="AV1361:AV1364"/>
    <mergeCell ref="AW1361:AW1364"/>
    <mergeCell ref="AX1361:AX1364"/>
    <mergeCell ref="AY1361:AY1364"/>
    <mergeCell ref="AZ1361:AZ1364"/>
    <mergeCell ref="BA1361:BA1364"/>
    <mergeCell ref="BI1361:BI1364"/>
    <mergeCell ref="AV1365:AV1368"/>
    <mergeCell ref="AW1365:AW1368"/>
    <mergeCell ref="AX1365:AX1368"/>
    <mergeCell ref="AY1365:AY1368"/>
    <mergeCell ref="AZ1365:AZ1368"/>
    <mergeCell ref="BA1365:BA1368"/>
    <mergeCell ref="BI1365:BI1368"/>
    <mergeCell ref="AV1369:AV1372"/>
    <mergeCell ref="AW1369:AW1372"/>
    <mergeCell ref="AX1369:AX1372"/>
    <mergeCell ref="AY1369:AY1372"/>
    <mergeCell ref="AZ1369:AZ1372"/>
    <mergeCell ref="BA1369:BA1372"/>
    <mergeCell ref="BI1369:BI1372"/>
    <mergeCell ref="AV1373:AV1376"/>
    <mergeCell ref="AW1373:AW1376"/>
    <mergeCell ref="AX1373:AX1376"/>
    <mergeCell ref="AY1373:AY1376"/>
    <mergeCell ref="AZ1373:AZ1376"/>
    <mergeCell ref="BA1373:BA1376"/>
    <mergeCell ref="BI1373:BI1376"/>
    <mergeCell ref="AV1377:AV1380"/>
    <mergeCell ref="AW1377:AW1380"/>
    <mergeCell ref="AX1377:AX1380"/>
    <mergeCell ref="AY1377:AY1380"/>
    <mergeCell ref="AZ1377:AZ1380"/>
    <mergeCell ref="BA1377:BA1380"/>
    <mergeCell ref="BI1377:BI1380"/>
    <mergeCell ref="AV1381:AV1384"/>
    <mergeCell ref="AW1381:AW1384"/>
    <mergeCell ref="AX1381:AX1384"/>
    <mergeCell ref="AY1381:AY1384"/>
    <mergeCell ref="AZ1381:AZ1384"/>
    <mergeCell ref="BA1381:BA1384"/>
    <mergeCell ref="BI1381:BI1384"/>
    <mergeCell ref="AV1385:AV1388"/>
    <mergeCell ref="AW1385:AW1388"/>
    <mergeCell ref="AX1385:AX1388"/>
    <mergeCell ref="AY1385:AY1388"/>
    <mergeCell ref="AZ1385:AZ1388"/>
    <mergeCell ref="BA1385:BA1388"/>
    <mergeCell ref="BI1385:BI1388"/>
    <mergeCell ref="AV1389:AV1392"/>
    <mergeCell ref="AW1389:AW1392"/>
    <mergeCell ref="AX1389:AX1392"/>
    <mergeCell ref="AY1389:AY1392"/>
    <mergeCell ref="AZ1389:AZ1392"/>
    <mergeCell ref="BA1389:BA1392"/>
    <mergeCell ref="BI1389:BI1392"/>
    <mergeCell ref="AV1393:AV1396"/>
    <mergeCell ref="AW1393:AW1396"/>
    <mergeCell ref="AX1393:AX1396"/>
    <mergeCell ref="AY1393:AY1396"/>
    <mergeCell ref="AZ1393:AZ1396"/>
    <mergeCell ref="BA1393:BA1396"/>
    <mergeCell ref="BI1393:BI1396"/>
    <mergeCell ref="AV1397:AV1400"/>
    <mergeCell ref="AW1397:AW1400"/>
    <mergeCell ref="AX1397:AX1400"/>
    <mergeCell ref="AY1397:AY1400"/>
    <mergeCell ref="AZ1397:AZ1400"/>
    <mergeCell ref="BA1397:BA1400"/>
    <mergeCell ref="BI1397:BI1400"/>
    <mergeCell ref="AV1401:AV1404"/>
    <mergeCell ref="AW1401:AW1404"/>
    <mergeCell ref="AX1401:AX1404"/>
    <mergeCell ref="AY1401:AY1404"/>
    <mergeCell ref="AZ1401:AZ1404"/>
    <mergeCell ref="BA1401:BA1404"/>
    <mergeCell ref="BI1401:BI1404"/>
    <mergeCell ref="AV1405:AV1406"/>
    <mergeCell ref="AW1405:AW1406"/>
    <mergeCell ref="AX1405:AX1406"/>
    <mergeCell ref="AY1405:AY1406"/>
    <mergeCell ref="AZ1405:AZ1406"/>
    <mergeCell ref="BA1405:BA1406"/>
    <mergeCell ref="BI1405:BI1406"/>
    <mergeCell ref="AV1407:AV1409"/>
    <mergeCell ref="AW1407:AW1409"/>
    <mergeCell ref="AX1407:AX1409"/>
    <mergeCell ref="AY1407:AY1409"/>
    <mergeCell ref="AZ1407:AZ1409"/>
    <mergeCell ref="BA1407:BA1409"/>
    <mergeCell ref="BI1407:BI1409"/>
    <mergeCell ref="AV1410:AV1412"/>
    <mergeCell ref="AW1410:AW1412"/>
    <mergeCell ref="AX1410:AX1412"/>
    <mergeCell ref="AY1410:AY1412"/>
    <mergeCell ref="AZ1410:AZ1412"/>
    <mergeCell ref="BA1410:BA1412"/>
    <mergeCell ref="BI1410:BI1412"/>
    <mergeCell ref="AV1413:AV1415"/>
    <mergeCell ref="AW1413:AW1415"/>
    <mergeCell ref="AX1413:AX1415"/>
    <mergeCell ref="AY1413:AY1415"/>
    <mergeCell ref="AZ1413:AZ1415"/>
    <mergeCell ref="BA1413:BA1415"/>
    <mergeCell ref="BI1413:BI1415"/>
    <mergeCell ref="AV1416:AV1419"/>
    <mergeCell ref="AW1416:AW1419"/>
    <mergeCell ref="AX1416:AX1419"/>
    <mergeCell ref="AY1416:AY1419"/>
    <mergeCell ref="AZ1416:AZ1419"/>
    <mergeCell ref="BA1416:BA1419"/>
    <mergeCell ref="BI1416:BI1419"/>
    <mergeCell ref="AV1420:AV1422"/>
    <mergeCell ref="AW1420:AW1422"/>
    <mergeCell ref="AX1420:AX1422"/>
    <mergeCell ref="AY1420:AY1422"/>
    <mergeCell ref="AZ1420:AZ1422"/>
    <mergeCell ref="BA1420:BA1422"/>
    <mergeCell ref="BI1420:BI1422"/>
    <mergeCell ref="AV1424:AV1426"/>
    <mergeCell ref="AW1424:AW1426"/>
    <mergeCell ref="AX1424:AX1426"/>
    <mergeCell ref="AY1424:AY1426"/>
    <mergeCell ref="AZ1424:AZ1426"/>
    <mergeCell ref="BA1424:BA1426"/>
    <mergeCell ref="BI1424:BI1426"/>
    <mergeCell ref="AV1427:AV1428"/>
    <mergeCell ref="AW1427:AW1428"/>
    <mergeCell ref="AX1427:AX1428"/>
    <mergeCell ref="AY1427:AY1428"/>
    <mergeCell ref="AZ1427:AZ1428"/>
    <mergeCell ref="BA1427:BA1428"/>
    <mergeCell ref="AV1429:AV1430"/>
    <mergeCell ref="AW1429:AW1430"/>
    <mergeCell ref="AX1429:AX1430"/>
    <mergeCell ref="AY1429:AY1430"/>
    <mergeCell ref="AZ1429:AZ1430"/>
    <mergeCell ref="BA1429:BA1430"/>
    <mergeCell ref="AV1431:AV1432"/>
    <mergeCell ref="AW1431:AW1432"/>
    <mergeCell ref="AX1431:AX1432"/>
    <mergeCell ref="AY1431:AY1432"/>
    <mergeCell ref="AZ1431:AZ1432"/>
    <mergeCell ref="BA1431:BA1432"/>
    <mergeCell ref="AV1464:AV1467"/>
    <mergeCell ref="AW1464:AW1467"/>
    <mergeCell ref="AX1464:AX1467"/>
    <mergeCell ref="AY1464:AY1467"/>
    <mergeCell ref="AZ1464:AZ1467"/>
    <mergeCell ref="BA1464:BA1467"/>
    <mergeCell ref="BI1464:BI1467"/>
    <mergeCell ref="AV1468:AV1473"/>
    <mergeCell ref="AW1468:AW1473"/>
    <mergeCell ref="AX1468:AX1473"/>
    <mergeCell ref="AY1468:AY1473"/>
    <mergeCell ref="AZ1468:AZ1473"/>
    <mergeCell ref="BA1468:BA1473"/>
    <mergeCell ref="BI1468:BI1473"/>
    <mergeCell ref="AV1474:AV1478"/>
    <mergeCell ref="AW1474:AW1478"/>
    <mergeCell ref="AX1474:AX1478"/>
    <mergeCell ref="AY1474:AY1478"/>
    <mergeCell ref="AZ1474:AZ1478"/>
    <mergeCell ref="BA1474:BA1478"/>
    <mergeCell ref="BI1474:BI1478"/>
    <mergeCell ref="AV1479:AV1484"/>
    <mergeCell ref="AW1479:AW1484"/>
    <mergeCell ref="AX1479:AX1484"/>
    <mergeCell ref="AY1479:AY1484"/>
    <mergeCell ref="AZ1479:AZ1484"/>
    <mergeCell ref="BA1479:BA1484"/>
    <mergeCell ref="AV1485:AV1487"/>
    <mergeCell ref="AW1485:AW1487"/>
    <mergeCell ref="AX1485:AX1487"/>
    <mergeCell ref="AY1485:AY1487"/>
    <mergeCell ref="AZ1485:AZ1487"/>
    <mergeCell ref="BA1485:BA1487"/>
    <mergeCell ref="AV1488:AV1490"/>
    <mergeCell ref="AW1488:AW1490"/>
    <mergeCell ref="AX1488:AX1490"/>
    <mergeCell ref="AY1488:AY1490"/>
    <mergeCell ref="AZ1488:AZ1490"/>
    <mergeCell ref="BA1488:BA1490"/>
    <mergeCell ref="AV1491:AV1493"/>
    <mergeCell ref="AW1491:AW1493"/>
    <mergeCell ref="AX1491:AX1493"/>
    <mergeCell ref="AY1491:AY1493"/>
    <mergeCell ref="AZ1491:AZ1493"/>
    <mergeCell ref="BA1491:BA1493"/>
    <mergeCell ref="AV1494:AV1496"/>
    <mergeCell ref="AW1494:AW1496"/>
    <mergeCell ref="AX1494:AX1496"/>
    <mergeCell ref="AY1494:AY1496"/>
    <mergeCell ref="AZ1494:AZ1496"/>
    <mergeCell ref="BA1494:BA1496"/>
    <mergeCell ref="AV1497:AV1499"/>
    <mergeCell ref="AW1497:AW1499"/>
    <mergeCell ref="AX1497:AX1499"/>
    <mergeCell ref="AY1497:AY1499"/>
    <mergeCell ref="AZ1497:AZ1499"/>
    <mergeCell ref="BA1497:BA1499"/>
    <mergeCell ref="AV1500:AV1502"/>
    <mergeCell ref="AW1500:AW1502"/>
    <mergeCell ref="AX1500:AX1502"/>
    <mergeCell ref="AY1500:AY1502"/>
    <mergeCell ref="AZ1500:AZ1502"/>
    <mergeCell ref="BA1500:BA1502"/>
    <mergeCell ref="AV1503:AV1505"/>
    <mergeCell ref="AW1503:AW1505"/>
    <mergeCell ref="AX1503:AX1505"/>
    <mergeCell ref="AY1503:AY1505"/>
    <mergeCell ref="AZ1503:AZ1505"/>
    <mergeCell ref="BA1503:BA1505"/>
    <mergeCell ref="BI1503:BI1505"/>
    <mergeCell ref="AV1506:AV1508"/>
    <mergeCell ref="AW1506:AW1508"/>
    <mergeCell ref="AX1506:AX1508"/>
    <mergeCell ref="AY1506:AY1508"/>
    <mergeCell ref="AZ1506:AZ1508"/>
    <mergeCell ref="BA1506:BA1508"/>
    <mergeCell ref="BI1506:BI1508"/>
    <mergeCell ref="AV1509:AV1511"/>
    <mergeCell ref="AW1509:AW1511"/>
    <mergeCell ref="AX1509:AX1511"/>
    <mergeCell ref="AY1509:AY1511"/>
    <mergeCell ref="AZ1509:AZ1511"/>
    <mergeCell ref="BA1509:BA1511"/>
    <mergeCell ref="BI1509:BI1511"/>
    <mergeCell ref="AV1512:AV1514"/>
    <mergeCell ref="AW1512:AW1514"/>
    <mergeCell ref="AX1512:AX1514"/>
    <mergeCell ref="AY1512:AY1514"/>
    <mergeCell ref="AZ1512:AZ1514"/>
    <mergeCell ref="BA1512:BA1514"/>
    <mergeCell ref="BI1512:BI1514"/>
    <mergeCell ref="AV1515:AV1517"/>
    <mergeCell ref="AW1515:AW1517"/>
    <mergeCell ref="AX1515:AX1517"/>
    <mergeCell ref="AY1515:AY1517"/>
    <mergeCell ref="AZ1515:AZ1517"/>
    <mergeCell ref="BA1515:BA1517"/>
    <mergeCell ref="BI1515:BI1517"/>
    <mergeCell ref="AV1518:AV1520"/>
    <mergeCell ref="AW1518:AW1520"/>
    <mergeCell ref="AX1518:AX1520"/>
    <mergeCell ref="AY1518:AY1520"/>
    <mergeCell ref="AZ1518:AZ1520"/>
    <mergeCell ref="BA1518:BA1520"/>
    <mergeCell ref="BI1518:BI1520"/>
    <mergeCell ref="AV1521:AV1523"/>
    <mergeCell ref="AW1521:AW1523"/>
    <mergeCell ref="AX1521:AX1523"/>
    <mergeCell ref="AY1521:AY1523"/>
    <mergeCell ref="AZ1521:AZ1523"/>
    <mergeCell ref="BA1521:BA1523"/>
    <mergeCell ref="BI1521:BI1523"/>
    <mergeCell ref="AV1524:AV1526"/>
    <mergeCell ref="AW1524:AW1526"/>
    <mergeCell ref="AX1524:AX1526"/>
    <mergeCell ref="AY1524:AY1526"/>
    <mergeCell ref="AZ1524:AZ1526"/>
    <mergeCell ref="BA1524:BA1526"/>
    <mergeCell ref="BI1524:BI1526"/>
    <mergeCell ref="AV1527:AV1529"/>
    <mergeCell ref="AW1527:AW1529"/>
    <mergeCell ref="AX1527:AX1529"/>
    <mergeCell ref="AY1527:AY1529"/>
    <mergeCell ref="AZ1527:AZ1529"/>
    <mergeCell ref="BA1527:BA1529"/>
    <mergeCell ref="BI1527:BI1529"/>
    <mergeCell ref="AV1530:AV1532"/>
    <mergeCell ref="AW1530:AW1532"/>
    <mergeCell ref="AX1530:AX1532"/>
    <mergeCell ref="AY1530:AY1532"/>
    <mergeCell ref="AZ1530:AZ1532"/>
    <mergeCell ref="BA1530:BA1532"/>
    <mergeCell ref="BI1530:BI1532"/>
    <mergeCell ref="AV1533:AV1535"/>
    <mergeCell ref="AW1533:AW1535"/>
    <mergeCell ref="AX1533:AX1535"/>
    <mergeCell ref="AY1533:AY1535"/>
    <mergeCell ref="AZ1533:AZ1535"/>
    <mergeCell ref="BA1533:BA1535"/>
    <mergeCell ref="BI1533:BI1535"/>
    <mergeCell ref="AV1536:AV1538"/>
    <mergeCell ref="AW1536:AW1538"/>
    <mergeCell ref="AX1536:AX1538"/>
    <mergeCell ref="AY1536:AY1538"/>
    <mergeCell ref="AZ1536:AZ1538"/>
    <mergeCell ref="BA1536:BA1538"/>
    <mergeCell ref="BI1536:BI1538"/>
    <mergeCell ref="AV1539:AV1541"/>
    <mergeCell ref="AW1539:AW1541"/>
    <mergeCell ref="AX1539:AX1541"/>
    <mergeCell ref="AY1539:AY1541"/>
    <mergeCell ref="AZ1539:AZ1541"/>
    <mergeCell ref="BA1539:BA1541"/>
    <mergeCell ref="BI1539:BI1541"/>
    <mergeCell ref="AV1542:AV1544"/>
    <mergeCell ref="AW1542:AW1544"/>
    <mergeCell ref="AX1542:AX1544"/>
    <mergeCell ref="AY1542:AY1544"/>
    <mergeCell ref="AZ1542:AZ1544"/>
    <mergeCell ref="BA1542:BA1544"/>
    <mergeCell ref="BI1542:BI1544"/>
    <mergeCell ref="AV1545:AV1546"/>
    <mergeCell ref="AW1545:AW1546"/>
    <mergeCell ref="AX1545:AX1546"/>
    <mergeCell ref="AY1545:AY1546"/>
    <mergeCell ref="AZ1545:AZ1546"/>
    <mergeCell ref="BA1545:BA1546"/>
    <mergeCell ref="BI1545:BI1546"/>
    <mergeCell ref="AV1548:AV1549"/>
    <mergeCell ref="AW1548:AW1549"/>
    <mergeCell ref="AX1548:AX1549"/>
    <mergeCell ref="AY1548:AY1549"/>
    <mergeCell ref="AZ1548:AZ1549"/>
    <mergeCell ref="BA1548:BA1549"/>
    <mergeCell ref="BI1548:BI1549"/>
    <mergeCell ref="AV1550:AV1552"/>
    <mergeCell ref="AW1550:AW1552"/>
    <mergeCell ref="AX1550:AX1552"/>
    <mergeCell ref="AY1550:AY1552"/>
    <mergeCell ref="AZ1550:AZ1552"/>
    <mergeCell ref="BA1550:BA1552"/>
    <mergeCell ref="BI1550:BI1552"/>
    <mergeCell ref="AV1554:AV1556"/>
    <mergeCell ref="AW1554:AW1556"/>
    <mergeCell ref="AX1554:AX1556"/>
    <mergeCell ref="AY1554:AY1556"/>
    <mergeCell ref="AZ1554:AZ1556"/>
    <mergeCell ref="BA1554:BA1556"/>
    <mergeCell ref="BI1554:BI1556"/>
    <mergeCell ref="AV1557:AV1559"/>
    <mergeCell ref="AW1557:AW1559"/>
    <mergeCell ref="AX1557:AX1559"/>
    <mergeCell ref="AY1557:AY1559"/>
    <mergeCell ref="AZ1557:AZ1559"/>
    <mergeCell ref="BA1557:BA1559"/>
    <mergeCell ref="BI1557:BI1559"/>
    <mergeCell ref="AV1560:AV1562"/>
    <mergeCell ref="AW1560:AW1562"/>
    <mergeCell ref="AX1560:AX1562"/>
    <mergeCell ref="AY1560:AY1562"/>
    <mergeCell ref="AZ1560:AZ1562"/>
    <mergeCell ref="BA1560:BA1562"/>
    <mergeCell ref="BI1560:BI1562"/>
    <mergeCell ref="AV1563:AV1564"/>
    <mergeCell ref="AW1563:AW1564"/>
    <mergeCell ref="AX1563:AX1564"/>
    <mergeCell ref="AY1563:AY1564"/>
    <mergeCell ref="AZ1563:AZ1564"/>
    <mergeCell ref="BA1563:BA1564"/>
    <mergeCell ref="BI1563:BI1564"/>
    <mergeCell ref="AV1565:AV1566"/>
    <mergeCell ref="AW1565:AW1566"/>
    <mergeCell ref="AX1565:AX1566"/>
    <mergeCell ref="AY1565:AY1566"/>
    <mergeCell ref="AZ1565:AZ1566"/>
    <mergeCell ref="BA1565:BA1566"/>
    <mergeCell ref="BI1565:BI1566"/>
    <mergeCell ref="AV1570:AV1571"/>
    <mergeCell ref="AW1570:AW1571"/>
    <mergeCell ref="AX1570:AX1571"/>
    <mergeCell ref="AY1570:AY1571"/>
    <mergeCell ref="AZ1570:AZ1571"/>
    <mergeCell ref="BA1570:BA1571"/>
    <mergeCell ref="BI1570:BI1571"/>
    <mergeCell ref="AV1573:AV1574"/>
    <mergeCell ref="AW1573:AW1574"/>
    <mergeCell ref="AX1573:AX1574"/>
    <mergeCell ref="AY1573:AY1574"/>
    <mergeCell ref="AZ1573:AZ1574"/>
    <mergeCell ref="BA1573:BA1574"/>
    <mergeCell ref="AV1575:AV1576"/>
    <mergeCell ref="AW1575:AW1576"/>
    <mergeCell ref="AX1575:AX1576"/>
    <mergeCell ref="AY1575:AY1576"/>
    <mergeCell ref="AZ1575:AZ1576"/>
    <mergeCell ref="BA1575:BA1576"/>
    <mergeCell ref="AV1577:AV1578"/>
    <mergeCell ref="AW1577:AW1578"/>
    <mergeCell ref="AX1577:AX1578"/>
    <mergeCell ref="AY1577:AY1578"/>
    <mergeCell ref="AZ1577:AZ1578"/>
    <mergeCell ref="BA1577:BA1578"/>
    <mergeCell ref="AV1579:AV1580"/>
    <mergeCell ref="AW1579:AW1580"/>
    <mergeCell ref="AX1579:AX1580"/>
    <mergeCell ref="AY1579:AY1580"/>
    <mergeCell ref="AZ1579:AZ1580"/>
    <mergeCell ref="BA1579:BA1580"/>
    <mergeCell ref="AV1581:AV1583"/>
    <mergeCell ref="AW1581:AW1583"/>
    <mergeCell ref="AX1581:AX1583"/>
    <mergeCell ref="AY1581:AY1583"/>
    <mergeCell ref="AZ1581:AZ1583"/>
    <mergeCell ref="BA1581:BA1583"/>
    <mergeCell ref="AV1584:AV1586"/>
    <mergeCell ref="AW1584:AW1586"/>
    <mergeCell ref="AX1584:AX1586"/>
    <mergeCell ref="AY1584:AY1586"/>
    <mergeCell ref="AZ1584:AZ1586"/>
    <mergeCell ref="BA1584:BA1586"/>
    <mergeCell ref="AV1587:AV1588"/>
    <mergeCell ref="AW1587:AW1588"/>
    <mergeCell ref="AX1587:AX1588"/>
    <mergeCell ref="AY1587:AY1588"/>
    <mergeCell ref="AZ1587:AZ1588"/>
    <mergeCell ref="BA1587:BA1588"/>
    <mergeCell ref="AV1589:AV1590"/>
    <mergeCell ref="AW1589:AW1590"/>
    <mergeCell ref="AX1589:AX1590"/>
    <mergeCell ref="AY1589:AY1590"/>
    <mergeCell ref="AZ1589:AZ1590"/>
    <mergeCell ref="BA1589:BA1590"/>
    <mergeCell ref="AV1591:AV1592"/>
    <mergeCell ref="AW1591:AW1592"/>
    <mergeCell ref="AX1591:AX1592"/>
    <mergeCell ref="AY1591:AY1592"/>
    <mergeCell ref="AZ1591:AZ1592"/>
    <mergeCell ref="BA1591:BA1592"/>
    <mergeCell ref="AV1593:AV1594"/>
    <mergeCell ref="AW1593:AW1594"/>
    <mergeCell ref="AX1593:AX1594"/>
    <mergeCell ref="AY1593:AY1594"/>
    <mergeCell ref="AZ1593:AZ1594"/>
    <mergeCell ref="BA1593:BA1594"/>
    <mergeCell ref="BI1593:BI1594"/>
    <mergeCell ref="AV1595:AV1596"/>
    <mergeCell ref="AW1595:AW1596"/>
    <mergeCell ref="AX1595:AX1596"/>
    <mergeCell ref="AY1595:AY1596"/>
    <mergeCell ref="AZ1595:AZ1596"/>
    <mergeCell ref="BA1595:BA1596"/>
    <mergeCell ref="BI1595:BI1596"/>
    <mergeCell ref="AV1598:AV1599"/>
    <mergeCell ref="AW1598:AW1599"/>
    <mergeCell ref="AX1598:AX1599"/>
    <mergeCell ref="AY1598:AY1599"/>
    <mergeCell ref="AZ1598:AZ1599"/>
    <mergeCell ref="BA1598:BA1599"/>
    <mergeCell ref="BI1598:BI1599"/>
    <mergeCell ref="AV1600:AV1601"/>
    <mergeCell ref="AW1600:AW1601"/>
    <mergeCell ref="AX1600:AX1601"/>
    <mergeCell ref="AY1600:AY1601"/>
    <mergeCell ref="AZ1600:AZ1601"/>
    <mergeCell ref="BA1600:BA1601"/>
    <mergeCell ref="BI1600:BI1601"/>
    <mergeCell ref="AV1660:AV1661"/>
    <mergeCell ref="AW1660:AW1661"/>
    <mergeCell ref="AX1660:AX1661"/>
    <mergeCell ref="AY1660:AY1661"/>
    <mergeCell ref="AZ1660:AZ1661"/>
    <mergeCell ref="BA1660:BA1661"/>
    <mergeCell ref="AV1662:AV1663"/>
    <mergeCell ref="AW1662:AW1663"/>
    <mergeCell ref="AX1662:AX1663"/>
    <mergeCell ref="AY1662:AY1663"/>
    <mergeCell ref="AZ1662:AZ1663"/>
    <mergeCell ref="BA1662:BA1663"/>
    <mergeCell ref="AV1664:AV1665"/>
    <mergeCell ref="AW1664:AW1665"/>
    <mergeCell ref="AX1664:AX1665"/>
    <mergeCell ref="AY1664:AY1665"/>
    <mergeCell ref="AZ1664:AZ1665"/>
    <mergeCell ref="BA1664:BA1665"/>
    <mergeCell ref="BI1664:BI1665"/>
    <mergeCell ref="AV1666:AV1667"/>
    <mergeCell ref="AW1666:AW1667"/>
    <mergeCell ref="AX1666:AX1667"/>
    <mergeCell ref="AY1666:AY1667"/>
    <mergeCell ref="AZ1666:AZ1667"/>
    <mergeCell ref="BA1666:BA1667"/>
    <mergeCell ref="BI1666:BI1667"/>
    <mergeCell ref="AV1668:AV1670"/>
    <mergeCell ref="AW1668:AW1670"/>
    <mergeCell ref="AX1668:AX1670"/>
    <mergeCell ref="AY1668:AY1670"/>
    <mergeCell ref="AZ1668:AZ1670"/>
    <mergeCell ref="BA1668:BA1670"/>
    <mergeCell ref="BI1668:BI1670"/>
    <mergeCell ref="AV1671:AV1672"/>
    <mergeCell ref="AW1671:AW1672"/>
    <mergeCell ref="AX1671:AX1672"/>
    <mergeCell ref="AY1671:AY1672"/>
    <mergeCell ref="AZ1671:AZ1672"/>
    <mergeCell ref="BA1671:BA1672"/>
    <mergeCell ref="BI1671:BI1672"/>
    <mergeCell ref="AV1673:AV1674"/>
    <mergeCell ref="AW1673:AW1674"/>
    <mergeCell ref="AX1673:AX1674"/>
    <mergeCell ref="AY1673:AY1674"/>
    <mergeCell ref="AZ1673:AZ1674"/>
    <mergeCell ref="BA1673:BA1674"/>
    <mergeCell ref="BI1673:BI1674"/>
    <mergeCell ref="AV1675:AV1677"/>
    <mergeCell ref="AW1675:AW1677"/>
    <mergeCell ref="AX1675:AX1677"/>
    <mergeCell ref="AY1675:AY1677"/>
    <mergeCell ref="AZ1675:AZ1677"/>
    <mergeCell ref="BA1675:BA1677"/>
    <mergeCell ref="AV1678:AV1680"/>
    <mergeCell ref="AW1678:AW1680"/>
    <mergeCell ref="AX1678:AX1680"/>
    <mergeCell ref="AY1678:AY1680"/>
    <mergeCell ref="AZ1678:AZ1680"/>
    <mergeCell ref="BA1678:BA1680"/>
    <mergeCell ref="AV1681:AV1683"/>
    <mergeCell ref="AW1681:AW1683"/>
    <mergeCell ref="AX1681:AX1683"/>
    <mergeCell ref="AY1681:AY1683"/>
    <mergeCell ref="AZ1681:AZ1683"/>
    <mergeCell ref="BA1681:BA1683"/>
    <mergeCell ref="AV1684:AV1686"/>
    <mergeCell ref="AW1684:AW1686"/>
    <mergeCell ref="AX1684:AX1686"/>
    <mergeCell ref="AY1684:AY1686"/>
    <mergeCell ref="AZ1684:AZ1686"/>
    <mergeCell ref="BA1684:BA1686"/>
    <mergeCell ref="AV1687:AV1689"/>
    <mergeCell ref="AW1687:AW1689"/>
    <mergeCell ref="AX1687:AX1689"/>
    <mergeCell ref="AY1687:AY1689"/>
    <mergeCell ref="AZ1687:AZ1689"/>
    <mergeCell ref="BA1687:BA1689"/>
    <mergeCell ref="AV1690:AV1692"/>
    <mergeCell ref="AW1690:AW1692"/>
    <mergeCell ref="AX1690:AX1692"/>
    <mergeCell ref="AY1690:AY1692"/>
    <mergeCell ref="AZ1690:AZ1692"/>
    <mergeCell ref="BA1690:BA1692"/>
    <mergeCell ref="AV1693:AV1695"/>
    <mergeCell ref="AW1693:AW1695"/>
    <mergeCell ref="AX1693:AX1695"/>
    <mergeCell ref="AY1693:AY1695"/>
    <mergeCell ref="AZ1693:AZ1695"/>
    <mergeCell ref="BA1693:BA1695"/>
    <mergeCell ref="AV1696:AV1697"/>
    <mergeCell ref="AW1696:AW1697"/>
    <mergeCell ref="AX1696:AX1697"/>
    <mergeCell ref="AY1696:AY1697"/>
    <mergeCell ref="AZ1696:AZ1697"/>
    <mergeCell ref="BA1696:BA1697"/>
    <mergeCell ref="AV1698:AV1700"/>
    <mergeCell ref="AW1698:AW1700"/>
    <mergeCell ref="AX1698:AX1700"/>
    <mergeCell ref="AY1698:AY1700"/>
    <mergeCell ref="AZ1698:AZ1700"/>
    <mergeCell ref="BA1698:BA1700"/>
    <mergeCell ref="AV1701:AV1703"/>
    <mergeCell ref="AW1701:AW1703"/>
    <mergeCell ref="AX1701:AX1703"/>
    <mergeCell ref="AY1701:AY1703"/>
    <mergeCell ref="AZ1701:AZ1703"/>
    <mergeCell ref="BA1701:BA1703"/>
    <mergeCell ref="AV1704:AV1706"/>
    <mergeCell ref="AW1704:AW1706"/>
    <mergeCell ref="AX1704:AX1706"/>
    <mergeCell ref="AY1704:AY1706"/>
    <mergeCell ref="AZ1704:AZ1706"/>
    <mergeCell ref="BA1704:BA1706"/>
    <mergeCell ref="AV1707:AV1709"/>
    <mergeCell ref="AW1707:AW1709"/>
    <mergeCell ref="AX1707:AX1709"/>
    <mergeCell ref="AY1707:AY1709"/>
    <mergeCell ref="AZ1707:AZ1709"/>
    <mergeCell ref="BA1707:BA1709"/>
    <mergeCell ref="AV1710:AV1715"/>
    <mergeCell ref="AW1710:AW1715"/>
    <mergeCell ref="AX1710:AX1715"/>
    <mergeCell ref="AY1710:AY1715"/>
    <mergeCell ref="AZ1710:AZ1715"/>
    <mergeCell ref="BA1710:BA1715"/>
    <mergeCell ref="BI1710:BI1715"/>
    <mergeCell ref="AV1716:AV1721"/>
    <mergeCell ref="AW1716:AW1721"/>
    <mergeCell ref="AX1716:AX1721"/>
    <mergeCell ref="AY1716:AY1721"/>
    <mergeCell ref="AZ1716:AZ1721"/>
    <mergeCell ref="BA1716:BA1721"/>
    <mergeCell ref="BI1716:BI1721"/>
    <mergeCell ref="AV1722:AV1727"/>
    <mergeCell ref="AW1722:AW1727"/>
    <mergeCell ref="AX1722:AX1727"/>
    <mergeCell ref="AY1722:AY1727"/>
    <mergeCell ref="AZ1722:AZ1727"/>
    <mergeCell ref="BA1722:BA1727"/>
    <mergeCell ref="AV1728:AV1731"/>
    <mergeCell ref="AW1728:AW1731"/>
    <mergeCell ref="AX1728:AX1731"/>
    <mergeCell ref="AY1728:AY1731"/>
    <mergeCell ref="AZ1728:AZ1731"/>
    <mergeCell ref="BA1728:BA1731"/>
    <mergeCell ref="BI1728:BI1731"/>
    <mergeCell ref="AV1732:AV1735"/>
    <mergeCell ref="AW1732:AW1735"/>
    <mergeCell ref="AX1732:AX1735"/>
    <mergeCell ref="AY1732:AY1735"/>
    <mergeCell ref="AZ1732:AZ1735"/>
    <mergeCell ref="BA1732:BA1735"/>
    <mergeCell ref="BI1732:BI1735"/>
    <mergeCell ref="AV1736:AV1739"/>
    <mergeCell ref="AW1736:AW1739"/>
    <mergeCell ref="AX1736:AX1739"/>
    <mergeCell ref="AY1736:AY1739"/>
    <mergeCell ref="AZ1736:AZ1739"/>
    <mergeCell ref="BA1736:BA1739"/>
    <mergeCell ref="BI1736:BI1739"/>
    <mergeCell ref="AV1740:AV1743"/>
    <mergeCell ref="AW1740:AW1743"/>
    <mergeCell ref="AX1740:AX1743"/>
    <mergeCell ref="AY1740:AY1743"/>
    <mergeCell ref="AZ1740:AZ1743"/>
    <mergeCell ref="BA1740:BA1743"/>
    <mergeCell ref="BI1740:BI1743"/>
    <mergeCell ref="AV1744:AV1747"/>
    <mergeCell ref="AW1744:AW1747"/>
    <mergeCell ref="AX1744:AX1747"/>
    <mergeCell ref="AY1744:AY1747"/>
    <mergeCell ref="AZ1744:AZ1747"/>
    <mergeCell ref="BA1744:BA1747"/>
    <mergeCell ref="BI1744:BI1747"/>
    <mergeCell ref="AV1748:AV1751"/>
    <mergeCell ref="AW1748:AW1751"/>
    <mergeCell ref="AX1748:AX1751"/>
    <mergeCell ref="AY1748:AY1751"/>
    <mergeCell ref="AZ1748:AZ1751"/>
    <mergeCell ref="BA1748:BA1751"/>
    <mergeCell ref="BI1748:BI1751"/>
    <mergeCell ref="AV1752:AV1755"/>
    <mergeCell ref="AW1752:AW1755"/>
    <mergeCell ref="AX1752:AX1755"/>
    <mergeCell ref="AY1752:AY1755"/>
    <mergeCell ref="AZ1752:AZ1755"/>
    <mergeCell ref="BA1752:BA1755"/>
    <mergeCell ref="BI1752:BI1755"/>
    <mergeCell ref="AV1756:AV1759"/>
    <mergeCell ref="AW1756:AW1759"/>
    <mergeCell ref="AX1756:AX1759"/>
    <mergeCell ref="AY1756:AY1759"/>
    <mergeCell ref="AZ1756:AZ1759"/>
    <mergeCell ref="BA1756:BA1759"/>
    <mergeCell ref="AV1760:AV1763"/>
    <mergeCell ref="AW1760:AW1763"/>
    <mergeCell ref="AX1760:AX1763"/>
    <mergeCell ref="AY1760:AY1763"/>
    <mergeCell ref="AZ1760:AZ1763"/>
    <mergeCell ref="BA1760:BA1763"/>
    <mergeCell ref="AV1764:AV1766"/>
    <mergeCell ref="AW1764:AW1766"/>
    <mergeCell ref="AX1764:AX1766"/>
    <mergeCell ref="AY1764:AY1766"/>
    <mergeCell ref="AZ1764:AZ1766"/>
    <mergeCell ref="BA1764:BA1766"/>
    <mergeCell ref="AV1767:AV1769"/>
    <mergeCell ref="AW1767:AW1769"/>
    <mergeCell ref="AX1767:AX1769"/>
    <mergeCell ref="AY1767:AY1769"/>
    <mergeCell ref="AZ1767:AZ1769"/>
    <mergeCell ref="BA1767:BA1769"/>
    <mergeCell ref="AV1770:AV1772"/>
    <mergeCell ref="AW1770:AW1772"/>
    <mergeCell ref="AX1770:AX1772"/>
    <mergeCell ref="AY1770:AY1772"/>
    <mergeCell ref="AZ1770:AZ1772"/>
    <mergeCell ref="BA1770:BA1772"/>
    <mergeCell ref="AV1773:AV1775"/>
    <mergeCell ref="AW1773:AW1775"/>
    <mergeCell ref="AX1773:AX1775"/>
    <mergeCell ref="AY1773:AY1775"/>
    <mergeCell ref="AZ1773:AZ1775"/>
    <mergeCell ref="BA1773:BA1775"/>
    <mergeCell ref="AV1776:AV1778"/>
    <mergeCell ref="AW1776:AW1778"/>
    <mergeCell ref="AX1776:AX1778"/>
    <mergeCell ref="AY1776:AY1778"/>
    <mergeCell ref="AZ1776:AZ1778"/>
    <mergeCell ref="BA1776:BA1778"/>
    <mergeCell ref="AV1779:AV1781"/>
    <mergeCell ref="AW1779:AW1781"/>
    <mergeCell ref="AX1779:AX1781"/>
    <mergeCell ref="AY1779:AY1781"/>
    <mergeCell ref="AZ1779:AZ1781"/>
    <mergeCell ref="BA1779:BA1781"/>
    <mergeCell ref="AV1795:AV1798"/>
    <mergeCell ref="AW1795:AW1798"/>
    <mergeCell ref="AX1795:AX1798"/>
    <mergeCell ref="AY1795:AY1798"/>
    <mergeCell ref="AZ1795:AZ1798"/>
    <mergeCell ref="BA1795:BA1798"/>
    <mergeCell ref="BI1795:BI1798"/>
    <mergeCell ref="AV1799:AV1802"/>
    <mergeCell ref="AW1799:AW1802"/>
    <mergeCell ref="AX1799:AX1802"/>
    <mergeCell ref="AY1799:AY1802"/>
    <mergeCell ref="AZ1799:AZ1802"/>
    <mergeCell ref="BA1799:BA1802"/>
    <mergeCell ref="BI1799:BI1802"/>
    <mergeCell ref="AV1803:AV1806"/>
    <mergeCell ref="AW1803:AW1806"/>
    <mergeCell ref="AX1803:AX1806"/>
    <mergeCell ref="AY1803:AY1806"/>
    <mergeCell ref="AZ1803:AZ1806"/>
    <mergeCell ref="BA1803:BA1806"/>
    <mergeCell ref="BI1803:BI1806"/>
    <mergeCell ref="AV1807:AV1810"/>
    <mergeCell ref="AW1807:AW1810"/>
    <mergeCell ref="AX1807:AX1810"/>
    <mergeCell ref="AY1807:AY1810"/>
    <mergeCell ref="AZ1807:AZ1810"/>
    <mergeCell ref="BA1807:BA1810"/>
    <mergeCell ref="BI1807:BI1810"/>
    <mergeCell ref="AV1811:AV1814"/>
    <mergeCell ref="AW1811:AW1814"/>
    <mergeCell ref="AX1811:AX1814"/>
    <mergeCell ref="AY1811:AY1814"/>
    <mergeCell ref="AZ1811:AZ1814"/>
    <mergeCell ref="BA1811:BA1814"/>
    <mergeCell ref="BI1811:BI1814"/>
    <mergeCell ref="AV1815:AV1818"/>
    <mergeCell ref="AW1815:AW1818"/>
    <mergeCell ref="AX1815:AX1818"/>
    <mergeCell ref="AY1815:AY1818"/>
    <mergeCell ref="AZ1815:AZ1818"/>
    <mergeCell ref="BA1815:BA1818"/>
    <mergeCell ref="BI1815:BI1818"/>
    <mergeCell ref="AV1819:AV1822"/>
    <mergeCell ref="AW1819:AW1822"/>
    <mergeCell ref="AX1819:AX1822"/>
    <mergeCell ref="AY1819:AY1822"/>
    <mergeCell ref="AZ1819:AZ1822"/>
    <mergeCell ref="BA1819:BA1822"/>
    <mergeCell ref="BI1819:BI1822"/>
    <mergeCell ref="AV1835:AV1837"/>
    <mergeCell ref="AW1835:AW1837"/>
    <mergeCell ref="AX1835:AX1837"/>
    <mergeCell ref="AY1835:AY1837"/>
    <mergeCell ref="AZ1835:AZ1837"/>
    <mergeCell ref="BA1835:BA1837"/>
    <mergeCell ref="BI1835:BI1837"/>
    <mergeCell ref="AV1838:AV1840"/>
    <mergeCell ref="AW1838:AW1840"/>
    <mergeCell ref="AX1838:AX1840"/>
    <mergeCell ref="AY1838:AY1840"/>
    <mergeCell ref="AZ1838:AZ1840"/>
    <mergeCell ref="BA1838:BA1840"/>
    <mergeCell ref="BI1838:BI1840"/>
    <mergeCell ref="AV1841:AV1843"/>
    <mergeCell ref="AW1841:AW1843"/>
    <mergeCell ref="AX1841:AX1843"/>
    <mergeCell ref="AY1841:AY1843"/>
    <mergeCell ref="AZ1841:AZ1843"/>
    <mergeCell ref="BA1841:BA1843"/>
    <mergeCell ref="BI1841:BI1843"/>
    <mergeCell ref="AV1844:AV1846"/>
    <mergeCell ref="AW1844:AW1846"/>
    <mergeCell ref="AX1844:AX1846"/>
    <mergeCell ref="AY1844:AY1846"/>
    <mergeCell ref="AZ1844:AZ1846"/>
    <mergeCell ref="BA1844:BA1846"/>
    <mergeCell ref="BI1844:BI1846"/>
    <mergeCell ref="AV1847:AV1849"/>
    <mergeCell ref="AW1847:AW1849"/>
    <mergeCell ref="AX1847:AX1849"/>
    <mergeCell ref="AY1847:AY1849"/>
    <mergeCell ref="AZ1847:AZ1849"/>
    <mergeCell ref="BA1847:BA1849"/>
    <mergeCell ref="BI1847:BI1849"/>
    <mergeCell ref="AV1850:AV1852"/>
    <mergeCell ref="AW1850:AW1852"/>
    <mergeCell ref="AX1850:AX1852"/>
    <mergeCell ref="AY1850:AY1852"/>
    <mergeCell ref="AZ1850:AZ1852"/>
    <mergeCell ref="BA1850:BA1852"/>
    <mergeCell ref="BI1850:BI1852"/>
    <mergeCell ref="AV1853:AV1855"/>
    <mergeCell ref="AW1853:AW1855"/>
    <mergeCell ref="AX1853:AX1855"/>
    <mergeCell ref="AY1853:AY1855"/>
    <mergeCell ref="AZ1853:AZ1855"/>
    <mergeCell ref="BA1853:BA1855"/>
    <mergeCell ref="BI1853:BI1855"/>
    <mergeCell ref="AV1856:AV1857"/>
    <mergeCell ref="AW1856:AW1857"/>
    <mergeCell ref="AX1856:AX1857"/>
    <mergeCell ref="AY1856:AY1857"/>
    <mergeCell ref="AZ1856:AZ1857"/>
    <mergeCell ref="BA1856:BA1857"/>
    <mergeCell ref="BI1856:BI1857"/>
    <mergeCell ref="AV1858:AV1860"/>
    <mergeCell ref="AW1858:AW1860"/>
    <mergeCell ref="AX1858:AX1860"/>
    <mergeCell ref="AY1858:AY1860"/>
    <mergeCell ref="AZ1858:AZ1860"/>
    <mergeCell ref="BA1858:BA1860"/>
    <mergeCell ref="BI1858:BI1860"/>
    <mergeCell ref="AV1861:AV1863"/>
    <mergeCell ref="AW1861:AW1863"/>
    <mergeCell ref="AX1861:AX1863"/>
    <mergeCell ref="AY1861:AY1863"/>
    <mergeCell ref="AZ1861:AZ1863"/>
    <mergeCell ref="BA1861:BA1863"/>
    <mergeCell ref="BI1861:BI1863"/>
    <mergeCell ref="AV1864:AV1866"/>
    <mergeCell ref="AW1864:AW1866"/>
    <mergeCell ref="AX1864:AX1866"/>
    <mergeCell ref="AY1864:AY1866"/>
    <mergeCell ref="AZ1864:AZ1866"/>
    <mergeCell ref="BA1864:BA1866"/>
    <mergeCell ref="AV1867:AV1869"/>
    <mergeCell ref="AW1867:AW1869"/>
    <mergeCell ref="AX1867:AX1869"/>
    <mergeCell ref="AY1867:AY1869"/>
    <mergeCell ref="AZ1867:AZ1869"/>
    <mergeCell ref="BA1867:BA1869"/>
    <mergeCell ref="AV1870:AV1871"/>
    <mergeCell ref="AW1870:AW1871"/>
    <mergeCell ref="AX1870:AX1871"/>
    <mergeCell ref="AY1870:AY1871"/>
    <mergeCell ref="AZ1870:AZ1871"/>
    <mergeCell ref="BA1870:BA1871"/>
    <mergeCell ref="AV1872:AV1873"/>
    <mergeCell ref="AW1872:AW1873"/>
    <mergeCell ref="AX1872:AX1873"/>
    <mergeCell ref="AY1872:AY1873"/>
    <mergeCell ref="AZ1872:AZ1873"/>
    <mergeCell ref="BA1872:BA1873"/>
    <mergeCell ref="AV1874:AV1875"/>
    <mergeCell ref="AW1874:AW1875"/>
    <mergeCell ref="AX1874:AX1875"/>
    <mergeCell ref="AY1874:AY1875"/>
    <mergeCell ref="AZ1874:AZ1875"/>
    <mergeCell ref="BA1874:BA1875"/>
    <mergeCell ref="AV1876:AV1877"/>
    <mergeCell ref="AW1876:AW1877"/>
    <mergeCell ref="AX1876:AX1877"/>
    <mergeCell ref="AY1876:AY1877"/>
    <mergeCell ref="AZ1876:AZ1877"/>
    <mergeCell ref="BA1876:BA1877"/>
    <mergeCell ref="AV1878:AV1879"/>
    <mergeCell ref="AW1878:AW1879"/>
    <mergeCell ref="AX1878:AX1879"/>
    <mergeCell ref="AY1878:AY1879"/>
    <mergeCell ref="AZ1878:AZ1879"/>
    <mergeCell ref="BA1878:BA1879"/>
    <mergeCell ref="AV1880:AV1881"/>
    <mergeCell ref="AW1880:AW1881"/>
    <mergeCell ref="AX1880:AX1881"/>
    <mergeCell ref="AY1880:AY1881"/>
    <mergeCell ref="AZ1880:AZ1881"/>
    <mergeCell ref="BA1880:BA1881"/>
    <mergeCell ref="AV1882:AV1883"/>
    <mergeCell ref="AW1882:AW1883"/>
    <mergeCell ref="AX1882:AX1883"/>
    <mergeCell ref="AY1882:AY1883"/>
    <mergeCell ref="AZ1882:AZ1883"/>
    <mergeCell ref="BA1882:BA1883"/>
    <mergeCell ref="AV1884:AV1885"/>
    <mergeCell ref="AW1884:AW1885"/>
    <mergeCell ref="AX1884:AX1885"/>
    <mergeCell ref="AY1884:AY1885"/>
    <mergeCell ref="AZ1884:AZ1885"/>
    <mergeCell ref="BA1884:BA1885"/>
    <mergeCell ref="AV1886:AV1887"/>
    <mergeCell ref="AW1886:AW1887"/>
    <mergeCell ref="AX1886:AX1887"/>
    <mergeCell ref="AY1886:AY1887"/>
    <mergeCell ref="AZ1886:AZ1887"/>
    <mergeCell ref="BA1886:BA1887"/>
    <mergeCell ref="AV1888:AV1889"/>
    <mergeCell ref="AW1888:AW1889"/>
    <mergeCell ref="AX1888:AX1889"/>
    <mergeCell ref="AY1888:AY1889"/>
    <mergeCell ref="AZ1888:AZ1889"/>
    <mergeCell ref="BA1888:BA1889"/>
    <mergeCell ref="AV1890:AV1891"/>
    <mergeCell ref="AW1890:AW1891"/>
    <mergeCell ref="AX1890:AX1891"/>
    <mergeCell ref="AY1890:AY1891"/>
    <mergeCell ref="AZ1890:AZ1891"/>
    <mergeCell ref="BA1890:BA1891"/>
    <mergeCell ref="AV1892:AV1893"/>
    <mergeCell ref="AW1892:AW1893"/>
    <mergeCell ref="AX1892:AX1893"/>
    <mergeCell ref="AY1892:AY1893"/>
    <mergeCell ref="AZ1892:AZ1893"/>
    <mergeCell ref="BA1892:BA1893"/>
    <mergeCell ref="AV1894:AV1895"/>
    <mergeCell ref="AW1894:AW1895"/>
    <mergeCell ref="AX1894:AX1895"/>
    <mergeCell ref="AY1894:AY1895"/>
    <mergeCell ref="AZ1894:AZ1895"/>
    <mergeCell ref="BA1894:BA1895"/>
    <mergeCell ref="AV1901:AV1903"/>
    <mergeCell ref="AW1901:AW1903"/>
    <mergeCell ref="AX1901:AX1903"/>
    <mergeCell ref="AY1901:AY1903"/>
    <mergeCell ref="AZ1901:AZ1903"/>
    <mergeCell ref="BA1901:BA1903"/>
    <mergeCell ref="BI1901:BI1903"/>
    <mergeCell ref="AV1904:AV1906"/>
    <mergeCell ref="AW1904:AW1906"/>
    <mergeCell ref="AX1904:AX1906"/>
    <mergeCell ref="AY1904:AY1906"/>
    <mergeCell ref="AZ1904:AZ1906"/>
    <mergeCell ref="BA1904:BA1906"/>
    <mergeCell ref="BI1904:BI1906"/>
    <mergeCell ref="AV1907:AV1909"/>
    <mergeCell ref="AW1907:AW1909"/>
    <mergeCell ref="AX1907:AX1909"/>
    <mergeCell ref="AY1907:AY1909"/>
    <mergeCell ref="AZ1907:AZ1909"/>
    <mergeCell ref="BA1907:BA1909"/>
    <mergeCell ref="BI1907:BI1909"/>
    <mergeCell ref="AV1910:AV1912"/>
    <mergeCell ref="AW1910:AW1912"/>
    <mergeCell ref="AX1910:AX1912"/>
    <mergeCell ref="AY1910:AY1912"/>
    <mergeCell ref="AZ1910:AZ1912"/>
    <mergeCell ref="BA1910:BA1912"/>
    <mergeCell ref="BI1910:BI1912"/>
    <mergeCell ref="AV1913:AV1915"/>
    <mergeCell ref="AW1913:AW1915"/>
    <mergeCell ref="AX1913:AX1915"/>
    <mergeCell ref="AY1913:AY1915"/>
    <mergeCell ref="AZ1913:AZ1915"/>
    <mergeCell ref="BA1913:BA1915"/>
    <mergeCell ref="BI1913:BI1915"/>
    <mergeCell ref="AV1916:AV1917"/>
    <mergeCell ref="AW1916:AW1917"/>
    <mergeCell ref="AX1916:AX1917"/>
    <mergeCell ref="AY1916:AY1917"/>
    <mergeCell ref="AZ1916:AZ1917"/>
    <mergeCell ref="BA1916:BA1917"/>
    <mergeCell ref="AV1918:AV1919"/>
    <mergeCell ref="AW1918:AW1919"/>
    <mergeCell ref="AX1918:AX1919"/>
    <mergeCell ref="AY1918:AY1919"/>
    <mergeCell ref="AZ1918:AZ1919"/>
    <mergeCell ref="BA1918:BA1919"/>
    <mergeCell ref="AV1920:AV1921"/>
    <mergeCell ref="AW1920:AW1921"/>
    <mergeCell ref="AX1920:AX1921"/>
    <mergeCell ref="AY1920:AY1921"/>
    <mergeCell ref="AZ1920:AZ1921"/>
    <mergeCell ref="BA1920:BA1921"/>
    <mergeCell ref="AV1922:AV1924"/>
    <mergeCell ref="AW1922:AW1924"/>
    <mergeCell ref="AX1922:AX1924"/>
    <mergeCell ref="AY1922:AY1924"/>
    <mergeCell ref="AZ1922:AZ1924"/>
    <mergeCell ref="BA1922:BA1924"/>
    <mergeCell ref="AV1925:AV1927"/>
    <mergeCell ref="AW1925:AW1927"/>
    <mergeCell ref="AX1925:AX1927"/>
    <mergeCell ref="AY1925:AY1927"/>
    <mergeCell ref="AZ1925:AZ1927"/>
    <mergeCell ref="BA1925:BA1927"/>
    <mergeCell ref="AV1928:AV1930"/>
    <mergeCell ref="AW1928:AW1930"/>
    <mergeCell ref="AX1928:AX1930"/>
    <mergeCell ref="AY1928:AY1930"/>
    <mergeCell ref="AZ1928:AZ1930"/>
    <mergeCell ref="BA1928:BA1930"/>
    <mergeCell ref="AV1931:AV1933"/>
    <mergeCell ref="AW1931:AW1933"/>
    <mergeCell ref="AX1931:AX1933"/>
    <mergeCell ref="AY1931:AY1933"/>
    <mergeCell ref="AZ1931:AZ1933"/>
    <mergeCell ref="BA1931:BA1933"/>
    <mergeCell ref="AV1934:AV1936"/>
    <mergeCell ref="AW1934:AW1936"/>
    <mergeCell ref="AX1934:AX1936"/>
    <mergeCell ref="AY1934:AY1936"/>
    <mergeCell ref="AZ1934:AZ1936"/>
    <mergeCell ref="BA1934:BA1936"/>
    <mergeCell ref="AV1937:AV1939"/>
    <mergeCell ref="AW1937:AW1939"/>
    <mergeCell ref="AX1937:AX1939"/>
    <mergeCell ref="AY1937:AY1939"/>
    <mergeCell ref="AZ1937:AZ1939"/>
    <mergeCell ref="BA1937:BA1939"/>
    <mergeCell ref="AV1940:AV1942"/>
    <mergeCell ref="AW1940:AW1942"/>
    <mergeCell ref="AX1940:AX1942"/>
    <mergeCell ref="AY1940:AY1942"/>
    <mergeCell ref="AZ1940:AZ1942"/>
    <mergeCell ref="BA1940:BA1942"/>
    <mergeCell ref="AV1951:AV1954"/>
    <mergeCell ref="AW1951:AW1954"/>
    <mergeCell ref="AX1951:AX1954"/>
    <mergeCell ref="AY1951:AY1954"/>
    <mergeCell ref="AZ1951:AZ1954"/>
    <mergeCell ref="BA1951:BA1954"/>
    <mergeCell ref="AV1955:AV1958"/>
    <mergeCell ref="AW1955:AW1958"/>
    <mergeCell ref="AX1955:AX1958"/>
    <mergeCell ref="AY1955:AY1958"/>
    <mergeCell ref="AZ1955:AZ1958"/>
    <mergeCell ref="BA1955:BA1958"/>
    <mergeCell ref="AV1959:AV1962"/>
    <mergeCell ref="AW1959:AW1962"/>
    <mergeCell ref="AX1959:AX1962"/>
    <mergeCell ref="AY1959:AY1962"/>
    <mergeCell ref="AZ1959:AZ1962"/>
    <mergeCell ref="BA1959:BA1962"/>
    <mergeCell ref="AV1963:AV1966"/>
    <mergeCell ref="AW1963:AW1966"/>
    <mergeCell ref="AX1963:AX1966"/>
    <mergeCell ref="AY1963:AY1966"/>
    <mergeCell ref="AZ1963:AZ1966"/>
    <mergeCell ref="BA1963:BA1966"/>
    <mergeCell ref="AV2037:AV2038"/>
    <mergeCell ref="AW2037:AW2038"/>
    <mergeCell ref="AX2037:AX2038"/>
    <mergeCell ref="AY2037:AY2038"/>
    <mergeCell ref="AZ2037:AZ2038"/>
    <mergeCell ref="BA2037:BA2038"/>
    <mergeCell ref="AV2090:AV2091"/>
    <mergeCell ref="AW2090:AW2091"/>
    <mergeCell ref="AX2090:AX2091"/>
    <mergeCell ref="AY2090:AY2091"/>
    <mergeCell ref="AZ2090:AZ2091"/>
    <mergeCell ref="BA2090:BA2091"/>
    <mergeCell ref="AV2096:AV2097"/>
    <mergeCell ref="AW2096:AW2097"/>
    <mergeCell ref="AX2096:AX2097"/>
    <mergeCell ref="AY2096:AY2097"/>
    <mergeCell ref="AZ2096:AZ2097"/>
    <mergeCell ref="BA2096:BA2097"/>
    <mergeCell ref="AV2231:AV2232"/>
    <mergeCell ref="AW2231:AW2232"/>
    <mergeCell ref="AX2231:AX2232"/>
    <mergeCell ref="AY2231:AY2232"/>
    <mergeCell ref="AZ2231:AZ2232"/>
    <mergeCell ref="BA2231:BA2232"/>
    <mergeCell ref="AV2302:AV2303"/>
    <mergeCell ref="AW2302:AW2303"/>
    <mergeCell ref="AX2302:AX2303"/>
    <mergeCell ref="AY2302:AY2303"/>
    <mergeCell ref="AZ2302:AZ2303"/>
    <mergeCell ref="BA2302:BA2303"/>
    <mergeCell ref="AV2397:AV2398"/>
    <mergeCell ref="AW2397:AW2398"/>
    <mergeCell ref="AX2397:AX2398"/>
    <mergeCell ref="AY2397:AY2398"/>
    <mergeCell ref="AZ2397:AZ2398"/>
    <mergeCell ref="BA2397:BA2398"/>
    <mergeCell ref="AV2450:AV2451"/>
    <mergeCell ref="AW2450:AW2451"/>
    <mergeCell ref="AX2450:AX2451"/>
    <mergeCell ref="AY2450:AY2451"/>
    <mergeCell ref="AZ2450:AZ2451"/>
    <mergeCell ref="BA2450:BA2451"/>
    <mergeCell ref="AV2531:AV2533"/>
    <mergeCell ref="AW2531:AW2533"/>
    <mergeCell ref="AX2531:AX2533"/>
    <mergeCell ref="AY2531:AY2533"/>
    <mergeCell ref="AZ2531:AZ2533"/>
    <mergeCell ref="BA2531:BA2533"/>
    <mergeCell ref="AV2534:AV2536"/>
    <mergeCell ref="AW2534:AW2536"/>
    <mergeCell ref="AX2534:AX2536"/>
    <mergeCell ref="AY2534:AY2536"/>
    <mergeCell ref="AZ2534:AZ2536"/>
    <mergeCell ref="BA2534:BA2536"/>
    <mergeCell ref="AV2537:AV2539"/>
    <mergeCell ref="AW2537:AW2539"/>
    <mergeCell ref="AX2537:AX2539"/>
    <mergeCell ref="AY2537:AY2539"/>
    <mergeCell ref="AZ2537:AZ2539"/>
    <mergeCell ref="BA2537:BA2539"/>
    <mergeCell ref="AV2540:AV2541"/>
    <mergeCell ref="AW2540:AW2541"/>
    <mergeCell ref="AX2540:AX2541"/>
    <mergeCell ref="AY2540:AY2541"/>
    <mergeCell ref="AZ2540:AZ2541"/>
    <mergeCell ref="BA2540:BA2541"/>
    <mergeCell ref="AV2542:AV2544"/>
    <mergeCell ref="AW2542:AW2544"/>
    <mergeCell ref="AX2542:AX2544"/>
    <mergeCell ref="AY2542:AY2544"/>
    <mergeCell ref="AZ2542:AZ2544"/>
    <mergeCell ref="BA2542:BA2544"/>
    <mergeCell ref="AV2545:AV2547"/>
    <mergeCell ref="AW2545:AW2547"/>
    <mergeCell ref="AX2545:AX2547"/>
    <mergeCell ref="AY2545:AY2547"/>
    <mergeCell ref="AZ2545:AZ2547"/>
    <mergeCell ref="BA2545:BA2547"/>
    <mergeCell ref="AV2549:AV2552"/>
    <mergeCell ref="AW2549:AW2552"/>
    <mergeCell ref="AX2549:AX2552"/>
    <mergeCell ref="AY2549:AY2552"/>
    <mergeCell ref="AZ2549:AZ2552"/>
    <mergeCell ref="BA2549:BA2552"/>
    <mergeCell ref="BI2549:BI2552"/>
    <mergeCell ref="AV2553:AV2556"/>
    <mergeCell ref="AW2553:AW2556"/>
    <mergeCell ref="AX2553:AX2556"/>
    <mergeCell ref="AY2553:AY2556"/>
    <mergeCell ref="AZ2553:AZ2556"/>
    <mergeCell ref="BA2553:BA2556"/>
    <mergeCell ref="BI2553:BI2556"/>
    <mergeCell ref="AV2557:AV2560"/>
    <mergeCell ref="AW2557:AW2560"/>
    <mergeCell ref="AX2557:AX2560"/>
    <mergeCell ref="AY2557:AY2560"/>
    <mergeCell ref="AZ2557:AZ2560"/>
    <mergeCell ref="BA2557:BA2560"/>
    <mergeCell ref="BI2557:BI2560"/>
    <mergeCell ref="AV2561:AV2564"/>
    <mergeCell ref="AW2561:AW2564"/>
    <mergeCell ref="AX2561:AX2564"/>
    <mergeCell ref="AY2561:AY2564"/>
    <mergeCell ref="AZ2561:AZ2564"/>
    <mergeCell ref="BA2561:BA2564"/>
    <mergeCell ref="BI2561:BI2564"/>
    <mergeCell ref="AV2565:AV2568"/>
    <mergeCell ref="AW2565:AW2568"/>
    <mergeCell ref="AX2565:AX2568"/>
    <mergeCell ref="AY2565:AY2568"/>
    <mergeCell ref="AZ2565:AZ2568"/>
    <mergeCell ref="BA2565:BA2568"/>
    <mergeCell ref="BI2565:BI2568"/>
    <mergeCell ref="AV2569:AV2572"/>
    <mergeCell ref="AW2569:AW2572"/>
    <mergeCell ref="AX2569:AX2572"/>
    <mergeCell ref="AY2569:AY2572"/>
    <mergeCell ref="AZ2569:AZ2572"/>
    <mergeCell ref="BA2569:BA2572"/>
    <mergeCell ref="BI2569:BI2572"/>
    <mergeCell ref="AV2573:AV2575"/>
    <mergeCell ref="AW2573:AW2575"/>
    <mergeCell ref="AX2573:AX2575"/>
    <mergeCell ref="AY2573:AY2575"/>
    <mergeCell ref="AZ2573:AZ2575"/>
    <mergeCell ref="BA2573:BA2575"/>
    <mergeCell ref="BI2573:BI2575"/>
    <mergeCell ref="AV2576:AV2579"/>
    <mergeCell ref="AW2576:AW2579"/>
    <mergeCell ref="AX2576:AX2579"/>
    <mergeCell ref="AY2576:AY2579"/>
    <mergeCell ref="AZ2576:AZ2579"/>
    <mergeCell ref="BA2576:BA2579"/>
    <mergeCell ref="BI2576:BI2579"/>
    <mergeCell ref="AV2580:AV2583"/>
    <mergeCell ref="AW2580:AW2583"/>
    <mergeCell ref="AX2580:AX2583"/>
    <mergeCell ref="AY2580:AY2583"/>
    <mergeCell ref="AZ2580:AZ2583"/>
    <mergeCell ref="BA2580:BA2583"/>
    <mergeCell ref="BI2580:BI2583"/>
    <mergeCell ref="AV2584:AV2587"/>
    <mergeCell ref="AW2584:AW2587"/>
    <mergeCell ref="AX2584:AX2587"/>
    <mergeCell ref="AY2584:AY2587"/>
    <mergeCell ref="AZ2584:AZ2587"/>
    <mergeCell ref="BA2584:BA2587"/>
    <mergeCell ref="BI2584:BI2587"/>
    <mergeCell ref="AV2588:AV2591"/>
    <mergeCell ref="AW2588:AW2591"/>
    <mergeCell ref="AX2588:AX2591"/>
    <mergeCell ref="AY2588:AY2591"/>
    <mergeCell ref="AZ2588:AZ2591"/>
    <mergeCell ref="BA2588:BA2591"/>
    <mergeCell ref="BI2588:BI2591"/>
    <mergeCell ref="AV2592:AV2595"/>
    <mergeCell ref="AW2592:AW2595"/>
    <mergeCell ref="AX2592:AX2595"/>
    <mergeCell ref="AY2592:AY2595"/>
    <mergeCell ref="AZ2592:AZ2595"/>
    <mergeCell ref="BA2592:BA2595"/>
    <mergeCell ref="BI2592:BI2595"/>
    <mergeCell ref="AV2596:AV2599"/>
    <mergeCell ref="AW2596:AW2599"/>
    <mergeCell ref="AX2596:AX2599"/>
    <mergeCell ref="AY2596:AY2599"/>
    <mergeCell ref="AZ2596:AZ2599"/>
    <mergeCell ref="BA2596:BA2599"/>
    <mergeCell ref="BI2596:BI2599"/>
    <mergeCell ref="AV2600:AV2603"/>
    <mergeCell ref="AW2600:AW2603"/>
    <mergeCell ref="AX2600:AX2603"/>
    <mergeCell ref="AY2600:AY2603"/>
    <mergeCell ref="AZ2600:AZ2603"/>
    <mergeCell ref="BA2600:BA2603"/>
    <mergeCell ref="BI2600:BI2603"/>
    <mergeCell ref="AV2604:AV2607"/>
    <mergeCell ref="AW2604:AW2607"/>
    <mergeCell ref="AX2604:AX2607"/>
    <mergeCell ref="AY2604:AY2607"/>
    <mergeCell ref="AZ2604:AZ2607"/>
    <mergeCell ref="BA2604:BA2607"/>
    <mergeCell ref="BI2604:BI2607"/>
    <mergeCell ref="AV2608:AV2610"/>
    <mergeCell ref="AW2608:AW2610"/>
    <mergeCell ref="AX2608:AX2610"/>
    <mergeCell ref="AY2608:AY2610"/>
    <mergeCell ref="AZ2608:AZ2610"/>
    <mergeCell ref="BA2608:BA2610"/>
    <mergeCell ref="AV2611:AV2614"/>
    <mergeCell ref="AW2611:AW2614"/>
    <mergeCell ref="AX2611:AX2614"/>
    <mergeCell ref="AY2611:AY2614"/>
    <mergeCell ref="AZ2611:AZ2614"/>
    <mergeCell ref="BA2611:BA2614"/>
    <mergeCell ref="AV2615:AV2617"/>
    <mergeCell ref="AW2615:AW2617"/>
    <mergeCell ref="AX2615:AX2617"/>
    <mergeCell ref="AY2615:AY2617"/>
    <mergeCell ref="AZ2615:AZ2617"/>
    <mergeCell ref="BA2615:BA2617"/>
    <mergeCell ref="AV2618:AV2620"/>
    <mergeCell ref="AW2618:AW2620"/>
    <mergeCell ref="AX2618:AX2620"/>
    <mergeCell ref="AY2618:AY2620"/>
    <mergeCell ref="AZ2618:AZ2620"/>
    <mergeCell ref="BA2618:BA2620"/>
    <mergeCell ref="AV2621:AV2623"/>
    <mergeCell ref="AW2621:AW2623"/>
    <mergeCell ref="AX2621:AX2623"/>
    <mergeCell ref="AY2621:AY2623"/>
    <mergeCell ref="AZ2621:AZ2623"/>
    <mergeCell ref="BA2621:BA2623"/>
    <mergeCell ref="AV2624:AV2626"/>
    <mergeCell ref="AW2624:AW2626"/>
    <mergeCell ref="AX2624:AX2626"/>
    <mergeCell ref="AY2624:AY2626"/>
    <mergeCell ref="AZ2624:AZ2626"/>
    <mergeCell ref="BA2624:BA2626"/>
    <mergeCell ref="AV2627:AV2630"/>
    <mergeCell ref="AW2627:AW2630"/>
    <mergeCell ref="AX2627:AX2630"/>
    <mergeCell ref="AY2627:AY2630"/>
    <mergeCell ref="AZ2627:AZ2630"/>
    <mergeCell ref="BA2627:BA2630"/>
    <mergeCell ref="AV2631:AV2633"/>
    <mergeCell ref="AW2631:AW2633"/>
    <mergeCell ref="AX2631:AX2633"/>
    <mergeCell ref="AY2631:AY2633"/>
    <mergeCell ref="AZ2631:AZ2633"/>
    <mergeCell ref="BA2631:BA2633"/>
    <mergeCell ref="BI2631:BI2633"/>
    <mergeCell ref="AV2634:AV2635"/>
    <mergeCell ref="AW2634:AW2635"/>
    <mergeCell ref="AX2634:AX2635"/>
    <mergeCell ref="AY2634:AY2635"/>
    <mergeCell ref="AZ2634:AZ2635"/>
    <mergeCell ref="BA2634:BA2635"/>
    <mergeCell ref="BI2634:BI2635"/>
    <mergeCell ref="AV2636:AV2638"/>
    <mergeCell ref="AW2636:AW2638"/>
    <mergeCell ref="AX2636:AX2638"/>
    <mergeCell ref="AY2636:AY2638"/>
    <mergeCell ref="AZ2636:AZ2638"/>
    <mergeCell ref="BA2636:BA2638"/>
    <mergeCell ref="BI2636:BI2638"/>
    <mergeCell ref="AV2639:AV2641"/>
    <mergeCell ref="AW2639:AW2641"/>
    <mergeCell ref="AX2639:AX2641"/>
    <mergeCell ref="AY2639:AY2641"/>
    <mergeCell ref="AZ2639:AZ2641"/>
    <mergeCell ref="BA2639:BA2641"/>
    <mergeCell ref="BI2639:BI2641"/>
    <mergeCell ref="AV2642:AV2645"/>
    <mergeCell ref="AW2642:AW2645"/>
    <mergeCell ref="AX2642:AX2645"/>
    <mergeCell ref="AY2642:AY2645"/>
    <mergeCell ref="AZ2642:AZ2645"/>
    <mergeCell ref="BA2642:BA2645"/>
    <mergeCell ref="BI2642:BI2645"/>
    <mergeCell ref="AV2646:AV2648"/>
    <mergeCell ref="AW2646:AW2648"/>
    <mergeCell ref="AX2646:AX2648"/>
    <mergeCell ref="AY2646:AY2648"/>
    <mergeCell ref="AZ2646:AZ2648"/>
    <mergeCell ref="BA2646:BA2648"/>
    <mergeCell ref="BI2646:BI2648"/>
    <mergeCell ref="AV2649:AV2651"/>
    <mergeCell ref="AW2649:AW2651"/>
    <mergeCell ref="AX2649:AX2651"/>
    <mergeCell ref="AY2649:AY2651"/>
    <mergeCell ref="AZ2649:AZ2651"/>
    <mergeCell ref="BA2649:BA2651"/>
    <mergeCell ref="BI2649:BI2651"/>
    <mergeCell ref="AV2652:AV2655"/>
    <mergeCell ref="AW2652:AW2655"/>
    <mergeCell ref="AX2652:AX2655"/>
    <mergeCell ref="AY2652:AY2655"/>
    <mergeCell ref="AZ2652:AZ2655"/>
    <mergeCell ref="BA2652:BA2655"/>
    <mergeCell ref="BI2652:BI2655"/>
    <mergeCell ref="AV2656:AV2660"/>
    <mergeCell ref="AW2656:AW2660"/>
    <mergeCell ref="AX2656:AX2660"/>
    <mergeCell ref="AY2656:AY2660"/>
    <mergeCell ref="AZ2656:AZ2660"/>
    <mergeCell ref="BA2656:BA2660"/>
    <mergeCell ref="BI2656:BI2660"/>
    <mergeCell ref="AV2661:AV2665"/>
    <mergeCell ref="AW2661:AW2665"/>
    <mergeCell ref="AX2661:AX2665"/>
    <mergeCell ref="AY2661:AY2665"/>
    <mergeCell ref="AZ2661:AZ2665"/>
    <mergeCell ref="BA2661:BA2665"/>
    <mergeCell ref="BI2661:BI2665"/>
    <mergeCell ref="AV2666:AV2670"/>
    <mergeCell ref="AW2666:AW2670"/>
    <mergeCell ref="AX2666:AX2670"/>
    <mergeCell ref="AY2666:AY2670"/>
    <mergeCell ref="AZ2666:AZ2670"/>
    <mergeCell ref="BA2666:BA2670"/>
    <mergeCell ref="BI2666:BI2670"/>
    <mergeCell ref="AV2671:AV2675"/>
    <mergeCell ref="AW2671:AW2675"/>
    <mergeCell ref="AX2671:AX2675"/>
    <mergeCell ref="AY2671:AY2675"/>
    <mergeCell ref="AZ2671:AZ2675"/>
    <mergeCell ref="BA2671:BA2675"/>
    <mergeCell ref="BI2671:BI2675"/>
    <mergeCell ref="AV2676:AV2680"/>
    <mergeCell ref="AW2676:AW2680"/>
    <mergeCell ref="AX2676:AX2680"/>
    <mergeCell ref="AY2676:AY2680"/>
    <mergeCell ref="AZ2676:AZ2680"/>
    <mergeCell ref="BA2676:BA2680"/>
    <mergeCell ref="BI2676:BI2680"/>
    <mergeCell ref="AV2681:AV2685"/>
    <mergeCell ref="AW2681:AW2685"/>
    <mergeCell ref="AX2681:AX2685"/>
    <mergeCell ref="AY2681:AY2685"/>
    <mergeCell ref="AZ2681:AZ2685"/>
    <mergeCell ref="BA2681:BA2685"/>
    <mergeCell ref="BI2681:BI2685"/>
    <mergeCell ref="AV2686:AV2691"/>
    <mergeCell ref="AW2686:AW2691"/>
    <mergeCell ref="AX2686:AX2691"/>
    <mergeCell ref="AY2686:AY2691"/>
    <mergeCell ref="AZ2686:AZ2691"/>
    <mergeCell ref="BA2686:BA2691"/>
    <mergeCell ref="BI2686:BI2691"/>
    <mergeCell ref="AV2692:AV2697"/>
    <mergeCell ref="AW2692:AW2697"/>
    <mergeCell ref="AX2692:AX2697"/>
    <mergeCell ref="AY2692:AY2697"/>
    <mergeCell ref="AZ2692:AZ2697"/>
    <mergeCell ref="BA2692:BA2697"/>
    <mergeCell ref="BI2692:BI2697"/>
    <mergeCell ref="AV2698:AV2703"/>
    <mergeCell ref="AW2698:AW2703"/>
    <mergeCell ref="AX2698:AX2703"/>
    <mergeCell ref="AY2698:AY2703"/>
    <mergeCell ref="AZ2698:AZ2703"/>
    <mergeCell ref="BA2698:BA2703"/>
    <mergeCell ref="BI2698:BI2703"/>
    <mergeCell ref="AV2704:AV2708"/>
    <mergeCell ref="AW2704:AW2708"/>
    <mergeCell ref="AX2704:AX2708"/>
    <mergeCell ref="AY2704:AY2708"/>
    <mergeCell ref="AZ2704:AZ2708"/>
    <mergeCell ref="BA2704:BA2708"/>
    <mergeCell ref="BI2704:BI2708"/>
    <mergeCell ref="AV2709:AV2713"/>
    <mergeCell ref="AW2709:AW2713"/>
    <mergeCell ref="AX2709:AX2713"/>
    <mergeCell ref="AY2709:AY2713"/>
    <mergeCell ref="AZ2709:AZ2713"/>
    <mergeCell ref="BA2709:BA2713"/>
    <mergeCell ref="BI2709:BI2713"/>
    <mergeCell ref="AV2714:AV2719"/>
    <mergeCell ref="AW2714:AW2719"/>
    <mergeCell ref="AX2714:AX2719"/>
    <mergeCell ref="AY2714:AY2719"/>
    <mergeCell ref="AZ2714:AZ2719"/>
    <mergeCell ref="BA2714:BA2719"/>
    <mergeCell ref="BI2714:BI2719"/>
    <mergeCell ref="AV2720:AV2724"/>
    <mergeCell ref="AW2720:AW2724"/>
    <mergeCell ref="AX2720:AX2724"/>
    <mergeCell ref="AY2720:AY2724"/>
    <mergeCell ref="AZ2720:AZ2724"/>
    <mergeCell ref="BA2720:BA2724"/>
    <mergeCell ref="BI2720:BI2724"/>
    <mergeCell ref="AV2725:AV2727"/>
    <mergeCell ref="AW2725:AW2727"/>
    <mergeCell ref="AX2725:AX2727"/>
    <mergeCell ref="AY2725:AY2727"/>
    <mergeCell ref="AZ2725:AZ2727"/>
    <mergeCell ref="BA2725:BA2727"/>
    <mergeCell ref="BI2725:BI2727"/>
    <mergeCell ref="AV2728:AV2730"/>
    <mergeCell ref="AW2728:AW2730"/>
    <mergeCell ref="AX2728:AX2730"/>
    <mergeCell ref="AY2728:AY2730"/>
    <mergeCell ref="AZ2728:AZ2730"/>
    <mergeCell ref="BA2728:BA2730"/>
    <mergeCell ref="BI2728:BI2730"/>
    <mergeCell ref="AV2731:AV2732"/>
    <mergeCell ref="AW2731:AW2732"/>
    <mergeCell ref="AX2731:AX2732"/>
    <mergeCell ref="AY2731:AY2732"/>
    <mergeCell ref="AZ2731:AZ2732"/>
    <mergeCell ref="BA2731:BA2732"/>
    <mergeCell ref="BI2731:BI2732"/>
    <mergeCell ref="AV2733:AV2735"/>
    <mergeCell ref="AW2733:AW2735"/>
    <mergeCell ref="AX2733:AX2735"/>
    <mergeCell ref="AY2733:AY2735"/>
    <mergeCell ref="AZ2733:AZ2735"/>
    <mergeCell ref="BA2733:BA2735"/>
    <mergeCell ref="BI2733:BI2735"/>
    <mergeCell ref="AV2736:AV2738"/>
    <mergeCell ref="AW2736:AW2738"/>
    <mergeCell ref="AX2736:AX2738"/>
    <mergeCell ref="AY2736:AY2738"/>
    <mergeCell ref="AZ2736:AZ2738"/>
    <mergeCell ref="BA2736:BA2738"/>
    <mergeCell ref="BI2736:BI2738"/>
    <mergeCell ref="AV2739:AV2741"/>
    <mergeCell ref="AW2739:AW2741"/>
    <mergeCell ref="AX2739:AX2741"/>
    <mergeCell ref="AY2739:AY2741"/>
    <mergeCell ref="AZ2739:AZ2741"/>
    <mergeCell ref="BA2739:BA2741"/>
    <mergeCell ref="BI2739:BI2741"/>
    <mergeCell ref="AV2742:AV2743"/>
    <mergeCell ref="AW2742:AW2743"/>
    <mergeCell ref="AX2742:AX2743"/>
    <mergeCell ref="AY2742:AY2743"/>
    <mergeCell ref="AZ2742:AZ2743"/>
    <mergeCell ref="BA2742:BA2743"/>
    <mergeCell ref="AV2744:AV2745"/>
    <mergeCell ref="AW2744:AW2745"/>
    <mergeCell ref="AX2744:AX2745"/>
    <mergeCell ref="AY2744:AY2745"/>
    <mergeCell ref="AZ2744:AZ2745"/>
    <mergeCell ref="BA2744:BA2745"/>
    <mergeCell ref="AV2746:AV2747"/>
    <mergeCell ref="AW2746:AW2747"/>
    <mergeCell ref="AX2746:AX2747"/>
    <mergeCell ref="AY2746:AY2747"/>
    <mergeCell ref="AZ2746:AZ2747"/>
    <mergeCell ref="BA2746:BA2747"/>
    <mergeCell ref="AV2748:AV2749"/>
    <mergeCell ref="AW2748:AW2749"/>
    <mergeCell ref="AX2748:AX2749"/>
    <mergeCell ref="AY2748:AY2749"/>
    <mergeCell ref="AZ2748:AZ2749"/>
    <mergeCell ref="BA2748:BA2749"/>
    <mergeCell ref="AV2750:AV2751"/>
    <mergeCell ref="AW2750:AW2751"/>
    <mergeCell ref="AX2750:AX2751"/>
    <mergeCell ref="AY2750:AY2751"/>
    <mergeCell ref="AZ2750:AZ2751"/>
    <mergeCell ref="BA2750:BA2751"/>
    <mergeCell ref="AV2752:AV2753"/>
    <mergeCell ref="AW2752:AW2753"/>
    <mergeCell ref="AX2752:AX2753"/>
    <mergeCell ref="AY2752:AY2753"/>
    <mergeCell ref="AZ2752:AZ2753"/>
    <mergeCell ref="BA2752:BA2753"/>
    <mergeCell ref="AV2754:AV2755"/>
    <mergeCell ref="AW2754:AW2755"/>
    <mergeCell ref="AX2754:AX2755"/>
    <mergeCell ref="AY2754:AY2755"/>
    <mergeCell ref="AZ2754:AZ2755"/>
    <mergeCell ref="BA2754:BA2755"/>
    <mergeCell ref="AV2756:AV2757"/>
    <mergeCell ref="AW2756:AW2757"/>
    <mergeCell ref="AX2756:AX2757"/>
    <mergeCell ref="AY2756:AY2757"/>
    <mergeCell ref="AZ2756:AZ2757"/>
    <mergeCell ref="BA2756:BA2757"/>
    <mergeCell ref="AV2760:AV2763"/>
    <mergeCell ref="AW2760:AW2763"/>
    <mergeCell ref="AX2760:AX2763"/>
    <mergeCell ref="AY2760:AY2763"/>
    <mergeCell ref="AZ2760:AZ2763"/>
    <mergeCell ref="BA2760:BA2763"/>
    <mergeCell ref="AV2764:AV2767"/>
    <mergeCell ref="AW2764:AW2767"/>
    <mergeCell ref="AX2764:AX2767"/>
    <mergeCell ref="AY2764:AY2767"/>
    <mergeCell ref="AZ2764:AZ2767"/>
    <mergeCell ref="BA2764:BA2767"/>
    <mergeCell ref="AV2768:AV2771"/>
    <mergeCell ref="AW2768:AW2771"/>
    <mergeCell ref="AX2768:AX2771"/>
    <mergeCell ref="AY2768:AY2771"/>
    <mergeCell ref="AZ2768:AZ2771"/>
    <mergeCell ref="BA2768:BA2771"/>
    <mergeCell ref="AV2773:AV2775"/>
    <mergeCell ref="AW2773:AW2775"/>
    <mergeCell ref="AX2773:AX2775"/>
    <mergeCell ref="AY2773:AY2775"/>
    <mergeCell ref="AZ2773:AZ2775"/>
    <mergeCell ref="BA2773:BA2775"/>
    <mergeCell ref="BI2773:BI2775"/>
    <mergeCell ref="AV2776:AV2778"/>
    <mergeCell ref="AW2776:AW2778"/>
    <mergeCell ref="AX2776:AX2778"/>
    <mergeCell ref="AY2776:AY2778"/>
    <mergeCell ref="AZ2776:AZ2778"/>
    <mergeCell ref="BA2776:BA2778"/>
    <mergeCell ref="BI2776:BI2778"/>
    <mergeCell ref="AV2779:AV2781"/>
    <mergeCell ref="AW2779:AW2781"/>
    <mergeCell ref="AX2779:AX2781"/>
    <mergeCell ref="AY2779:AY2781"/>
    <mergeCell ref="AZ2779:AZ2781"/>
    <mergeCell ref="BA2779:BA2781"/>
    <mergeCell ref="BI2779:BI2781"/>
    <mergeCell ref="AV2782:AV2784"/>
    <mergeCell ref="AW2782:AW2784"/>
    <mergeCell ref="AX2782:AX2784"/>
    <mergeCell ref="AY2782:AY2784"/>
    <mergeCell ref="AZ2782:AZ2784"/>
    <mergeCell ref="BA2782:BA2784"/>
    <mergeCell ref="BI2782:BI2784"/>
    <mergeCell ref="AV2785:AV2787"/>
    <mergeCell ref="AW2785:AW2787"/>
    <mergeCell ref="AX2785:AX2787"/>
    <mergeCell ref="AY2785:AY2787"/>
    <mergeCell ref="AZ2785:AZ2787"/>
    <mergeCell ref="BA2785:BA2787"/>
    <mergeCell ref="BI2785:BI2787"/>
    <mergeCell ref="AV2788:AV2789"/>
    <mergeCell ref="AW2788:AW2789"/>
    <mergeCell ref="AX2788:AX2789"/>
    <mergeCell ref="AY2788:AY2789"/>
    <mergeCell ref="AZ2788:AZ2789"/>
    <mergeCell ref="BA2788:BA2789"/>
    <mergeCell ref="BI2788:BI2789"/>
    <mergeCell ref="AV2790:AV2791"/>
    <mergeCell ref="AW2790:AW2791"/>
    <mergeCell ref="AX2790:AX2791"/>
    <mergeCell ref="AY2790:AY2791"/>
    <mergeCell ref="AZ2790:AZ2791"/>
    <mergeCell ref="BA2790:BA2791"/>
    <mergeCell ref="BI2790:BI2791"/>
    <mergeCell ref="AV2793:AV2795"/>
    <mergeCell ref="AW2793:AW2795"/>
    <mergeCell ref="AX2793:AX2795"/>
    <mergeCell ref="AY2793:AY2795"/>
    <mergeCell ref="AZ2793:AZ2795"/>
    <mergeCell ref="BA2793:BA2795"/>
    <mergeCell ref="BI2793:BI2795"/>
    <mergeCell ref="AV2796:AV2798"/>
    <mergeCell ref="AW2796:AW2798"/>
    <mergeCell ref="AX2796:AX2798"/>
    <mergeCell ref="AY2796:AY2798"/>
    <mergeCell ref="AZ2796:AZ2798"/>
    <mergeCell ref="BA2796:BA2798"/>
    <mergeCell ref="BI2796:BI2798"/>
    <mergeCell ref="AV2799:AV2800"/>
    <mergeCell ref="AW2799:AW2800"/>
    <mergeCell ref="AX2799:AX2800"/>
    <mergeCell ref="AY2799:AY2800"/>
    <mergeCell ref="AZ2799:AZ2800"/>
    <mergeCell ref="BA2799:BA2800"/>
    <mergeCell ref="BI2799:BI2800"/>
    <mergeCell ref="AV2801:AV2803"/>
    <mergeCell ref="AW2801:AW2803"/>
    <mergeCell ref="AX2801:AX2803"/>
    <mergeCell ref="AY2801:AY2803"/>
    <mergeCell ref="AZ2801:AZ2803"/>
    <mergeCell ref="BA2801:BA2803"/>
    <mergeCell ref="AV2804:AV2806"/>
    <mergeCell ref="AW2804:AW2806"/>
    <mergeCell ref="AX2804:AX2806"/>
    <mergeCell ref="AY2804:AY2806"/>
    <mergeCell ref="AZ2804:AZ2806"/>
    <mergeCell ref="BA2804:BA2806"/>
    <mergeCell ref="AV2807:AV2809"/>
    <mergeCell ref="AW2807:AW2809"/>
    <mergeCell ref="AX2807:AX2809"/>
    <mergeCell ref="AY2807:AY2809"/>
    <mergeCell ref="AZ2807:AZ2809"/>
    <mergeCell ref="BA2807:BA2809"/>
    <mergeCell ref="AV2810:AV2812"/>
    <mergeCell ref="AW2810:AW2812"/>
    <mergeCell ref="AX2810:AX2812"/>
    <mergeCell ref="AY2810:AY2812"/>
    <mergeCell ref="AZ2810:AZ2812"/>
    <mergeCell ref="BA2810:BA2812"/>
    <mergeCell ref="AV2813:AV2816"/>
    <mergeCell ref="AW2813:AW2816"/>
    <mergeCell ref="AX2813:AX2816"/>
    <mergeCell ref="AY2813:AY2816"/>
    <mergeCell ref="AZ2813:AZ2816"/>
    <mergeCell ref="BA2813:BA2816"/>
    <mergeCell ref="AV2817:AV2820"/>
    <mergeCell ref="AW2817:AW2820"/>
    <mergeCell ref="AX2817:AX2820"/>
    <mergeCell ref="AY2817:AY2820"/>
    <mergeCell ref="AZ2817:AZ2820"/>
    <mergeCell ref="BA2817:BA2820"/>
    <mergeCell ref="AV2821:AV2824"/>
    <mergeCell ref="AW2821:AW2824"/>
    <mergeCell ref="AX2821:AX2824"/>
    <mergeCell ref="AY2821:AY2824"/>
    <mergeCell ref="AZ2821:AZ2824"/>
    <mergeCell ref="BA2821:BA2824"/>
    <mergeCell ref="AV2825:AV2826"/>
    <mergeCell ref="AW2825:AW2826"/>
    <mergeCell ref="AX2825:AX2826"/>
    <mergeCell ref="AY2825:AY2826"/>
    <mergeCell ref="AZ2825:AZ2826"/>
    <mergeCell ref="BA2825:BA2826"/>
    <mergeCell ref="BI2825:BI2826"/>
    <mergeCell ref="AV2827:AV2828"/>
    <mergeCell ref="AW2827:AW2828"/>
    <mergeCell ref="AX2827:AX2828"/>
    <mergeCell ref="AY2827:AY2828"/>
    <mergeCell ref="AZ2827:AZ2828"/>
    <mergeCell ref="BA2827:BA2828"/>
    <mergeCell ref="BI2827:BI2828"/>
    <mergeCell ref="AV2829:AV2830"/>
    <mergeCell ref="AW2829:AW2830"/>
    <mergeCell ref="AX2829:AX2830"/>
    <mergeCell ref="AY2829:AY2830"/>
    <mergeCell ref="AZ2829:AZ2830"/>
    <mergeCell ref="BA2829:BA2830"/>
    <mergeCell ref="BI2829:BI2830"/>
    <mergeCell ref="AV2831:AV2832"/>
    <mergeCell ref="AW2831:AW2832"/>
    <mergeCell ref="AX2831:AX2832"/>
    <mergeCell ref="AY2831:AY2832"/>
    <mergeCell ref="AZ2831:AZ2832"/>
    <mergeCell ref="BA2831:BA2832"/>
    <mergeCell ref="BI2831:BI2832"/>
    <mergeCell ref="AV2833:AV2834"/>
    <mergeCell ref="AW2833:AW2834"/>
    <mergeCell ref="AX2833:AX2834"/>
    <mergeCell ref="AY2833:AY2834"/>
    <mergeCell ref="AZ2833:AZ2834"/>
    <mergeCell ref="BA2833:BA2834"/>
    <mergeCell ref="BI2833:BI2834"/>
    <mergeCell ref="AV2835:AV2836"/>
    <mergeCell ref="AW2835:AW2836"/>
    <mergeCell ref="AX2835:AX2836"/>
    <mergeCell ref="AY2835:AY2836"/>
    <mergeCell ref="AZ2835:AZ2836"/>
    <mergeCell ref="BA2835:BA2836"/>
    <mergeCell ref="BI2835:BI2836"/>
    <mergeCell ref="AV2837:AV2838"/>
    <mergeCell ref="AW2837:AW2838"/>
    <mergeCell ref="AX2837:AX2838"/>
    <mergeCell ref="AY2837:AY2838"/>
    <mergeCell ref="AZ2837:AZ2838"/>
    <mergeCell ref="BA2837:BA2838"/>
    <mergeCell ref="BI2837:BI2838"/>
    <mergeCell ref="AV2839:AV2847"/>
    <mergeCell ref="AW2839:AW2847"/>
    <mergeCell ref="AX2839:AX2847"/>
    <mergeCell ref="AY2839:AY2847"/>
    <mergeCell ref="AZ2839:AZ2847"/>
    <mergeCell ref="BA2839:BA2847"/>
    <mergeCell ref="BI2839:BI2847"/>
    <mergeCell ref="AV2848:AV2856"/>
    <mergeCell ref="AW2848:AW2856"/>
    <mergeCell ref="AX2848:AX2856"/>
    <mergeCell ref="AY2848:AY2856"/>
    <mergeCell ref="AZ2848:AZ2856"/>
    <mergeCell ref="BA2848:BA2856"/>
    <mergeCell ref="BI2848:BI2856"/>
    <mergeCell ref="AV2857:AV2861"/>
    <mergeCell ref="AW2857:AW2861"/>
    <mergeCell ref="AX2857:AX2861"/>
    <mergeCell ref="AY2857:AY2861"/>
    <mergeCell ref="AZ2857:AZ2861"/>
    <mergeCell ref="BA2857:BA2861"/>
    <mergeCell ref="BI2857:BI2861"/>
    <mergeCell ref="AV2862:AV2870"/>
    <mergeCell ref="AW2862:AW2870"/>
    <mergeCell ref="AX2862:AX2870"/>
    <mergeCell ref="AY2862:AY2870"/>
    <mergeCell ref="AZ2862:AZ2870"/>
    <mergeCell ref="BA2862:BA2870"/>
    <mergeCell ref="BI2862:BI2870"/>
    <mergeCell ref="AV2871:AV2875"/>
    <mergeCell ref="AW2871:AW2875"/>
    <mergeCell ref="AX2871:AX2875"/>
    <mergeCell ref="AY2871:AY2875"/>
    <mergeCell ref="AZ2871:AZ2875"/>
    <mergeCell ref="BA2871:BA2875"/>
    <mergeCell ref="BI2871:BI2875"/>
    <mergeCell ref="AV2876:AV2880"/>
    <mergeCell ref="AW2876:AW2880"/>
    <mergeCell ref="AX2876:AX2880"/>
    <mergeCell ref="AY2876:AY2880"/>
    <mergeCell ref="AZ2876:AZ2880"/>
    <mergeCell ref="BA2876:BA2880"/>
    <mergeCell ref="BI2876:BI2880"/>
    <mergeCell ref="AV2881:AV2885"/>
    <mergeCell ref="AW2881:AW2885"/>
    <mergeCell ref="AX2881:AX2885"/>
    <mergeCell ref="AY2881:AY2885"/>
    <mergeCell ref="AZ2881:AZ2885"/>
    <mergeCell ref="BA2881:BA2885"/>
    <mergeCell ref="BI2881:BI2885"/>
    <mergeCell ref="AV2886:AV2894"/>
    <mergeCell ref="AW2886:AW2894"/>
    <mergeCell ref="AX2886:AX2894"/>
    <mergeCell ref="AY2886:AY2894"/>
    <mergeCell ref="AZ2886:AZ2894"/>
    <mergeCell ref="BA2886:BA2894"/>
    <mergeCell ref="BI2886:BI2894"/>
    <mergeCell ref="AV2895:AV2898"/>
    <mergeCell ref="AW2895:AW2898"/>
    <mergeCell ref="AX2895:AX2898"/>
    <mergeCell ref="AY2895:AY2898"/>
    <mergeCell ref="AZ2895:AZ2898"/>
    <mergeCell ref="BA2895:BA2898"/>
    <mergeCell ref="BI2895:BI2898"/>
    <mergeCell ref="AV2899:AV2900"/>
    <mergeCell ref="AW2899:AW2900"/>
    <mergeCell ref="AX2899:AX2900"/>
    <mergeCell ref="AY2899:AY2900"/>
    <mergeCell ref="AZ2899:AZ2900"/>
    <mergeCell ref="BA2899:BA2900"/>
    <mergeCell ref="BI2899:BI2900"/>
    <mergeCell ref="AV2901:AV2905"/>
    <mergeCell ref="AW2901:AW2905"/>
    <mergeCell ref="AX2901:AX2905"/>
    <mergeCell ref="AY2901:AY2905"/>
    <mergeCell ref="AZ2901:AZ2905"/>
    <mergeCell ref="BA2901:BA2905"/>
    <mergeCell ref="BI2901:BI2905"/>
    <mergeCell ref="AV2906:AV2908"/>
    <mergeCell ref="AW2906:AW2908"/>
    <mergeCell ref="AX2906:AX2908"/>
    <mergeCell ref="AY2906:AY2908"/>
    <mergeCell ref="AZ2906:AZ2908"/>
    <mergeCell ref="BA2906:BA2908"/>
    <mergeCell ref="BI2906:BI2908"/>
    <mergeCell ref="AV2910:AV2911"/>
    <mergeCell ref="AW2910:AW2911"/>
    <mergeCell ref="AX2910:AX2911"/>
    <mergeCell ref="AY2910:AY2911"/>
    <mergeCell ref="AZ2910:AZ2911"/>
    <mergeCell ref="BA2910:BA2911"/>
    <mergeCell ref="BI2910:BI2911"/>
    <mergeCell ref="AV2912:AV2915"/>
    <mergeCell ref="AW2912:AW2915"/>
    <mergeCell ref="AX2912:AX2915"/>
    <mergeCell ref="AY2912:AY2915"/>
    <mergeCell ref="AZ2912:AZ2915"/>
    <mergeCell ref="BA2912:BA2915"/>
    <mergeCell ref="BI2912:BI2915"/>
    <mergeCell ref="AV2916:AV2917"/>
    <mergeCell ref="AW2916:AW2917"/>
    <mergeCell ref="AX2916:AX2917"/>
    <mergeCell ref="AY2916:AY2917"/>
    <mergeCell ref="AZ2916:AZ2917"/>
    <mergeCell ref="BA2916:BA2917"/>
    <mergeCell ref="BI2916:BI2917"/>
    <mergeCell ref="AV2919:AV2920"/>
    <mergeCell ref="AW2919:AW2920"/>
    <mergeCell ref="AX2919:AX2920"/>
    <mergeCell ref="AY2919:AY2920"/>
    <mergeCell ref="AZ2919:AZ2920"/>
    <mergeCell ref="BA2919:BA2920"/>
    <mergeCell ref="BI2919:BI2920"/>
    <mergeCell ref="AV2921:AV2922"/>
    <mergeCell ref="AW2921:AW2922"/>
    <mergeCell ref="AX2921:AX2922"/>
    <mergeCell ref="AY2921:AY2922"/>
    <mergeCell ref="AZ2921:AZ2922"/>
    <mergeCell ref="BA2921:BA2922"/>
    <mergeCell ref="BI2921:BI2922"/>
    <mergeCell ref="AV2924:AV2927"/>
    <mergeCell ref="AW2924:AW2927"/>
    <mergeCell ref="AX2924:AX2927"/>
    <mergeCell ref="AY2924:AY2927"/>
    <mergeCell ref="AZ2924:AZ2927"/>
    <mergeCell ref="BA2924:BA2927"/>
    <mergeCell ref="BI2924:BI2927"/>
    <mergeCell ref="AV2928:AV2931"/>
    <mergeCell ref="AW2928:AW2931"/>
    <mergeCell ref="AX2928:AX2931"/>
    <mergeCell ref="AY2928:AY2931"/>
    <mergeCell ref="AZ2928:AZ2931"/>
    <mergeCell ref="BA2928:BA2931"/>
    <mergeCell ref="AV2932:AV2935"/>
    <mergeCell ref="AW2932:AW2935"/>
    <mergeCell ref="AX2932:AX2935"/>
    <mergeCell ref="AY2932:AY2935"/>
    <mergeCell ref="AZ2932:AZ2935"/>
    <mergeCell ref="BA2932:BA2935"/>
    <mergeCell ref="AV2936:AV2939"/>
    <mergeCell ref="AW2936:AW2939"/>
    <mergeCell ref="AX2936:AX2939"/>
    <mergeCell ref="AY2936:AY2939"/>
    <mergeCell ref="AZ2936:AZ2939"/>
    <mergeCell ref="BA2936:BA2939"/>
    <mergeCell ref="AV2940:AV2943"/>
    <mergeCell ref="AW2940:AW2943"/>
    <mergeCell ref="AX2940:AX2943"/>
    <mergeCell ref="AY2940:AY2943"/>
    <mergeCell ref="AZ2940:AZ2943"/>
    <mergeCell ref="BA2940:BA2943"/>
    <mergeCell ref="AV2944:AV2947"/>
    <mergeCell ref="AW2944:AW2947"/>
    <mergeCell ref="AX2944:AX2947"/>
    <mergeCell ref="AY2944:AY2947"/>
    <mergeCell ref="AZ2944:AZ2947"/>
    <mergeCell ref="BA2944:BA2947"/>
    <mergeCell ref="AV2948:AV2950"/>
    <mergeCell ref="AW2948:AW2950"/>
    <mergeCell ref="AX2948:AX2950"/>
    <mergeCell ref="AY2948:AY2950"/>
    <mergeCell ref="AZ2948:AZ2950"/>
    <mergeCell ref="BA2948:BA2950"/>
    <mergeCell ref="AV2951:AV2953"/>
    <mergeCell ref="AW2951:AW2953"/>
    <mergeCell ref="AX2951:AX2953"/>
    <mergeCell ref="AY2951:AY2953"/>
    <mergeCell ref="AZ2951:AZ2953"/>
    <mergeCell ref="BA2951:BA2953"/>
    <mergeCell ref="AV2954:AV2957"/>
    <mergeCell ref="AW2954:AW2957"/>
    <mergeCell ref="AX2954:AX2957"/>
    <mergeCell ref="AY2954:AY2957"/>
    <mergeCell ref="AZ2954:AZ2957"/>
    <mergeCell ref="BA2954:BA2957"/>
    <mergeCell ref="AV2958:AV2961"/>
    <mergeCell ref="AW2958:AW2961"/>
    <mergeCell ref="AX2958:AX2961"/>
    <mergeCell ref="AY2958:AY2961"/>
    <mergeCell ref="AZ2958:AZ2961"/>
    <mergeCell ref="BA2958:BA2961"/>
    <mergeCell ref="AV2962:AV2965"/>
    <mergeCell ref="AW2962:AW2965"/>
    <mergeCell ref="AX2962:AX2965"/>
    <mergeCell ref="AY2962:AY2965"/>
    <mergeCell ref="AZ2962:AZ2965"/>
    <mergeCell ref="BA2962:BA2965"/>
    <mergeCell ref="AV2966:AV2969"/>
    <mergeCell ref="AW2966:AW2969"/>
    <mergeCell ref="AX2966:AX2969"/>
    <mergeCell ref="AY2966:AY2969"/>
    <mergeCell ref="AZ2966:AZ2969"/>
    <mergeCell ref="BA2966:BA2969"/>
    <mergeCell ref="AV2970:AV2973"/>
    <mergeCell ref="AW2970:AW2973"/>
    <mergeCell ref="AX2970:AX2973"/>
    <mergeCell ref="AY2970:AY2973"/>
    <mergeCell ref="AZ2970:AZ2973"/>
    <mergeCell ref="BA2970:BA2973"/>
    <mergeCell ref="AV2974:AV2978"/>
    <mergeCell ref="AW2974:AW2978"/>
    <mergeCell ref="AX2974:AX2978"/>
    <mergeCell ref="AY2974:AY2978"/>
    <mergeCell ref="AZ2974:AZ2978"/>
    <mergeCell ref="BA2974:BA2978"/>
    <mergeCell ref="BI2974:BI2978"/>
    <mergeCell ref="AV2979:AV2983"/>
    <mergeCell ref="AW2979:AW2983"/>
    <mergeCell ref="AX2979:AX2983"/>
    <mergeCell ref="AY2979:AY2983"/>
    <mergeCell ref="AZ2979:AZ2983"/>
    <mergeCell ref="BA2979:BA2983"/>
    <mergeCell ref="BI2979:BI2983"/>
    <mergeCell ref="AV2984:AV2986"/>
    <mergeCell ref="AW2984:AW2986"/>
    <mergeCell ref="AX2984:AX2986"/>
    <mergeCell ref="AY2984:AY2986"/>
    <mergeCell ref="AZ2984:AZ2986"/>
    <mergeCell ref="BA2984:BA2986"/>
    <mergeCell ref="BI2984:BI2986"/>
    <mergeCell ref="AV2987:AV2992"/>
    <mergeCell ref="AW2987:AW2992"/>
    <mergeCell ref="AX2987:AX2992"/>
    <mergeCell ref="AY2987:AY2992"/>
    <mergeCell ref="AZ2987:AZ2992"/>
    <mergeCell ref="BA2987:BA2992"/>
    <mergeCell ref="BI2987:BI2992"/>
    <mergeCell ref="AV2993:AV2997"/>
    <mergeCell ref="AW2993:AW2997"/>
    <mergeCell ref="AX2993:AX2997"/>
    <mergeCell ref="AY2993:AY2997"/>
    <mergeCell ref="AZ2993:AZ2997"/>
    <mergeCell ref="BA2993:BA2997"/>
    <mergeCell ref="BI2993:BI2997"/>
    <mergeCell ref="AV2998:AV3001"/>
    <mergeCell ref="AW2998:AW3001"/>
    <mergeCell ref="AX2998:AX3001"/>
    <mergeCell ref="AY2998:AY3001"/>
    <mergeCell ref="AZ2998:AZ3001"/>
    <mergeCell ref="BA2998:BA3001"/>
    <mergeCell ref="BI2998:BI3001"/>
    <mergeCell ref="AV3002:AV3005"/>
    <mergeCell ref="AW3002:AW3005"/>
    <mergeCell ref="AX3002:AX3005"/>
    <mergeCell ref="AY3002:AY3005"/>
    <mergeCell ref="AZ3002:AZ3005"/>
    <mergeCell ref="BA3002:BA3005"/>
    <mergeCell ref="BI3002:BI3005"/>
    <mergeCell ref="AV3006:AV3010"/>
    <mergeCell ref="AW3006:AW3010"/>
    <mergeCell ref="AX3006:AX3010"/>
    <mergeCell ref="AY3006:AY3010"/>
    <mergeCell ref="AZ3006:AZ3010"/>
    <mergeCell ref="BA3006:BA3010"/>
    <mergeCell ref="BI3006:BI3010"/>
    <mergeCell ref="AV3011:AV3014"/>
    <mergeCell ref="AW3011:AW3014"/>
    <mergeCell ref="AX3011:AX3014"/>
    <mergeCell ref="AY3011:AY3014"/>
    <mergeCell ref="AZ3011:AZ3014"/>
    <mergeCell ref="BA3011:BA3014"/>
    <mergeCell ref="BI3011:BI3014"/>
    <mergeCell ref="AV3015:AV3018"/>
    <mergeCell ref="AW3015:AW3018"/>
    <mergeCell ref="AX3015:AX3018"/>
    <mergeCell ref="AY3015:AY3018"/>
    <mergeCell ref="AZ3015:AZ3018"/>
    <mergeCell ref="BA3015:BA3018"/>
    <mergeCell ref="BI3015:BI3018"/>
    <mergeCell ref="AV3019:AV3022"/>
    <mergeCell ref="AW3019:AW3022"/>
    <mergeCell ref="AX3019:AX3022"/>
    <mergeCell ref="AY3019:AY3022"/>
    <mergeCell ref="AZ3019:AZ3022"/>
    <mergeCell ref="BA3019:BA3022"/>
    <mergeCell ref="BI3019:BI3022"/>
    <mergeCell ref="AV3023:AV3026"/>
    <mergeCell ref="AW3023:AW3026"/>
    <mergeCell ref="AX3023:AX3026"/>
    <mergeCell ref="AY3023:AY3026"/>
    <mergeCell ref="AZ3023:AZ3026"/>
    <mergeCell ref="BA3023:BA3026"/>
    <mergeCell ref="BI3023:BI3026"/>
    <mergeCell ref="AV3027:AV3032"/>
    <mergeCell ref="AW3027:AW3032"/>
    <mergeCell ref="AX3027:AX3032"/>
    <mergeCell ref="AY3027:AY3032"/>
    <mergeCell ref="AZ3027:AZ3032"/>
    <mergeCell ref="BA3027:BA3032"/>
    <mergeCell ref="BI3027:BI3032"/>
    <mergeCell ref="AV3033:AV3038"/>
    <mergeCell ref="AW3033:AW3038"/>
    <mergeCell ref="AX3033:AX3038"/>
    <mergeCell ref="AY3033:AY3038"/>
    <mergeCell ref="AZ3033:AZ3038"/>
    <mergeCell ref="BA3033:BA3038"/>
    <mergeCell ref="BI3033:BI3038"/>
    <mergeCell ref="AV3039:AV3042"/>
    <mergeCell ref="AW3039:AW3042"/>
    <mergeCell ref="AX3039:AX3042"/>
    <mergeCell ref="AY3039:AY3042"/>
    <mergeCell ref="AZ3039:AZ3042"/>
    <mergeCell ref="BA3039:BA3042"/>
    <mergeCell ref="BI3039:BI3042"/>
    <mergeCell ref="AV3043:AV3048"/>
    <mergeCell ref="AW3043:AW3048"/>
    <mergeCell ref="AX3043:AX3048"/>
    <mergeCell ref="AY3043:AY3048"/>
    <mergeCell ref="AZ3043:AZ3048"/>
    <mergeCell ref="BA3043:BA3048"/>
    <mergeCell ref="BI3043:BI3048"/>
    <mergeCell ref="AV3049:AV3052"/>
    <mergeCell ref="AW3049:AW3052"/>
    <mergeCell ref="AX3049:AX3052"/>
    <mergeCell ref="AY3049:AY3052"/>
    <mergeCell ref="AZ3049:AZ3052"/>
    <mergeCell ref="BA3049:BA3052"/>
    <mergeCell ref="BI3049:BI3052"/>
    <mergeCell ref="AV3053:AV3056"/>
    <mergeCell ref="AW3053:AW3056"/>
    <mergeCell ref="AX3053:AX3056"/>
    <mergeCell ref="AY3053:AY3056"/>
    <mergeCell ref="AZ3053:AZ3056"/>
    <mergeCell ref="BA3053:BA3056"/>
    <mergeCell ref="BI3053:BI3056"/>
    <mergeCell ref="AV3057:AV3061"/>
    <mergeCell ref="AW3057:AW3061"/>
    <mergeCell ref="AX3057:AX3061"/>
    <mergeCell ref="AY3057:AY3061"/>
    <mergeCell ref="AZ3057:AZ3061"/>
    <mergeCell ref="BA3057:BA3061"/>
    <mergeCell ref="BI3057:BI3061"/>
    <mergeCell ref="AV3062:AV3066"/>
    <mergeCell ref="AW3062:AW3066"/>
    <mergeCell ref="AX3062:AX3066"/>
    <mergeCell ref="AY3062:AY3066"/>
    <mergeCell ref="AZ3062:AZ3066"/>
    <mergeCell ref="BA3062:BA3066"/>
    <mergeCell ref="BI3062:BI3066"/>
    <mergeCell ref="AV3067:AV3069"/>
    <mergeCell ref="AW3067:AW3069"/>
    <mergeCell ref="AX3067:AX3069"/>
    <mergeCell ref="AY3067:AY3069"/>
    <mergeCell ref="AZ3067:AZ3069"/>
    <mergeCell ref="BA3067:BA3069"/>
    <mergeCell ref="BI3067:BI3069"/>
    <mergeCell ref="AV3070:AV3073"/>
    <mergeCell ref="AW3070:AW3073"/>
    <mergeCell ref="AX3070:AX3073"/>
    <mergeCell ref="AY3070:AY3073"/>
    <mergeCell ref="AZ3070:AZ3073"/>
    <mergeCell ref="BA3070:BA3073"/>
    <mergeCell ref="BI3070:BI3073"/>
    <mergeCell ref="AV3074:AV3078"/>
    <mergeCell ref="AW3074:AW3078"/>
    <mergeCell ref="AX3074:AX3078"/>
    <mergeCell ref="AY3074:AY3078"/>
    <mergeCell ref="AZ3074:AZ3078"/>
    <mergeCell ref="BA3074:BA3078"/>
    <mergeCell ref="BI3074:BI3078"/>
    <mergeCell ref="AV3079:AV3082"/>
    <mergeCell ref="AW3079:AW3082"/>
    <mergeCell ref="AX3079:AX3082"/>
    <mergeCell ref="AY3079:AY3082"/>
    <mergeCell ref="AZ3079:AZ3082"/>
    <mergeCell ref="BA3079:BA3082"/>
    <mergeCell ref="BI3079:BI3082"/>
    <mergeCell ref="AV3083:AV3086"/>
    <mergeCell ref="AW3083:AW3086"/>
    <mergeCell ref="AX3083:AX3086"/>
    <mergeCell ref="AY3083:AY3086"/>
    <mergeCell ref="AZ3083:AZ3086"/>
    <mergeCell ref="BA3083:BA3086"/>
    <mergeCell ref="BI3083:BI3086"/>
    <mergeCell ref="AV3087:AV3089"/>
    <mergeCell ref="AW3087:AW3089"/>
    <mergeCell ref="AX3087:AX3089"/>
    <mergeCell ref="AY3087:AY3089"/>
    <mergeCell ref="AZ3087:AZ3089"/>
    <mergeCell ref="BA3087:BA3089"/>
    <mergeCell ref="BI3087:BI3089"/>
    <mergeCell ref="AV3090:AV3094"/>
    <mergeCell ref="AW3090:AW3094"/>
    <mergeCell ref="AX3090:AX3094"/>
    <mergeCell ref="AY3090:AY3094"/>
    <mergeCell ref="AZ3090:AZ3094"/>
    <mergeCell ref="BA3090:BA3094"/>
    <mergeCell ref="BI3090:BI3094"/>
    <mergeCell ref="AV3095:AV3096"/>
    <mergeCell ref="AW3095:AW3096"/>
    <mergeCell ref="AX3095:AX3096"/>
    <mergeCell ref="AY3095:AY3096"/>
    <mergeCell ref="AZ3095:AZ3096"/>
    <mergeCell ref="BA3095:BA3096"/>
    <mergeCell ref="BI3095:BI3096"/>
    <mergeCell ref="AV3097:AV3102"/>
    <mergeCell ref="AW3097:AW3102"/>
    <mergeCell ref="AX3097:AX3102"/>
    <mergeCell ref="AY3097:AY3102"/>
    <mergeCell ref="AZ3097:AZ3102"/>
    <mergeCell ref="BA3097:BA3102"/>
    <mergeCell ref="BI3097:BI3102"/>
    <mergeCell ref="AV3103:AV3108"/>
    <mergeCell ref="AW3103:AW3108"/>
    <mergeCell ref="AX3103:AX3108"/>
    <mergeCell ref="AY3103:AY3108"/>
    <mergeCell ref="AZ3103:AZ3108"/>
    <mergeCell ref="BA3103:BA3108"/>
    <mergeCell ref="BI3103:BI3108"/>
    <mergeCell ref="AV3109:AV3114"/>
    <mergeCell ref="AW3109:AW3114"/>
    <mergeCell ref="AX3109:AX3114"/>
    <mergeCell ref="AY3109:AY3114"/>
    <mergeCell ref="AZ3109:AZ3114"/>
    <mergeCell ref="BA3109:BA3114"/>
    <mergeCell ref="BI3109:BI3114"/>
    <mergeCell ref="AV3115:AV3120"/>
    <mergeCell ref="AW3115:AW3120"/>
    <mergeCell ref="AX3115:AX3120"/>
    <mergeCell ref="AY3115:AY3120"/>
    <mergeCell ref="AZ3115:AZ3120"/>
    <mergeCell ref="BA3115:BA3120"/>
    <mergeCell ref="BI3115:BI3120"/>
    <mergeCell ref="AV3121:AV3126"/>
    <mergeCell ref="AW3121:AW3126"/>
    <mergeCell ref="AX3121:AX3126"/>
    <mergeCell ref="AY3121:AY3126"/>
    <mergeCell ref="AZ3121:AZ3126"/>
    <mergeCell ref="BA3121:BA3126"/>
    <mergeCell ref="BI3121:BI3126"/>
    <mergeCell ref="AV3127:AV3130"/>
    <mergeCell ref="AW3127:AW3130"/>
    <mergeCell ref="AX3127:AX3130"/>
    <mergeCell ref="AY3127:AY3130"/>
    <mergeCell ref="AZ3127:AZ3130"/>
    <mergeCell ref="BA3127:BA3130"/>
    <mergeCell ref="BI3127:BI3130"/>
    <mergeCell ref="AV3131:AV3134"/>
    <mergeCell ref="AW3131:AW3134"/>
    <mergeCell ref="AX3131:AX3134"/>
    <mergeCell ref="AY3131:AY3134"/>
    <mergeCell ref="AZ3131:AZ3134"/>
    <mergeCell ref="BA3131:BA3134"/>
    <mergeCell ref="BI3131:BI3134"/>
    <mergeCell ref="AV3135:AV3138"/>
    <mergeCell ref="AW3135:AW3138"/>
    <mergeCell ref="AX3135:AX3138"/>
    <mergeCell ref="AY3135:AY3138"/>
    <mergeCell ref="AZ3135:AZ3138"/>
    <mergeCell ref="BA3135:BA3138"/>
    <mergeCell ref="BI3135:BI3138"/>
    <mergeCell ref="AV3139:AV3142"/>
    <mergeCell ref="AW3139:AW3142"/>
    <mergeCell ref="AX3139:AX3142"/>
    <mergeCell ref="AY3139:AY3142"/>
    <mergeCell ref="AZ3139:AZ3142"/>
    <mergeCell ref="BA3139:BA3142"/>
    <mergeCell ref="BI3139:BI3142"/>
    <mergeCell ref="AV3143:AV3148"/>
    <mergeCell ref="AW3143:AW3148"/>
    <mergeCell ref="AX3143:AX3148"/>
    <mergeCell ref="AY3143:AY3148"/>
    <mergeCell ref="AZ3143:AZ3148"/>
    <mergeCell ref="BA3143:BA3148"/>
    <mergeCell ref="BI3143:BI3148"/>
    <mergeCell ref="AV3149:AV3154"/>
    <mergeCell ref="AW3149:AW3154"/>
    <mergeCell ref="AX3149:AX3154"/>
    <mergeCell ref="AY3149:AY3154"/>
    <mergeCell ref="AZ3149:AZ3154"/>
    <mergeCell ref="BA3149:BA3154"/>
    <mergeCell ref="BI3149:BI3154"/>
    <mergeCell ref="AV3155:AV3158"/>
    <mergeCell ref="AW3155:AW3158"/>
    <mergeCell ref="AX3155:AX3158"/>
    <mergeCell ref="AY3155:AY3158"/>
    <mergeCell ref="AZ3155:AZ3158"/>
    <mergeCell ref="BA3155:BA3158"/>
    <mergeCell ref="BI3155:BI3158"/>
    <mergeCell ref="AV3159:AV3164"/>
    <mergeCell ref="AW3159:AW3164"/>
    <mergeCell ref="AX3159:AX3164"/>
    <mergeCell ref="AY3159:AY3164"/>
    <mergeCell ref="AZ3159:AZ3164"/>
    <mergeCell ref="BA3159:BA3164"/>
    <mergeCell ref="BI3159:BI3164"/>
    <mergeCell ref="AV3165:AV3170"/>
    <mergeCell ref="AW3165:AW3170"/>
    <mergeCell ref="AX3165:AX3170"/>
    <mergeCell ref="AY3165:AY3170"/>
    <mergeCell ref="AZ3165:AZ3170"/>
    <mergeCell ref="BA3165:BA3170"/>
    <mergeCell ref="BI3165:BI3170"/>
    <mergeCell ref="AV3171:AV3174"/>
    <mergeCell ref="AW3171:AW3174"/>
    <mergeCell ref="AX3171:AX3174"/>
    <mergeCell ref="AY3171:AY3174"/>
    <mergeCell ref="AZ3171:AZ3174"/>
    <mergeCell ref="BA3171:BA3174"/>
    <mergeCell ref="BI3171:BI3174"/>
    <mergeCell ref="AV3175:AV3178"/>
    <mergeCell ref="AW3175:AW3178"/>
    <mergeCell ref="AX3175:AX3178"/>
    <mergeCell ref="AY3175:AY3178"/>
    <mergeCell ref="AZ3175:AZ3178"/>
    <mergeCell ref="BA3175:BA3178"/>
    <mergeCell ref="BI3175:BI3178"/>
    <mergeCell ref="AV3179:AV3182"/>
    <mergeCell ref="AW3179:AW3182"/>
    <mergeCell ref="AX3179:AX3182"/>
    <mergeCell ref="AY3179:AY3182"/>
    <mergeCell ref="AZ3179:AZ3182"/>
    <mergeCell ref="BA3179:BA3182"/>
    <mergeCell ref="BI3179:BI3182"/>
    <mergeCell ref="AV3183:AV3186"/>
    <mergeCell ref="AW3183:AW3186"/>
    <mergeCell ref="AX3183:AX3186"/>
    <mergeCell ref="AY3183:AY3186"/>
    <mergeCell ref="AZ3183:AZ3186"/>
    <mergeCell ref="BA3183:BA3186"/>
    <mergeCell ref="BI3183:BI3186"/>
    <mergeCell ref="AV3187:AV3190"/>
    <mergeCell ref="AW3187:AW3190"/>
    <mergeCell ref="AX3187:AX3190"/>
    <mergeCell ref="AY3187:AY3190"/>
    <mergeCell ref="AZ3187:AZ3190"/>
    <mergeCell ref="BA3187:BA3190"/>
    <mergeCell ref="BI3187:BI3190"/>
    <mergeCell ref="AV3191:AV3194"/>
    <mergeCell ref="AW3191:AW3194"/>
    <mergeCell ref="AX3191:AX3194"/>
    <mergeCell ref="AY3191:AY3194"/>
    <mergeCell ref="AZ3191:AZ3194"/>
    <mergeCell ref="BA3191:BA3194"/>
    <mergeCell ref="BI3191:BI3194"/>
    <mergeCell ref="AV3195:AV3199"/>
    <mergeCell ref="AW3195:AW3199"/>
    <mergeCell ref="AX3195:AX3199"/>
    <mergeCell ref="AY3195:AY3199"/>
    <mergeCell ref="AZ3195:AZ3199"/>
    <mergeCell ref="BA3195:BA3199"/>
    <mergeCell ref="BI3195:BI3199"/>
    <mergeCell ref="AV3200:AV3204"/>
    <mergeCell ref="AW3200:AW3204"/>
    <mergeCell ref="AX3200:AX3204"/>
    <mergeCell ref="AY3200:AY3204"/>
    <mergeCell ref="AZ3200:AZ3204"/>
    <mergeCell ref="BA3200:BA3204"/>
    <mergeCell ref="BI3200:BI3204"/>
    <mergeCell ref="AV3205:AV3207"/>
    <mergeCell ref="AW3205:AW3207"/>
    <mergeCell ref="AX3205:AX3207"/>
    <mergeCell ref="AY3205:AY3207"/>
    <mergeCell ref="AZ3205:AZ3207"/>
    <mergeCell ref="BA3205:BA3207"/>
    <mergeCell ref="BI3205:BI3207"/>
    <mergeCell ref="AV3208:AV3210"/>
    <mergeCell ref="AW3208:AW3210"/>
    <mergeCell ref="AX3208:AX3210"/>
    <mergeCell ref="AY3208:AY3210"/>
    <mergeCell ref="AZ3208:AZ3210"/>
    <mergeCell ref="BA3208:BA3210"/>
    <mergeCell ref="BI3208:BI3210"/>
    <mergeCell ref="AV3211:AV3213"/>
    <mergeCell ref="AW3211:AW3213"/>
    <mergeCell ref="AX3211:AX3213"/>
    <mergeCell ref="AY3211:AY3213"/>
    <mergeCell ref="AZ3211:AZ3213"/>
    <mergeCell ref="BA3211:BA3213"/>
    <mergeCell ref="BI3211:BI3213"/>
    <mergeCell ref="AV3214:AV3216"/>
    <mergeCell ref="AW3214:AW3216"/>
    <mergeCell ref="AX3214:AX3216"/>
    <mergeCell ref="AY3214:AY3216"/>
    <mergeCell ref="AZ3214:AZ3216"/>
    <mergeCell ref="BA3214:BA3216"/>
    <mergeCell ref="BI3214:BI3216"/>
    <mergeCell ref="AV3217:AV3219"/>
    <mergeCell ref="AW3217:AW3219"/>
    <mergeCell ref="AX3217:AX3219"/>
    <mergeCell ref="AY3217:AY3219"/>
    <mergeCell ref="AZ3217:AZ3219"/>
    <mergeCell ref="BA3217:BA3219"/>
    <mergeCell ref="BI3217:BI3219"/>
    <mergeCell ref="AV3220:AV3221"/>
    <mergeCell ref="AW3220:AW3221"/>
    <mergeCell ref="AX3220:AX3221"/>
    <mergeCell ref="AY3220:AY3221"/>
    <mergeCell ref="AZ3220:AZ3221"/>
    <mergeCell ref="BA3220:BA3221"/>
    <mergeCell ref="BI3220:BI3221"/>
    <mergeCell ref="AV3222:AV3226"/>
    <mergeCell ref="AW3222:AW3226"/>
    <mergeCell ref="AX3222:AX3226"/>
    <mergeCell ref="AY3222:AY3226"/>
    <mergeCell ref="AZ3222:AZ3226"/>
    <mergeCell ref="BA3222:BA3226"/>
    <mergeCell ref="BI3222:BI3226"/>
    <mergeCell ref="AV3227:AV3229"/>
    <mergeCell ref="AW3227:AW3229"/>
    <mergeCell ref="AX3227:AX3229"/>
    <mergeCell ref="AY3227:AY3229"/>
    <mergeCell ref="AZ3227:AZ3229"/>
    <mergeCell ref="BA3227:BA3229"/>
    <mergeCell ref="BI3227:BI3229"/>
    <mergeCell ref="AV3230:AV3232"/>
    <mergeCell ref="AW3230:AW3232"/>
    <mergeCell ref="AX3230:AX3232"/>
    <mergeCell ref="AY3230:AY3232"/>
    <mergeCell ref="AZ3230:AZ3232"/>
    <mergeCell ref="BA3230:BA3232"/>
    <mergeCell ref="BI3230:BI3232"/>
    <mergeCell ref="AV3233:AV3235"/>
    <mergeCell ref="AW3233:AW3235"/>
    <mergeCell ref="AX3233:AX3235"/>
    <mergeCell ref="AY3233:AY3235"/>
    <mergeCell ref="AZ3233:AZ3235"/>
    <mergeCell ref="BA3233:BA3235"/>
    <mergeCell ref="BI3233:BI3235"/>
    <mergeCell ref="AV3236:AV3238"/>
    <mergeCell ref="AW3236:AW3238"/>
    <mergeCell ref="AX3236:AX3238"/>
    <mergeCell ref="AY3236:AY3238"/>
    <mergeCell ref="AZ3236:AZ3238"/>
    <mergeCell ref="BA3236:BA3238"/>
    <mergeCell ref="BI3236:BI3238"/>
    <mergeCell ref="AV3239:AV3243"/>
    <mergeCell ref="AW3239:AW3243"/>
    <mergeCell ref="AX3239:AX3243"/>
    <mergeCell ref="AY3239:AY3243"/>
    <mergeCell ref="AZ3239:AZ3243"/>
    <mergeCell ref="BA3239:BA3243"/>
    <mergeCell ref="BI3239:BI3243"/>
    <mergeCell ref="AV3244:AV3245"/>
    <mergeCell ref="AW3244:AW3245"/>
    <mergeCell ref="AX3244:AX3245"/>
    <mergeCell ref="AY3244:AY3245"/>
    <mergeCell ref="AZ3244:AZ3245"/>
    <mergeCell ref="BA3244:BA3245"/>
    <mergeCell ref="BI3244:BI3245"/>
    <mergeCell ref="AV3247:AV3250"/>
    <mergeCell ref="AW3247:AW3250"/>
    <mergeCell ref="AX3247:AX3250"/>
    <mergeCell ref="AY3247:AY3250"/>
    <mergeCell ref="AZ3247:AZ3250"/>
    <mergeCell ref="BA3247:BA3250"/>
    <mergeCell ref="BI3247:BI3250"/>
    <mergeCell ref="AV3251:AV3254"/>
    <mergeCell ref="AW3251:AW3254"/>
    <mergeCell ref="AX3251:AX3254"/>
    <mergeCell ref="AY3251:AY3254"/>
    <mergeCell ref="AZ3251:AZ3254"/>
    <mergeCell ref="BA3251:BA3254"/>
    <mergeCell ref="BI3251:BI3254"/>
    <mergeCell ref="AV3255:AV3257"/>
    <mergeCell ref="AW3255:AW3257"/>
    <mergeCell ref="AX3255:AX3257"/>
    <mergeCell ref="AY3255:AY3257"/>
    <mergeCell ref="AZ3255:AZ3257"/>
    <mergeCell ref="BA3255:BA3257"/>
    <mergeCell ref="BI3255:BI3257"/>
    <mergeCell ref="AV3258:AV3261"/>
    <mergeCell ref="AW3258:AW3261"/>
    <mergeCell ref="AX3258:AX3261"/>
    <mergeCell ref="AY3258:AY3261"/>
    <mergeCell ref="AZ3258:AZ3261"/>
    <mergeCell ref="BA3258:BA3261"/>
    <mergeCell ref="BI3258:BI3261"/>
    <mergeCell ref="AV3262:AV3265"/>
    <mergeCell ref="AW3262:AW3265"/>
    <mergeCell ref="AX3262:AX3265"/>
    <mergeCell ref="AY3262:AY3265"/>
    <mergeCell ref="AZ3262:AZ3265"/>
    <mergeCell ref="BA3262:BA3265"/>
    <mergeCell ref="BI3262:BI3265"/>
    <mergeCell ref="AV3266:AV3269"/>
    <mergeCell ref="AW3266:AW3269"/>
    <mergeCell ref="AX3266:AX3269"/>
    <mergeCell ref="AY3266:AY3269"/>
    <mergeCell ref="AZ3266:AZ3269"/>
    <mergeCell ref="BA3266:BA3269"/>
    <mergeCell ref="AV3270:AV3273"/>
    <mergeCell ref="AW3270:AW3273"/>
    <mergeCell ref="AX3270:AX3273"/>
    <mergeCell ref="AY3270:AY3273"/>
    <mergeCell ref="AZ3270:AZ3273"/>
    <mergeCell ref="BA3270:BA3273"/>
    <mergeCell ref="AV3274:AV3277"/>
    <mergeCell ref="AW3274:AW3277"/>
    <mergeCell ref="AX3274:AX3277"/>
    <mergeCell ref="AY3274:AY3277"/>
    <mergeCell ref="AZ3274:AZ3277"/>
    <mergeCell ref="BA3274:BA3277"/>
    <mergeCell ref="AV3293:AV3294"/>
    <mergeCell ref="AW3293:AW3294"/>
    <mergeCell ref="AX3293:AX3294"/>
    <mergeCell ref="AY3293:AY3294"/>
    <mergeCell ref="AZ3293:AZ3294"/>
    <mergeCell ref="BA3293:BA3294"/>
    <mergeCell ref="BI3293:BI3294"/>
    <mergeCell ref="AV3303:AV3304"/>
    <mergeCell ref="AW3303:AW3304"/>
    <mergeCell ref="AX3303:AX3304"/>
    <mergeCell ref="AY3303:AY3304"/>
    <mergeCell ref="AZ3303:AZ3304"/>
    <mergeCell ref="BA3303:BA3304"/>
    <mergeCell ref="BI3303:BI3304"/>
    <mergeCell ref="AV3305:AV3306"/>
    <mergeCell ref="AW3305:AW3306"/>
    <mergeCell ref="AX3305:AX3306"/>
    <mergeCell ref="AY3305:AY3306"/>
    <mergeCell ref="AZ3305:AZ3306"/>
    <mergeCell ref="BA3305:BA3306"/>
    <mergeCell ref="BI3305:BI3306"/>
    <mergeCell ref="AV3362:AV3363"/>
    <mergeCell ref="AW3362:AW3363"/>
    <mergeCell ref="AX3362:AX3363"/>
    <mergeCell ref="AY3362:AY3363"/>
    <mergeCell ref="AZ3362:AZ3363"/>
    <mergeCell ref="BA3362:BA3363"/>
    <mergeCell ref="BI3362:BI3363"/>
    <mergeCell ref="AV3364:AV3366"/>
    <mergeCell ref="AW3364:AW3366"/>
    <mergeCell ref="AX3364:AX3366"/>
    <mergeCell ref="AY3364:AY3366"/>
    <mergeCell ref="AZ3364:AZ3366"/>
    <mergeCell ref="BA3364:BA3366"/>
    <mergeCell ref="BI3364:BI3366"/>
    <mergeCell ref="AV3367:AV3369"/>
    <mergeCell ref="AW3367:AW3369"/>
    <mergeCell ref="AX3367:AX3369"/>
    <mergeCell ref="AY3367:AY3369"/>
    <mergeCell ref="AZ3367:AZ3369"/>
    <mergeCell ref="BA3367:BA3369"/>
    <mergeCell ref="BI3367:BI3369"/>
    <mergeCell ref="AV3370:AV3372"/>
    <mergeCell ref="AW3370:AW3372"/>
    <mergeCell ref="AX3370:AX3372"/>
    <mergeCell ref="AY3370:AY3372"/>
    <mergeCell ref="AZ3370:AZ3372"/>
    <mergeCell ref="BA3370:BA3372"/>
    <mergeCell ref="BI3370:BI3372"/>
    <mergeCell ref="AV3373:AV3374"/>
    <mergeCell ref="AW3373:AW3374"/>
    <mergeCell ref="AX3373:AX3374"/>
    <mergeCell ref="AY3373:AY3374"/>
    <mergeCell ref="AZ3373:AZ3374"/>
    <mergeCell ref="BA3373:BA3374"/>
    <mergeCell ref="BI3373:BI3374"/>
    <mergeCell ref="AV3375:AV3376"/>
    <mergeCell ref="AW3375:AW3376"/>
    <mergeCell ref="AX3375:AX3376"/>
    <mergeCell ref="AY3375:AY3376"/>
    <mergeCell ref="AZ3375:AZ3376"/>
    <mergeCell ref="BA3375:BA3376"/>
    <mergeCell ref="BI3375:BI3376"/>
    <mergeCell ref="AV3378:AV3379"/>
    <mergeCell ref="AW3378:AW3379"/>
    <mergeCell ref="AX3378:AX3379"/>
    <mergeCell ref="AY3378:AY3379"/>
    <mergeCell ref="AZ3378:AZ3379"/>
    <mergeCell ref="BA3378:BA3379"/>
    <mergeCell ref="BI3378:BI3379"/>
    <mergeCell ref="AV3380:AV3381"/>
    <mergeCell ref="AW3380:AW3381"/>
    <mergeCell ref="AX3380:AX3381"/>
    <mergeCell ref="AY3380:AY3381"/>
    <mergeCell ref="AZ3380:AZ3381"/>
    <mergeCell ref="BA3380:BA3381"/>
    <mergeCell ref="BI3380:BI3381"/>
    <mergeCell ref="AV3382:AV3383"/>
    <mergeCell ref="AW3382:AW3383"/>
    <mergeCell ref="AX3382:AX3383"/>
    <mergeCell ref="AY3382:AY3383"/>
    <mergeCell ref="AZ3382:AZ3383"/>
    <mergeCell ref="BA3382:BA3383"/>
    <mergeCell ref="BI3382:BI3383"/>
    <mergeCell ref="AV3384:AV3385"/>
    <mergeCell ref="AW3384:AW3385"/>
    <mergeCell ref="AX3384:AX3385"/>
    <mergeCell ref="AY3384:AY3385"/>
    <mergeCell ref="AZ3384:AZ3385"/>
    <mergeCell ref="BA3384:BA3385"/>
    <mergeCell ref="BI3384:BI3385"/>
    <mergeCell ref="AV3386:AV3387"/>
    <mergeCell ref="AW3386:AW3387"/>
    <mergeCell ref="AX3386:AX3387"/>
    <mergeCell ref="AY3386:AY3387"/>
    <mergeCell ref="AZ3386:AZ3387"/>
    <mergeCell ref="BA3386:BA3387"/>
    <mergeCell ref="BI3386:BI3387"/>
    <mergeCell ref="AV3389:AV3390"/>
    <mergeCell ref="AW3389:AW3390"/>
    <mergeCell ref="AX3389:AX3390"/>
    <mergeCell ref="AY3389:AY3390"/>
    <mergeCell ref="AZ3389:AZ3390"/>
    <mergeCell ref="BA3389:BA3390"/>
    <mergeCell ref="BI3389:BI3390"/>
    <mergeCell ref="AV3391:AV3394"/>
    <mergeCell ref="AW3391:AW3394"/>
    <mergeCell ref="AX3391:AX3394"/>
    <mergeCell ref="AY3391:AY3394"/>
    <mergeCell ref="AZ3391:AZ3394"/>
    <mergeCell ref="BA3391:BA3394"/>
    <mergeCell ref="BI3391:BI3394"/>
    <mergeCell ref="AV3395:AV3397"/>
    <mergeCell ref="AW3395:AW3397"/>
    <mergeCell ref="AX3395:AX3397"/>
    <mergeCell ref="AY3395:AY3397"/>
    <mergeCell ref="AZ3395:AZ3397"/>
    <mergeCell ref="BA3395:BA3397"/>
    <mergeCell ref="BI3395:BI3397"/>
    <mergeCell ref="AV3398:AV3401"/>
    <mergeCell ref="AW3398:AW3401"/>
    <mergeCell ref="AX3398:AX3401"/>
    <mergeCell ref="AY3398:AY3401"/>
    <mergeCell ref="AZ3398:AZ3401"/>
    <mergeCell ref="BA3398:BA3401"/>
    <mergeCell ref="BI3398:BI3401"/>
    <mergeCell ref="AV3402:AV3405"/>
    <mergeCell ref="AW3402:AW3405"/>
    <mergeCell ref="AX3402:AX3405"/>
    <mergeCell ref="AY3402:AY3405"/>
    <mergeCell ref="AZ3402:AZ3405"/>
    <mergeCell ref="BA3402:BA3405"/>
    <mergeCell ref="BI3402:BI3405"/>
    <mergeCell ref="AV3406:AV3409"/>
    <mergeCell ref="AW3406:AW3409"/>
    <mergeCell ref="AX3406:AX3409"/>
    <mergeCell ref="AY3406:AY3409"/>
    <mergeCell ref="AZ3406:AZ3409"/>
    <mergeCell ref="BA3406:BA3409"/>
    <mergeCell ref="BI3406:BI3409"/>
    <mergeCell ref="AV3410:AV3412"/>
    <mergeCell ref="AW3410:AW3412"/>
    <mergeCell ref="AX3410:AX3412"/>
    <mergeCell ref="AY3410:AY3412"/>
    <mergeCell ref="AZ3410:AZ3412"/>
    <mergeCell ref="BA3410:BA3412"/>
    <mergeCell ref="AV3413:AV3415"/>
    <mergeCell ref="AW3413:AW3415"/>
    <mergeCell ref="AX3413:AX3415"/>
    <mergeCell ref="AY3413:AY3415"/>
    <mergeCell ref="AZ3413:AZ3415"/>
    <mergeCell ref="BA3413:BA3415"/>
    <mergeCell ref="AV3418:AV3419"/>
    <mergeCell ref="AW3418:AW3419"/>
    <mergeCell ref="AX3418:AX3419"/>
    <mergeCell ref="AY3418:AY3419"/>
    <mergeCell ref="AZ3418:AZ3419"/>
    <mergeCell ref="BA3418:BA3419"/>
    <mergeCell ref="BI3418:BI3419"/>
    <mergeCell ref="AV3420:AV3422"/>
    <mergeCell ref="AW3420:AW3422"/>
    <mergeCell ref="AX3420:AX3422"/>
    <mergeCell ref="AY3420:AY3422"/>
    <mergeCell ref="AZ3420:AZ3422"/>
    <mergeCell ref="BA3420:BA3422"/>
    <mergeCell ref="BI3420:BI3422"/>
    <mergeCell ref="AV3423:AV3424"/>
    <mergeCell ref="AW3423:AW3424"/>
    <mergeCell ref="AX3423:AX3424"/>
    <mergeCell ref="AY3423:AY3424"/>
    <mergeCell ref="AZ3423:AZ3424"/>
    <mergeCell ref="BA3423:BA3424"/>
    <mergeCell ref="BI3423:BI3424"/>
    <mergeCell ref="AV3425:AV3426"/>
    <mergeCell ref="AW3425:AW3426"/>
    <mergeCell ref="AX3425:AX3426"/>
    <mergeCell ref="AY3425:AY3426"/>
    <mergeCell ref="AZ3425:AZ3426"/>
    <mergeCell ref="BA3425:BA3426"/>
    <mergeCell ref="BI3425:BI3426"/>
    <mergeCell ref="AV3428:AV3429"/>
    <mergeCell ref="AW3428:AW3429"/>
    <mergeCell ref="AX3428:AX3429"/>
    <mergeCell ref="AY3428:AY3429"/>
    <mergeCell ref="AZ3428:AZ3429"/>
    <mergeCell ref="BA3428:BA3429"/>
    <mergeCell ref="BI3428:BI3429"/>
    <mergeCell ref="AV3435:AV3436"/>
    <mergeCell ref="AW3435:AW3436"/>
    <mergeCell ref="AX3435:AX3436"/>
    <mergeCell ref="AY3435:AY3436"/>
    <mergeCell ref="AZ3435:AZ3436"/>
    <mergeCell ref="BA3435:BA3436"/>
    <mergeCell ref="BI3435:BI3436"/>
    <mergeCell ref="AV3442:AV3444"/>
    <mergeCell ref="AW3442:AW3444"/>
    <mergeCell ref="AX3442:AX3444"/>
    <mergeCell ref="AY3442:AY3444"/>
    <mergeCell ref="AZ3442:AZ3444"/>
    <mergeCell ref="BA3442:BA3444"/>
    <mergeCell ref="BI3442:BI3444"/>
    <mergeCell ref="AV3445:AV3447"/>
    <mergeCell ref="AW3445:AW3447"/>
    <mergeCell ref="AX3445:AX3447"/>
    <mergeCell ref="AY3445:AY3447"/>
    <mergeCell ref="AZ3445:AZ3447"/>
    <mergeCell ref="BA3445:BA3447"/>
    <mergeCell ref="BI3445:BI3447"/>
    <mergeCell ref="AV3448:AV3449"/>
    <mergeCell ref="AW3448:AW3449"/>
    <mergeCell ref="AX3448:AX3449"/>
    <mergeCell ref="AY3448:AY3449"/>
    <mergeCell ref="AZ3448:AZ3449"/>
    <mergeCell ref="BA3448:BA3449"/>
    <mergeCell ref="BI3448:BI3449"/>
    <mergeCell ref="AV3450:AV3451"/>
    <mergeCell ref="AW3450:AW3451"/>
    <mergeCell ref="AX3450:AX3451"/>
    <mergeCell ref="AY3450:AY3451"/>
    <mergeCell ref="AZ3450:AZ3451"/>
    <mergeCell ref="BA3450:BA3451"/>
    <mergeCell ref="AV3453:AV3454"/>
    <mergeCell ref="AW3453:AW3454"/>
    <mergeCell ref="AX3453:AX3454"/>
    <mergeCell ref="AY3453:AY3454"/>
    <mergeCell ref="AZ3453:AZ3454"/>
    <mergeCell ref="BA3453:BA3454"/>
    <mergeCell ref="AV3455:AV3456"/>
    <mergeCell ref="AW3455:AW3456"/>
    <mergeCell ref="AX3455:AX3456"/>
    <mergeCell ref="AY3455:AY3456"/>
    <mergeCell ref="AZ3455:AZ3456"/>
    <mergeCell ref="BA3455:BA3456"/>
    <mergeCell ref="AV3457:AV3459"/>
    <mergeCell ref="AW3457:AW3459"/>
    <mergeCell ref="AX3457:AX3459"/>
    <mergeCell ref="AY3457:AY3459"/>
    <mergeCell ref="AZ3457:AZ3459"/>
    <mergeCell ref="BA3457:BA3459"/>
    <mergeCell ref="AV3460:AV3461"/>
    <mergeCell ref="AW3460:AW3461"/>
    <mergeCell ref="AX3460:AX3461"/>
    <mergeCell ref="AY3460:AY3461"/>
    <mergeCell ref="AZ3460:AZ3461"/>
    <mergeCell ref="BA3460:BA3461"/>
    <mergeCell ref="AV3463:AV3464"/>
    <mergeCell ref="AW3463:AW3464"/>
    <mergeCell ref="AX3463:AX3464"/>
    <mergeCell ref="AY3463:AY3464"/>
    <mergeCell ref="AZ3463:AZ3464"/>
    <mergeCell ref="BA3463:BA3464"/>
    <mergeCell ref="AV3467:AV3469"/>
    <mergeCell ref="AW3467:AW3469"/>
    <mergeCell ref="AX3467:AX3469"/>
    <mergeCell ref="AY3467:AY3469"/>
    <mergeCell ref="AZ3467:AZ3469"/>
    <mergeCell ref="BA3467:BA3469"/>
    <mergeCell ref="AV3478:AV3482"/>
    <mergeCell ref="AW3478:AW3482"/>
    <mergeCell ref="AX3478:AX3482"/>
    <mergeCell ref="AY3478:AY3482"/>
    <mergeCell ref="AZ3478:AZ3482"/>
    <mergeCell ref="BA3478:BA3482"/>
    <mergeCell ref="AV3483:AV3487"/>
    <mergeCell ref="AW3483:AW3487"/>
    <mergeCell ref="AX3483:AX3487"/>
    <mergeCell ref="AY3483:AY3487"/>
    <mergeCell ref="AZ3483:AZ3487"/>
    <mergeCell ref="BA3483:BA3487"/>
    <mergeCell ref="AV3488:AV3492"/>
    <mergeCell ref="AW3488:AW3492"/>
    <mergeCell ref="AX3488:AX3492"/>
    <mergeCell ref="AY3488:AY3492"/>
    <mergeCell ref="AZ3488:AZ3492"/>
    <mergeCell ref="BA3488:BA3492"/>
    <mergeCell ref="AV3493:AV3497"/>
    <mergeCell ref="AW3493:AW3497"/>
    <mergeCell ref="AX3493:AX3497"/>
    <mergeCell ref="AY3493:AY3497"/>
    <mergeCell ref="AZ3493:AZ3497"/>
    <mergeCell ref="BA3493:BA3497"/>
    <mergeCell ref="AV3498:AV3505"/>
    <mergeCell ref="AW3498:AW3505"/>
    <mergeCell ref="AX3498:AX3505"/>
    <mergeCell ref="AY3498:AY3505"/>
    <mergeCell ref="AZ3498:AZ3505"/>
    <mergeCell ref="BA3498:BA3505"/>
    <mergeCell ref="AV3506:AV3510"/>
    <mergeCell ref="AW3506:AW3510"/>
    <mergeCell ref="AX3506:AX3510"/>
    <mergeCell ref="AY3506:AY3510"/>
    <mergeCell ref="AZ3506:AZ3510"/>
    <mergeCell ref="BA3506:BA3510"/>
    <mergeCell ref="AV3511:AV3514"/>
    <mergeCell ref="AW3511:AW3514"/>
    <mergeCell ref="AX3511:AX3514"/>
    <mergeCell ref="AY3511:AY3514"/>
    <mergeCell ref="AZ3511:AZ3514"/>
    <mergeCell ref="BA3511:BA3514"/>
    <mergeCell ref="AV3515:AV3522"/>
    <mergeCell ref="AW3515:AW3522"/>
    <mergeCell ref="AX3515:AX3522"/>
    <mergeCell ref="AY3515:AY3522"/>
    <mergeCell ref="AZ3515:AZ3522"/>
    <mergeCell ref="BA3515:BA3522"/>
    <mergeCell ref="AV3523:AV3530"/>
    <mergeCell ref="AW3523:AW3530"/>
    <mergeCell ref="AX3523:AX3530"/>
    <mergeCell ref="AY3523:AY3530"/>
    <mergeCell ref="AZ3523:AZ3530"/>
    <mergeCell ref="BA3523:BA3530"/>
    <mergeCell ref="AV3531:AV3535"/>
    <mergeCell ref="AW3531:AW3535"/>
    <mergeCell ref="AX3531:AX3535"/>
    <mergeCell ref="AY3531:AY3535"/>
    <mergeCell ref="AZ3531:AZ3535"/>
    <mergeCell ref="BA3531:BA3535"/>
    <mergeCell ref="AV3536:AV3540"/>
    <mergeCell ref="AW3536:AW3540"/>
    <mergeCell ref="AX3536:AX3540"/>
    <mergeCell ref="AY3536:AY3540"/>
    <mergeCell ref="AZ3536:AZ3540"/>
    <mergeCell ref="BA3536:BA3540"/>
    <mergeCell ref="AV3565:AV3567"/>
    <mergeCell ref="AW3565:AW3567"/>
    <mergeCell ref="AX3565:AX3567"/>
    <mergeCell ref="AY3565:AY3567"/>
    <mergeCell ref="AZ3565:AZ3567"/>
    <mergeCell ref="BA3565:BA3567"/>
    <mergeCell ref="BI3565:BI3567"/>
    <mergeCell ref="AV3568:AV3570"/>
    <mergeCell ref="AW3568:AW3570"/>
    <mergeCell ref="AX3568:AX3570"/>
    <mergeCell ref="AY3568:AY3570"/>
    <mergeCell ref="AZ3568:AZ3570"/>
    <mergeCell ref="BA3568:BA3570"/>
    <mergeCell ref="BI3568:BI3570"/>
    <mergeCell ref="AV3571:AV3572"/>
    <mergeCell ref="AW3571:AW3572"/>
    <mergeCell ref="AX3571:AX3572"/>
    <mergeCell ref="AY3571:AY3572"/>
    <mergeCell ref="AZ3571:AZ3572"/>
    <mergeCell ref="BA3571:BA3572"/>
    <mergeCell ref="BI3571:BI3572"/>
    <mergeCell ref="AV3573:AV3574"/>
    <mergeCell ref="AW3573:AW3574"/>
    <mergeCell ref="AX3573:AX3574"/>
    <mergeCell ref="AY3573:AY3574"/>
    <mergeCell ref="AZ3573:AZ3574"/>
    <mergeCell ref="BA3573:BA3574"/>
    <mergeCell ref="BI3573:BI3574"/>
    <mergeCell ref="AV3575:AV3576"/>
    <mergeCell ref="AW3575:AW3576"/>
    <mergeCell ref="AX3575:AX3576"/>
    <mergeCell ref="AY3575:AY3576"/>
    <mergeCell ref="AZ3575:AZ3576"/>
    <mergeCell ref="BA3575:BA3576"/>
    <mergeCell ref="BI3575:BI3576"/>
    <mergeCell ref="AV3577:AV3578"/>
    <mergeCell ref="AW3577:AW3578"/>
    <mergeCell ref="AX3577:AX3578"/>
    <mergeCell ref="AY3577:AY3578"/>
    <mergeCell ref="AZ3577:AZ3578"/>
    <mergeCell ref="BA3577:BA3578"/>
    <mergeCell ref="AV3579:AV3580"/>
    <mergeCell ref="AW3579:AW3580"/>
    <mergeCell ref="AX3579:AX3580"/>
    <mergeCell ref="AY3579:AY3580"/>
    <mergeCell ref="AZ3579:AZ3580"/>
    <mergeCell ref="BA3579:BA3580"/>
    <mergeCell ref="AV3582:AV3584"/>
    <mergeCell ref="AW3582:AW3584"/>
    <mergeCell ref="AX3582:AX3584"/>
    <mergeCell ref="AY3582:AY3584"/>
    <mergeCell ref="AZ3582:AZ3584"/>
    <mergeCell ref="BA3582:BA3584"/>
    <mergeCell ref="AV3588:AV3590"/>
    <mergeCell ref="AW3588:AW3590"/>
    <mergeCell ref="AX3588:AX3590"/>
    <mergeCell ref="AY3588:AY3590"/>
    <mergeCell ref="AZ3588:AZ3590"/>
    <mergeCell ref="BA3588:BA3590"/>
    <mergeCell ref="AV3591:AV3593"/>
    <mergeCell ref="AW3591:AW3593"/>
    <mergeCell ref="AX3591:AX3593"/>
    <mergeCell ref="AY3591:AY3593"/>
    <mergeCell ref="AZ3591:AZ3593"/>
    <mergeCell ref="BA3591:BA3593"/>
    <mergeCell ref="AV3594:AV3595"/>
    <mergeCell ref="AW3594:AW3595"/>
    <mergeCell ref="AX3594:AX3595"/>
    <mergeCell ref="AY3594:AY3595"/>
    <mergeCell ref="AZ3594:AZ3595"/>
    <mergeCell ref="BA3594:BA3595"/>
    <mergeCell ref="AV3596:AV3597"/>
    <mergeCell ref="AW3596:AW3597"/>
    <mergeCell ref="AX3596:AX3597"/>
    <mergeCell ref="AY3596:AY3597"/>
    <mergeCell ref="AZ3596:AZ3597"/>
    <mergeCell ref="BA3596:BA3597"/>
    <mergeCell ref="AV3600:AV3601"/>
    <mergeCell ref="AW3600:AW3601"/>
    <mergeCell ref="AX3600:AX3601"/>
    <mergeCell ref="AY3600:AY3601"/>
    <mergeCell ref="AZ3600:AZ3601"/>
    <mergeCell ref="BA3600:BA3601"/>
    <mergeCell ref="AV3605:AV3606"/>
    <mergeCell ref="AW3605:AW3606"/>
    <mergeCell ref="AX3605:AX3606"/>
    <mergeCell ref="AY3605:AY3606"/>
    <mergeCell ref="AZ3605:AZ3606"/>
    <mergeCell ref="BA3605:BA3606"/>
    <mergeCell ref="AV3607:AV3608"/>
    <mergeCell ref="AW3607:AW3608"/>
    <mergeCell ref="AX3607:AX3608"/>
    <mergeCell ref="AY3607:AY3608"/>
    <mergeCell ref="AZ3607:AZ3608"/>
    <mergeCell ref="BA3607:BA3608"/>
    <mergeCell ref="AV3609:AV3610"/>
    <mergeCell ref="AW3609:AW3610"/>
    <mergeCell ref="AX3609:AX3610"/>
    <mergeCell ref="AY3609:AY3610"/>
    <mergeCell ref="AZ3609:AZ3610"/>
    <mergeCell ref="BA3609:BA3610"/>
    <mergeCell ref="AV3620:AV3622"/>
    <mergeCell ref="AW3620:AW3622"/>
    <mergeCell ref="AX3620:AX3622"/>
    <mergeCell ref="AY3620:AY3622"/>
    <mergeCell ref="AZ3620:AZ3622"/>
    <mergeCell ref="BA3620:BA3622"/>
    <mergeCell ref="AV3623:AV3625"/>
    <mergeCell ref="AW3623:AW3625"/>
    <mergeCell ref="AX3623:AX3625"/>
    <mergeCell ref="AY3623:AY3625"/>
    <mergeCell ref="AZ3623:AZ3625"/>
    <mergeCell ref="BA3623:BA3625"/>
    <mergeCell ref="AV3626:AV3628"/>
    <mergeCell ref="AW3626:AW3628"/>
    <mergeCell ref="AX3626:AX3628"/>
    <mergeCell ref="AY3626:AY3628"/>
    <mergeCell ref="AZ3626:AZ3628"/>
    <mergeCell ref="BA3626:BA3628"/>
    <mergeCell ref="AV3630:AV3631"/>
    <mergeCell ref="AW3630:AW3631"/>
    <mergeCell ref="AX3630:AX3631"/>
    <mergeCell ref="AY3630:AY3631"/>
    <mergeCell ref="AZ3630:AZ3631"/>
    <mergeCell ref="BA3630:BA3631"/>
    <mergeCell ref="AV3632:AV3633"/>
    <mergeCell ref="AW3632:AW3633"/>
    <mergeCell ref="AX3632:AX3633"/>
    <mergeCell ref="AY3632:AY3633"/>
    <mergeCell ref="AZ3632:AZ3633"/>
    <mergeCell ref="BA3632:BA3633"/>
    <mergeCell ref="AV3634:AV3635"/>
    <mergeCell ref="AW3634:AW3635"/>
    <mergeCell ref="AX3634:AX3635"/>
    <mergeCell ref="AY3634:AY3635"/>
    <mergeCell ref="AZ3634:AZ3635"/>
    <mergeCell ref="BA3634:BA3635"/>
    <mergeCell ref="AV3639:AV3641"/>
    <mergeCell ref="AW3639:AW3641"/>
    <mergeCell ref="AX3639:AX3641"/>
    <mergeCell ref="AY3639:AY3641"/>
    <mergeCell ref="AZ3639:AZ3641"/>
    <mergeCell ref="BA3639:BA3641"/>
    <mergeCell ref="BI3639:BI3641"/>
    <mergeCell ref="AV3642:AV3644"/>
    <mergeCell ref="AW3642:AW3644"/>
    <mergeCell ref="AX3642:AX3644"/>
    <mergeCell ref="AY3642:AY3644"/>
    <mergeCell ref="AZ3642:AZ3644"/>
    <mergeCell ref="BA3642:BA3644"/>
    <mergeCell ref="BI3642:BI3644"/>
    <mergeCell ref="AV3645:AV3647"/>
    <mergeCell ref="AW3645:AW3647"/>
    <mergeCell ref="AX3645:AX3647"/>
    <mergeCell ref="AY3645:AY3647"/>
    <mergeCell ref="AZ3645:AZ3647"/>
    <mergeCell ref="BA3645:BA3647"/>
    <mergeCell ref="BI3645:BI3647"/>
    <mergeCell ref="AV3648:AV3650"/>
    <mergeCell ref="AW3648:AW3650"/>
    <mergeCell ref="AX3648:AX3650"/>
    <mergeCell ref="AY3648:AY3650"/>
    <mergeCell ref="AZ3648:AZ3650"/>
    <mergeCell ref="BA3648:BA3650"/>
    <mergeCell ref="BI3648:BI3650"/>
    <mergeCell ref="AV3651:AV3653"/>
    <mergeCell ref="AW3651:AW3653"/>
    <mergeCell ref="AX3651:AX3653"/>
    <mergeCell ref="AY3651:AY3653"/>
    <mergeCell ref="AZ3651:AZ3653"/>
    <mergeCell ref="BA3651:BA3653"/>
    <mergeCell ref="BI3651:BI3653"/>
    <mergeCell ref="AV3654:AV3656"/>
    <mergeCell ref="AW3654:AW3656"/>
    <mergeCell ref="AX3654:AX3656"/>
    <mergeCell ref="AY3654:AY3656"/>
    <mergeCell ref="AZ3654:AZ3656"/>
    <mergeCell ref="BA3654:BA3656"/>
    <mergeCell ref="BI3654:BI3656"/>
    <mergeCell ref="AV3659:AV3661"/>
    <mergeCell ref="AW3659:AW3661"/>
    <mergeCell ref="AX3659:AX3661"/>
    <mergeCell ref="AY3659:AY3661"/>
    <mergeCell ref="AZ3659:AZ3661"/>
    <mergeCell ref="BA3659:BA3661"/>
    <mergeCell ref="BI3659:BI3661"/>
    <mergeCell ref="AV3667:AV3669"/>
    <mergeCell ref="AW3667:AW3669"/>
    <mergeCell ref="AX3667:AX3669"/>
    <mergeCell ref="AY3667:AY3669"/>
    <mergeCell ref="AZ3667:AZ3669"/>
    <mergeCell ref="BA3667:BA3669"/>
    <mergeCell ref="BI3667:BI3669"/>
    <mergeCell ref="AV3670:AV3672"/>
    <mergeCell ref="AW3670:AW3672"/>
    <mergeCell ref="AX3670:AX3672"/>
    <mergeCell ref="AY3670:AY3672"/>
    <mergeCell ref="AZ3670:AZ3672"/>
    <mergeCell ref="BA3670:BA3672"/>
    <mergeCell ref="AV3673:AV3675"/>
    <mergeCell ref="AW3673:AW3675"/>
    <mergeCell ref="AX3673:AX3675"/>
    <mergeCell ref="AY3673:AY3675"/>
    <mergeCell ref="AZ3673:AZ3675"/>
    <mergeCell ref="BA3673:BA3675"/>
    <mergeCell ref="AV3676:AV3678"/>
    <mergeCell ref="AW3676:AW3678"/>
    <mergeCell ref="AX3676:AX3678"/>
    <mergeCell ref="AY3676:AY3678"/>
    <mergeCell ref="AZ3676:AZ3678"/>
    <mergeCell ref="BA3676:BA3678"/>
    <mergeCell ref="AV3680:AV3682"/>
    <mergeCell ref="AW3680:AW3682"/>
    <mergeCell ref="AX3680:AX3682"/>
    <mergeCell ref="AY3680:AY3682"/>
    <mergeCell ref="AZ3680:AZ3682"/>
    <mergeCell ref="BA3680:BA3682"/>
    <mergeCell ref="AV3683:AV3684"/>
    <mergeCell ref="AW3683:AW3684"/>
    <mergeCell ref="AX3683:AX3684"/>
    <mergeCell ref="AY3683:AY3684"/>
    <mergeCell ref="AZ3683:AZ3684"/>
    <mergeCell ref="BA3683:BA3684"/>
    <mergeCell ref="AV3685:AV3687"/>
    <mergeCell ref="AW3685:AW3687"/>
    <mergeCell ref="AX3685:AX3687"/>
    <mergeCell ref="AY3685:AY3687"/>
    <mergeCell ref="AZ3685:AZ3687"/>
    <mergeCell ref="BA3685:BA3687"/>
    <mergeCell ref="BI3685:BI3687"/>
    <mergeCell ref="AV3688:AV3691"/>
    <mergeCell ref="AW3688:AW3691"/>
    <mergeCell ref="AX3688:AX3691"/>
    <mergeCell ref="AY3688:AY3691"/>
    <mergeCell ref="AZ3688:AZ3691"/>
    <mergeCell ref="BA3688:BA3691"/>
    <mergeCell ref="BI3688:BI3691"/>
    <mergeCell ref="AV3692:AV3695"/>
    <mergeCell ref="AW3692:AW3695"/>
    <mergeCell ref="AX3692:AX3695"/>
    <mergeCell ref="AY3692:AY3695"/>
    <mergeCell ref="AZ3692:AZ3695"/>
    <mergeCell ref="BA3692:BA3695"/>
    <mergeCell ref="BI3692:BI3695"/>
    <mergeCell ref="AV3696:AV3698"/>
    <mergeCell ref="AW3696:AW3698"/>
    <mergeCell ref="AX3696:AX3698"/>
    <mergeCell ref="AY3696:AY3698"/>
    <mergeCell ref="AZ3696:AZ3698"/>
    <mergeCell ref="BA3696:BA3698"/>
    <mergeCell ref="AV3699:AV3700"/>
    <mergeCell ref="AW3699:AW3700"/>
    <mergeCell ref="AX3699:AX3700"/>
    <mergeCell ref="AY3699:AY3700"/>
    <mergeCell ref="AZ3699:AZ3700"/>
    <mergeCell ref="BA3699:BA3700"/>
    <mergeCell ref="AV3701:AV3703"/>
    <mergeCell ref="AW3701:AW3703"/>
    <mergeCell ref="AX3701:AX3703"/>
    <mergeCell ref="AY3701:AY3703"/>
    <mergeCell ref="AZ3701:AZ3703"/>
    <mergeCell ref="BA3701:BA3703"/>
    <mergeCell ref="AV3704:AV3706"/>
    <mergeCell ref="AW3704:AW3706"/>
    <mergeCell ref="AX3704:AX3706"/>
    <mergeCell ref="AY3704:AY3706"/>
    <mergeCell ref="AZ3704:AZ3706"/>
    <mergeCell ref="BA3704:BA3706"/>
    <mergeCell ref="AV3707:AV3709"/>
    <mergeCell ref="AW3707:AW3709"/>
    <mergeCell ref="AX3707:AX3709"/>
    <mergeCell ref="AY3707:AY3709"/>
    <mergeCell ref="AZ3707:AZ3709"/>
    <mergeCell ref="BA3707:BA3709"/>
    <mergeCell ref="AV3710:AV3712"/>
    <mergeCell ref="AW3710:AW3712"/>
    <mergeCell ref="AX3710:AX3712"/>
    <mergeCell ref="AY3710:AY3712"/>
    <mergeCell ref="AZ3710:AZ3712"/>
    <mergeCell ref="BA3710:BA3712"/>
    <mergeCell ref="AV3713:AV3715"/>
    <mergeCell ref="AW3713:AW3715"/>
    <mergeCell ref="AX3713:AX3715"/>
    <mergeCell ref="AY3713:AY3715"/>
    <mergeCell ref="AZ3713:AZ3715"/>
    <mergeCell ref="BA3713:BA3715"/>
    <mergeCell ref="AV3716:AV3718"/>
    <mergeCell ref="AW3716:AW3718"/>
    <mergeCell ref="AX3716:AX3718"/>
    <mergeCell ref="AY3716:AY3718"/>
    <mergeCell ref="AZ3716:AZ3718"/>
    <mergeCell ref="BA3716:BA3718"/>
    <mergeCell ref="AV3719:AV3721"/>
    <mergeCell ref="AW3719:AW3721"/>
    <mergeCell ref="AX3719:AX3721"/>
    <mergeCell ref="AY3719:AY3721"/>
    <mergeCell ref="AZ3719:AZ3721"/>
    <mergeCell ref="BA3719:BA3721"/>
    <mergeCell ref="AV3722:AV3724"/>
    <mergeCell ref="AW3722:AW3724"/>
    <mergeCell ref="AX3722:AX3724"/>
    <mergeCell ref="AY3722:AY3724"/>
    <mergeCell ref="AZ3722:AZ3724"/>
    <mergeCell ref="BA3722:BA3724"/>
    <mergeCell ref="AV3725:AV3727"/>
    <mergeCell ref="AW3725:AW3727"/>
    <mergeCell ref="AX3725:AX3727"/>
    <mergeCell ref="AY3725:AY3727"/>
    <mergeCell ref="AZ3725:AZ3727"/>
    <mergeCell ref="BA3725:BA3727"/>
    <mergeCell ref="AV3728:AV3730"/>
    <mergeCell ref="AW3728:AW3730"/>
    <mergeCell ref="AX3728:AX3730"/>
    <mergeCell ref="AY3728:AY3730"/>
    <mergeCell ref="AZ3728:AZ3730"/>
    <mergeCell ref="BA3728:BA3730"/>
    <mergeCell ref="AV3731:AV3733"/>
    <mergeCell ref="AW3731:AW3733"/>
    <mergeCell ref="AX3731:AX3733"/>
    <mergeCell ref="AY3731:AY3733"/>
    <mergeCell ref="AZ3731:AZ3733"/>
    <mergeCell ref="BA3731:BA3733"/>
    <mergeCell ref="AV3734:AV3736"/>
    <mergeCell ref="AW3734:AW3736"/>
    <mergeCell ref="AX3734:AX3736"/>
    <mergeCell ref="AY3734:AY3736"/>
    <mergeCell ref="AZ3734:AZ3736"/>
    <mergeCell ref="BA3734:BA3736"/>
    <mergeCell ref="AV3737:AV3739"/>
    <mergeCell ref="AW3737:AW3739"/>
    <mergeCell ref="AX3737:AX3739"/>
    <mergeCell ref="AY3737:AY3739"/>
    <mergeCell ref="AZ3737:AZ3739"/>
    <mergeCell ref="BA3737:BA3739"/>
    <mergeCell ref="AV3740:AV3742"/>
    <mergeCell ref="AW3740:AW3742"/>
    <mergeCell ref="AX3740:AX3742"/>
    <mergeCell ref="AY3740:AY3742"/>
    <mergeCell ref="AZ3740:AZ3742"/>
    <mergeCell ref="BA3740:BA3742"/>
    <mergeCell ref="AV3743:AV3745"/>
    <mergeCell ref="AW3743:AW3745"/>
    <mergeCell ref="AX3743:AX3745"/>
    <mergeCell ref="AY3743:AY3745"/>
    <mergeCell ref="AZ3743:AZ3745"/>
    <mergeCell ref="BA3743:BA3745"/>
    <mergeCell ref="BI3743:BI3745"/>
    <mergeCell ref="AV3746:AV3748"/>
    <mergeCell ref="AW3746:AW3748"/>
    <mergeCell ref="AX3746:AX3748"/>
    <mergeCell ref="AY3746:AY3748"/>
    <mergeCell ref="AZ3746:AZ3748"/>
    <mergeCell ref="BA3746:BA3748"/>
    <mergeCell ref="BI3746:BI3748"/>
    <mergeCell ref="AV3749:AV3751"/>
    <mergeCell ref="AW3749:AW3751"/>
    <mergeCell ref="AX3749:AX3751"/>
    <mergeCell ref="AY3749:AY3751"/>
    <mergeCell ref="AZ3749:AZ3751"/>
    <mergeCell ref="BA3749:BA3751"/>
    <mergeCell ref="BI3749:BI3751"/>
    <mergeCell ref="AV3752:AV3754"/>
    <mergeCell ref="AW3752:AW3754"/>
    <mergeCell ref="AX3752:AX3754"/>
    <mergeCell ref="AY3752:AY3754"/>
    <mergeCell ref="AZ3752:AZ3754"/>
    <mergeCell ref="BA3752:BA3754"/>
    <mergeCell ref="BI3752:BI3754"/>
    <mergeCell ref="AV3755:AV3756"/>
    <mergeCell ref="AW3755:AW3756"/>
    <mergeCell ref="AX3755:AX3756"/>
    <mergeCell ref="AY3755:AY3756"/>
    <mergeCell ref="AZ3755:AZ3756"/>
    <mergeCell ref="BA3755:BA3756"/>
    <mergeCell ref="AV3757:AV3759"/>
    <mergeCell ref="AW3757:AW3759"/>
    <mergeCell ref="AX3757:AX3759"/>
    <mergeCell ref="AY3757:AY3759"/>
    <mergeCell ref="AZ3757:AZ3759"/>
    <mergeCell ref="BA3757:BA3759"/>
    <mergeCell ref="AV3760:AV3762"/>
    <mergeCell ref="AW3760:AW3762"/>
    <mergeCell ref="AX3760:AX3762"/>
    <mergeCell ref="AY3760:AY3762"/>
    <mergeCell ref="AZ3760:AZ3762"/>
    <mergeCell ref="BA3760:BA3762"/>
    <mergeCell ref="AV3765:AV3766"/>
    <mergeCell ref="AW3765:AW3766"/>
    <mergeCell ref="AX3765:AX3766"/>
    <mergeCell ref="AY3765:AY3766"/>
    <mergeCell ref="AZ3765:AZ3766"/>
    <mergeCell ref="BA3765:BA3766"/>
    <mergeCell ref="AV3767:AV3768"/>
    <mergeCell ref="AW3767:AW3768"/>
    <mergeCell ref="AX3767:AX3768"/>
    <mergeCell ref="AY3767:AY3768"/>
    <mergeCell ref="AZ3767:AZ3768"/>
    <mergeCell ref="BA3767:BA3768"/>
    <mergeCell ref="AV3769:AV3770"/>
    <mergeCell ref="AW3769:AW3770"/>
    <mergeCell ref="AX3769:AX3770"/>
    <mergeCell ref="AY3769:AY3770"/>
    <mergeCell ref="AZ3769:AZ3770"/>
    <mergeCell ref="BA3769:BA3770"/>
    <mergeCell ref="AV3771:AV3772"/>
    <mergeCell ref="AW3771:AW3772"/>
    <mergeCell ref="AX3771:AX3772"/>
    <mergeCell ref="AY3771:AY3772"/>
    <mergeCell ref="AZ3771:AZ3772"/>
    <mergeCell ref="BA3771:BA3772"/>
    <mergeCell ref="AV3773:AV3774"/>
    <mergeCell ref="AW3773:AW3774"/>
    <mergeCell ref="AX3773:AX3774"/>
    <mergeCell ref="AY3773:AY3774"/>
    <mergeCell ref="AZ3773:AZ3774"/>
    <mergeCell ref="BA3773:BA3774"/>
    <mergeCell ref="AV3775:AV3776"/>
    <mergeCell ref="AW3775:AW3776"/>
    <mergeCell ref="AX3775:AX3776"/>
    <mergeCell ref="AY3775:AY3776"/>
    <mergeCell ref="AZ3775:AZ3776"/>
    <mergeCell ref="BA3775:BA3776"/>
    <mergeCell ref="AV3777:AV3778"/>
    <mergeCell ref="AW3777:AW3778"/>
    <mergeCell ref="AX3777:AX3778"/>
    <mergeCell ref="AY3777:AY3778"/>
    <mergeCell ref="AZ3777:AZ3778"/>
    <mergeCell ref="BA3777:BA3778"/>
    <mergeCell ref="AV3779:AV3780"/>
    <mergeCell ref="AW3779:AW3780"/>
    <mergeCell ref="AX3779:AX3780"/>
    <mergeCell ref="AY3779:AY3780"/>
    <mergeCell ref="AZ3779:AZ3780"/>
    <mergeCell ref="BA3779:BA3780"/>
    <mergeCell ref="AV3781:AV3782"/>
    <mergeCell ref="AW3781:AW3782"/>
    <mergeCell ref="AX3781:AX3782"/>
    <mergeCell ref="AY3781:AY3782"/>
    <mergeCell ref="AZ3781:AZ3782"/>
    <mergeCell ref="BA3781:BA3782"/>
    <mergeCell ref="AV3783:AV3784"/>
    <mergeCell ref="AW3783:AW3784"/>
    <mergeCell ref="AX3783:AX3784"/>
    <mergeCell ref="AY3783:AY3784"/>
    <mergeCell ref="AZ3783:AZ3784"/>
    <mergeCell ref="BA3783:BA3784"/>
    <mergeCell ref="BI3783:BI3784"/>
    <mergeCell ref="AV3785:AV3786"/>
    <mergeCell ref="AW3785:AW3786"/>
    <mergeCell ref="AX3785:AX3786"/>
    <mergeCell ref="AY3785:AY3786"/>
    <mergeCell ref="AZ3785:AZ3786"/>
    <mergeCell ref="BA3785:BA3786"/>
    <mergeCell ref="AV3787:AV3789"/>
    <mergeCell ref="AW3787:AW3789"/>
    <mergeCell ref="AX3787:AX3789"/>
    <mergeCell ref="AY3787:AY3789"/>
    <mergeCell ref="AZ3787:AZ3789"/>
    <mergeCell ref="BA3787:BA3789"/>
    <mergeCell ref="AV3792:AV3793"/>
    <mergeCell ref="AW3792:AW3793"/>
    <mergeCell ref="AX3792:AX3793"/>
    <mergeCell ref="AY3792:AY3793"/>
    <mergeCell ref="AZ3792:AZ3793"/>
    <mergeCell ref="BA3792:BA3793"/>
    <mergeCell ref="AV3794:AV3795"/>
    <mergeCell ref="AW3794:AW3795"/>
    <mergeCell ref="AX3794:AX3795"/>
    <mergeCell ref="AY3794:AY3795"/>
    <mergeCell ref="AZ3794:AZ3795"/>
    <mergeCell ref="BA3794:BA3795"/>
    <mergeCell ref="AV3796:AV3797"/>
    <mergeCell ref="AW3796:AW3797"/>
    <mergeCell ref="AX3796:AX3797"/>
    <mergeCell ref="AY3796:AY3797"/>
    <mergeCell ref="AZ3796:AZ3797"/>
    <mergeCell ref="BA3796:BA3797"/>
    <mergeCell ref="AV3798:AV3799"/>
    <mergeCell ref="AW3798:AW3799"/>
    <mergeCell ref="AX3798:AX3799"/>
    <mergeCell ref="AY3798:AY3799"/>
    <mergeCell ref="AZ3798:AZ3799"/>
    <mergeCell ref="BA3798:BA3799"/>
    <mergeCell ref="AV3801:AV3802"/>
    <mergeCell ref="AW3801:AW3802"/>
    <mergeCell ref="AX3801:AX3802"/>
    <mergeCell ref="AY3801:AY3802"/>
    <mergeCell ref="AZ3801:AZ3802"/>
    <mergeCell ref="BA3801:BA3802"/>
    <mergeCell ref="AV3805:AV3806"/>
    <mergeCell ref="AW3805:AW3806"/>
    <mergeCell ref="AX3805:AX3806"/>
    <mergeCell ref="AY3805:AY3806"/>
    <mergeCell ref="AZ3805:AZ3806"/>
    <mergeCell ref="BA3805:BA3806"/>
    <mergeCell ref="AV3807:AV3809"/>
    <mergeCell ref="AW3807:AW3809"/>
    <mergeCell ref="AX3807:AX3809"/>
    <mergeCell ref="AY3807:AY3809"/>
    <mergeCell ref="AZ3807:AZ3809"/>
    <mergeCell ref="BA3807:BA3809"/>
    <mergeCell ref="AV3810:AV3811"/>
    <mergeCell ref="AW3810:AW3811"/>
    <mergeCell ref="AX3810:AX3811"/>
    <mergeCell ref="AY3810:AY3811"/>
    <mergeCell ref="AZ3810:AZ3811"/>
    <mergeCell ref="BA3810:BA3811"/>
    <mergeCell ref="AV3812:AV3813"/>
    <mergeCell ref="AW3812:AW3813"/>
    <mergeCell ref="AX3812:AX3813"/>
    <mergeCell ref="AY3812:AY3813"/>
    <mergeCell ref="AZ3812:AZ3813"/>
    <mergeCell ref="BA3812:BA3813"/>
    <mergeCell ref="AV3814:AV3815"/>
    <mergeCell ref="AW3814:AW3815"/>
    <mergeCell ref="AX3814:AX3815"/>
    <mergeCell ref="AY3814:AY3815"/>
    <mergeCell ref="AZ3814:AZ3815"/>
    <mergeCell ref="BA3814:BA3815"/>
    <mergeCell ref="AV3816:AV3817"/>
    <mergeCell ref="AW3816:AW3817"/>
    <mergeCell ref="AX3816:AX3817"/>
    <mergeCell ref="AY3816:AY3817"/>
    <mergeCell ref="AZ3816:AZ3817"/>
    <mergeCell ref="BA3816:BA3817"/>
    <mergeCell ref="BI3816:BI3817"/>
    <mergeCell ref="AV3818:AV3819"/>
    <mergeCell ref="AW3818:AW3819"/>
    <mergeCell ref="AX3818:AX3819"/>
    <mergeCell ref="AY3818:AY3819"/>
    <mergeCell ref="AZ3818:AZ3819"/>
    <mergeCell ref="BA3818:BA3819"/>
    <mergeCell ref="AV3820:AV3821"/>
    <mergeCell ref="AW3820:AW3821"/>
    <mergeCell ref="AX3820:AX3821"/>
    <mergeCell ref="AY3820:AY3821"/>
    <mergeCell ref="AZ3820:AZ3821"/>
    <mergeCell ref="BA3820:BA3821"/>
    <mergeCell ref="AV3822:AV3823"/>
    <mergeCell ref="AW3822:AW3823"/>
    <mergeCell ref="AX3822:AX3823"/>
    <mergeCell ref="AY3822:AY3823"/>
    <mergeCell ref="AZ3822:AZ3823"/>
    <mergeCell ref="BA3822:BA3823"/>
    <mergeCell ref="AV3824:AV3825"/>
    <mergeCell ref="AW3824:AW3825"/>
    <mergeCell ref="AX3824:AX3825"/>
    <mergeCell ref="AY3824:AY3825"/>
    <mergeCell ref="AZ3824:AZ3825"/>
    <mergeCell ref="BA3824:BA3825"/>
    <mergeCell ref="AV3827:AV3828"/>
    <mergeCell ref="AW3827:AW3828"/>
    <mergeCell ref="AX3827:AX3828"/>
    <mergeCell ref="AY3827:AY3828"/>
    <mergeCell ref="AZ3827:AZ3828"/>
    <mergeCell ref="BA3827:BA3828"/>
    <mergeCell ref="AV3829:AV3830"/>
    <mergeCell ref="AW3829:AW3830"/>
    <mergeCell ref="AX3829:AX3830"/>
    <mergeCell ref="AY3829:AY3830"/>
    <mergeCell ref="AZ3829:AZ3830"/>
    <mergeCell ref="BA3829:BA3830"/>
    <mergeCell ref="AV3831:AV3832"/>
    <mergeCell ref="AW3831:AW3832"/>
    <mergeCell ref="AX3831:AX3832"/>
    <mergeCell ref="AY3831:AY3832"/>
    <mergeCell ref="AZ3831:AZ3832"/>
    <mergeCell ref="BA3831:BA3832"/>
    <mergeCell ref="AV3834:AV3835"/>
    <mergeCell ref="AW3834:AW3835"/>
    <mergeCell ref="AX3834:AX3835"/>
    <mergeCell ref="AY3834:AY3835"/>
    <mergeCell ref="AZ3834:AZ3835"/>
    <mergeCell ref="BA3834:BA3835"/>
    <mergeCell ref="AV3836:AV3837"/>
    <mergeCell ref="AW3836:AW3837"/>
    <mergeCell ref="AX3836:AX3837"/>
    <mergeCell ref="AY3836:AY3837"/>
    <mergeCell ref="AZ3836:AZ3837"/>
    <mergeCell ref="BA3836:BA3837"/>
    <mergeCell ref="AV3838:AV3839"/>
    <mergeCell ref="AW3838:AW3839"/>
    <mergeCell ref="AX3838:AX3839"/>
    <mergeCell ref="AY3838:AY3839"/>
    <mergeCell ref="AZ3838:AZ3839"/>
    <mergeCell ref="BA3838:BA3839"/>
    <mergeCell ref="AV3841:AV3842"/>
    <mergeCell ref="AW3841:AW3842"/>
    <mergeCell ref="AX3841:AX3842"/>
    <mergeCell ref="AY3841:AY3842"/>
    <mergeCell ref="AZ3841:AZ3842"/>
    <mergeCell ref="BA3841:BA3842"/>
    <mergeCell ref="AV3843:AV3844"/>
    <mergeCell ref="AW3843:AW3844"/>
    <mergeCell ref="AX3843:AX3844"/>
    <mergeCell ref="AY3843:AY3844"/>
    <mergeCell ref="AZ3843:AZ3844"/>
    <mergeCell ref="BA3843:BA3844"/>
    <mergeCell ref="AV3846:AV3847"/>
    <mergeCell ref="AW3846:AW3847"/>
    <mergeCell ref="AX3846:AX3847"/>
    <mergeCell ref="AY3846:AY3847"/>
    <mergeCell ref="AZ3846:AZ3847"/>
    <mergeCell ref="BA3846:BA3847"/>
    <mergeCell ref="AV3848:AV3849"/>
    <mergeCell ref="AW3848:AW3849"/>
    <mergeCell ref="AX3848:AX3849"/>
    <mergeCell ref="AY3848:AY3849"/>
    <mergeCell ref="AZ3848:AZ3849"/>
    <mergeCell ref="BA3848:BA3849"/>
    <mergeCell ref="AV3850:AV3851"/>
    <mergeCell ref="AW3850:AW3851"/>
    <mergeCell ref="AX3850:AX3851"/>
    <mergeCell ref="AY3850:AY3851"/>
    <mergeCell ref="AZ3850:AZ3851"/>
    <mergeCell ref="BA3850:BA3851"/>
    <mergeCell ref="BB2231:BB2232"/>
    <mergeCell ref="BB2397:BB2398"/>
    <mergeCell ref="BB2450:BB2451"/>
    <mergeCell ref="BB2839:BB2840"/>
    <mergeCell ref="BB2841:BB2842"/>
    <mergeCell ref="BB2843:BB2844"/>
    <mergeCell ref="BB2845:BB2846"/>
    <mergeCell ref="BB2848:BB2849"/>
    <mergeCell ref="BB2850:BB2851"/>
    <mergeCell ref="BB2852:BB2853"/>
    <mergeCell ref="BB2854:BB2855"/>
    <mergeCell ref="BB2862:BB2863"/>
    <mergeCell ref="BB2864:BB2865"/>
    <mergeCell ref="BB2866:BB2867"/>
    <mergeCell ref="BB2868:BB2869"/>
    <mergeCell ref="BB2886:BB2887"/>
    <mergeCell ref="BB2888:BB2889"/>
    <mergeCell ref="BB2890:BB2891"/>
    <mergeCell ref="BB2892:BB2893"/>
    <mergeCell ref="BB3364:BB3365"/>
    <mergeCell ref="BB3367:BB3368"/>
    <mergeCell ref="BB3370:BB3371"/>
    <mergeCell ref="BB3410:BB341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0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12175</v>
      </c>
      <c r="D2" s="0" t="s">
        <v>12176</v>
      </c>
      <c r="E2" s="0" t="s">
        <v>12177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12178</v>
      </c>
      <c r="J4" s="1" t="s">
        <v>12179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12180</v>
      </c>
      <c r="P4" s="1" t="s">
        <v>12181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12182</v>
      </c>
      <c r="F5" s="1" t="s">
        <v>12183</v>
      </c>
      <c r="G5" s="1" t="s">
        <v>12182</v>
      </c>
      <c r="H5" s="1" t="s">
        <v>12183</v>
      </c>
      <c r="I5" s="1" t="s">
        <v>12178</v>
      </c>
      <c r="J5" s="1" t="s">
        <v>12179</v>
      </c>
      <c r="K5" s="1" t="s">
        <v>12184</v>
      </c>
      <c r="L5" s="1" t="s">
        <v>12185</v>
      </c>
      <c r="M5" s="1" t="s">
        <v>12184</v>
      </c>
      <c r="N5" s="1" t="s">
        <v>12185</v>
      </c>
      <c r="O5" s="1" t="s">
        <v>12180</v>
      </c>
      <c r="P5" s="1" t="s">
        <v>12181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71</v>
      </c>
      <c r="F6" s="8">
        <v>5739.37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56</v>
      </c>
      <c r="L6" s="8">
        <v>4299.93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811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10</v>
      </c>
      <c r="L7" s="8">
        <v>1003.99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887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5</v>
      </c>
      <c r="L8" s="8">
        <v>435.45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963</v>
      </c>
      <c r="D9" s="2" t="s">
        <v>964</v>
      </c>
      <c r="E9" s="4">
        <v>97</v>
      </c>
      <c r="F9" s="8">
        <v>4646.65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55</v>
      </c>
      <c r="L9" s="8">
        <v>2460.53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963</v>
      </c>
      <c r="D10" s="2" t="s">
        <v>1046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20</v>
      </c>
      <c r="L10" s="8">
        <v>938.16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963</v>
      </c>
      <c r="D11" s="2" t="s">
        <v>1210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8</v>
      </c>
      <c r="L11" s="8">
        <v>441.93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963</v>
      </c>
      <c r="D12" s="2" t="s">
        <v>1232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7</v>
      </c>
      <c r="L12" s="8">
        <v>415.93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963</v>
      </c>
      <c r="D13" s="2" t="s">
        <v>1409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7</v>
      </c>
      <c r="L13" s="8">
        <v>390.1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963</v>
      </c>
      <c r="D14" s="2" t="s">
        <v>1486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/>
      <c r="L14" s="8"/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1496</v>
      </c>
      <c r="D15" s="2" t="s">
        <v>1497</v>
      </c>
      <c r="E15" s="4">
        <v>25</v>
      </c>
      <c r="F15" s="8">
        <v>1224.86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23</v>
      </c>
      <c r="L15" s="8">
        <v>1114.32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1496</v>
      </c>
      <c r="D16" s="2" t="s">
        <v>1648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2</v>
      </c>
      <c r="L16" s="8">
        <v>110.54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1771</v>
      </c>
      <c r="D17" s="2" t="s">
        <v>1772</v>
      </c>
      <c r="E17" s="4">
        <v>25</v>
      </c>
      <c r="F17" s="8">
        <v>496.03</v>
      </c>
      <c r="G17" s="4"/>
      <c r="H17" s="8"/>
      <c r="I17" s="7"/>
      <c r="J17" s="7"/>
      <c r="K17" s="4">
        <v>25</v>
      </c>
      <c r="L17" s="8">
        <v>496.03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1785</v>
      </c>
      <c r="D18" s="2" t="s">
        <v>1786</v>
      </c>
      <c r="E18" s="4">
        <v>17</v>
      </c>
      <c r="F18" s="8">
        <v>117.81</v>
      </c>
      <c r="G18" s="4"/>
      <c r="H18" s="8"/>
      <c r="I18" s="7"/>
      <c r="J18" s="7"/>
      <c r="K18" s="4">
        <v>17</v>
      </c>
      <c r="L18" s="8">
        <v>117.81</v>
      </c>
      <c r="M18" s="4"/>
      <c r="N18" s="8"/>
      <c r="O18" s="7"/>
      <c r="P18" s="7"/>
    </row>
    <row r="19">
      <c r="A19" s="2" t="s">
        <v>87</v>
      </c>
      <c r="B19" s="2" t="s">
        <v>1797</v>
      </c>
      <c r="C19" s="2" t="s">
        <v>89</v>
      </c>
      <c r="D19" s="2" t="s">
        <v>811</v>
      </c>
      <c r="E19" s="4">
        <v>85</v>
      </c>
      <c r="F19" s="8">
        <v>6381.09</v>
      </c>
      <c r="G19" s="4" t="s">
        <v>100</v>
      </c>
      <c r="H19" s="8" t="s">
        <v>100</v>
      </c>
      <c r="I19" s="7" t="s">
        <v>100</v>
      </c>
      <c r="J19" s="7" t="s">
        <v>100</v>
      </c>
      <c r="K19" s="4">
        <v>56</v>
      </c>
      <c r="L19" s="8">
        <v>3316.08</v>
      </c>
      <c r="M19" s="4"/>
      <c r="N19" s="8"/>
      <c r="O19" s="7"/>
      <c r="P19" s="7"/>
    </row>
    <row r="20">
      <c r="A20" s="2" t="s">
        <v>87</v>
      </c>
      <c r="B20" s="2" t="s">
        <v>1797</v>
      </c>
      <c r="C20" s="2" t="s">
        <v>89</v>
      </c>
      <c r="D20" s="2" t="s">
        <v>2106</v>
      </c>
      <c r="E20" s="4" t="s">
        <v>100</v>
      </c>
      <c r="F20" s="8" t="s">
        <v>100</v>
      </c>
      <c r="G20" s="4" t="s">
        <v>100</v>
      </c>
      <c r="H20" s="8" t="s">
        <v>100</v>
      </c>
      <c r="I20" s="7" t="s">
        <v>100</v>
      </c>
      <c r="J20" s="7" t="s">
        <v>100</v>
      </c>
      <c r="K20" s="4">
        <v>29</v>
      </c>
      <c r="L20" s="8">
        <v>3065.01</v>
      </c>
      <c r="M20" s="4"/>
      <c r="N20" s="8"/>
      <c r="O20" s="7"/>
      <c r="P20" s="7"/>
    </row>
    <row r="21">
      <c r="A21" s="2" t="s">
        <v>87</v>
      </c>
      <c r="B21" s="2" t="s">
        <v>1797</v>
      </c>
      <c r="C21" s="2" t="s">
        <v>963</v>
      </c>
      <c r="D21" s="2" t="s">
        <v>811</v>
      </c>
      <c r="E21" s="4">
        <v>4</v>
      </c>
      <c r="F21" s="8">
        <v>222.42</v>
      </c>
      <c r="G21" s="4"/>
      <c r="H21" s="8"/>
      <c r="I21" s="7"/>
      <c r="J21" s="7"/>
      <c r="K21" s="4">
        <v>4</v>
      </c>
      <c r="L21" s="8">
        <v>222.42</v>
      </c>
      <c r="M21" s="4"/>
      <c r="N21" s="8"/>
      <c r="O21" s="7"/>
      <c r="P21" s="7"/>
    </row>
    <row r="22">
      <c r="A22" s="2" t="s">
        <v>87</v>
      </c>
      <c r="B22" s="2" t="s">
        <v>2238</v>
      </c>
      <c r="C22" s="2" t="s">
        <v>963</v>
      </c>
      <c r="D22" s="2" t="s">
        <v>1409</v>
      </c>
      <c r="E22" s="4">
        <v>29</v>
      </c>
      <c r="F22" s="8">
        <v>985.21</v>
      </c>
      <c r="G22" s="4" t="s">
        <v>100</v>
      </c>
      <c r="H22" s="8" t="s">
        <v>100</v>
      </c>
      <c r="I22" s="7" t="s">
        <v>100</v>
      </c>
      <c r="J22" s="7" t="s">
        <v>100</v>
      </c>
      <c r="K22" s="4">
        <v>28</v>
      </c>
      <c r="L22" s="8">
        <v>963.44</v>
      </c>
      <c r="M22" s="4"/>
      <c r="N22" s="8"/>
      <c r="O22" s="7"/>
      <c r="P22" s="7"/>
    </row>
    <row r="23">
      <c r="A23" s="2" t="s">
        <v>87</v>
      </c>
      <c r="B23" s="2" t="s">
        <v>2238</v>
      </c>
      <c r="C23" s="2" t="s">
        <v>963</v>
      </c>
      <c r="D23" s="2" t="s">
        <v>1232</v>
      </c>
      <c r="E23" s="4" t="s">
        <v>100</v>
      </c>
      <c r="F23" s="8" t="s">
        <v>100</v>
      </c>
      <c r="G23" s="4" t="s">
        <v>100</v>
      </c>
      <c r="H23" s="8" t="s">
        <v>100</v>
      </c>
      <c r="I23" s="7" t="s">
        <v>100</v>
      </c>
      <c r="J23" s="7" t="s">
        <v>100</v>
      </c>
      <c r="K23" s="4">
        <v>1</v>
      </c>
      <c r="L23" s="8">
        <v>21.77</v>
      </c>
      <c r="M23" s="4"/>
      <c r="N23" s="8"/>
      <c r="O23" s="7"/>
      <c r="P23" s="7"/>
    </row>
    <row r="24">
      <c r="A24" s="2" t="s">
        <v>87</v>
      </c>
      <c r="B24" s="2" t="s">
        <v>2238</v>
      </c>
      <c r="C24" s="2" t="s">
        <v>89</v>
      </c>
      <c r="D24" s="2" t="s">
        <v>90</v>
      </c>
      <c r="E24" s="4">
        <v>16</v>
      </c>
      <c r="F24" s="8">
        <v>740.32</v>
      </c>
      <c r="G24" s="4"/>
      <c r="H24" s="8"/>
      <c r="I24" s="7"/>
      <c r="J24" s="7"/>
      <c r="K24" s="4">
        <v>16</v>
      </c>
      <c r="L24" s="8">
        <v>740.32</v>
      </c>
      <c r="M24" s="4"/>
      <c r="N24" s="8"/>
      <c r="O24" s="7"/>
      <c r="P24" s="7"/>
    </row>
    <row r="25">
      <c r="A25" s="2" t="s">
        <v>87</v>
      </c>
      <c r="B25" s="2" t="s">
        <v>2357</v>
      </c>
      <c r="C25" s="2" t="s">
        <v>963</v>
      </c>
      <c r="D25" s="2" t="s">
        <v>2358</v>
      </c>
      <c r="E25" s="4">
        <v>2</v>
      </c>
      <c r="F25" s="8">
        <v>139.1</v>
      </c>
      <c r="G25" s="4" t="s">
        <v>100</v>
      </c>
      <c r="H25" s="8" t="s">
        <v>100</v>
      </c>
      <c r="I25" s="7" t="s">
        <v>100</v>
      </c>
      <c r="J25" s="7" t="s">
        <v>100</v>
      </c>
      <c r="K25" s="4">
        <v>2</v>
      </c>
      <c r="L25" s="8">
        <v>139.1</v>
      </c>
      <c r="M25" s="4"/>
      <c r="N25" s="8"/>
      <c r="O25" s="7"/>
      <c r="P25" s="7"/>
    </row>
    <row r="26">
      <c r="A26" s="2" t="s">
        <v>87</v>
      </c>
      <c r="B26" s="2" t="s">
        <v>2357</v>
      </c>
      <c r="C26" s="2" t="s">
        <v>963</v>
      </c>
      <c r="D26" s="2" t="s">
        <v>964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/>
      <c r="L26" s="8"/>
      <c r="M26" s="4"/>
      <c r="N26" s="8"/>
      <c r="O26" s="7"/>
      <c r="P26" s="7"/>
    </row>
    <row r="27">
      <c r="A27" s="2" t="s">
        <v>87</v>
      </c>
      <c r="B27" s="2" t="s">
        <v>2357</v>
      </c>
      <c r="C27" s="2" t="s">
        <v>1771</v>
      </c>
      <c r="D27" s="2" t="s">
        <v>1772</v>
      </c>
      <c r="E27" s="4">
        <v>2</v>
      </c>
      <c r="F27" s="8">
        <v>53.26</v>
      </c>
      <c r="G27" s="4"/>
      <c r="H27" s="8"/>
      <c r="I27" s="7"/>
      <c r="J27" s="7"/>
      <c r="K27" s="4">
        <v>2</v>
      </c>
      <c r="L27" s="8">
        <v>53.26</v>
      </c>
      <c r="M27" s="4"/>
      <c r="N27" s="8"/>
      <c r="O27" s="7"/>
      <c r="P27" s="7"/>
    </row>
    <row r="28">
      <c r="A28" s="2" t="s">
        <v>87</v>
      </c>
      <c r="B28" s="2" t="s">
        <v>2357</v>
      </c>
      <c r="C28" s="2" t="s">
        <v>1785</v>
      </c>
      <c r="D28" s="2" t="s">
        <v>2467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87</v>
      </c>
      <c r="B29" s="2" t="s">
        <v>2357</v>
      </c>
      <c r="C29" s="2" t="s">
        <v>89</v>
      </c>
      <c r="D29" s="2" t="s">
        <v>90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87</v>
      </c>
      <c r="B30" s="2" t="s">
        <v>2357</v>
      </c>
      <c r="C30" s="2" t="s">
        <v>2505</v>
      </c>
      <c r="D30" s="2" t="s">
        <v>2506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87</v>
      </c>
      <c r="B31" s="2" t="s">
        <v>2517</v>
      </c>
      <c r="C31" s="2" t="s">
        <v>89</v>
      </c>
      <c r="D31" s="2" t="s">
        <v>90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87</v>
      </c>
      <c r="B32" s="2" t="s">
        <v>2517</v>
      </c>
      <c r="C32" s="2" t="s">
        <v>1496</v>
      </c>
      <c r="D32" s="2" t="s">
        <v>1497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87</v>
      </c>
      <c r="B33" s="2" t="s">
        <v>2536</v>
      </c>
      <c r="C33" s="2" t="s">
        <v>89</v>
      </c>
      <c r="D33" s="2" t="s">
        <v>90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87</v>
      </c>
      <c r="B34" s="2" t="s">
        <v>2536</v>
      </c>
      <c r="C34" s="2" t="s">
        <v>963</v>
      </c>
      <c r="D34" s="2" t="s">
        <v>1486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2536</v>
      </c>
      <c r="C35" s="2" t="s">
        <v>2566</v>
      </c>
      <c r="D35" s="2" t="s">
        <v>2567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87</v>
      </c>
      <c r="B36" s="2" t="s">
        <v>2536</v>
      </c>
      <c r="C36" s="2" t="s">
        <v>2572</v>
      </c>
      <c r="D36" s="2" t="s">
        <v>2573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87</v>
      </c>
      <c r="B37" s="2" t="s">
        <v>2577</v>
      </c>
      <c r="C37" s="2" t="s">
        <v>1785</v>
      </c>
      <c r="D37" s="2" t="s">
        <v>2467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87</v>
      </c>
      <c r="B38" s="2" t="s">
        <v>2577</v>
      </c>
      <c r="C38" s="2" t="s">
        <v>89</v>
      </c>
      <c r="D38" s="2" t="s">
        <v>90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87</v>
      </c>
      <c r="B39" s="2" t="s">
        <v>2577</v>
      </c>
      <c r="C39" s="2" t="s">
        <v>963</v>
      </c>
      <c r="D39" s="2" t="s">
        <v>1486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87</v>
      </c>
      <c r="B40" s="2" t="s">
        <v>2577</v>
      </c>
      <c r="C40" s="2" t="s">
        <v>1496</v>
      </c>
      <c r="D40" s="2" t="s">
        <v>1648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2577</v>
      </c>
      <c r="C41" s="2" t="s">
        <v>2505</v>
      </c>
      <c r="D41" s="2" t="s">
        <v>2506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87</v>
      </c>
      <c r="B42" s="2" t="s">
        <v>2831</v>
      </c>
      <c r="C42" s="2" t="s">
        <v>1785</v>
      </c>
      <c r="D42" s="2" t="s">
        <v>2467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87</v>
      </c>
      <c r="B43" s="2" t="s">
        <v>2831</v>
      </c>
      <c r="C43" s="2" t="s">
        <v>89</v>
      </c>
      <c r="D43" s="2" t="s">
        <v>90</v>
      </c>
      <c r="E43" s="4" t="s">
        <v>100</v>
      </c>
      <c r="F43" s="8" t="s">
        <v>100</v>
      </c>
      <c r="G43" s="4" t="s">
        <v>100</v>
      </c>
      <c r="H43" s="8" t="s">
        <v>100</v>
      </c>
      <c r="I43" s="7" t="s">
        <v>100</v>
      </c>
      <c r="J43" s="7" t="s">
        <v>100</v>
      </c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2831</v>
      </c>
      <c r="C44" s="2" t="s">
        <v>89</v>
      </c>
      <c r="D44" s="2" t="s">
        <v>887</v>
      </c>
      <c r="E44" s="4" t="s">
        <v>100</v>
      </c>
      <c r="F44" s="8" t="s">
        <v>100</v>
      </c>
      <c r="G44" s="4" t="s">
        <v>100</v>
      </c>
      <c r="H44" s="8" t="s">
        <v>100</v>
      </c>
      <c r="I44" s="7" t="s">
        <v>100</v>
      </c>
      <c r="J44" s="7" t="s">
        <v>100</v>
      </c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2831</v>
      </c>
      <c r="C45" s="2" t="s">
        <v>963</v>
      </c>
      <c r="D45" s="2" t="s">
        <v>1486</v>
      </c>
      <c r="E45" s="4" t="s">
        <v>100</v>
      </c>
      <c r="F45" s="8" t="s">
        <v>100</v>
      </c>
      <c r="G45" s="4" t="s">
        <v>100</v>
      </c>
      <c r="H45" s="8" t="s">
        <v>100</v>
      </c>
      <c r="I45" s="7" t="s">
        <v>100</v>
      </c>
      <c r="J45" s="7" t="s">
        <v>100</v>
      </c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2831</v>
      </c>
      <c r="C46" s="2" t="s">
        <v>963</v>
      </c>
      <c r="D46" s="2" t="s">
        <v>1046</v>
      </c>
      <c r="E46" s="4" t="s">
        <v>100</v>
      </c>
      <c r="F46" s="8" t="s">
        <v>100</v>
      </c>
      <c r="G46" s="4" t="s">
        <v>100</v>
      </c>
      <c r="H46" s="8" t="s">
        <v>100</v>
      </c>
      <c r="I46" s="7" t="s">
        <v>100</v>
      </c>
      <c r="J46" s="7" t="s">
        <v>100</v>
      </c>
      <c r="K46" s="4"/>
      <c r="L46" s="8"/>
      <c r="M46" s="4"/>
      <c r="N46" s="8"/>
      <c r="O46" s="7"/>
      <c r="P46" s="7"/>
    </row>
    <row r="47">
      <c r="A47" s="2" t="s">
        <v>87</v>
      </c>
      <c r="B47" s="2" t="s">
        <v>2831</v>
      </c>
      <c r="C47" s="2" t="s">
        <v>1496</v>
      </c>
      <c r="D47" s="2" t="s">
        <v>1497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2831</v>
      </c>
      <c r="C48" s="2" t="s">
        <v>1496</v>
      </c>
      <c r="D48" s="2" t="s">
        <v>1648</v>
      </c>
      <c r="E48" s="4" t="s">
        <v>100</v>
      </c>
      <c r="F48" s="8" t="s">
        <v>100</v>
      </c>
      <c r="G48" s="4" t="s">
        <v>100</v>
      </c>
      <c r="H48" s="8" t="s">
        <v>100</v>
      </c>
      <c r="I48" s="7" t="s">
        <v>100</v>
      </c>
      <c r="J48" s="7" t="s">
        <v>100</v>
      </c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2831</v>
      </c>
      <c r="C49" s="2" t="s">
        <v>2505</v>
      </c>
      <c r="D49" s="2" t="s">
        <v>2506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3184</v>
      </c>
      <c r="C50" s="2" t="s">
        <v>963</v>
      </c>
      <c r="D50" s="2" t="s">
        <v>1232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87</v>
      </c>
      <c r="B51" s="2" t="s">
        <v>3196</v>
      </c>
      <c r="C51" s="2" t="s">
        <v>89</v>
      </c>
      <c r="D51" s="2" t="s">
        <v>90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3196</v>
      </c>
      <c r="C52" s="2" t="s">
        <v>963</v>
      </c>
      <c r="D52" s="2" t="s">
        <v>1486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87</v>
      </c>
      <c r="B53" s="2" t="s">
        <v>3302</v>
      </c>
      <c r="C53" s="2" t="s">
        <v>1785</v>
      </c>
      <c r="D53" s="2" t="s">
        <v>3303</v>
      </c>
      <c r="E53" s="4" t="s">
        <v>100</v>
      </c>
      <c r="F53" s="8" t="s">
        <v>100</v>
      </c>
      <c r="G53" s="4" t="s">
        <v>100</v>
      </c>
      <c r="H53" s="8" t="s">
        <v>100</v>
      </c>
      <c r="I53" s="7" t="s">
        <v>100</v>
      </c>
      <c r="J53" s="7" t="s">
        <v>100</v>
      </c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3302</v>
      </c>
      <c r="C54" s="2" t="s">
        <v>1785</v>
      </c>
      <c r="D54" s="2" t="s">
        <v>2467</v>
      </c>
      <c r="E54" s="4" t="s">
        <v>100</v>
      </c>
      <c r="F54" s="8" t="s">
        <v>100</v>
      </c>
      <c r="G54" s="4" t="s">
        <v>100</v>
      </c>
      <c r="H54" s="8" t="s">
        <v>100</v>
      </c>
      <c r="I54" s="7" t="s">
        <v>100</v>
      </c>
      <c r="J54" s="7" t="s">
        <v>100</v>
      </c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3302</v>
      </c>
      <c r="C55" s="2" t="s">
        <v>89</v>
      </c>
      <c r="D55" s="2" t="s">
        <v>90</v>
      </c>
      <c r="E55" s="4" t="s">
        <v>100</v>
      </c>
      <c r="F55" s="8" t="s">
        <v>100</v>
      </c>
      <c r="G55" s="4" t="s">
        <v>100</v>
      </c>
      <c r="H55" s="8" t="s">
        <v>100</v>
      </c>
      <c r="I55" s="7" t="s">
        <v>100</v>
      </c>
      <c r="J55" s="7" t="s">
        <v>100</v>
      </c>
      <c r="K55" s="4"/>
      <c r="L55" s="8"/>
      <c r="M55" s="4"/>
      <c r="N55" s="8"/>
      <c r="O55" s="7"/>
      <c r="P55" s="7"/>
    </row>
    <row r="56">
      <c r="A56" s="2" t="s">
        <v>87</v>
      </c>
      <c r="B56" s="2" t="s">
        <v>3302</v>
      </c>
      <c r="C56" s="2" t="s">
        <v>89</v>
      </c>
      <c r="D56" s="2" t="s">
        <v>887</v>
      </c>
      <c r="E56" s="4" t="s">
        <v>100</v>
      </c>
      <c r="F56" s="8" t="s">
        <v>100</v>
      </c>
      <c r="G56" s="4" t="s">
        <v>100</v>
      </c>
      <c r="H56" s="8" t="s">
        <v>100</v>
      </c>
      <c r="I56" s="7" t="s">
        <v>100</v>
      </c>
      <c r="J56" s="7" t="s">
        <v>100</v>
      </c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3302</v>
      </c>
      <c r="C57" s="2" t="s">
        <v>1496</v>
      </c>
      <c r="D57" s="2" t="s">
        <v>1497</v>
      </c>
      <c r="E57" s="4" t="s">
        <v>100</v>
      </c>
      <c r="F57" s="8" t="s">
        <v>100</v>
      </c>
      <c r="G57" s="4" t="s">
        <v>100</v>
      </c>
      <c r="H57" s="8" t="s">
        <v>100</v>
      </c>
      <c r="I57" s="7" t="s">
        <v>100</v>
      </c>
      <c r="J57" s="7" t="s">
        <v>100</v>
      </c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3302</v>
      </c>
      <c r="C58" s="2" t="s">
        <v>1496</v>
      </c>
      <c r="D58" s="2" t="s">
        <v>1648</v>
      </c>
      <c r="E58" s="4" t="s">
        <v>100</v>
      </c>
      <c r="F58" s="8" t="s">
        <v>100</v>
      </c>
      <c r="G58" s="4" t="s">
        <v>100</v>
      </c>
      <c r="H58" s="8" t="s">
        <v>100</v>
      </c>
      <c r="I58" s="7" t="s">
        <v>100</v>
      </c>
      <c r="J58" s="7" t="s">
        <v>100</v>
      </c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3302</v>
      </c>
      <c r="C59" s="2" t="s">
        <v>2505</v>
      </c>
      <c r="D59" s="2" t="s">
        <v>2506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3380</v>
      </c>
      <c r="B60" s="2" t="s">
        <v>2831</v>
      </c>
      <c r="C60" s="2" t="s">
        <v>3381</v>
      </c>
      <c r="D60" s="2" t="s">
        <v>3382</v>
      </c>
      <c r="E60" s="4" t="s">
        <v>100</v>
      </c>
      <c r="F60" s="8" t="s">
        <v>100</v>
      </c>
      <c r="G60" s="4" t="s">
        <v>100</v>
      </c>
      <c r="H60" s="8" t="s">
        <v>100</v>
      </c>
      <c r="I60" s="7" t="s">
        <v>100</v>
      </c>
      <c r="J60" s="7" t="s">
        <v>100</v>
      </c>
      <c r="K60" s="4"/>
      <c r="L60" s="8"/>
      <c r="M60" s="4"/>
      <c r="N60" s="8"/>
      <c r="O60" s="7"/>
      <c r="P60" s="7"/>
    </row>
    <row r="61">
      <c r="A61" s="2" t="s">
        <v>3380</v>
      </c>
      <c r="B61" s="2" t="s">
        <v>2831</v>
      </c>
      <c r="C61" s="2" t="s">
        <v>3381</v>
      </c>
      <c r="D61" s="2" t="s">
        <v>3390</v>
      </c>
      <c r="E61" s="4" t="s">
        <v>100</v>
      </c>
      <c r="F61" s="8" t="s">
        <v>100</v>
      </c>
      <c r="G61" s="4" t="s">
        <v>100</v>
      </c>
      <c r="H61" s="8" t="s">
        <v>100</v>
      </c>
      <c r="I61" s="7" t="s">
        <v>100</v>
      </c>
      <c r="J61" s="7" t="s">
        <v>100</v>
      </c>
      <c r="K61" s="4"/>
      <c r="L61" s="8"/>
      <c r="M61" s="4"/>
      <c r="N61" s="8"/>
      <c r="O61" s="7"/>
      <c r="P61" s="7"/>
    </row>
    <row r="62">
      <c r="A62" s="2" t="s">
        <v>3380</v>
      </c>
      <c r="B62" s="2" t="s">
        <v>2831</v>
      </c>
      <c r="C62" s="2" t="s">
        <v>3408</v>
      </c>
      <c r="D62" s="2" t="s">
        <v>3409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3380</v>
      </c>
      <c r="B63" s="2" t="s">
        <v>2831</v>
      </c>
      <c r="C63" s="2" t="s">
        <v>3438</v>
      </c>
      <c r="D63" s="2" t="s">
        <v>3439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3380</v>
      </c>
      <c r="B64" s="2" t="s">
        <v>3449</v>
      </c>
      <c r="C64" s="2" t="s">
        <v>3408</v>
      </c>
      <c r="D64" s="2" t="s">
        <v>3409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3380</v>
      </c>
      <c r="B65" s="2" t="s">
        <v>88</v>
      </c>
      <c r="C65" s="2" t="s">
        <v>3455</v>
      </c>
      <c r="D65" s="2" t="s">
        <v>3456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3380</v>
      </c>
      <c r="B66" s="2" t="s">
        <v>88</v>
      </c>
      <c r="C66" s="2" t="s">
        <v>3381</v>
      </c>
      <c r="D66" s="2" t="s">
        <v>3382</v>
      </c>
      <c r="E66" s="4" t="s">
        <v>100</v>
      </c>
      <c r="F66" s="8" t="s">
        <v>100</v>
      </c>
      <c r="G66" s="4" t="s">
        <v>100</v>
      </c>
      <c r="H66" s="8" t="s">
        <v>100</v>
      </c>
      <c r="I66" s="7" t="s">
        <v>100</v>
      </c>
      <c r="J66" s="7" t="s">
        <v>100</v>
      </c>
      <c r="K66" s="4"/>
      <c r="L66" s="8"/>
      <c r="M66" s="4"/>
      <c r="N66" s="8"/>
      <c r="O66" s="7"/>
      <c r="P66" s="7"/>
    </row>
    <row r="67">
      <c r="A67" s="2" t="s">
        <v>3380</v>
      </c>
      <c r="B67" s="2" t="s">
        <v>88</v>
      </c>
      <c r="C67" s="2" t="s">
        <v>3381</v>
      </c>
      <c r="D67" s="2" t="s">
        <v>3479</v>
      </c>
      <c r="E67" s="4" t="s">
        <v>100</v>
      </c>
      <c r="F67" s="8" t="s">
        <v>100</v>
      </c>
      <c r="G67" s="4" t="s">
        <v>100</v>
      </c>
      <c r="H67" s="8" t="s">
        <v>100</v>
      </c>
      <c r="I67" s="7" t="s">
        <v>100</v>
      </c>
      <c r="J67" s="7" t="s">
        <v>100</v>
      </c>
      <c r="K67" s="4"/>
      <c r="L67" s="8"/>
      <c r="M67" s="4"/>
      <c r="N67" s="8"/>
      <c r="O67" s="7"/>
      <c r="P67" s="7"/>
    </row>
    <row r="68">
      <c r="A68" s="2" t="s">
        <v>3380</v>
      </c>
      <c r="B68" s="2" t="s">
        <v>88</v>
      </c>
      <c r="C68" s="2" t="s">
        <v>3381</v>
      </c>
      <c r="D68" s="2" t="s">
        <v>3390</v>
      </c>
      <c r="E68" s="4" t="s">
        <v>100</v>
      </c>
      <c r="F68" s="8" t="s">
        <v>100</v>
      </c>
      <c r="G68" s="4" t="s">
        <v>100</v>
      </c>
      <c r="H68" s="8" t="s">
        <v>100</v>
      </c>
      <c r="I68" s="7" t="s">
        <v>100</v>
      </c>
      <c r="J68" s="7" t="s">
        <v>100</v>
      </c>
      <c r="K68" s="4"/>
      <c r="L68" s="8"/>
      <c r="M68" s="4"/>
      <c r="N68" s="8"/>
      <c r="O68" s="7"/>
      <c r="P68" s="7"/>
    </row>
    <row r="69">
      <c r="A69" s="2" t="s">
        <v>3380</v>
      </c>
      <c r="B69" s="2" t="s">
        <v>88</v>
      </c>
      <c r="C69" s="2" t="s">
        <v>3408</v>
      </c>
      <c r="D69" s="2" t="s">
        <v>3409</v>
      </c>
      <c r="E69" s="4" t="s">
        <v>100</v>
      </c>
      <c r="F69" s="8" t="s">
        <v>100</v>
      </c>
      <c r="G69" s="4" t="s">
        <v>100</v>
      </c>
      <c r="H69" s="8" t="s">
        <v>100</v>
      </c>
      <c r="I69" s="7" t="s">
        <v>100</v>
      </c>
      <c r="J69" s="7" t="s">
        <v>100</v>
      </c>
      <c r="K69" s="4"/>
      <c r="L69" s="8"/>
      <c r="M69" s="4"/>
      <c r="N69" s="8"/>
      <c r="O69" s="7"/>
      <c r="P69" s="7"/>
    </row>
    <row r="70">
      <c r="A70" s="2" t="s">
        <v>3380</v>
      </c>
      <c r="B70" s="2" t="s">
        <v>88</v>
      </c>
      <c r="C70" s="2" t="s">
        <v>3408</v>
      </c>
      <c r="D70" s="2" t="s">
        <v>3479</v>
      </c>
      <c r="E70" s="4" t="s">
        <v>100</v>
      </c>
      <c r="F70" s="8" t="s">
        <v>100</v>
      </c>
      <c r="G70" s="4" t="s">
        <v>100</v>
      </c>
      <c r="H70" s="8" t="s">
        <v>100</v>
      </c>
      <c r="I70" s="7" t="s">
        <v>100</v>
      </c>
      <c r="J70" s="7" t="s">
        <v>100</v>
      </c>
      <c r="K70" s="4"/>
      <c r="L70" s="8"/>
      <c r="M70" s="4"/>
      <c r="N70" s="8"/>
      <c r="O70" s="7"/>
      <c r="P70" s="7"/>
    </row>
    <row r="71">
      <c r="A71" s="2" t="s">
        <v>3380</v>
      </c>
      <c r="B71" s="2" t="s">
        <v>88</v>
      </c>
      <c r="C71" s="2" t="s">
        <v>3408</v>
      </c>
      <c r="D71" s="2" t="s">
        <v>3390</v>
      </c>
      <c r="E71" s="4" t="s">
        <v>100</v>
      </c>
      <c r="F71" s="8" t="s">
        <v>100</v>
      </c>
      <c r="G71" s="4" t="s">
        <v>100</v>
      </c>
      <c r="H71" s="8" t="s">
        <v>100</v>
      </c>
      <c r="I71" s="7" t="s">
        <v>100</v>
      </c>
      <c r="J71" s="7" t="s">
        <v>100</v>
      </c>
      <c r="K71" s="4"/>
      <c r="L71" s="8"/>
      <c r="M71" s="4"/>
      <c r="N71" s="8"/>
      <c r="O71" s="7"/>
      <c r="P71" s="7"/>
    </row>
    <row r="72">
      <c r="A72" s="2" t="s">
        <v>3380</v>
      </c>
      <c r="B72" s="2" t="s">
        <v>88</v>
      </c>
      <c r="C72" s="2" t="s">
        <v>3795</v>
      </c>
      <c r="D72" s="2" t="s">
        <v>3796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3380</v>
      </c>
      <c r="B73" s="2" t="s">
        <v>88</v>
      </c>
      <c r="C73" s="2" t="s">
        <v>3438</v>
      </c>
      <c r="D73" s="2" t="s">
        <v>3439</v>
      </c>
      <c r="E73" s="4" t="s">
        <v>100</v>
      </c>
      <c r="F73" s="8" t="s">
        <v>100</v>
      </c>
      <c r="G73" s="4" t="s">
        <v>100</v>
      </c>
      <c r="H73" s="8" t="s">
        <v>100</v>
      </c>
      <c r="I73" s="7" t="s">
        <v>100</v>
      </c>
      <c r="J73" s="7" t="s">
        <v>100</v>
      </c>
      <c r="K73" s="4"/>
      <c r="L73" s="8"/>
      <c r="M73" s="4"/>
      <c r="N73" s="8"/>
      <c r="O73" s="7"/>
      <c r="P73" s="7"/>
    </row>
    <row r="74">
      <c r="A74" s="2" t="s">
        <v>3380</v>
      </c>
      <c r="B74" s="2" t="s">
        <v>88</v>
      </c>
      <c r="C74" s="2" t="s">
        <v>3438</v>
      </c>
      <c r="D74" s="2" t="s">
        <v>3820</v>
      </c>
      <c r="E74" s="4" t="s">
        <v>100</v>
      </c>
      <c r="F74" s="8" t="s">
        <v>100</v>
      </c>
      <c r="G74" s="4" t="s">
        <v>100</v>
      </c>
      <c r="H74" s="8" t="s">
        <v>100</v>
      </c>
      <c r="I74" s="7" t="s">
        <v>100</v>
      </c>
      <c r="J74" s="7" t="s">
        <v>100</v>
      </c>
      <c r="K74" s="4"/>
      <c r="L74" s="8"/>
      <c r="M74" s="4"/>
      <c r="N74" s="8"/>
      <c r="O74" s="7"/>
      <c r="P74" s="7"/>
    </row>
    <row r="75">
      <c r="A75" s="2" t="s">
        <v>3380</v>
      </c>
      <c r="B75" s="2" t="s">
        <v>88</v>
      </c>
      <c r="C75" s="2" t="s">
        <v>3838</v>
      </c>
      <c r="D75" s="2" t="s">
        <v>3839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3380</v>
      </c>
      <c r="B76" s="2" t="s">
        <v>88</v>
      </c>
      <c r="C76" s="2" t="s">
        <v>3847</v>
      </c>
      <c r="D76" s="2" t="s">
        <v>3479</v>
      </c>
      <c r="E76" s="4" t="s">
        <v>100</v>
      </c>
      <c r="F76" s="8" t="s">
        <v>100</v>
      </c>
      <c r="G76" s="4" t="s">
        <v>100</v>
      </c>
      <c r="H76" s="8" t="s">
        <v>100</v>
      </c>
      <c r="I76" s="7" t="s">
        <v>100</v>
      </c>
      <c r="J76" s="7" t="s">
        <v>100</v>
      </c>
      <c r="K76" s="4"/>
      <c r="L76" s="8"/>
      <c r="M76" s="4"/>
      <c r="N76" s="8"/>
      <c r="O76" s="7"/>
      <c r="P76" s="7"/>
    </row>
    <row r="77">
      <c r="A77" s="2" t="s">
        <v>3380</v>
      </c>
      <c r="B77" s="2" t="s">
        <v>88</v>
      </c>
      <c r="C77" s="2" t="s">
        <v>3847</v>
      </c>
      <c r="D77" s="2" t="s">
        <v>3390</v>
      </c>
      <c r="E77" s="4" t="s">
        <v>100</v>
      </c>
      <c r="F77" s="8" t="s">
        <v>100</v>
      </c>
      <c r="G77" s="4" t="s">
        <v>100</v>
      </c>
      <c r="H77" s="8" t="s">
        <v>100</v>
      </c>
      <c r="I77" s="7" t="s">
        <v>100</v>
      </c>
      <c r="J77" s="7" t="s">
        <v>100</v>
      </c>
      <c r="K77" s="4"/>
      <c r="L77" s="8"/>
      <c r="M77" s="4"/>
      <c r="N77" s="8"/>
      <c r="O77" s="7"/>
      <c r="P77" s="7"/>
    </row>
    <row r="78">
      <c r="A78" s="2" t="s">
        <v>3380</v>
      </c>
      <c r="B78" s="2" t="s">
        <v>3196</v>
      </c>
      <c r="C78" s="2" t="s">
        <v>3381</v>
      </c>
      <c r="D78" s="2" t="s">
        <v>3456</v>
      </c>
      <c r="E78" s="4" t="s">
        <v>100</v>
      </c>
      <c r="F78" s="8" t="s">
        <v>100</v>
      </c>
      <c r="G78" s="4" t="s">
        <v>100</v>
      </c>
      <c r="H78" s="8" t="s">
        <v>100</v>
      </c>
      <c r="I78" s="7" t="s">
        <v>100</v>
      </c>
      <c r="J78" s="7" t="s">
        <v>100</v>
      </c>
      <c r="K78" s="4"/>
      <c r="L78" s="8"/>
      <c r="M78" s="4"/>
      <c r="N78" s="8"/>
      <c r="O78" s="7"/>
      <c r="P78" s="7"/>
    </row>
    <row r="79">
      <c r="A79" s="2" t="s">
        <v>3380</v>
      </c>
      <c r="B79" s="2" t="s">
        <v>3196</v>
      </c>
      <c r="C79" s="2" t="s">
        <v>3381</v>
      </c>
      <c r="D79" s="2" t="s">
        <v>3382</v>
      </c>
      <c r="E79" s="4" t="s">
        <v>100</v>
      </c>
      <c r="F79" s="8" t="s">
        <v>100</v>
      </c>
      <c r="G79" s="4" t="s">
        <v>100</v>
      </c>
      <c r="H79" s="8" t="s">
        <v>100</v>
      </c>
      <c r="I79" s="7" t="s">
        <v>100</v>
      </c>
      <c r="J79" s="7" t="s">
        <v>100</v>
      </c>
      <c r="K79" s="4"/>
      <c r="L79" s="8"/>
      <c r="M79" s="4"/>
      <c r="N79" s="8"/>
      <c r="O79" s="7"/>
      <c r="P79" s="7"/>
    </row>
    <row r="80">
      <c r="A80" s="2" t="s">
        <v>3380</v>
      </c>
      <c r="B80" s="2" t="s">
        <v>3196</v>
      </c>
      <c r="C80" s="2" t="s">
        <v>3438</v>
      </c>
      <c r="D80" s="2" t="s">
        <v>3439</v>
      </c>
      <c r="E80" s="4" t="s">
        <v>100</v>
      </c>
      <c r="F80" s="8" t="s">
        <v>100</v>
      </c>
      <c r="G80" s="4" t="s">
        <v>100</v>
      </c>
      <c r="H80" s="8" t="s">
        <v>100</v>
      </c>
      <c r="I80" s="7" t="s">
        <v>100</v>
      </c>
      <c r="J80" s="7" t="s">
        <v>100</v>
      </c>
      <c r="K80" s="4"/>
      <c r="L80" s="8"/>
      <c r="M80" s="4"/>
      <c r="N80" s="8"/>
      <c r="O80" s="7"/>
      <c r="P80" s="7"/>
    </row>
    <row r="81">
      <c r="A81" s="2" t="s">
        <v>3380</v>
      </c>
      <c r="B81" s="2" t="s">
        <v>3196</v>
      </c>
      <c r="C81" s="2" t="s">
        <v>3438</v>
      </c>
      <c r="D81" s="2" t="s">
        <v>3820</v>
      </c>
      <c r="E81" s="4" t="s">
        <v>100</v>
      </c>
      <c r="F81" s="8" t="s">
        <v>100</v>
      </c>
      <c r="G81" s="4" t="s">
        <v>100</v>
      </c>
      <c r="H81" s="8" t="s">
        <v>100</v>
      </c>
      <c r="I81" s="7" t="s">
        <v>100</v>
      </c>
      <c r="J81" s="7" t="s">
        <v>100</v>
      </c>
      <c r="K81" s="4"/>
      <c r="L81" s="8"/>
      <c r="M81" s="4"/>
      <c r="N81" s="8"/>
      <c r="O81" s="7"/>
      <c r="P81" s="7"/>
    </row>
    <row r="82">
      <c r="A82" s="2" t="s">
        <v>3380</v>
      </c>
      <c r="B82" s="2" t="s">
        <v>3196</v>
      </c>
      <c r="C82" s="2" t="s">
        <v>3934</v>
      </c>
      <c r="D82" s="2" t="s">
        <v>3935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3380</v>
      </c>
      <c r="B83" s="2" t="s">
        <v>3950</v>
      </c>
      <c r="C83" s="2" t="s">
        <v>3381</v>
      </c>
      <c r="D83" s="2" t="s">
        <v>3382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/>
      <c r="L83" s="8"/>
      <c r="M83" s="4"/>
      <c r="N83" s="8"/>
      <c r="O83" s="7"/>
      <c r="P83" s="7"/>
    </row>
    <row r="84">
      <c r="A84" s="2" t="s">
        <v>3380</v>
      </c>
      <c r="B84" s="2" t="s">
        <v>3950</v>
      </c>
      <c r="C84" s="2" t="s">
        <v>3381</v>
      </c>
      <c r="D84" s="2" t="s">
        <v>3479</v>
      </c>
      <c r="E84" s="4" t="s">
        <v>100</v>
      </c>
      <c r="F84" s="8" t="s">
        <v>100</v>
      </c>
      <c r="G84" s="4" t="s">
        <v>100</v>
      </c>
      <c r="H84" s="8" t="s">
        <v>100</v>
      </c>
      <c r="I84" s="7" t="s">
        <v>100</v>
      </c>
      <c r="J84" s="7" t="s">
        <v>100</v>
      </c>
      <c r="K84" s="4"/>
      <c r="L84" s="8"/>
      <c r="M84" s="4"/>
      <c r="N84" s="8"/>
      <c r="O84" s="7"/>
      <c r="P84" s="7"/>
    </row>
    <row r="85">
      <c r="A85" s="2" t="s">
        <v>3380</v>
      </c>
      <c r="B85" s="2" t="s">
        <v>3950</v>
      </c>
      <c r="C85" s="2" t="s">
        <v>3381</v>
      </c>
      <c r="D85" s="2" t="s">
        <v>3390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/>
      <c r="L85" s="8"/>
      <c r="M85" s="4"/>
      <c r="N85" s="8"/>
      <c r="O85" s="7"/>
      <c r="P85" s="7"/>
    </row>
    <row r="86">
      <c r="A86" s="2" t="s">
        <v>3380</v>
      </c>
      <c r="B86" s="2" t="s">
        <v>3950</v>
      </c>
      <c r="C86" s="2" t="s">
        <v>3408</v>
      </c>
      <c r="D86" s="2" t="s">
        <v>3479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3380</v>
      </c>
      <c r="B87" s="2" t="s">
        <v>3950</v>
      </c>
      <c r="C87" s="2" t="s">
        <v>3438</v>
      </c>
      <c r="D87" s="2" t="s">
        <v>3439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3380</v>
      </c>
      <c r="B88" s="2" t="s">
        <v>3950</v>
      </c>
      <c r="C88" s="2" t="s">
        <v>3847</v>
      </c>
      <c r="D88" s="2" t="s">
        <v>3479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3380</v>
      </c>
      <c r="B89" s="2" t="s">
        <v>4028</v>
      </c>
      <c r="C89" s="2" t="s">
        <v>3408</v>
      </c>
      <c r="D89" s="2" t="s">
        <v>3479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4041</v>
      </c>
      <c r="B90" s="2" t="s">
        <v>4042</v>
      </c>
      <c r="C90" s="2" t="s">
        <v>4043</v>
      </c>
      <c r="D90" s="2" t="s">
        <v>4044</v>
      </c>
      <c r="E90" s="4">
        <v>55</v>
      </c>
      <c r="F90" s="8">
        <v>1188.48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49</v>
      </c>
      <c r="L90" s="8">
        <v>901.15</v>
      </c>
      <c r="M90" s="4"/>
      <c r="N90" s="8"/>
      <c r="O90" s="7"/>
      <c r="P90" s="7"/>
    </row>
    <row r="91">
      <c r="A91" s="2" t="s">
        <v>4041</v>
      </c>
      <c r="B91" s="2" t="s">
        <v>4042</v>
      </c>
      <c r="C91" s="2" t="s">
        <v>4043</v>
      </c>
      <c r="D91" s="2" t="s">
        <v>4101</v>
      </c>
      <c r="E91" s="4" t="s">
        <v>100</v>
      </c>
      <c r="F91" s="8" t="s">
        <v>100</v>
      </c>
      <c r="G91" s="4" t="s">
        <v>100</v>
      </c>
      <c r="H91" s="8" t="s">
        <v>100</v>
      </c>
      <c r="I91" s="7" t="s">
        <v>100</v>
      </c>
      <c r="J91" s="7" t="s">
        <v>100</v>
      </c>
      <c r="K91" s="4">
        <v>6</v>
      </c>
      <c r="L91" s="8">
        <v>287.33</v>
      </c>
      <c r="M91" s="4"/>
      <c r="N91" s="8"/>
      <c r="O91" s="7"/>
      <c r="P91" s="7"/>
    </row>
    <row r="92">
      <c r="A92" s="2" t="s">
        <v>4041</v>
      </c>
      <c r="B92" s="2" t="s">
        <v>4042</v>
      </c>
      <c r="C92" s="2" t="s">
        <v>2505</v>
      </c>
      <c r="D92" s="2" t="s">
        <v>4196</v>
      </c>
      <c r="E92" s="4">
        <v>6</v>
      </c>
      <c r="F92" s="8">
        <v>68.04</v>
      </c>
      <c r="G92" s="4"/>
      <c r="H92" s="8"/>
      <c r="I92" s="7"/>
      <c r="J92" s="7"/>
      <c r="K92" s="4">
        <v>6</v>
      </c>
      <c r="L92" s="8">
        <v>68.04</v>
      </c>
      <c r="M92" s="4"/>
      <c r="N92" s="8"/>
      <c r="O92" s="7"/>
      <c r="P92" s="7"/>
    </row>
    <row r="93">
      <c r="A93" s="2" t="s">
        <v>4041</v>
      </c>
      <c r="B93" s="2" t="s">
        <v>4042</v>
      </c>
      <c r="C93" s="2" t="s">
        <v>4216</v>
      </c>
      <c r="D93" s="2" t="s">
        <v>4217</v>
      </c>
      <c r="E93" s="4">
        <v>1</v>
      </c>
      <c r="F93" s="8">
        <v>43.54</v>
      </c>
      <c r="G93" s="4"/>
      <c r="H93" s="8"/>
      <c r="I93" s="7"/>
      <c r="J93" s="7"/>
      <c r="K93" s="4">
        <v>1</v>
      </c>
      <c r="L93" s="8">
        <v>43.54</v>
      </c>
      <c r="M93" s="4"/>
      <c r="N93" s="8"/>
      <c r="O93" s="7"/>
      <c r="P93" s="7"/>
    </row>
    <row r="94">
      <c r="A94" s="2" t="s">
        <v>4041</v>
      </c>
      <c r="B94" s="2" t="s">
        <v>4042</v>
      </c>
      <c r="C94" s="2" t="s">
        <v>89</v>
      </c>
      <c r="D94" s="2" t="s">
        <v>4226</v>
      </c>
      <c r="E94" s="4">
        <v>1</v>
      </c>
      <c r="F94" s="8">
        <v>26.24</v>
      </c>
      <c r="G94" s="4" t="s">
        <v>100</v>
      </c>
      <c r="H94" s="8" t="s">
        <v>100</v>
      </c>
      <c r="I94" s="7" t="s">
        <v>100</v>
      </c>
      <c r="J94" s="7" t="s">
        <v>100</v>
      </c>
      <c r="K94" s="4">
        <v>1</v>
      </c>
      <c r="L94" s="8">
        <v>26.24</v>
      </c>
      <c r="M94" s="4"/>
      <c r="N94" s="8"/>
      <c r="O94" s="7"/>
      <c r="P94" s="7"/>
    </row>
    <row r="95">
      <c r="A95" s="2" t="s">
        <v>4041</v>
      </c>
      <c r="B95" s="2" t="s">
        <v>4042</v>
      </c>
      <c r="C95" s="2" t="s">
        <v>89</v>
      </c>
      <c r="D95" s="2" t="s">
        <v>4233</v>
      </c>
      <c r="E95" s="4" t="s">
        <v>100</v>
      </c>
      <c r="F95" s="8" t="s">
        <v>100</v>
      </c>
      <c r="G95" s="4" t="s">
        <v>100</v>
      </c>
      <c r="H95" s="8" t="s">
        <v>100</v>
      </c>
      <c r="I95" s="7" t="s">
        <v>100</v>
      </c>
      <c r="J95" s="7" t="s">
        <v>100</v>
      </c>
      <c r="K95" s="4"/>
      <c r="L95" s="8"/>
      <c r="M95" s="4"/>
      <c r="N95" s="8"/>
      <c r="O95" s="7"/>
      <c r="P95" s="7"/>
    </row>
    <row r="96">
      <c r="A96" s="2" t="s">
        <v>4041</v>
      </c>
      <c r="B96" s="2" t="s">
        <v>88</v>
      </c>
      <c r="C96" s="2" t="s">
        <v>4043</v>
      </c>
      <c r="D96" s="2" t="s">
        <v>4044</v>
      </c>
      <c r="E96" s="4">
        <v>27</v>
      </c>
      <c r="F96" s="8">
        <v>579.05</v>
      </c>
      <c r="G96" s="4"/>
      <c r="H96" s="8"/>
      <c r="I96" s="7"/>
      <c r="J96" s="7"/>
      <c r="K96" s="4">
        <v>27</v>
      </c>
      <c r="L96" s="8">
        <v>579.05</v>
      </c>
      <c r="M96" s="4"/>
      <c r="N96" s="8"/>
      <c r="O96" s="7"/>
      <c r="P96" s="7"/>
    </row>
    <row r="97">
      <c r="A97" s="2" t="s">
        <v>4041</v>
      </c>
      <c r="B97" s="2" t="s">
        <v>88</v>
      </c>
      <c r="C97" s="2" t="s">
        <v>4216</v>
      </c>
      <c r="D97" s="2" t="s">
        <v>4217</v>
      </c>
      <c r="E97" s="4">
        <v>23</v>
      </c>
      <c r="F97" s="8">
        <v>524.29</v>
      </c>
      <c r="G97" s="4"/>
      <c r="H97" s="8"/>
      <c r="I97" s="7"/>
      <c r="J97" s="7"/>
      <c r="K97" s="4">
        <v>23</v>
      </c>
      <c r="L97" s="8">
        <v>524.29</v>
      </c>
      <c r="M97" s="4"/>
      <c r="N97" s="8"/>
      <c r="O97" s="7"/>
      <c r="P97" s="7"/>
    </row>
    <row r="98">
      <c r="A98" s="2" t="s">
        <v>4041</v>
      </c>
      <c r="B98" s="2" t="s">
        <v>88</v>
      </c>
      <c r="C98" s="2" t="s">
        <v>89</v>
      </c>
      <c r="D98" s="2" t="s">
        <v>4233</v>
      </c>
      <c r="E98" s="4">
        <v>1</v>
      </c>
      <c r="F98" s="8">
        <v>41.99</v>
      </c>
      <c r="G98" s="4"/>
      <c r="H98" s="8"/>
      <c r="I98" s="7"/>
      <c r="J98" s="7"/>
      <c r="K98" s="4">
        <v>1</v>
      </c>
      <c r="L98" s="8">
        <v>41.99</v>
      </c>
      <c r="M98" s="4"/>
      <c r="N98" s="8"/>
      <c r="O98" s="7"/>
      <c r="P98" s="7"/>
    </row>
    <row r="99">
      <c r="A99" s="2" t="s">
        <v>4041</v>
      </c>
      <c r="B99" s="2" t="s">
        <v>88</v>
      </c>
      <c r="C99" s="2" t="s">
        <v>4459</v>
      </c>
      <c r="D99" s="2" t="s">
        <v>4196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4041</v>
      </c>
      <c r="B100" s="2" t="s">
        <v>4466</v>
      </c>
      <c r="C100" s="2" t="s">
        <v>89</v>
      </c>
      <c r="D100" s="2" t="s">
        <v>4467</v>
      </c>
      <c r="E100" s="4">
        <v>1</v>
      </c>
      <c r="F100" s="8">
        <v>99.05</v>
      </c>
      <c r="G100" s="4"/>
      <c r="H100" s="8"/>
      <c r="I100" s="7"/>
      <c r="J100" s="7"/>
      <c r="K100" s="4">
        <v>1</v>
      </c>
      <c r="L100" s="8">
        <v>99.05</v>
      </c>
      <c r="M100" s="4"/>
      <c r="N100" s="8"/>
      <c r="O100" s="7"/>
      <c r="P100" s="7"/>
    </row>
    <row r="101">
      <c r="A101" s="2" t="s">
        <v>4041</v>
      </c>
      <c r="B101" s="2" t="s">
        <v>4466</v>
      </c>
      <c r="C101" s="2" t="s">
        <v>1771</v>
      </c>
      <c r="D101" s="2" t="s">
        <v>4217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4041</v>
      </c>
      <c r="B102" s="2" t="s">
        <v>3196</v>
      </c>
      <c r="C102" s="2" t="s">
        <v>89</v>
      </c>
      <c r="D102" s="2" t="s">
        <v>90</v>
      </c>
      <c r="E102" s="4" t="s">
        <v>100</v>
      </c>
      <c r="F102" s="8" t="s">
        <v>100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/>
      <c r="L102" s="8"/>
      <c r="M102" s="4"/>
      <c r="N102" s="8"/>
      <c r="O102" s="7"/>
      <c r="P102" s="7"/>
    </row>
    <row r="103">
      <c r="A103" s="2" t="s">
        <v>4041</v>
      </c>
      <c r="B103" s="2" t="s">
        <v>3196</v>
      </c>
      <c r="C103" s="2" t="s">
        <v>89</v>
      </c>
      <c r="D103" s="2" t="s">
        <v>4233</v>
      </c>
      <c r="E103" s="4" t="s">
        <v>100</v>
      </c>
      <c r="F103" s="8" t="s">
        <v>100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/>
      <c r="L103" s="8"/>
      <c r="M103" s="4"/>
      <c r="N103" s="8"/>
      <c r="O103" s="7"/>
      <c r="P103" s="7"/>
    </row>
    <row r="104">
      <c r="A104" s="2" t="s">
        <v>4041</v>
      </c>
      <c r="B104" s="2" t="s">
        <v>3196</v>
      </c>
      <c r="C104" s="2" t="s">
        <v>1496</v>
      </c>
      <c r="D104" s="2" t="s">
        <v>1648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4041</v>
      </c>
      <c r="B105" s="2" t="s">
        <v>3196</v>
      </c>
      <c r="C105" s="2" t="s">
        <v>2505</v>
      </c>
      <c r="D105" s="2" t="s">
        <v>4196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4552</v>
      </c>
      <c r="B106" s="2" t="s">
        <v>88</v>
      </c>
      <c r="C106" s="2" t="s">
        <v>4553</v>
      </c>
      <c r="D106" s="2" t="s">
        <v>4554</v>
      </c>
      <c r="E106" s="4">
        <v>73</v>
      </c>
      <c r="F106" s="8">
        <v>1237.04</v>
      </c>
      <c r="G106" s="4"/>
      <c r="H106" s="8"/>
      <c r="I106" s="7"/>
      <c r="J106" s="7"/>
      <c r="K106" s="4">
        <v>73</v>
      </c>
      <c r="L106" s="8">
        <v>1237.04</v>
      </c>
      <c r="M106" s="4"/>
      <c r="N106" s="8"/>
      <c r="O106" s="7"/>
      <c r="P106" s="7"/>
    </row>
    <row r="107">
      <c r="A107" s="2" t="s">
        <v>4552</v>
      </c>
      <c r="B107" s="2" t="s">
        <v>88</v>
      </c>
      <c r="C107" s="2" t="s">
        <v>4758</v>
      </c>
      <c r="D107" s="2" t="s">
        <v>4759</v>
      </c>
      <c r="E107" s="4">
        <v>11</v>
      </c>
      <c r="F107" s="8">
        <v>196.35</v>
      </c>
      <c r="G107" s="4"/>
      <c r="H107" s="8"/>
      <c r="I107" s="7"/>
      <c r="J107" s="7"/>
      <c r="K107" s="4">
        <v>11</v>
      </c>
      <c r="L107" s="8">
        <v>196.35</v>
      </c>
      <c r="M107" s="4"/>
      <c r="N107" s="8"/>
      <c r="O107" s="7"/>
      <c r="P107" s="7"/>
    </row>
    <row r="108">
      <c r="A108" s="2" t="s">
        <v>4552</v>
      </c>
      <c r="B108" s="2" t="s">
        <v>88</v>
      </c>
      <c r="C108" s="2" t="s">
        <v>4939</v>
      </c>
      <c r="D108" s="2" t="s">
        <v>4940</v>
      </c>
      <c r="E108" s="4">
        <v>1</v>
      </c>
      <c r="F108" s="8">
        <v>21</v>
      </c>
      <c r="G108" s="4"/>
      <c r="H108" s="8"/>
      <c r="I108" s="7"/>
      <c r="J108" s="7"/>
      <c r="K108" s="4">
        <v>1</v>
      </c>
      <c r="L108" s="8">
        <v>21</v>
      </c>
      <c r="M108" s="4"/>
      <c r="N108" s="8"/>
      <c r="O108" s="7"/>
      <c r="P108" s="7"/>
    </row>
    <row r="109">
      <c r="A109" s="2" t="s">
        <v>4552</v>
      </c>
      <c r="B109" s="2" t="s">
        <v>88</v>
      </c>
      <c r="C109" s="2" t="s">
        <v>4948</v>
      </c>
      <c r="D109" s="2" t="s">
        <v>4949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4552</v>
      </c>
      <c r="B110" s="2" t="s">
        <v>1797</v>
      </c>
      <c r="C110" s="2" t="s">
        <v>4553</v>
      </c>
      <c r="D110" s="2" t="s">
        <v>4554</v>
      </c>
      <c r="E110" s="4">
        <v>15</v>
      </c>
      <c r="F110" s="8">
        <v>194.85</v>
      </c>
      <c r="G110" s="4"/>
      <c r="H110" s="8"/>
      <c r="I110" s="7"/>
      <c r="J110" s="7"/>
      <c r="K110" s="4">
        <v>15</v>
      </c>
      <c r="L110" s="8">
        <v>194.85</v>
      </c>
      <c r="M110" s="4"/>
      <c r="N110" s="8"/>
      <c r="O110" s="7"/>
      <c r="P110" s="7"/>
    </row>
    <row r="111">
      <c r="A111" s="2" t="s">
        <v>4552</v>
      </c>
      <c r="B111" s="2" t="s">
        <v>3196</v>
      </c>
      <c r="C111" s="2" t="s">
        <v>4758</v>
      </c>
      <c r="D111" s="2" t="s">
        <v>4759</v>
      </c>
      <c r="E111" s="4">
        <v>5</v>
      </c>
      <c r="F111" s="8">
        <v>89.49</v>
      </c>
      <c r="G111" s="4"/>
      <c r="H111" s="8"/>
      <c r="I111" s="7"/>
      <c r="J111" s="7"/>
      <c r="K111" s="4">
        <v>5</v>
      </c>
      <c r="L111" s="8">
        <v>89.49</v>
      </c>
      <c r="M111" s="4"/>
      <c r="N111" s="8"/>
      <c r="O111" s="7"/>
      <c r="P111" s="7"/>
    </row>
    <row r="112">
      <c r="A112" s="2" t="s">
        <v>4552</v>
      </c>
      <c r="B112" s="2" t="s">
        <v>3449</v>
      </c>
      <c r="C112" s="2" t="s">
        <v>4553</v>
      </c>
      <c r="D112" s="2" t="s">
        <v>4554</v>
      </c>
      <c r="E112" s="4">
        <v>2</v>
      </c>
      <c r="F112" s="8">
        <v>28.86</v>
      </c>
      <c r="G112" s="4"/>
      <c r="H112" s="8"/>
      <c r="I112" s="7"/>
      <c r="J112" s="7"/>
      <c r="K112" s="4">
        <v>2</v>
      </c>
      <c r="L112" s="8">
        <v>28.86</v>
      </c>
      <c r="M112" s="4"/>
      <c r="N112" s="8"/>
      <c r="O112" s="7"/>
      <c r="P112" s="7"/>
    </row>
    <row r="113">
      <c r="A113" s="2" t="s">
        <v>4552</v>
      </c>
      <c r="B113" s="2" t="s">
        <v>3449</v>
      </c>
      <c r="C113" s="2" t="s">
        <v>4948</v>
      </c>
      <c r="D113" s="2" t="s">
        <v>4949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4552</v>
      </c>
      <c r="B114" s="2" t="s">
        <v>2357</v>
      </c>
      <c r="C114" s="2" t="s">
        <v>4553</v>
      </c>
      <c r="D114" s="2" t="s">
        <v>4554</v>
      </c>
      <c r="E114" s="4">
        <v>1</v>
      </c>
      <c r="F114" s="8">
        <v>22.7</v>
      </c>
      <c r="G114" s="4"/>
      <c r="H114" s="8"/>
      <c r="I114" s="7"/>
      <c r="J114" s="7"/>
      <c r="K114" s="4">
        <v>1</v>
      </c>
      <c r="L114" s="8">
        <v>22.7</v>
      </c>
      <c r="M114" s="4"/>
      <c r="N114" s="8"/>
      <c r="O114" s="7"/>
      <c r="P114" s="7"/>
    </row>
    <row r="115">
      <c r="A115" s="2" t="s">
        <v>4552</v>
      </c>
      <c r="B115" s="2" t="s">
        <v>4028</v>
      </c>
      <c r="C115" s="2" t="s">
        <v>4553</v>
      </c>
      <c r="D115" s="2" t="s">
        <v>4554</v>
      </c>
      <c r="E115" s="4">
        <v>1</v>
      </c>
      <c r="F115" s="8">
        <v>21.84</v>
      </c>
      <c r="G115" s="4"/>
      <c r="H115" s="8"/>
      <c r="I115" s="7"/>
      <c r="J115" s="7"/>
      <c r="K115" s="4">
        <v>1</v>
      </c>
      <c r="L115" s="8">
        <v>21.84</v>
      </c>
      <c r="M115" s="4"/>
      <c r="N115" s="8"/>
      <c r="O115" s="7"/>
      <c r="P115" s="7"/>
    </row>
    <row r="116">
      <c r="A116" s="2" t="s">
        <v>4552</v>
      </c>
      <c r="B116" s="2" t="s">
        <v>2238</v>
      </c>
      <c r="C116" s="2" t="s">
        <v>4553</v>
      </c>
      <c r="D116" s="2" t="s">
        <v>4554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4552</v>
      </c>
      <c r="B117" s="2" t="s">
        <v>5095</v>
      </c>
      <c r="C117" s="2" t="s">
        <v>4758</v>
      </c>
      <c r="D117" s="2" t="s">
        <v>4759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4552</v>
      </c>
      <c r="B118" s="2" t="s">
        <v>2831</v>
      </c>
      <c r="C118" s="2" t="s">
        <v>4758</v>
      </c>
      <c r="D118" s="2" t="s">
        <v>4759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4552</v>
      </c>
      <c r="B119" s="2" t="s">
        <v>2831</v>
      </c>
      <c r="C119" s="2" t="s">
        <v>4553</v>
      </c>
      <c r="D119" s="2" t="s">
        <v>4554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5155</v>
      </c>
      <c r="B120" s="2" t="s">
        <v>5095</v>
      </c>
      <c r="C120" s="2" t="s">
        <v>5156</v>
      </c>
      <c r="D120" s="2" t="s">
        <v>5157</v>
      </c>
      <c r="E120" s="4">
        <v>104</v>
      </c>
      <c r="F120" s="8">
        <v>6291.46</v>
      </c>
      <c r="G120" s="4" t="s">
        <v>100</v>
      </c>
      <c r="H120" s="8" t="s">
        <v>100</v>
      </c>
      <c r="I120" s="7" t="s">
        <v>100</v>
      </c>
      <c r="J120" s="7" t="s">
        <v>100</v>
      </c>
      <c r="K120" s="4">
        <v>53</v>
      </c>
      <c r="L120" s="8">
        <v>4275.21</v>
      </c>
      <c r="M120" s="4"/>
      <c r="N120" s="8"/>
      <c r="O120" s="7"/>
      <c r="P120" s="7"/>
    </row>
    <row r="121">
      <c r="A121" s="2" t="s">
        <v>5155</v>
      </c>
      <c r="B121" s="2" t="s">
        <v>5095</v>
      </c>
      <c r="C121" s="2" t="s">
        <v>5156</v>
      </c>
      <c r="D121" s="2" t="s">
        <v>5396</v>
      </c>
      <c r="E121" s="4" t="s">
        <v>100</v>
      </c>
      <c r="F121" s="8" t="s">
        <v>100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>
        <v>51</v>
      </c>
      <c r="L121" s="8">
        <v>2016.25</v>
      </c>
      <c r="M121" s="4"/>
      <c r="N121" s="8"/>
      <c r="O121" s="7"/>
      <c r="P121" s="7"/>
    </row>
    <row r="122">
      <c r="A122" s="2" t="s">
        <v>5155</v>
      </c>
      <c r="B122" s="2" t="s">
        <v>5095</v>
      </c>
      <c r="C122" s="2" t="s">
        <v>5491</v>
      </c>
      <c r="D122" s="2" t="s">
        <v>5492</v>
      </c>
      <c r="E122" s="4">
        <v>42</v>
      </c>
      <c r="F122" s="8">
        <v>3084.27</v>
      </c>
      <c r="G122" s="4"/>
      <c r="H122" s="8"/>
      <c r="I122" s="7"/>
      <c r="J122" s="7"/>
      <c r="K122" s="4">
        <v>42</v>
      </c>
      <c r="L122" s="8">
        <v>3084.27</v>
      </c>
      <c r="M122" s="4"/>
      <c r="N122" s="8"/>
      <c r="O122" s="7"/>
      <c r="P122" s="7"/>
    </row>
    <row r="123">
      <c r="A123" s="2" t="s">
        <v>5155</v>
      </c>
      <c r="B123" s="2" t="s">
        <v>5095</v>
      </c>
      <c r="C123" s="2" t="s">
        <v>4216</v>
      </c>
      <c r="D123" s="2" t="s">
        <v>5235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5155</v>
      </c>
      <c r="B124" s="2" t="s">
        <v>88</v>
      </c>
      <c r="C124" s="2" t="s">
        <v>4216</v>
      </c>
      <c r="D124" s="2" t="s">
        <v>5235</v>
      </c>
      <c r="E124" s="4">
        <v>237</v>
      </c>
      <c r="F124" s="8">
        <v>5112.01</v>
      </c>
      <c r="G124" s="4"/>
      <c r="H124" s="8"/>
      <c r="I124" s="7"/>
      <c r="J124" s="7"/>
      <c r="K124" s="4">
        <v>237</v>
      </c>
      <c r="L124" s="8">
        <v>5112.01</v>
      </c>
      <c r="M124" s="4"/>
      <c r="N124" s="8"/>
      <c r="O124" s="7"/>
      <c r="P124" s="7"/>
    </row>
    <row r="125">
      <c r="A125" s="2" t="s">
        <v>5155</v>
      </c>
      <c r="B125" s="2" t="s">
        <v>88</v>
      </c>
      <c r="C125" s="2" t="s">
        <v>89</v>
      </c>
      <c r="D125" s="2" t="s">
        <v>887</v>
      </c>
      <c r="E125" s="4">
        <v>53</v>
      </c>
      <c r="F125" s="8">
        <v>2708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52</v>
      </c>
      <c r="L125" s="8">
        <v>2654.13</v>
      </c>
      <c r="M125" s="4"/>
      <c r="N125" s="8"/>
      <c r="O125" s="7"/>
      <c r="P125" s="7"/>
    </row>
    <row r="126">
      <c r="A126" s="2" t="s">
        <v>5155</v>
      </c>
      <c r="B126" s="2" t="s">
        <v>88</v>
      </c>
      <c r="C126" s="2" t="s">
        <v>89</v>
      </c>
      <c r="D126" s="2" t="s">
        <v>90</v>
      </c>
      <c r="E126" s="4" t="s">
        <v>100</v>
      </c>
      <c r="F126" s="8" t="s">
        <v>100</v>
      </c>
      <c r="G126" s="4" t="s">
        <v>100</v>
      </c>
      <c r="H126" s="8" t="s">
        <v>100</v>
      </c>
      <c r="I126" s="7" t="s">
        <v>100</v>
      </c>
      <c r="J126" s="7" t="s">
        <v>100</v>
      </c>
      <c r="K126" s="4">
        <v>1</v>
      </c>
      <c r="L126" s="8">
        <v>53.87</v>
      </c>
      <c r="M126" s="4"/>
      <c r="N126" s="8"/>
      <c r="O126" s="7"/>
      <c r="P126" s="7"/>
    </row>
    <row r="127">
      <c r="A127" s="2" t="s">
        <v>5155</v>
      </c>
      <c r="B127" s="2" t="s">
        <v>88</v>
      </c>
      <c r="C127" s="2" t="s">
        <v>2505</v>
      </c>
      <c r="D127" s="2" t="s">
        <v>2506</v>
      </c>
      <c r="E127" s="4">
        <v>5</v>
      </c>
      <c r="F127" s="8">
        <v>63.03</v>
      </c>
      <c r="G127" s="4"/>
      <c r="H127" s="8"/>
      <c r="I127" s="7"/>
      <c r="J127" s="7"/>
      <c r="K127" s="4">
        <v>5</v>
      </c>
      <c r="L127" s="8">
        <v>63.03</v>
      </c>
      <c r="M127" s="4"/>
      <c r="N127" s="8"/>
      <c r="O127" s="7"/>
      <c r="P127" s="7"/>
    </row>
    <row r="128">
      <c r="A128" s="2" t="s">
        <v>5155</v>
      </c>
      <c r="B128" s="2" t="s">
        <v>88</v>
      </c>
      <c r="C128" s="2" t="s">
        <v>1771</v>
      </c>
      <c r="D128" s="2" t="s">
        <v>1772</v>
      </c>
      <c r="E128" s="4">
        <v>3</v>
      </c>
      <c r="F128" s="8">
        <v>46.22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>
        <v>2</v>
      </c>
      <c r="L128" s="8">
        <v>28.36</v>
      </c>
      <c r="M128" s="4"/>
      <c r="N128" s="8"/>
      <c r="O128" s="7"/>
      <c r="P128" s="7"/>
    </row>
    <row r="129">
      <c r="A129" s="2" t="s">
        <v>5155</v>
      </c>
      <c r="B129" s="2" t="s">
        <v>88</v>
      </c>
      <c r="C129" s="2" t="s">
        <v>1771</v>
      </c>
      <c r="D129" s="2" t="s">
        <v>5398</v>
      </c>
      <c r="E129" s="4" t="s">
        <v>100</v>
      </c>
      <c r="F129" s="8" t="s">
        <v>100</v>
      </c>
      <c r="G129" s="4" t="s">
        <v>100</v>
      </c>
      <c r="H129" s="8" t="s">
        <v>100</v>
      </c>
      <c r="I129" s="7" t="s">
        <v>100</v>
      </c>
      <c r="J129" s="7" t="s">
        <v>100</v>
      </c>
      <c r="K129" s="4">
        <v>1</v>
      </c>
      <c r="L129" s="8">
        <v>17.86</v>
      </c>
      <c r="M129" s="4"/>
      <c r="N129" s="8"/>
      <c r="O129" s="7"/>
      <c r="P129" s="7"/>
    </row>
    <row r="130">
      <c r="A130" s="2" t="s">
        <v>5155</v>
      </c>
      <c r="B130" s="2" t="s">
        <v>88</v>
      </c>
      <c r="C130" s="2" t="s">
        <v>1496</v>
      </c>
      <c r="D130" s="2" t="s">
        <v>1497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5155</v>
      </c>
      <c r="B131" s="2" t="s">
        <v>3449</v>
      </c>
      <c r="C131" s="2" t="s">
        <v>4216</v>
      </c>
      <c r="D131" s="2" t="s">
        <v>5235</v>
      </c>
      <c r="E131" s="4">
        <v>166</v>
      </c>
      <c r="F131" s="8">
        <v>2318.32</v>
      </c>
      <c r="G131" s="4"/>
      <c r="H131" s="8"/>
      <c r="I131" s="7"/>
      <c r="J131" s="7"/>
      <c r="K131" s="4">
        <v>166</v>
      </c>
      <c r="L131" s="8">
        <v>2318.32</v>
      </c>
      <c r="M131" s="4"/>
      <c r="N131" s="8"/>
      <c r="O131" s="7"/>
      <c r="P131" s="7"/>
    </row>
    <row r="132">
      <c r="A132" s="2" t="s">
        <v>5155</v>
      </c>
      <c r="B132" s="2" t="s">
        <v>3449</v>
      </c>
      <c r="C132" s="2" t="s">
        <v>89</v>
      </c>
      <c r="D132" s="2" t="s">
        <v>887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5155</v>
      </c>
      <c r="B133" s="2" t="s">
        <v>3449</v>
      </c>
      <c r="C133" s="2" t="s">
        <v>1496</v>
      </c>
      <c r="D133" s="2" t="s">
        <v>1497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5155</v>
      </c>
      <c r="B134" s="2" t="s">
        <v>6144</v>
      </c>
      <c r="C134" s="2" t="s">
        <v>5491</v>
      </c>
      <c r="D134" s="2" t="s">
        <v>5492</v>
      </c>
      <c r="E134" s="4">
        <v>15</v>
      </c>
      <c r="F134" s="8">
        <v>979.3</v>
      </c>
      <c r="G134" s="4"/>
      <c r="H134" s="8"/>
      <c r="I134" s="7"/>
      <c r="J134" s="7"/>
      <c r="K134" s="4">
        <v>15</v>
      </c>
      <c r="L134" s="8">
        <v>979.3</v>
      </c>
      <c r="M134" s="4"/>
      <c r="N134" s="8"/>
      <c r="O134" s="7"/>
      <c r="P134" s="7"/>
    </row>
    <row r="135">
      <c r="A135" s="2" t="s">
        <v>5155</v>
      </c>
      <c r="B135" s="2" t="s">
        <v>6144</v>
      </c>
      <c r="C135" s="2" t="s">
        <v>5156</v>
      </c>
      <c r="D135" s="2" t="s">
        <v>5157</v>
      </c>
      <c r="E135" s="4">
        <v>14</v>
      </c>
      <c r="F135" s="8">
        <v>691.84</v>
      </c>
      <c r="G135" s="4" t="s">
        <v>100</v>
      </c>
      <c r="H135" s="8" t="s">
        <v>100</v>
      </c>
      <c r="I135" s="7" t="s">
        <v>100</v>
      </c>
      <c r="J135" s="7" t="s">
        <v>100</v>
      </c>
      <c r="K135" s="4">
        <v>7</v>
      </c>
      <c r="L135" s="8">
        <v>445.97</v>
      </c>
      <c r="M135" s="4"/>
      <c r="N135" s="8"/>
      <c r="O135" s="7"/>
      <c r="P135" s="7"/>
    </row>
    <row r="136">
      <c r="A136" s="2" t="s">
        <v>5155</v>
      </c>
      <c r="B136" s="2" t="s">
        <v>6144</v>
      </c>
      <c r="C136" s="2" t="s">
        <v>5156</v>
      </c>
      <c r="D136" s="2" t="s">
        <v>5396</v>
      </c>
      <c r="E136" s="4" t="s">
        <v>100</v>
      </c>
      <c r="F136" s="8" t="s">
        <v>100</v>
      </c>
      <c r="G136" s="4" t="s">
        <v>100</v>
      </c>
      <c r="H136" s="8" t="s">
        <v>100</v>
      </c>
      <c r="I136" s="7" t="s">
        <v>100</v>
      </c>
      <c r="J136" s="7" t="s">
        <v>100</v>
      </c>
      <c r="K136" s="4">
        <v>7</v>
      </c>
      <c r="L136" s="8">
        <v>245.87</v>
      </c>
      <c r="M136" s="4"/>
      <c r="N136" s="8"/>
      <c r="O136" s="7"/>
      <c r="P136" s="7"/>
    </row>
    <row r="137">
      <c r="A137" s="2" t="s">
        <v>5155</v>
      </c>
      <c r="B137" s="2" t="s">
        <v>2357</v>
      </c>
      <c r="C137" s="2" t="s">
        <v>5156</v>
      </c>
      <c r="D137" s="2" t="s">
        <v>5157</v>
      </c>
      <c r="E137" s="4">
        <v>7</v>
      </c>
      <c r="F137" s="8">
        <v>586.75</v>
      </c>
      <c r="G137" s="4" t="s">
        <v>100</v>
      </c>
      <c r="H137" s="8" t="s">
        <v>100</v>
      </c>
      <c r="I137" s="7" t="s">
        <v>100</v>
      </c>
      <c r="J137" s="7" t="s">
        <v>100</v>
      </c>
      <c r="K137" s="4">
        <v>7</v>
      </c>
      <c r="L137" s="8">
        <v>586.75</v>
      </c>
      <c r="M137" s="4"/>
      <c r="N137" s="8"/>
      <c r="O137" s="7"/>
      <c r="P137" s="7"/>
    </row>
    <row r="138">
      <c r="A138" s="2" t="s">
        <v>5155</v>
      </c>
      <c r="B138" s="2" t="s">
        <v>2357</v>
      </c>
      <c r="C138" s="2" t="s">
        <v>5156</v>
      </c>
      <c r="D138" s="2" t="s">
        <v>5396</v>
      </c>
      <c r="E138" s="4" t="s">
        <v>100</v>
      </c>
      <c r="F138" s="8" t="s">
        <v>100</v>
      </c>
      <c r="G138" s="4" t="s">
        <v>100</v>
      </c>
      <c r="H138" s="8" t="s">
        <v>100</v>
      </c>
      <c r="I138" s="7" t="s">
        <v>100</v>
      </c>
      <c r="J138" s="7" t="s">
        <v>100</v>
      </c>
      <c r="K138" s="4"/>
      <c r="L138" s="8"/>
      <c r="M138" s="4"/>
      <c r="N138" s="8"/>
      <c r="O138" s="7"/>
      <c r="P138" s="7"/>
    </row>
    <row r="139">
      <c r="A139" s="2" t="s">
        <v>5155</v>
      </c>
      <c r="B139" s="2" t="s">
        <v>2357</v>
      </c>
      <c r="C139" s="2" t="s">
        <v>4216</v>
      </c>
      <c r="D139" s="2" t="s">
        <v>5235</v>
      </c>
      <c r="E139" s="4">
        <v>4</v>
      </c>
      <c r="F139" s="8">
        <v>124.14</v>
      </c>
      <c r="G139" s="4"/>
      <c r="H139" s="8"/>
      <c r="I139" s="7"/>
      <c r="J139" s="7"/>
      <c r="K139" s="4">
        <v>4</v>
      </c>
      <c r="L139" s="8">
        <v>124.14</v>
      </c>
      <c r="M139" s="4"/>
      <c r="N139" s="8"/>
      <c r="O139" s="7"/>
      <c r="P139" s="7"/>
    </row>
    <row r="140">
      <c r="A140" s="2" t="s">
        <v>5155</v>
      </c>
      <c r="B140" s="2" t="s">
        <v>2357</v>
      </c>
      <c r="C140" s="2" t="s">
        <v>89</v>
      </c>
      <c r="D140" s="2" t="s">
        <v>887</v>
      </c>
      <c r="E140" s="4">
        <v>3</v>
      </c>
      <c r="F140" s="8">
        <v>113.87</v>
      </c>
      <c r="G140" s="4" t="s">
        <v>100</v>
      </c>
      <c r="H140" s="8" t="s">
        <v>100</v>
      </c>
      <c r="I140" s="7" t="s">
        <v>100</v>
      </c>
      <c r="J140" s="7" t="s">
        <v>100</v>
      </c>
      <c r="K140" s="4">
        <v>3</v>
      </c>
      <c r="L140" s="8">
        <v>113.87</v>
      </c>
      <c r="M140" s="4"/>
      <c r="N140" s="8"/>
      <c r="O140" s="7"/>
      <c r="P140" s="7"/>
    </row>
    <row r="141">
      <c r="A141" s="2" t="s">
        <v>5155</v>
      </c>
      <c r="B141" s="2" t="s">
        <v>2357</v>
      </c>
      <c r="C141" s="2" t="s">
        <v>89</v>
      </c>
      <c r="D141" s="2" t="s">
        <v>90</v>
      </c>
      <c r="E141" s="4" t="s">
        <v>100</v>
      </c>
      <c r="F141" s="8" t="s">
        <v>100</v>
      </c>
      <c r="G141" s="4" t="s">
        <v>100</v>
      </c>
      <c r="H141" s="8" t="s">
        <v>100</v>
      </c>
      <c r="I141" s="7" t="s">
        <v>100</v>
      </c>
      <c r="J141" s="7" t="s">
        <v>100</v>
      </c>
      <c r="K141" s="4"/>
      <c r="L141" s="8"/>
      <c r="M141" s="4"/>
      <c r="N141" s="8"/>
      <c r="O141" s="7"/>
      <c r="P141" s="7"/>
    </row>
    <row r="142">
      <c r="A142" s="2" t="s">
        <v>5155</v>
      </c>
      <c r="B142" s="2" t="s">
        <v>2357</v>
      </c>
      <c r="C142" s="2" t="s">
        <v>963</v>
      </c>
      <c r="D142" s="2" t="s">
        <v>1046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5155</v>
      </c>
      <c r="B143" s="2" t="s">
        <v>2357</v>
      </c>
      <c r="C143" s="2" t="s">
        <v>1771</v>
      </c>
      <c r="D143" s="2" t="s">
        <v>5398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5155</v>
      </c>
      <c r="B144" s="2" t="s">
        <v>1797</v>
      </c>
      <c r="C144" s="2" t="s">
        <v>89</v>
      </c>
      <c r="D144" s="2" t="s">
        <v>887</v>
      </c>
      <c r="E144" s="4">
        <v>7</v>
      </c>
      <c r="F144" s="8">
        <v>142.02</v>
      </c>
      <c r="G144" s="4"/>
      <c r="H144" s="8"/>
      <c r="I144" s="7"/>
      <c r="J144" s="7"/>
      <c r="K144" s="4">
        <v>7</v>
      </c>
      <c r="L144" s="8">
        <v>142.02</v>
      </c>
      <c r="M144" s="4"/>
      <c r="N144" s="8"/>
      <c r="O144" s="7"/>
      <c r="P144" s="7"/>
    </row>
    <row r="145">
      <c r="A145" s="2" t="s">
        <v>5155</v>
      </c>
      <c r="B145" s="2" t="s">
        <v>2517</v>
      </c>
      <c r="C145" s="2" t="s">
        <v>4216</v>
      </c>
      <c r="D145" s="2" t="s">
        <v>5235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5155</v>
      </c>
      <c r="B146" s="2" t="s">
        <v>2831</v>
      </c>
      <c r="C146" s="2" t="s">
        <v>4216</v>
      </c>
      <c r="D146" s="2" t="s">
        <v>5235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5155</v>
      </c>
      <c r="B147" s="2" t="s">
        <v>2831</v>
      </c>
      <c r="C147" s="2" t="s">
        <v>4459</v>
      </c>
      <c r="D147" s="2" t="s">
        <v>6681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5155</v>
      </c>
      <c r="B148" s="2" t="s">
        <v>2831</v>
      </c>
      <c r="C148" s="2" t="s">
        <v>1771</v>
      </c>
      <c r="D148" s="2" t="s">
        <v>5398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5155</v>
      </c>
      <c r="B149" s="2" t="s">
        <v>4466</v>
      </c>
      <c r="C149" s="2" t="s">
        <v>5156</v>
      </c>
      <c r="D149" s="2" t="s">
        <v>5157</v>
      </c>
      <c r="E149" s="4" t="s">
        <v>100</v>
      </c>
      <c r="F149" s="8" t="s">
        <v>100</v>
      </c>
      <c r="G149" s="4" t="s">
        <v>100</v>
      </c>
      <c r="H149" s="8" t="s">
        <v>100</v>
      </c>
      <c r="I149" s="7" t="s">
        <v>100</v>
      </c>
      <c r="J149" s="7" t="s">
        <v>100</v>
      </c>
      <c r="K149" s="4"/>
      <c r="L149" s="8"/>
      <c r="M149" s="4"/>
      <c r="N149" s="8"/>
      <c r="O149" s="7"/>
      <c r="P149" s="7"/>
    </row>
    <row r="150">
      <c r="A150" s="2" t="s">
        <v>5155</v>
      </c>
      <c r="B150" s="2" t="s">
        <v>4466</v>
      </c>
      <c r="C150" s="2" t="s">
        <v>5156</v>
      </c>
      <c r="D150" s="2" t="s">
        <v>5396</v>
      </c>
      <c r="E150" s="4" t="s">
        <v>100</v>
      </c>
      <c r="F150" s="8" t="s">
        <v>100</v>
      </c>
      <c r="G150" s="4" t="s">
        <v>100</v>
      </c>
      <c r="H150" s="8" t="s">
        <v>100</v>
      </c>
      <c r="I150" s="7" t="s">
        <v>100</v>
      </c>
      <c r="J150" s="7" t="s">
        <v>100</v>
      </c>
      <c r="K150" s="4"/>
      <c r="L150" s="8"/>
      <c r="M150" s="4"/>
      <c r="N150" s="8"/>
      <c r="O150" s="7"/>
      <c r="P150" s="7"/>
    </row>
    <row r="151">
      <c r="A151" s="2" t="s">
        <v>6747</v>
      </c>
      <c r="B151" s="2" t="s">
        <v>2831</v>
      </c>
      <c r="C151" s="2" t="s">
        <v>6748</v>
      </c>
      <c r="D151" s="2" t="s">
        <v>6749</v>
      </c>
      <c r="E151" s="4" t="s">
        <v>100</v>
      </c>
      <c r="F151" s="8" t="s">
        <v>100</v>
      </c>
      <c r="G151" s="4" t="s">
        <v>100</v>
      </c>
      <c r="H151" s="8" t="s">
        <v>100</v>
      </c>
      <c r="I151" s="7" t="s">
        <v>100</v>
      </c>
      <c r="J151" s="7" t="s">
        <v>100</v>
      </c>
      <c r="K151" s="4"/>
      <c r="L151" s="8"/>
      <c r="M151" s="4"/>
      <c r="N151" s="8"/>
      <c r="O151" s="7"/>
      <c r="P151" s="7"/>
    </row>
    <row r="152">
      <c r="A152" s="2" t="s">
        <v>6747</v>
      </c>
      <c r="B152" s="2" t="s">
        <v>2831</v>
      </c>
      <c r="C152" s="2" t="s">
        <v>6748</v>
      </c>
      <c r="D152" s="2" t="s">
        <v>6765</v>
      </c>
      <c r="E152" s="4" t="s">
        <v>100</v>
      </c>
      <c r="F152" s="8" t="s">
        <v>100</v>
      </c>
      <c r="G152" s="4" t="s">
        <v>100</v>
      </c>
      <c r="H152" s="8" t="s">
        <v>100</v>
      </c>
      <c r="I152" s="7" t="s">
        <v>100</v>
      </c>
      <c r="J152" s="7" t="s">
        <v>100</v>
      </c>
      <c r="K152" s="4"/>
      <c r="L152" s="8"/>
      <c r="M152" s="4"/>
      <c r="N152" s="8"/>
      <c r="O152" s="7"/>
      <c r="P152" s="7"/>
    </row>
    <row r="153">
      <c r="A153" s="2" t="s">
        <v>6747</v>
      </c>
      <c r="B153" s="2" t="s">
        <v>2831</v>
      </c>
      <c r="C153" s="2" t="s">
        <v>6789</v>
      </c>
      <c r="D153" s="2" t="s">
        <v>6790</v>
      </c>
      <c r="E153" s="4" t="s">
        <v>100</v>
      </c>
      <c r="F153" s="8" t="s">
        <v>100</v>
      </c>
      <c r="G153" s="4" t="s">
        <v>100</v>
      </c>
      <c r="H153" s="8" t="s">
        <v>100</v>
      </c>
      <c r="I153" s="7" t="s">
        <v>100</v>
      </c>
      <c r="J153" s="7" t="s">
        <v>100</v>
      </c>
      <c r="K153" s="4"/>
      <c r="L153" s="8"/>
      <c r="M153" s="4"/>
      <c r="N153" s="8"/>
      <c r="O153" s="7"/>
      <c r="P153" s="7"/>
    </row>
    <row r="154">
      <c r="A154" s="2" t="s">
        <v>6747</v>
      </c>
      <c r="B154" s="2" t="s">
        <v>2831</v>
      </c>
      <c r="C154" s="2" t="s">
        <v>6789</v>
      </c>
      <c r="D154" s="2" t="s">
        <v>6796</v>
      </c>
      <c r="E154" s="4" t="s">
        <v>100</v>
      </c>
      <c r="F154" s="8" t="s">
        <v>100</v>
      </c>
      <c r="G154" s="4" t="s">
        <v>100</v>
      </c>
      <c r="H154" s="8" t="s">
        <v>100</v>
      </c>
      <c r="I154" s="7" t="s">
        <v>100</v>
      </c>
      <c r="J154" s="7" t="s">
        <v>100</v>
      </c>
      <c r="K154" s="4"/>
      <c r="L154" s="8"/>
      <c r="M154" s="4"/>
      <c r="N154" s="8"/>
      <c r="O154" s="7"/>
      <c r="P154" s="7"/>
    </row>
    <row r="155">
      <c r="A155" s="2" t="s">
        <v>6747</v>
      </c>
      <c r="B155" s="2" t="s">
        <v>2831</v>
      </c>
      <c r="C155" s="2" t="s">
        <v>6789</v>
      </c>
      <c r="D155" s="2" t="s">
        <v>6800</v>
      </c>
      <c r="E155" s="4" t="s">
        <v>100</v>
      </c>
      <c r="F155" s="8" t="s">
        <v>100</v>
      </c>
      <c r="G155" s="4" t="s">
        <v>100</v>
      </c>
      <c r="H155" s="8" t="s">
        <v>100</v>
      </c>
      <c r="I155" s="7" t="s">
        <v>100</v>
      </c>
      <c r="J155" s="7" t="s">
        <v>100</v>
      </c>
      <c r="K155" s="4"/>
      <c r="L155" s="8"/>
      <c r="M155" s="4"/>
      <c r="N155" s="8"/>
      <c r="O155" s="7"/>
      <c r="P155" s="7"/>
    </row>
    <row r="156">
      <c r="A156" s="2" t="s">
        <v>6747</v>
      </c>
      <c r="B156" s="2" t="s">
        <v>2831</v>
      </c>
      <c r="C156" s="2" t="s">
        <v>6919</v>
      </c>
      <c r="D156" s="2" t="s">
        <v>6920</v>
      </c>
      <c r="E156" s="4" t="s">
        <v>100</v>
      </c>
      <c r="F156" s="8" t="s">
        <v>100</v>
      </c>
      <c r="G156" s="4" t="s">
        <v>100</v>
      </c>
      <c r="H156" s="8" t="s">
        <v>100</v>
      </c>
      <c r="I156" s="7" t="s">
        <v>100</v>
      </c>
      <c r="J156" s="7" t="s">
        <v>100</v>
      </c>
      <c r="K156" s="4"/>
      <c r="L156" s="8"/>
      <c r="M156" s="4"/>
      <c r="N156" s="8"/>
      <c r="O156" s="7"/>
      <c r="P156" s="7"/>
    </row>
    <row r="157">
      <c r="A157" s="2" t="s">
        <v>6747</v>
      </c>
      <c r="B157" s="2" t="s">
        <v>2831</v>
      </c>
      <c r="C157" s="2" t="s">
        <v>6919</v>
      </c>
      <c r="D157" s="2" t="s">
        <v>6926</v>
      </c>
      <c r="E157" s="4" t="s">
        <v>100</v>
      </c>
      <c r="F157" s="8" t="s">
        <v>100</v>
      </c>
      <c r="G157" s="4" t="s">
        <v>100</v>
      </c>
      <c r="H157" s="8" t="s">
        <v>100</v>
      </c>
      <c r="I157" s="7" t="s">
        <v>100</v>
      </c>
      <c r="J157" s="7" t="s">
        <v>100</v>
      </c>
      <c r="K157" s="4"/>
      <c r="L157" s="8"/>
      <c r="M157" s="4"/>
      <c r="N157" s="8"/>
      <c r="O157" s="7"/>
      <c r="P157" s="7"/>
    </row>
    <row r="158">
      <c r="A158" s="2" t="s">
        <v>6747</v>
      </c>
      <c r="B158" s="2" t="s">
        <v>2831</v>
      </c>
      <c r="C158" s="2" t="s">
        <v>6931</v>
      </c>
      <c r="D158" s="2" t="s">
        <v>6932</v>
      </c>
      <c r="E158" s="4" t="s">
        <v>100</v>
      </c>
      <c r="F158" s="8" t="s">
        <v>100</v>
      </c>
      <c r="G158" s="4" t="s">
        <v>100</v>
      </c>
      <c r="H158" s="8" t="s">
        <v>100</v>
      </c>
      <c r="I158" s="7" t="s">
        <v>100</v>
      </c>
      <c r="J158" s="7" t="s">
        <v>100</v>
      </c>
      <c r="K158" s="4"/>
      <c r="L158" s="8"/>
      <c r="M158" s="4"/>
      <c r="N158" s="8"/>
      <c r="O158" s="7"/>
      <c r="P158" s="7"/>
    </row>
    <row r="159">
      <c r="A159" s="2" t="s">
        <v>6747</v>
      </c>
      <c r="B159" s="2" t="s">
        <v>2831</v>
      </c>
      <c r="C159" s="2" t="s">
        <v>6931</v>
      </c>
      <c r="D159" s="2" t="s">
        <v>6943</v>
      </c>
      <c r="E159" s="4" t="s">
        <v>100</v>
      </c>
      <c r="F159" s="8" t="s">
        <v>100</v>
      </c>
      <c r="G159" s="4" t="s">
        <v>100</v>
      </c>
      <c r="H159" s="8" t="s">
        <v>100</v>
      </c>
      <c r="I159" s="7" t="s">
        <v>100</v>
      </c>
      <c r="J159" s="7" t="s">
        <v>100</v>
      </c>
      <c r="K159" s="4"/>
      <c r="L159" s="8"/>
      <c r="M159" s="4"/>
      <c r="N159" s="8"/>
      <c r="O159" s="7"/>
      <c r="P159" s="7"/>
    </row>
    <row r="160">
      <c r="A160" s="2" t="s">
        <v>6747</v>
      </c>
      <c r="B160" s="2" t="s">
        <v>2831</v>
      </c>
      <c r="C160" s="2" t="s">
        <v>6949</v>
      </c>
      <c r="D160" s="2" t="s">
        <v>6950</v>
      </c>
      <c r="E160" s="4" t="s">
        <v>100</v>
      </c>
      <c r="F160" s="8" t="s">
        <v>100</v>
      </c>
      <c r="G160" s="4" t="s">
        <v>100</v>
      </c>
      <c r="H160" s="8" t="s">
        <v>100</v>
      </c>
      <c r="I160" s="7" t="s">
        <v>100</v>
      </c>
      <c r="J160" s="7" t="s">
        <v>100</v>
      </c>
      <c r="K160" s="4"/>
      <c r="L160" s="8"/>
      <c r="M160" s="4"/>
      <c r="N160" s="8"/>
      <c r="O160" s="7"/>
      <c r="P160" s="7"/>
    </row>
    <row r="161">
      <c r="A161" s="2" t="s">
        <v>6747</v>
      </c>
      <c r="B161" s="2" t="s">
        <v>2831</v>
      </c>
      <c r="C161" s="2" t="s">
        <v>6949</v>
      </c>
      <c r="D161" s="2" t="s">
        <v>6964</v>
      </c>
      <c r="E161" s="4" t="s">
        <v>100</v>
      </c>
      <c r="F161" s="8" t="s">
        <v>100</v>
      </c>
      <c r="G161" s="4" t="s">
        <v>100</v>
      </c>
      <c r="H161" s="8" t="s">
        <v>100</v>
      </c>
      <c r="I161" s="7" t="s">
        <v>100</v>
      </c>
      <c r="J161" s="7" t="s">
        <v>100</v>
      </c>
      <c r="K161" s="4"/>
      <c r="L161" s="8"/>
      <c r="M161" s="4"/>
      <c r="N161" s="8"/>
      <c r="O161" s="7"/>
      <c r="P161" s="7"/>
    </row>
    <row r="162">
      <c r="A162" s="2" t="s">
        <v>6747</v>
      </c>
      <c r="B162" s="2" t="s">
        <v>2831</v>
      </c>
      <c r="C162" s="2" t="s">
        <v>6949</v>
      </c>
      <c r="D162" s="2" t="s">
        <v>6970</v>
      </c>
      <c r="E162" s="4" t="s">
        <v>100</v>
      </c>
      <c r="F162" s="8" t="s">
        <v>100</v>
      </c>
      <c r="G162" s="4" t="s">
        <v>100</v>
      </c>
      <c r="H162" s="8" t="s">
        <v>100</v>
      </c>
      <c r="I162" s="7" t="s">
        <v>100</v>
      </c>
      <c r="J162" s="7" t="s">
        <v>100</v>
      </c>
      <c r="K162" s="4"/>
      <c r="L162" s="8"/>
      <c r="M162" s="4"/>
      <c r="N162" s="8"/>
      <c r="O162" s="7"/>
      <c r="P162" s="7"/>
    </row>
    <row r="163">
      <c r="A163" s="2" t="s">
        <v>6747</v>
      </c>
      <c r="B163" s="2" t="s">
        <v>2831</v>
      </c>
      <c r="C163" s="2" t="s">
        <v>7012</v>
      </c>
      <c r="D163" s="2" t="s">
        <v>7013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6747</v>
      </c>
      <c r="B164" s="2" t="s">
        <v>2831</v>
      </c>
      <c r="C164" s="2" t="s">
        <v>7024</v>
      </c>
      <c r="D164" s="2" t="s">
        <v>7025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6747</v>
      </c>
      <c r="B165" s="2" t="s">
        <v>2831</v>
      </c>
      <c r="C165" s="2" t="s">
        <v>7035</v>
      </c>
      <c r="D165" s="2" t="s">
        <v>7036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6747</v>
      </c>
      <c r="B166" s="2" t="s">
        <v>2831</v>
      </c>
      <c r="C166" s="2" t="s">
        <v>7104</v>
      </c>
      <c r="D166" s="2" t="s">
        <v>7105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6747</v>
      </c>
      <c r="B167" s="2" t="s">
        <v>2831</v>
      </c>
      <c r="C167" s="2" t="s">
        <v>7140</v>
      </c>
      <c r="D167" s="2" t="s">
        <v>7141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6747</v>
      </c>
      <c r="B168" s="2" t="s">
        <v>2831</v>
      </c>
      <c r="C168" s="2" t="s">
        <v>7146</v>
      </c>
      <c r="D168" s="2" t="s">
        <v>7147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6747</v>
      </c>
      <c r="B169" s="2" t="s">
        <v>2831</v>
      </c>
      <c r="C169" s="2" t="s">
        <v>7152</v>
      </c>
      <c r="D169" s="2" t="s">
        <v>7153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6747</v>
      </c>
      <c r="B170" s="2" t="s">
        <v>2831</v>
      </c>
      <c r="C170" s="2" t="s">
        <v>7162</v>
      </c>
      <c r="D170" s="2" t="s">
        <v>7163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6747</v>
      </c>
      <c r="B171" s="2" t="s">
        <v>2831</v>
      </c>
      <c r="C171" s="2" t="s">
        <v>7179</v>
      </c>
      <c r="D171" s="2" t="s">
        <v>7180</v>
      </c>
      <c r="E171" s="4" t="s">
        <v>100</v>
      </c>
      <c r="F171" s="8" t="s">
        <v>100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/>
      <c r="L171" s="8"/>
      <c r="M171" s="4"/>
      <c r="N171" s="8"/>
      <c r="O171" s="7"/>
      <c r="P171" s="7"/>
    </row>
    <row r="172">
      <c r="A172" s="2" t="s">
        <v>6747</v>
      </c>
      <c r="B172" s="2" t="s">
        <v>2831</v>
      </c>
      <c r="C172" s="2" t="s">
        <v>7179</v>
      </c>
      <c r="D172" s="2" t="s">
        <v>7204</v>
      </c>
      <c r="E172" s="4" t="s">
        <v>100</v>
      </c>
      <c r="F172" s="8" t="s">
        <v>100</v>
      </c>
      <c r="G172" s="4" t="s">
        <v>100</v>
      </c>
      <c r="H172" s="8" t="s">
        <v>100</v>
      </c>
      <c r="I172" s="7" t="s">
        <v>100</v>
      </c>
      <c r="J172" s="7" t="s">
        <v>100</v>
      </c>
      <c r="K172" s="4"/>
      <c r="L172" s="8"/>
      <c r="M172" s="4"/>
      <c r="N172" s="8"/>
      <c r="O172" s="7"/>
      <c r="P172" s="7"/>
    </row>
    <row r="173">
      <c r="A173" s="2" t="s">
        <v>6747</v>
      </c>
      <c r="B173" s="2" t="s">
        <v>2831</v>
      </c>
      <c r="C173" s="2" t="s">
        <v>7179</v>
      </c>
      <c r="D173" s="2" t="s">
        <v>6932</v>
      </c>
      <c r="E173" s="4" t="s">
        <v>100</v>
      </c>
      <c r="F173" s="8" t="s">
        <v>100</v>
      </c>
      <c r="G173" s="4" t="s">
        <v>100</v>
      </c>
      <c r="H173" s="8" t="s">
        <v>100</v>
      </c>
      <c r="I173" s="7" t="s">
        <v>100</v>
      </c>
      <c r="J173" s="7" t="s">
        <v>100</v>
      </c>
      <c r="K173" s="4"/>
      <c r="L173" s="8"/>
      <c r="M173" s="4"/>
      <c r="N173" s="8"/>
      <c r="O173" s="7"/>
      <c r="P173" s="7"/>
    </row>
    <row r="174">
      <c r="A174" s="2" t="s">
        <v>6747</v>
      </c>
      <c r="B174" s="2" t="s">
        <v>2831</v>
      </c>
      <c r="C174" s="2" t="s">
        <v>7223</v>
      </c>
      <c r="D174" s="2" t="s">
        <v>7224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6747</v>
      </c>
      <c r="B175" s="2" t="s">
        <v>2831</v>
      </c>
      <c r="C175" s="2" t="s">
        <v>7228</v>
      </c>
      <c r="D175" s="2" t="s">
        <v>6790</v>
      </c>
      <c r="E175" s="4" t="s">
        <v>100</v>
      </c>
      <c r="F175" s="8" t="s">
        <v>100</v>
      </c>
      <c r="G175" s="4" t="s">
        <v>100</v>
      </c>
      <c r="H175" s="8" t="s">
        <v>100</v>
      </c>
      <c r="I175" s="7" t="s">
        <v>100</v>
      </c>
      <c r="J175" s="7" t="s">
        <v>100</v>
      </c>
      <c r="K175" s="4"/>
      <c r="L175" s="8"/>
      <c r="M175" s="4"/>
      <c r="N175" s="8"/>
      <c r="O175" s="7"/>
      <c r="P175" s="7"/>
    </row>
    <row r="176">
      <c r="A176" s="2" t="s">
        <v>6747</v>
      </c>
      <c r="B176" s="2" t="s">
        <v>2831</v>
      </c>
      <c r="C176" s="2" t="s">
        <v>7228</v>
      </c>
      <c r="D176" s="2" t="s">
        <v>7224</v>
      </c>
      <c r="E176" s="4" t="s">
        <v>100</v>
      </c>
      <c r="F176" s="8" t="s">
        <v>100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/>
      <c r="L176" s="8"/>
      <c r="M176" s="4"/>
      <c r="N176" s="8"/>
      <c r="O176" s="7"/>
      <c r="P176" s="7"/>
    </row>
    <row r="177">
      <c r="A177" s="2" t="s">
        <v>6747</v>
      </c>
      <c r="B177" s="2" t="s">
        <v>88</v>
      </c>
      <c r="C177" s="2" t="s">
        <v>6748</v>
      </c>
      <c r="D177" s="2" t="s">
        <v>6749</v>
      </c>
      <c r="E177" s="4" t="s">
        <v>100</v>
      </c>
      <c r="F177" s="8" t="s">
        <v>100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/>
      <c r="L177" s="8"/>
      <c r="M177" s="4"/>
      <c r="N177" s="8"/>
      <c r="O177" s="7"/>
      <c r="P177" s="7"/>
    </row>
    <row r="178">
      <c r="A178" s="2" t="s">
        <v>6747</v>
      </c>
      <c r="B178" s="2" t="s">
        <v>88</v>
      </c>
      <c r="C178" s="2" t="s">
        <v>6748</v>
      </c>
      <c r="D178" s="2" t="s">
        <v>6765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/>
      <c r="L178" s="8"/>
      <c r="M178" s="4"/>
      <c r="N178" s="8"/>
      <c r="O178" s="7"/>
      <c r="P178" s="7"/>
    </row>
    <row r="179">
      <c r="A179" s="2" t="s">
        <v>6747</v>
      </c>
      <c r="B179" s="2" t="s">
        <v>88</v>
      </c>
      <c r="C179" s="2" t="s">
        <v>6789</v>
      </c>
      <c r="D179" s="2" t="s">
        <v>6800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6747</v>
      </c>
      <c r="B180" s="2" t="s">
        <v>88</v>
      </c>
      <c r="C180" s="2" t="s">
        <v>6919</v>
      </c>
      <c r="D180" s="2" t="s">
        <v>6926</v>
      </c>
      <c r="E180" s="4" t="s">
        <v>100</v>
      </c>
      <c r="F180" s="8" t="s">
        <v>100</v>
      </c>
      <c r="G180" s="4" t="s">
        <v>100</v>
      </c>
      <c r="H180" s="8" t="s">
        <v>100</v>
      </c>
      <c r="I180" s="7" t="s">
        <v>100</v>
      </c>
      <c r="J180" s="7" t="s">
        <v>100</v>
      </c>
      <c r="K180" s="4"/>
      <c r="L180" s="8"/>
      <c r="M180" s="4"/>
      <c r="N180" s="8"/>
      <c r="O180" s="7"/>
      <c r="P180" s="7"/>
    </row>
    <row r="181">
      <c r="A181" s="2" t="s">
        <v>6747</v>
      </c>
      <c r="B181" s="2" t="s">
        <v>88</v>
      </c>
      <c r="C181" s="2" t="s">
        <v>6919</v>
      </c>
      <c r="D181" s="2" t="s">
        <v>7704</v>
      </c>
      <c r="E181" s="4" t="s">
        <v>100</v>
      </c>
      <c r="F181" s="8" t="s">
        <v>100</v>
      </c>
      <c r="G181" s="4" t="s">
        <v>100</v>
      </c>
      <c r="H181" s="8" t="s">
        <v>100</v>
      </c>
      <c r="I181" s="7" t="s">
        <v>100</v>
      </c>
      <c r="J181" s="7" t="s">
        <v>100</v>
      </c>
      <c r="K181" s="4"/>
      <c r="L181" s="8"/>
      <c r="M181" s="4"/>
      <c r="N181" s="8"/>
      <c r="O181" s="7"/>
      <c r="P181" s="7"/>
    </row>
    <row r="182">
      <c r="A182" s="2" t="s">
        <v>6747</v>
      </c>
      <c r="B182" s="2" t="s">
        <v>88</v>
      </c>
      <c r="C182" s="2" t="s">
        <v>6931</v>
      </c>
      <c r="D182" s="2" t="s">
        <v>6932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6747</v>
      </c>
      <c r="B183" s="2" t="s">
        <v>88</v>
      </c>
      <c r="C183" s="2" t="s">
        <v>6949</v>
      </c>
      <c r="D183" s="2" t="s">
        <v>6950</v>
      </c>
      <c r="E183" s="4" t="s">
        <v>100</v>
      </c>
      <c r="F183" s="8" t="s">
        <v>100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/>
      <c r="L183" s="8"/>
      <c r="M183" s="4"/>
      <c r="N183" s="8"/>
      <c r="O183" s="7"/>
      <c r="P183" s="7"/>
    </row>
    <row r="184">
      <c r="A184" s="2" t="s">
        <v>6747</v>
      </c>
      <c r="B184" s="2" t="s">
        <v>88</v>
      </c>
      <c r="C184" s="2" t="s">
        <v>6949</v>
      </c>
      <c r="D184" s="2" t="s">
        <v>6970</v>
      </c>
      <c r="E184" s="4" t="s">
        <v>100</v>
      </c>
      <c r="F184" s="8" t="s">
        <v>100</v>
      </c>
      <c r="G184" s="4" t="s">
        <v>100</v>
      </c>
      <c r="H184" s="8" t="s">
        <v>100</v>
      </c>
      <c r="I184" s="7" t="s">
        <v>100</v>
      </c>
      <c r="J184" s="7" t="s">
        <v>100</v>
      </c>
      <c r="K184" s="4"/>
      <c r="L184" s="8"/>
      <c r="M184" s="4"/>
      <c r="N184" s="8"/>
      <c r="O184" s="7"/>
      <c r="P184" s="7"/>
    </row>
    <row r="185">
      <c r="A185" s="2" t="s">
        <v>6747</v>
      </c>
      <c r="B185" s="2" t="s">
        <v>88</v>
      </c>
      <c r="C185" s="2" t="s">
        <v>7012</v>
      </c>
      <c r="D185" s="2" t="s">
        <v>7013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6747</v>
      </c>
      <c r="B186" s="2" t="s">
        <v>88</v>
      </c>
      <c r="C186" s="2" t="s">
        <v>7984</v>
      </c>
      <c r="D186" s="2" t="s">
        <v>7985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6747</v>
      </c>
      <c r="B187" s="2" t="s">
        <v>88</v>
      </c>
      <c r="C187" s="2" t="s">
        <v>7996</v>
      </c>
      <c r="D187" s="2" t="s">
        <v>7997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6747</v>
      </c>
      <c r="B188" s="2" t="s">
        <v>88</v>
      </c>
      <c r="C188" s="2" t="s">
        <v>8005</v>
      </c>
      <c r="D188" s="2" t="s">
        <v>8006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6747</v>
      </c>
      <c r="B189" s="2" t="s">
        <v>88</v>
      </c>
      <c r="C189" s="2" t="s">
        <v>7035</v>
      </c>
      <c r="D189" s="2" t="s">
        <v>7036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6747</v>
      </c>
      <c r="B190" s="2" t="s">
        <v>88</v>
      </c>
      <c r="C190" s="2" t="s">
        <v>7104</v>
      </c>
      <c r="D190" s="2" t="s">
        <v>7105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6747</v>
      </c>
      <c r="B191" s="2" t="s">
        <v>88</v>
      </c>
      <c r="C191" s="2" t="s">
        <v>7140</v>
      </c>
      <c r="D191" s="2" t="s">
        <v>7141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6747</v>
      </c>
      <c r="B192" s="2" t="s">
        <v>88</v>
      </c>
      <c r="C192" s="2" t="s">
        <v>7146</v>
      </c>
      <c r="D192" s="2" t="s">
        <v>7147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6747</v>
      </c>
      <c r="B193" s="2" t="s">
        <v>88</v>
      </c>
      <c r="C193" s="2" t="s">
        <v>7152</v>
      </c>
      <c r="D193" s="2" t="s">
        <v>8154</v>
      </c>
      <c r="E193" s="4" t="s">
        <v>100</v>
      </c>
      <c r="F193" s="8" t="s">
        <v>100</v>
      </c>
      <c r="G193" s="4" t="s">
        <v>100</v>
      </c>
      <c r="H193" s="8" t="s">
        <v>100</v>
      </c>
      <c r="I193" s="7" t="s">
        <v>100</v>
      </c>
      <c r="J193" s="7" t="s">
        <v>100</v>
      </c>
      <c r="K193" s="4"/>
      <c r="L193" s="8"/>
      <c r="M193" s="4"/>
      <c r="N193" s="8"/>
      <c r="O193" s="7"/>
      <c r="P193" s="7"/>
    </row>
    <row r="194">
      <c r="A194" s="2" t="s">
        <v>6747</v>
      </c>
      <c r="B194" s="2" t="s">
        <v>88</v>
      </c>
      <c r="C194" s="2" t="s">
        <v>7152</v>
      </c>
      <c r="D194" s="2" t="s">
        <v>7153</v>
      </c>
      <c r="E194" s="4" t="s">
        <v>100</v>
      </c>
      <c r="F194" s="8" t="s">
        <v>100</v>
      </c>
      <c r="G194" s="4" t="s">
        <v>100</v>
      </c>
      <c r="H194" s="8" t="s">
        <v>100</v>
      </c>
      <c r="I194" s="7" t="s">
        <v>100</v>
      </c>
      <c r="J194" s="7" t="s">
        <v>100</v>
      </c>
      <c r="K194" s="4"/>
      <c r="L194" s="8"/>
      <c r="M194" s="4"/>
      <c r="N194" s="8"/>
      <c r="O194" s="7"/>
      <c r="P194" s="7"/>
    </row>
    <row r="195">
      <c r="A195" s="2" t="s">
        <v>6747</v>
      </c>
      <c r="B195" s="2" t="s">
        <v>88</v>
      </c>
      <c r="C195" s="2" t="s">
        <v>7152</v>
      </c>
      <c r="D195" s="2" t="s">
        <v>8289</v>
      </c>
      <c r="E195" s="4" t="s">
        <v>100</v>
      </c>
      <c r="F195" s="8" t="s">
        <v>100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/>
      <c r="L195" s="8"/>
      <c r="M195" s="4"/>
      <c r="N195" s="8"/>
      <c r="O195" s="7"/>
      <c r="P195" s="7"/>
    </row>
    <row r="196">
      <c r="A196" s="2" t="s">
        <v>6747</v>
      </c>
      <c r="B196" s="2" t="s">
        <v>88</v>
      </c>
      <c r="C196" s="2" t="s">
        <v>7179</v>
      </c>
      <c r="D196" s="2" t="s">
        <v>7728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/>
      <c r="L196" s="8"/>
      <c r="M196" s="4"/>
      <c r="N196" s="8"/>
      <c r="O196" s="7"/>
      <c r="P196" s="7"/>
    </row>
    <row r="197">
      <c r="A197" s="2" t="s">
        <v>6747</v>
      </c>
      <c r="B197" s="2" t="s">
        <v>88</v>
      </c>
      <c r="C197" s="2" t="s">
        <v>7179</v>
      </c>
      <c r="D197" s="2" t="s">
        <v>7180</v>
      </c>
      <c r="E197" s="4" t="s">
        <v>100</v>
      </c>
      <c r="F197" s="8" t="s">
        <v>100</v>
      </c>
      <c r="G197" s="4" t="s">
        <v>100</v>
      </c>
      <c r="H197" s="8" t="s">
        <v>100</v>
      </c>
      <c r="I197" s="7" t="s">
        <v>100</v>
      </c>
      <c r="J197" s="7" t="s">
        <v>100</v>
      </c>
      <c r="K197" s="4"/>
      <c r="L197" s="8"/>
      <c r="M197" s="4"/>
      <c r="N197" s="8"/>
      <c r="O197" s="7"/>
      <c r="P197" s="7"/>
    </row>
    <row r="198">
      <c r="A198" s="2" t="s">
        <v>6747</v>
      </c>
      <c r="B198" s="2" t="s">
        <v>88</v>
      </c>
      <c r="C198" s="2" t="s">
        <v>7179</v>
      </c>
      <c r="D198" s="2" t="s">
        <v>7204</v>
      </c>
      <c r="E198" s="4" t="s">
        <v>100</v>
      </c>
      <c r="F198" s="8" t="s">
        <v>100</v>
      </c>
      <c r="G198" s="4" t="s">
        <v>100</v>
      </c>
      <c r="H198" s="8" t="s">
        <v>100</v>
      </c>
      <c r="I198" s="7" t="s">
        <v>100</v>
      </c>
      <c r="J198" s="7" t="s">
        <v>100</v>
      </c>
      <c r="K198" s="4"/>
      <c r="L198" s="8"/>
      <c r="M198" s="4"/>
      <c r="N198" s="8"/>
      <c r="O198" s="7"/>
      <c r="P198" s="7"/>
    </row>
    <row r="199">
      <c r="A199" s="2" t="s">
        <v>6747</v>
      </c>
      <c r="B199" s="2" t="s">
        <v>88</v>
      </c>
      <c r="C199" s="2" t="s">
        <v>7179</v>
      </c>
      <c r="D199" s="2" t="s">
        <v>6932</v>
      </c>
      <c r="E199" s="4" t="s">
        <v>100</v>
      </c>
      <c r="F199" s="8" t="s">
        <v>100</v>
      </c>
      <c r="G199" s="4" t="s">
        <v>100</v>
      </c>
      <c r="H199" s="8" t="s">
        <v>100</v>
      </c>
      <c r="I199" s="7" t="s">
        <v>100</v>
      </c>
      <c r="J199" s="7" t="s">
        <v>100</v>
      </c>
      <c r="K199" s="4"/>
      <c r="L199" s="8"/>
      <c r="M199" s="4"/>
      <c r="N199" s="8"/>
      <c r="O199" s="7"/>
      <c r="P199" s="7"/>
    </row>
    <row r="200">
      <c r="A200" s="2" t="s">
        <v>6747</v>
      </c>
      <c r="B200" s="2" t="s">
        <v>88</v>
      </c>
      <c r="C200" s="2" t="s">
        <v>7179</v>
      </c>
      <c r="D200" s="2" t="s">
        <v>8374</v>
      </c>
      <c r="E200" s="4" t="s">
        <v>100</v>
      </c>
      <c r="F200" s="8" t="s">
        <v>100</v>
      </c>
      <c r="G200" s="4" t="s">
        <v>100</v>
      </c>
      <c r="H200" s="8" t="s">
        <v>100</v>
      </c>
      <c r="I200" s="7" t="s">
        <v>100</v>
      </c>
      <c r="J200" s="7" t="s">
        <v>100</v>
      </c>
      <c r="K200" s="4"/>
      <c r="L200" s="8"/>
      <c r="M200" s="4"/>
      <c r="N200" s="8"/>
      <c r="O200" s="7"/>
      <c r="P200" s="7"/>
    </row>
    <row r="201">
      <c r="A201" s="2" t="s">
        <v>6747</v>
      </c>
      <c r="B201" s="2" t="s">
        <v>88</v>
      </c>
      <c r="C201" s="2" t="s">
        <v>7223</v>
      </c>
      <c r="D201" s="2" t="s">
        <v>7224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6747</v>
      </c>
      <c r="B202" s="2" t="s">
        <v>3196</v>
      </c>
      <c r="C202" s="2" t="s">
        <v>6789</v>
      </c>
      <c r="D202" s="2" t="s">
        <v>6800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6747</v>
      </c>
      <c r="B203" s="2" t="s">
        <v>3196</v>
      </c>
      <c r="C203" s="2" t="s">
        <v>6919</v>
      </c>
      <c r="D203" s="2" t="s">
        <v>7704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6747</v>
      </c>
      <c r="B204" s="2" t="s">
        <v>3196</v>
      </c>
      <c r="C204" s="2" t="s">
        <v>8457</v>
      </c>
      <c r="D204" s="2" t="s">
        <v>8458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6747</v>
      </c>
      <c r="B205" s="2" t="s">
        <v>3196</v>
      </c>
      <c r="C205" s="2" t="s">
        <v>7012</v>
      </c>
      <c r="D205" s="2" t="s">
        <v>7013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6747</v>
      </c>
      <c r="B206" s="2" t="s">
        <v>3196</v>
      </c>
      <c r="C206" s="2" t="s">
        <v>7035</v>
      </c>
      <c r="D206" s="2" t="s">
        <v>7036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6747</v>
      </c>
      <c r="B207" s="2" t="s">
        <v>3196</v>
      </c>
      <c r="C207" s="2" t="s">
        <v>7104</v>
      </c>
      <c r="D207" s="2" t="s">
        <v>7105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6747</v>
      </c>
      <c r="B208" s="2" t="s">
        <v>3196</v>
      </c>
      <c r="C208" s="2" t="s">
        <v>8496</v>
      </c>
      <c r="D208" s="2" t="s">
        <v>8497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6747</v>
      </c>
      <c r="B209" s="2" t="s">
        <v>3196</v>
      </c>
      <c r="C209" s="2" t="s">
        <v>7162</v>
      </c>
      <c r="D209" s="2" t="s">
        <v>7163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6747</v>
      </c>
      <c r="B210" s="2" t="s">
        <v>3196</v>
      </c>
      <c r="C210" s="2" t="s">
        <v>7179</v>
      </c>
      <c r="D210" s="2" t="s">
        <v>7180</v>
      </c>
      <c r="E210" s="4" t="s">
        <v>100</v>
      </c>
      <c r="F210" s="8" t="s">
        <v>100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/>
      <c r="L210" s="8"/>
      <c r="M210" s="4"/>
      <c r="N210" s="8"/>
      <c r="O210" s="7"/>
      <c r="P210" s="7"/>
    </row>
    <row r="211">
      <c r="A211" s="2" t="s">
        <v>6747</v>
      </c>
      <c r="B211" s="2" t="s">
        <v>3196</v>
      </c>
      <c r="C211" s="2" t="s">
        <v>7179</v>
      </c>
      <c r="D211" s="2" t="s">
        <v>7204</v>
      </c>
      <c r="E211" s="4" t="s">
        <v>100</v>
      </c>
      <c r="F211" s="8" t="s">
        <v>100</v>
      </c>
      <c r="G211" s="4" t="s">
        <v>100</v>
      </c>
      <c r="H211" s="8" t="s">
        <v>100</v>
      </c>
      <c r="I211" s="7" t="s">
        <v>100</v>
      </c>
      <c r="J211" s="7" t="s">
        <v>100</v>
      </c>
      <c r="K211" s="4"/>
      <c r="L211" s="8"/>
      <c r="M211" s="4"/>
      <c r="N211" s="8"/>
      <c r="O211" s="7"/>
      <c r="P211" s="7"/>
    </row>
    <row r="212">
      <c r="A212" s="2" t="s">
        <v>6747</v>
      </c>
      <c r="B212" s="2" t="s">
        <v>3196</v>
      </c>
      <c r="C212" s="2" t="s">
        <v>7179</v>
      </c>
      <c r="D212" s="2" t="s">
        <v>6932</v>
      </c>
      <c r="E212" s="4" t="s">
        <v>100</v>
      </c>
      <c r="F212" s="8" t="s">
        <v>100</v>
      </c>
      <c r="G212" s="4" t="s">
        <v>100</v>
      </c>
      <c r="H212" s="8" t="s">
        <v>100</v>
      </c>
      <c r="I212" s="7" t="s">
        <v>100</v>
      </c>
      <c r="J212" s="7" t="s">
        <v>100</v>
      </c>
      <c r="K212" s="4"/>
      <c r="L212" s="8"/>
      <c r="M212" s="4"/>
      <c r="N212" s="8"/>
      <c r="O212" s="7"/>
      <c r="P212" s="7"/>
    </row>
    <row r="213">
      <c r="A213" s="2" t="s">
        <v>6747</v>
      </c>
      <c r="B213" s="2" t="s">
        <v>3950</v>
      </c>
      <c r="C213" s="2" t="s">
        <v>6748</v>
      </c>
      <c r="D213" s="2" t="s">
        <v>6749</v>
      </c>
      <c r="E213" s="4" t="s">
        <v>100</v>
      </c>
      <c r="F213" s="8" t="s">
        <v>100</v>
      </c>
      <c r="G213" s="4" t="s">
        <v>100</v>
      </c>
      <c r="H213" s="8" t="s">
        <v>100</v>
      </c>
      <c r="I213" s="7" t="s">
        <v>100</v>
      </c>
      <c r="J213" s="7" t="s">
        <v>100</v>
      </c>
      <c r="K213" s="4"/>
      <c r="L213" s="8"/>
      <c r="M213" s="4"/>
      <c r="N213" s="8"/>
      <c r="O213" s="7"/>
      <c r="P213" s="7"/>
    </row>
    <row r="214">
      <c r="A214" s="2" t="s">
        <v>6747</v>
      </c>
      <c r="B214" s="2" t="s">
        <v>3950</v>
      </c>
      <c r="C214" s="2" t="s">
        <v>6748</v>
      </c>
      <c r="D214" s="2" t="s">
        <v>6765</v>
      </c>
      <c r="E214" s="4" t="s">
        <v>100</v>
      </c>
      <c r="F214" s="8" t="s">
        <v>100</v>
      </c>
      <c r="G214" s="4" t="s">
        <v>100</v>
      </c>
      <c r="H214" s="8" t="s">
        <v>100</v>
      </c>
      <c r="I214" s="7" t="s">
        <v>100</v>
      </c>
      <c r="J214" s="7" t="s">
        <v>100</v>
      </c>
      <c r="K214" s="4"/>
      <c r="L214" s="8"/>
      <c r="M214" s="4"/>
      <c r="N214" s="8"/>
      <c r="O214" s="7"/>
      <c r="P214" s="7"/>
    </row>
    <row r="215">
      <c r="A215" s="2" t="s">
        <v>6747</v>
      </c>
      <c r="B215" s="2" t="s">
        <v>3950</v>
      </c>
      <c r="C215" s="2" t="s">
        <v>6789</v>
      </c>
      <c r="D215" s="2" t="s">
        <v>6796</v>
      </c>
      <c r="E215" s="4" t="s">
        <v>100</v>
      </c>
      <c r="F215" s="8" t="s">
        <v>100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/>
      <c r="L215" s="8"/>
      <c r="M215" s="4"/>
      <c r="N215" s="8"/>
      <c r="O215" s="7"/>
      <c r="P215" s="7"/>
    </row>
    <row r="216">
      <c r="A216" s="2" t="s">
        <v>6747</v>
      </c>
      <c r="B216" s="2" t="s">
        <v>3950</v>
      </c>
      <c r="C216" s="2" t="s">
        <v>6789</v>
      </c>
      <c r="D216" s="2" t="s">
        <v>6800</v>
      </c>
      <c r="E216" s="4" t="s">
        <v>100</v>
      </c>
      <c r="F216" s="8" t="s">
        <v>100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/>
      <c r="L216" s="8"/>
      <c r="M216" s="4"/>
      <c r="N216" s="8"/>
      <c r="O216" s="7"/>
      <c r="P216" s="7"/>
    </row>
    <row r="217">
      <c r="A217" s="2" t="s">
        <v>6747</v>
      </c>
      <c r="B217" s="2" t="s">
        <v>3950</v>
      </c>
      <c r="C217" s="2" t="s">
        <v>6919</v>
      </c>
      <c r="D217" s="2" t="s">
        <v>6926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6747</v>
      </c>
      <c r="B218" s="2" t="s">
        <v>3950</v>
      </c>
      <c r="C218" s="2" t="s">
        <v>8457</v>
      </c>
      <c r="D218" s="2" t="s">
        <v>8458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6747</v>
      </c>
      <c r="B219" s="2" t="s">
        <v>3950</v>
      </c>
      <c r="C219" s="2" t="s">
        <v>6949</v>
      </c>
      <c r="D219" s="2" t="s">
        <v>6970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6747</v>
      </c>
      <c r="B220" s="2" t="s">
        <v>3950</v>
      </c>
      <c r="C220" s="2" t="s">
        <v>8005</v>
      </c>
      <c r="D220" s="2" t="s">
        <v>8006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6747</v>
      </c>
      <c r="B221" s="2" t="s">
        <v>3950</v>
      </c>
      <c r="C221" s="2" t="s">
        <v>7035</v>
      </c>
      <c r="D221" s="2" t="s">
        <v>7036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6747</v>
      </c>
      <c r="B222" s="2" t="s">
        <v>3950</v>
      </c>
      <c r="C222" s="2" t="s">
        <v>7152</v>
      </c>
      <c r="D222" s="2" t="s">
        <v>7153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6747</v>
      </c>
      <c r="B223" s="2" t="s">
        <v>3950</v>
      </c>
      <c r="C223" s="2" t="s">
        <v>7179</v>
      </c>
      <c r="D223" s="2" t="s">
        <v>8634</v>
      </c>
      <c r="E223" s="4" t="s">
        <v>100</v>
      </c>
      <c r="F223" s="8" t="s">
        <v>100</v>
      </c>
      <c r="G223" s="4" t="s">
        <v>100</v>
      </c>
      <c r="H223" s="8" t="s">
        <v>100</v>
      </c>
      <c r="I223" s="7" t="s">
        <v>100</v>
      </c>
      <c r="J223" s="7" t="s">
        <v>100</v>
      </c>
      <c r="K223" s="4"/>
      <c r="L223" s="8"/>
      <c r="M223" s="4"/>
      <c r="N223" s="8"/>
      <c r="O223" s="7"/>
      <c r="P223" s="7"/>
    </row>
    <row r="224">
      <c r="A224" s="2" t="s">
        <v>6747</v>
      </c>
      <c r="B224" s="2" t="s">
        <v>3950</v>
      </c>
      <c r="C224" s="2" t="s">
        <v>7179</v>
      </c>
      <c r="D224" s="2" t="s">
        <v>7180</v>
      </c>
      <c r="E224" s="4" t="s">
        <v>100</v>
      </c>
      <c r="F224" s="8" t="s">
        <v>100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/>
      <c r="L224" s="8"/>
      <c r="M224" s="4"/>
      <c r="N224" s="8"/>
      <c r="O224" s="7"/>
      <c r="P224" s="7"/>
    </row>
    <row r="225">
      <c r="A225" s="2" t="s">
        <v>6747</v>
      </c>
      <c r="B225" s="2" t="s">
        <v>3950</v>
      </c>
      <c r="C225" s="2" t="s">
        <v>7179</v>
      </c>
      <c r="D225" s="2" t="s">
        <v>7204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/>
      <c r="L225" s="8"/>
      <c r="M225" s="4"/>
      <c r="N225" s="8"/>
      <c r="O225" s="7"/>
      <c r="P225" s="7"/>
    </row>
    <row r="226">
      <c r="A226" s="2" t="s">
        <v>6747</v>
      </c>
      <c r="B226" s="2" t="s">
        <v>3950</v>
      </c>
      <c r="C226" s="2" t="s">
        <v>7179</v>
      </c>
      <c r="D226" s="2" t="s">
        <v>8374</v>
      </c>
      <c r="E226" s="4" t="s">
        <v>100</v>
      </c>
      <c r="F226" s="8" t="s">
        <v>100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/>
      <c r="L226" s="8"/>
      <c r="M226" s="4"/>
      <c r="N226" s="8"/>
      <c r="O226" s="7"/>
      <c r="P226" s="7"/>
    </row>
    <row r="227">
      <c r="A227" s="2" t="s">
        <v>6747</v>
      </c>
      <c r="B227" s="2" t="s">
        <v>3950</v>
      </c>
      <c r="C227" s="2" t="s">
        <v>7223</v>
      </c>
      <c r="D227" s="2" t="s">
        <v>7224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8691</v>
      </c>
      <c r="B228" s="2" t="s">
        <v>2238</v>
      </c>
      <c r="C228" s="2" t="s">
        <v>8692</v>
      </c>
      <c r="D228" s="2" t="s">
        <v>8693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8691</v>
      </c>
      <c r="B229" s="2" t="s">
        <v>2536</v>
      </c>
      <c r="C229" s="2" t="s">
        <v>8759</v>
      </c>
      <c r="D229" s="2" t="s">
        <v>8760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8691</v>
      </c>
      <c r="B230" s="2" t="s">
        <v>2536</v>
      </c>
      <c r="C230" s="2" t="s">
        <v>8778</v>
      </c>
      <c r="D230" s="2" t="s">
        <v>8779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8691</v>
      </c>
      <c r="B231" s="2" t="s">
        <v>2536</v>
      </c>
      <c r="C231" s="2" t="s">
        <v>8795</v>
      </c>
      <c r="D231" s="2" t="s">
        <v>8796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8691</v>
      </c>
      <c r="B232" s="2" t="s">
        <v>2536</v>
      </c>
      <c r="C232" s="2" t="s">
        <v>8813</v>
      </c>
      <c r="D232" s="2" t="s">
        <v>8814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8691</v>
      </c>
      <c r="B233" s="2" t="s">
        <v>2536</v>
      </c>
      <c r="C233" s="2" t="s">
        <v>8692</v>
      </c>
      <c r="D233" s="2" t="s">
        <v>8693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8691</v>
      </c>
      <c r="B234" s="2" t="s">
        <v>2831</v>
      </c>
      <c r="C234" s="2" t="s">
        <v>8759</v>
      </c>
      <c r="D234" s="2" t="s">
        <v>8760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8691</v>
      </c>
      <c r="B235" s="2" t="s">
        <v>2831</v>
      </c>
      <c r="C235" s="2" t="s">
        <v>8778</v>
      </c>
      <c r="D235" s="2" t="s">
        <v>8779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8691</v>
      </c>
      <c r="B236" s="2" t="s">
        <v>2831</v>
      </c>
      <c r="C236" s="2" t="s">
        <v>8888</v>
      </c>
      <c r="D236" s="2" t="s">
        <v>8889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8691</v>
      </c>
      <c r="B237" s="2" t="s">
        <v>2831</v>
      </c>
      <c r="C237" s="2" t="s">
        <v>8813</v>
      </c>
      <c r="D237" s="2" t="s">
        <v>8814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8691</v>
      </c>
      <c r="B238" s="2" t="s">
        <v>2831</v>
      </c>
      <c r="C238" s="2" t="s">
        <v>8692</v>
      </c>
      <c r="D238" s="2" t="s">
        <v>8693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8691</v>
      </c>
      <c r="B239" s="2" t="s">
        <v>3950</v>
      </c>
      <c r="C239" s="2" t="s">
        <v>8778</v>
      </c>
      <c r="D239" s="2" t="s">
        <v>8779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8691</v>
      </c>
      <c r="B240" s="2" t="s">
        <v>3950</v>
      </c>
      <c r="C240" s="2" t="s">
        <v>8692</v>
      </c>
      <c r="D240" s="2" t="s">
        <v>8693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8691</v>
      </c>
      <c r="B241" s="2" t="s">
        <v>4028</v>
      </c>
      <c r="C241" s="2" t="s">
        <v>8759</v>
      </c>
      <c r="D241" s="2" t="s">
        <v>8760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8691</v>
      </c>
      <c r="B242" s="2" t="s">
        <v>4028</v>
      </c>
      <c r="C242" s="2" t="s">
        <v>8778</v>
      </c>
      <c r="D242" s="2" t="s">
        <v>8779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8691</v>
      </c>
      <c r="B243" s="2" t="s">
        <v>4028</v>
      </c>
      <c r="C243" s="2" t="s">
        <v>8692</v>
      </c>
      <c r="D243" s="2" t="s">
        <v>8693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8987</v>
      </c>
      <c r="B244" s="2" t="s">
        <v>8988</v>
      </c>
      <c r="C244" s="2" t="s">
        <v>8989</v>
      </c>
      <c r="D244" s="2" t="s">
        <v>8990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9043</v>
      </c>
      <c r="B245" s="2" t="s">
        <v>5095</v>
      </c>
      <c r="C245" s="2" t="s">
        <v>9044</v>
      </c>
      <c r="D245" s="2" t="s">
        <v>9045</v>
      </c>
      <c r="E245" s="4">
        <v>40</v>
      </c>
      <c r="F245" s="8">
        <v>1235.72</v>
      </c>
      <c r="G245" s="4"/>
      <c r="H245" s="8"/>
      <c r="I245" s="7"/>
      <c r="J245" s="7"/>
      <c r="K245" s="4">
        <v>40</v>
      </c>
      <c r="L245" s="8">
        <v>1235.72</v>
      </c>
      <c r="M245" s="4"/>
      <c r="N245" s="8"/>
      <c r="O245" s="7"/>
      <c r="P245" s="7"/>
    </row>
    <row r="246">
      <c r="A246" s="2" t="s">
        <v>9043</v>
      </c>
      <c r="B246" s="2" t="s">
        <v>88</v>
      </c>
      <c r="C246" s="2" t="s">
        <v>9044</v>
      </c>
      <c r="D246" s="2" t="s">
        <v>9045</v>
      </c>
      <c r="E246" s="4">
        <v>39</v>
      </c>
      <c r="F246" s="8">
        <v>1128.23</v>
      </c>
      <c r="G246" s="4"/>
      <c r="H246" s="8"/>
      <c r="I246" s="7"/>
      <c r="J246" s="7"/>
      <c r="K246" s="4">
        <v>39</v>
      </c>
      <c r="L246" s="8">
        <v>1128.23</v>
      </c>
      <c r="M246" s="4"/>
      <c r="N246" s="8"/>
      <c r="O246" s="7"/>
      <c r="P246" s="7"/>
    </row>
    <row r="247">
      <c r="A247" s="2" t="s">
        <v>9043</v>
      </c>
      <c r="B247" s="2" t="s">
        <v>88</v>
      </c>
      <c r="C247" s="2" t="s">
        <v>4459</v>
      </c>
      <c r="D247" s="2" t="s">
        <v>6681</v>
      </c>
      <c r="E247" s="4">
        <v>1</v>
      </c>
      <c r="F247" s="8">
        <v>23.68</v>
      </c>
      <c r="G247" s="4"/>
      <c r="H247" s="8"/>
      <c r="I247" s="7"/>
      <c r="J247" s="7"/>
      <c r="K247" s="4">
        <v>1</v>
      </c>
      <c r="L247" s="8">
        <v>23.68</v>
      </c>
      <c r="M247" s="4"/>
      <c r="N247" s="8"/>
      <c r="O247" s="7"/>
      <c r="P247" s="7"/>
    </row>
    <row r="248">
      <c r="A248" s="2" t="s">
        <v>9043</v>
      </c>
      <c r="B248" s="2" t="s">
        <v>1797</v>
      </c>
      <c r="C248" s="2" t="s">
        <v>9044</v>
      </c>
      <c r="D248" s="2" t="s">
        <v>9045</v>
      </c>
      <c r="E248" s="4">
        <v>42</v>
      </c>
      <c r="F248" s="8">
        <v>883.15</v>
      </c>
      <c r="G248" s="4"/>
      <c r="H248" s="8"/>
      <c r="I248" s="7"/>
      <c r="J248" s="7"/>
      <c r="K248" s="4">
        <v>42</v>
      </c>
      <c r="L248" s="8">
        <v>883.15</v>
      </c>
      <c r="M248" s="4"/>
      <c r="N248" s="8"/>
      <c r="O248" s="7"/>
      <c r="P248" s="7"/>
    </row>
    <row r="249">
      <c r="A249" s="2" t="s">
        <v>9043</v>
      </c>
      <c r="B249" s="2" t="s">
        <v>1797</v>
      </c>
      <c r="C249" s="2" t="s">
        <v>4459</v>
      </c>
      <c r="D249" s="2" t="s">
        <v>6681</v>
      </c>
      <c r="E249" s="4">
        <v>2</v>
      </c>
      <c r="F249" s="8">
        <v>10.4</v>
      </c>
      <c r="G249" s="4"/>
      <c r="H249" s="8"/>
      <c r="I249" s="7"/>
      <c r="J249" s="7"/>
      <c r="K249" s="4">
        <v>2</v>
      </c>
      <c r="L249" s="8">
        <v>10.4</v>
      </c>
      <c r="M249" s="4"/>
      <c r="N249" s="8"/>
      <c r="O249" s="7"/>
      <c r="P249" s="7"/>
    </row>
    <row r="250">
      <c r="A250" s="2" t="s">
        <v>9043</v>
      </c>
      <c r="B250" s="2" t="s">
        <v>3449</v>
      </c>
      <c r="C250" s="2" t="s">
        <v>9044</v>
      </c>
      <c r="D250" s="2" t="s">
        <v>9045</v>
      </c>
      <c r="E250" s="4">
        <v>47</v>
      </c>
      <c r="F250" s="8">
        <v>741.63</v>
      </c>
      <c r="G250" s="4"/>
      <c r="H250" s="8"/>
      <c r="I250" s="7"/>
      <c r="J250" s="7"/>
      <c r="K250" s="4">
        <v>47</v>
      </c>
      <c r="L250" s="8">
        <v>741.63</v>
      </c>
      <c r="M250" s="4"/>
      <c r="N250" s="8"/>
      <c r="O250" s="7"/>
      <c r="P250" s="7"/>
    </row>
    <row r="251">
      <c r="A251" s="2" t="s">
        <v>9043</v>
      </c>
      <c r="B251" s="2" t="s">
        <v>4466</v>
      </c>
      <c r="C251" s="2" t="s">
        <v>9044</v>
      </c>
      <c r="D251" s="2" t="s">
        <v>9045</v>
      </c>
      <c r="E251" s="4">
        <v>29</v>
      </c>
      <c r="F251" s="8">
        <v>585.21</v>
      </c>
      <c r="G251" s="4"/>
      <c r="H251" s="8"/>
      <c r="I251" s="7"/>
      <c r="J251" s="7"/>
      <c r="K251" s="4">
        <v>29</v>
      </c>
      <c r="L251" s="8">
        <v>585.21</v>
      </c>
      <c r="M251" s="4"/>
      <c r="N251" s="8"/>
      <c r="O251" s="7"/>
      <c r="P251" s="7"/>
    </row>
    <row r="252">
      <c r="A252" s="2" t="s">
        <v>9043</v>
      </c>
      <c r="B252" s="2" t="s">
        <v>2357</v>
      </c>
      <c r="C252" s="2" t="s">
        <v>9044</v>
      </c>
      <c r="D252" s="2" t="s">
        <v>9045</v>
      </c>
      <c r="E252" s="4">
        <v>6</v>
      </c>
      <c r="F252" s="8">
        <v>159.42</v>
      </c>
      <c r="G252" s="4"/>
      <c r="H252" s="8"/>
      <c r="I252" s="7"/>
      <c r="J252" s="7"/>
      <c r="K252" s="4">
        <v>6</v>
      </c>
      <c r="L252" s="8">
        <v>159.42</v>
      </c>
      <c r="M252" s="4"/>
      <c r="N252" s="8"/>
      <c r="O252" s="7"/>
      <c r="P252" s="7"/>
    </row>
    <row r="253">
      <c r="A253" s="2" t="s">
        <v>9043</v>
      </c>
      <c r="B253" s="2" t="s">
        <v>10487</v>
      </c>
      <c r="C253" s="2" t="s">
        <v>9044</v>
      </c>
      <c r="D253" s="2" t="s">
        <v>9045</v>
      </c>
      <c r="E253" s="4">
        <v>1</v>
      </c>
      <c r="F253" s="8">
        <v>21</v>
      </c>
      <c r="G253" s="4"/>
      <c r="H253" s="8"/>
      <c r="I253" s="7"/>
      <c r="J253" s="7"/>
      <c r="K253" s="4">
        <v>1</v>
      </c>
      <c r="L253" s="8">
        <v>21</v>
      </c>
      <c r="M253" s="4"/>
      <c r="N253" s="8"/>
      <c r="O253" s="7"/>
      <c r="P253" s="7"/>
    </row>
    <row r="254">
      <c r="A254" s="2" t="s">
        <v>9043</v>
      </c>
      <c r="B254" s="2" t="s">
        <v>4042</v>
      </c>
      <c r="C254" s="2" t="s">
        <v>9044</v>
      </c>
      <c r="D254" s="2" t="s">
        <v>9045</v>
      </c>
      <c r="E254" s="4">
        <v>1</v>
      </c>
      <c r="F254" s="8">
        <v>17.01</v>
      </c>
      <c r="G254" s="4"/>
      <c r="H254" s="8"/>
      <c r="I254" s="7"/>
      <c r="J254" s="7"/>
      <c r="K254" s="4">
        <v>1</v>
      </c>
      <c r="L254" s="8">
        <v>17.01</v>
      </c>
      <c r="M254" s="4"/>
      <c r="N254" s="8"/>
      <c r="O254" s="7"/>
      <c r="P254" s="7"/>
    </row>
    <row r="255">
      <c r="A255" s="2" t="s">
        <v>9043</v>
      </c>
      <c r="B255" s="2" t="s">
        <v>4028</v>
      </c>
      <c r="C255" s="2" t="s">
        <v>9044</v>
      </c>
      <c r="D255" s="2" t="s">
        <v>9045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10550</v>
      </c>
      <c r="B256" s="2" t="s">
        <v>88</v>
      </c>
      <c r="C256" s="2" t="s">
        <v>10551</v>
      </c>
      <c r="D256" s="2" t="s">
        <v>4949</v>
      </c>
      <c r="E256" s="4">
        <v>19</v>
      </c>
      <c r="F256" s="8">
        <v>493.95</v>
      </c>
      <c r="G256" s="4"/>
      <c r="H256" s="8"/>
      <c r="I256" s="7"/>
      <c r="J256" s="7"/>
      <c r="K256" s="4">
        <v>19</v>
      </c>
      <c r="L256" s="8">
        <v>493.95</v>
      </c>
      <c r="M256" s="4"/>
      <c r="N256" s="8"/>
      <c r="O256" s="7"/>
      <c r="P256" s="7"/>
    </row>
    <row r="257">
      <c r="A257" s="2" t="s">
        <v>10550</v>
      </c>
      <c r="B257" s="2" t="s">
        <v>3196</v>
      </c>
      <c r="C257" s="2" t="s">
        <v>10551</v>
      </c>
      <c r="D257" s="2" t="s">
        <v>4949</v>
      </c>
      <c r="E257" s="4">
        <v>5</v>
      </c>
      <c r="F257" s="8">
        <v>175.23</v>
      </c>
      <c r="G257" s="4"/>
      <c r="H257" s="8"/>
      <c r="I257" s="7"/>
      <c r="J257" s="7"/>
      <c r="K257" s="4">
        <v>5</v>
      </c>
      <c r="L257" s="8">
        <v>175.23</v>
      </c>
      <c r="M257" s="4"/>
      <c r="N257" s="8"/>
      <c r="O257" s="7"/>
      <c r="P257" s="7"/>
    </row>
    <row r="258">
      <c r="A258" s="2" t="s">
        <v>10550</v>
      </c>
      <c r="B258" s="2" t="s">
        <v>1797</v>
      </c>
      <c r="C258" s="2" t="s">
        <v>10551</v>
      </c>
      <c r="D258" s="2" t="s">
        <v>4949</v>
      </c>
      <c r="E258" s="4">
        <v>3</v>
      </c>
      <c r="F258" s="8">
        <v>57.15</v>
      </c>
      <c r="G258" s="4"/>
      <c r="H258" s="8"/>
      <c r="I258" s="7"/>
      <c r="J258" s="7"/>
      <c r="K258" s="4">
        <v>3</v>
      </c>
      <c r="L258" s="8">
        <v>57.15</v>
      </c>
      <c r="M258" s="4"/>
      <c r="N258" s="8"/>
      <c r="O258" s="7"/>
      <c r="P258" s="7"/>
    </row>
    <row r="259">
      <c r="A259" s="2" t="s">
        <v>10550</v>
      </c>
      <c r="B259" s="2" t="s">
        <v>2238</v>
      </c>
      <c r="C259" s="2" t="s">
        <v>10551</v>
      </c>
      <c r="D259" s="2" t="s">
        <v>4949</v>
      </c>
      <c r="E259" s="4">
        <v>2</v>
      </c>
      <c r="F259" s="8">
        <v>46.2</v>
      </c>
      <c r="G259" s="4"/>
      <c r="H259" s="8"/>
      <c r="I259" s="7"/>
      <c r="J259" s="7"/>
      <c r="K259" s="4">
        <v>2</v>
      </c>
      <c r="L259" s="8">
        <v>46.2</v>
      </c>
      <c r="M259" s="4"/>
      <c r="N259" s="8"/>
      <c r="O259" s="7"/>
      <c r="P259" s="7"/>
    </row>
    <row r="260">
      <c r="A260" s="2" t="s">
        <v>10550</v>
      </c>
      <c r="B260" s="2" t="s">
        <v>5095</v>
      </c>
      <c r="C260" s="2" t="s">
        <v>10551</v>
      </c>
      <c r="D260" s="2" t="s">
        <v>4949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10550</v>
      </c>
      <c r="B261" s="2" t="s">
        <v>2517</v>
      </c>
      <c r="C261" s="2" t="s">
        <v>10551</v>
      </c>
      <c r="D261" s="2" t="s">
        <v>4949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10807</v>
      </c>
      <c r="B262" s="2" t="s">
        <v>88</v>
      </c>
      <c r="C262" s="2" t="s">
        <v>2572</v>
      </c>
      <c r="D262" s="2" t="s">
        <v>2573</v>
      </c>
      <c r="E262" s="4">
        <v>71</v>
      </c>
      <c r="F262" s="8">
        <v>1235.73</v>
      </c>
      <c r="G262" s="4" t="s">
        <v>100</v>
      </c>
      <c r="H262" s="8" t="s">
        <v>100</v>
      </c>
      <c r="I262" s="7" t="s">
        <v>100</v>
      </c>
      <c r="J262" s="7" t="s">
        <v>100</v>
      </c>
      <c r="K262" s="4">
        <v>40</v>
      </c>
      <c r="L262" s="8">
        <v>738.69</v>
      </c>
      <c r="M262" s="4"/>
      <c r="N262" s="8"/>
      <c r="O262" s="7"/>
      <c r="P262" s="7"/>
    </row>
    <row r="263">
      <c r="A263" s="2" t="s">
        <v>10807</v>
      </c>
      <c r="B263" s="2" t="s">
        <v>88</v>
      </c>
      <c r="C263" s="2" t="s">
        <v>2572</v>
      </c>
      <c r="D263" s="2" t="s">
        <v>10992</v>
      </c>
      <c r="E263" s="4" t="s">
        <v>100</v>
      </c>
      <c r="F263" s="8" t="s">
        <v>100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>
        <v>25</v>
      </c>
      <c r="L263" s="8">
        <v>393.51</v>
      </c>
      <c r="M263" s="4"/>
      <c r="N263" s="8"/>
      <c r="O263" s="7"/>
      <c r="P263" s="7"/>
    </row>
    <row r="264">
      <c r="A264" s="2" t="s">
        <v>10807</v>
      </c>
      <c r="B264" s="2" t="s">
        <v>88</v>
      </c>
      <c r="C264" s="2" t="s">
        <v>2572</v>
      </c>
      <c r="D264" s="2" t="s">
        <v>11041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>
        <v>4</v>
      </c>
      <c r="L264" s="8">
        <v>76.86</v>
      </c>
      <c r="M264" s="4"/>
      <c r="N264" s="8"/>
      <c r="O264" s="7"/>
      <c r="P264" s="7"/>
    </row>
    <row r="265">
      <c r="A265" s="2" t="s">
        <v>10807</v>
      </c>
      <c r="B265" s="2" t="s">
        <v>88</v>
      </c>
      <c r="C265" s="2" t="s">
        <v>2572</v>
      </c>
      <c r="D265" s="2" t="s">
        <v>10999</v>
      </c>
      <c r="E265" s="4" t="s">
        <v>100</v>
      </c>
      <c r="F265" s="8" t="s">
        <v>100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2</v>
      </c>
      <c r="L265" s="8">
        <v>26.67</v>
      </c>
      <c r="M265" s="4"/>
      <c r="N265" s="8"/>
      <c r="O265" s="7"/>
      <c r="P265" s="7"/>
    </row>
    <row r="266">
      <c r="A266" s="2" t="s">
        <v>10807</v>
      </c>
      <c r="B266" s="2" t="s">
        <v>88</v>
      </c>
      <c r="C266" s="2" t="s">
        <v>2572</v>
      </c>
      <c r="D266" s="2" t="s">
        <v>11165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/>
      <c r="L266" s="8"/>
      <c r="M266" s="4"/>
      <c r="N266" s="8"/>
      <c r="O266" s="7"/>
      <c r="P266" s="7"/>
    </row>
    <row r="267">
      <c r="A267" s="2" t="s">
        <v>10807</v>
      </c>
      <c r="B267" s="2" t="s">
        <v>88</v>
      </c>
      <c r="C267" s="2" t="s">
        <v>2572</v>
      </c>
      <c r="D267" s="2" t="s">
        <v>11201</v>
      </c>
      <c r="E267" s="4" t="s">
        <v>100</v>
      </c>
      <c r="F267" s="8" t="s">
        <v>100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/>
      <c r="L267" s="8"/>
      <c r="M267" s="4"/>
      <c r="N267" s="8"/>
      <c r="O267" s="7"/>
      <c r="P267" s="7"/>
    </row>
    <row r="268">
      <c r="A268" s="2" t="s">
        <v>10807</v>
      </c>
      <c r="B268" s="2" t="s">
        <v>88</v>
      </c>
      <c r="C268" s="2" t="s">
        <v>2566</v>
      </c>
      <c r="D268" s="2" t="s">
        <v>2567</v>
      </c>
      <c r="E268" s="4">
        <v>13</v>
      </c>
      <c r="F268" s="8">
        <v>147.27</v>
      </c>
      <c r="G268" s="4"/>
      <c r="H268" s="8"/>
      <c r="I268" s="7"/>
      <c r="J268" s="7"/>
      <c r="K268" s="4">
        <v>13</v>
      </c>
      <c r="L268" s="8">
        <v>147.27</v>
      </c>
      <c r="M268" s="4"/>
      <c r="N268" s="8"/>
      <c r="O268" s="7"/>
      <c r="P268" s="7"/>
    </row>
    <row r="269">
      <c r="A269" s="2" t="s">
        <v>10807</v>
      </c>
      <c r="B269" s="2" t="s">
        <v>11402</v>
      </c>
      <c r="C269" s="2" t="s">
        <v>2572</v>
      </c>
      <c r="D269" s="2" t="s">
        <v>2573</v>
      </c>
      <c r="E269" s="4">
        <v>30</v>
      </c>
      <c r="F269" s="8">
        <v>471.14</v>
      </c>
      <c r="G269" s="4" t="s">
        <v>100</v>
      </c>
      <c r="H269" s="8" t="s">
        <v>100</v>
      </c>
      <c r="I269" s="7" t="s">
        <v>100</v>
      </c>
      <c r="J269" s="7" t="s">
        <v>100</v>
      </c>
      <c r="K269" s="4">
        <v>30</v>
      </c>
      <c r="L269" s="8">
        <v>471.14</v>
      </c>
      <c r="M269" s="4"/>
      <c r="N269" s="8"/>
      <c r="O269" s="7"/>
      <c r="P269" s="7"/>
    </row>
    <row r="270">
      <c r="A270" s="2" t="s">
        <v>10807</v>
      </c>
      <c r="B270" s="2" t="s">
        <v>11402</v>
      </c>
      <c r="C270" s="2" t="s">
        <v>2572</v>
      </c>
      <c r="D270" s="2" t="s">
        <v>11165</v>
      </c>
      <c r="E270" s="4" t="s">
        <v>100</v>
      </c>
      <c r="F270" s="8" t="s">
        <v>100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/>
      <c r="L270" s="8"/>
      <c r="M270" s="4"/>
      <c r="N270" s="8"/>
      <c r="O270" s="7"/>
      <c r="P270" s="7"/>
    </row>
    <row r="271">
      <c r="A271" s="2" t="s">
        <v>10807</v>
      </c>
      <c r="B271" s="2" t="s">
        <v>3449</v>
      </c>
      <c r="C271" s="2" t="s">
        <v>2572</v>
      </c>
      <c r="D271" s="2" t="s">
        <v>2573</v>
      </c>
      <c r="E271" s="4">
        <v>2</v>
      </c>
      <c r="F271" s="8">
        <v>35.28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2</v>
      </c>
      <c r="L271" s="8">
        <v>35.28</v>
      </c>
      <c r="M271" s="4"/>
      <c r="N271" s="8"/>
      <c r="O271" s="7"/>
      <c r="P271" s="7"/>
    </row>
    <row r="272">
      <c r="A272" s="2" t="s">
        <v>10807</v>
      </c>
      <c r="B272" s="2" t="s">
        <v>3449</v>
      </c>
      <c r="C272" s="2" t="s">
        <v>2572</v>
      </c>
      <c r="D272" s="2" t="s">
        <v>11165</v>
      </c>
      <c r="E272" s="4" t="s">
        <v>100</v>
      </c>
      <c r="F272" s="8" t="s">
        <v>100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/>
      <c r="L272" s="8"/>
      <c r="M272" s="4"/>
      <c r="N272" s="8"/>
      <c r="O272" s="7"/>
      <c r="P272" s="7"/>
    </row>
    <row r="273">
      <c r="A273" s="2" t="s">
        <v>10807</v>
      </c>
      <c r="B273" s="2" t="s">
        <v>3449</v>
      </c>
      <c r="C273" s="2" t="s">
        <v>11546</v>
      </c>
      <c r="D273" s="2" t="s">
        <v>11547</v>
      </c>
      <c r="E273" s="4" t="s">
        <v>100</v>
      </c>
      <c r="F273" s="8" t="s">
        <v>100</v>
      </c>
      <c r="G273" s="4" t="s">
        <v>100</v>
      </c>
      <c r="H273" s="8" t="s">
        <v>100</v>
      </c>
      <c r="I273" s="7" t="s">
        <v>100</v>
      </c>
      <c r="J273" s="7" t="s">
        <v>100</v>
      </c>
      <c r="K273" s="4"/>
      <c r="L273" s="8"/>
      <c r="M273" s="4"/>
      <c r="N273" s="8"/>
      <c r="O273" s="7"/>
      <c r="P273" s="7"/>
    </row>
    <row r="274">
      <c r="A274" s="2" t="s">
        <v>10807</v>
      </c>
      <c r="B274" s="2" t="s">
        <v>3449</v>
      </c>
      <c r="C274" s="2" t="s">
        <v>11546</v>
      </c>
      <c r="D274" s="2" t="s">
        <v>11562</v>
      </c>
      <c r="E274" s="4" t="s">
        <v>100</v>
      </c>
      <c r="F274" s="8" t="s">
        <v>100</v>
      </c>
      <c r="G274" s="4" t="s">
        <v>100</v>
      </c>
      <c r="H274" s="8" t="s">
        <v>100</v>
      </c>
      <c r="I274" s="7" t="s">
        <v>100</v>
      </c>
      <c r="J274" s="7" t="s">
        <v>100</v>
      </c>
      <c r="K274" s="4"/>
      <c r="L274" s="8"/>
      <c r="M274" s="4"/>
      <c r="N274" s="8"/>
      <c r="O274" s="7"/>
      <c r="P274" s="7"/>
    </row>
    <row r="275">
      <c r="A275" s="2" t="s">
        <v>10807</v>
      </c>
      <c r="B275" s="2" t="s">
        <v>11573</v>
      </c>
      <c r="C275" s="2" t="s">
        <v>2572</v>
      </c>
      <c r="D275" s="2" t="s">
        <v>2573</v>
      </c>
      <c r="E275" s="4">
        <v>1</v>
      </c>
      <c r="F275" s="8">
        <v>14.81</v>
      </c>
      <c r="G275" s="4"/>
      <c r="H275" s="8"/>
      <c r="I275" s="7"/>
      <c r="J275" s="7"/>
      <c r="K275" s="4">
        <v>1</v>
      </c>
      <c r="L275" s="8">
        <v>14.81</v>
      </c>
      <c r="M275" s="4"/>
      <c r="N275" s="8"/>
      <c r="O275" s="7"/>
      <c r="P275" s="7"/>
    </row>
    <row r="276">
      <c r="A276" s="2" t="s">
        <v>10807</v>
      </c>
      <c r="B276" s="2" t="s">
        <v>2238</v>
      </c>
      <c r="C276" s="2" t="s">
        <v>2572</v>
      </c>
      <c r="D276" s="2" t="s">
        <v>11165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10807</v>
      </c>
      <c r="B277" s="2" t="s">
        <v>2831</v>
      </c>
      <c r="C277" s="2" t="s">
        <v>2572</v>
      </c>
      <c r="D277" s="2" t="s">
        <v>2573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11630</v>
      </c>
      <c r="B278" s="2" t="s">
        <v>3449</v>
      </c>
      <c r="C278" s="2" t="s">
        <v>89</v>
      </c>
      <c r="D278" s="2" t="s">
        <v>90</v>
      </c>
      <c r="E278" s="4">
        <v>90</v>
      </c>
      <c r="F278" s="8">
        <v>3463.08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>
        <v>50</v>
      </c>
      <c r="L278" s="8">
        <v>2020.88</v>
      </c>
      <c r="M278" s="4"/>
      <c r="N278" s="8"/>
      <c r="O278" s="7"/>
      <c r="P278" s="7"/>
    </row>
    <row r="279">
      <c r="A279" s="2" t="s">
        <v>11630</v>
      </c>
      <c r="B279" s="2" t="s">
        <v>3449</v>
      </c>
      <c r="C279" s="2" t="s">
        <v>89</v>
      </c>
      <c r="D279" s="2" t="s">
        <v>811</v>
      </c>
      <c r="E279" s="4" t="s">
        <v>100</v>
      </c>
      <c r="F279" s="8" t="s">
        <v>100</v>
      </c>
      <c r="G279" s="4" t="s">
        <v>100</v>
      </c>
      <c r="H279" s="8" t="s">
        <v>100</v>
      </c>
      <c r="I279" s="7" t="s">
        <v>100</v>
      </c>
      <c r="J279" s="7" t="s">
        <v>100</v>
      </c>
      <c r="K279" s="4">
        <v>40</v>
      </c>
      <c r="L279" s="8">
        <v>1442.2</v>
      </c>
      <c r="M279" s="4"/>
      <c r="N279" s="8"/>
      <c r="O279" s="7"/>
      <c r="P279" s="7"/>
    </row>
    <row r="280">
      <c r="A280" s="2" t="s">
        <v>11630</v>
      </c>
      <c r="B280" s="2" t="s">
        <v>3449</v>
      </c>
      <c r="C280" s="2" t="s">
        <v>89</v>
      </c>
      <c r="D280" s="2" t="s">
        <v>887</v>
      </c>
      <c r="E280" s="4" t="s">
        <v>100</v>
      </c>
      <c r="F280" s="8" t="s">
        <v>100</v>
      </c>
      <c r="G280" s="4" t="s">
        <v>100</v>
      </c>
      <c r="H280" s="8" t="s">
        <v>100</v>
      </c>
      <c r="I280" s="7" t="s">
        <v>100</v>
      </c>
      <c r="J280" s="7" t="s">
        <v>100</v>
      </c>
      <c r="K280" s="4"/>
      <c r="L280" s="8"/>
      <c r="M280" s="4"/>
      <c r="N280" s="8"/>
      <c r="O280" s="7"/>
      <c r="P280" s="7"/>
    </row>
    <row r="281">
      <c r="A281" s="2" t="s">
        <v>11630</v>
      </c>
      <c r="B281" s="2" t="s">
        <v>3449</v>
      </c>
      <c r="C281" s="2" t="s">
        <v>1496</v>
      </c>
      <c r="D281" s="2" t="s">
        <v>1648</v>
      </c>
      <c r="E281" s="4">
        <v>11</v>
      </c>
      <c r="F281" s="8">
        <v>359.35</v>
      </c>
      <c r="G281" s="4" t="s">
        <v>100</v>
      </c>
      <c r="H281" s="8" t="s">
        <v>100</v>
      </c>
      <c r="I281" s="7" t="s">
        <v>100</v>
      </c>
      <c r="J281" s="7" t="s">
        <v>100</v>
      </c>
      <c r="K281" s="4">
        <v>11</v>
      </c>
      <c r="L281" s="8">
        <v>359.35</v>
      </c>
      <c r="M281" s="4"/>
      <c r="N281" s="8"/>
      <c r="O281" s="7"/>
      <c r="P281" s="7"/>
    </row>
    <row r="282">
      <c r="A282" s="2" t="s">
        <v>11630</v>
      </c>
      <c r="B282" s="2" t="s">
        <v>3449</v>
      </c>
      <c r="C282" s="2" t="s">
        <v>1496</v>
      </c>
      <c r="D282" s="2" t="s">
        <v>1497</v>
      </c>
      <c r="E282" s="4" t="s">
        <v>100</v>
      </c>
      <c r="F282" s="8" t="s">
        <v>100</v>
      </c>
      <c r="G282" s="4" t="s">
        <v>100</v>
      </c>
      <c r="H282" s="8" t="s">
        <v>100</v>
      </c>
      <c r="I282" s="7" t="s">
        <v>100</v>
      </c>
      <c r="J282" s="7" t="s">
        <v>100</v>
      </c>
      <c r="K282" s="4"/>
      <c r="L282" s="8"/>
      <c r="M282" s="4"/>
      <c r="N282" s="8"/>
      <c r="O282" s="7"/>
      <c r="P282" s="7"/>
    </row>
    <row r="283">
      <c r="A283" s="2" t="s">
        <v>11630</v>
      </c>
      <c r="B283" s="2" t="s">
        <v>3449</v>
      </c>
      <c r="C283" s="2" t="s">
        <v>963</v>
      </c>
      <c r="D283" s="2" t="s">
        <v>1486</v>
      </c>
      <c r="E283" s="4">
        <v>1</v>
      </c>
      <c r="F283" s="8">
        <v>35.73</v>
      </c>
      <c r="G283" s="4"/>
      <c r="H283" s="8"/>
      <c r="I283" s="7"/>
      <c r="J283" s="7"/>
      <c r="K283" s="4">
        <v>1</v>
      </c>
      <c r="L283" s="8">
        <v>35.73</v>
      </c>
      <c r="M283" s="4"/>
      <c r="N283" s="8"/>
      <c r="O283" s="7"/>
      <c r="P283" s="7"/>
    </row>
    <row r="284">
      <c r="A284" s="2" t="s">
        <v>11630</v>
      </c>
      <c r="B284" s="2" t="s">
        <v>10487</v>
      </c>
      <c r="C284" s="2" t="s">
        <v>89</v>
      </c>
      <c r="D284" s="2" t="s">
        <v>90</v>
      </c>
      <c r="E284" s="4">
        <v>9</v>
      </c>
      <c r="F284" s="8">
        <v>283.41</v>
      </c>
      <c r="G284" s="4" t="s">
        <v>100</v>
      </c>
      <c r="H284" s="8" t="s">
        <v>100</v>
      </c>
      <c r="I284" s="7" t="s">
        <v>100</v>
      </c>
      <c r="J284" s="7" t="s">
        <v>100</v>
      </c>
      <c r="K284" s="4">
        <v>9</v>
      </c>
      <c r="L284" s="8">
        <v>283.41</v>
      </c>
      <c r="M284" s="4"/>
      <c r="N284" s="8"/>
      <c r="O284" s="7"/>
      <c r="P284" s="7"/>
    </row>
    <row r="285">
      <c r="A285" s="2" t="s">
        <v>11630</v>
      </c>
      <c r="B285" s="2" t="s">
        <v>10487</v>
      </c>
      <c r="C285" s="2" t="s">
        <v>89</v>
      </c>
      <c r="D285" s="2" t="s">
        <v>887</v>
      </c>
      <c r="E285" s="4" t="s">
        <v>100</v>
      </c>
      <c r="F285" s="8" t="s">
        <v>100</v>
      </c>
      <c r="G285" s="4" t="s">
        <v>100</v>
      </c>
      <c r="H285" s="8" t="s">
        <v>100</v>
      </c>
      <c r="I285" s="7" t="s">
        <v>100</v>
      </c>
      <c r="J285" s="7" t="s">
        <v>100</v>
      </c>
      <c r="K285" s="4"/>
      <c r="L285" s="8"/>
      <c r="M285" s="4"/>
      <c r="N285" s="8"/>
      <c r="O285" s="7"/>
      <c r="P285" s="7"/>
    </row>
    <row r="286">
      <c r="A286" s="2" t="s">
        <v>11630</v>
      </c>
      <c r="B286" s="2" t="s">
        <v>10487</v>
      </c>
      <c r="C286" s="2" t="s">
        <v>963</v>
      </c>
      <c r="D286" s="2" t="s">
        <v>1486</v>
      </c>
      <c r="E286" s="4">
        <v>2</v>
      </c>
      <c r="F286" s="8">
        <v>79.38</v>
      </c>
      <c r="G286" s="4"/>
      <c r="H286" s="8"/>
      <c r="I286" s="7"/>
      <c r="J286" s="7"/>
      <c r="K286" s="4">
        <v>2</v>
      </c>
      <c r="L286" s="8">
        <v>79.38</v>
      </c>
      <c r="M286" s="4"/>
      <c r="N286" s="8"/>
      <c r="O286" s="7"/>
      <c r="P286" s="7"/>
    </row>
    <row r="287">
      <c r="A287" s="2" t="s">
        <v>11630</v>
      </c>
      <c r="B287" s="2" t="s">
        <v>10487</v>
      </c>
      <c r="C287" s="2" t="s">
        <v>1496</v>
      </c>
      <c r="D287" s="2" t="s">
        <v>1497</v>
      </c>
      <c r="E287" s="4" t="s">
        <v>100</v>
      </c>
      <c r="F287" s="8" t="s">
        <v>100</v>
      </c>
      <c r="G287" s="4" t="s">
        <v>100</v>
      </c>
      <c r="H287" s="8" t="s">
        <v>100</v>
      </c>
      <c r="I287" s="7" t="s">
        <v>100</v>
      </c>
      <c r="J287" s="7" t="s">
        <v>100</v>
      </c>
      <c r="K287" s="4"/>
      <c r="L287" s="8"/>
      <c r="M287" s="4"/>
      <c r="N287" s="8"/>
      <c r="O287" s="7"/>
      <c r="P287" s="7"/>
    </row>
    <row r="288">
      <c r="A288" s="2" t="s">
        <v>11630</v>
      </c>
      <c r="B288" s="2" t="s">
        <v>10487</v>
      </c>
      <c r="C288" s="2" t="s">
        <v>1496</v>
      </c>
      <c r="D288" s="2" t="s">
        <v>1648</v>
      </c>
      <c r="E288" s="4" t="s">
        <v>100</v>
      </c>
      <c r="F288" s="8" t="s">
        <v>100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/>
      <c r="L288" s="8"/>
      <c r="M288" s="4"/>
      <c r="N288" s="8"/>
      <c r="O288" s="7"/>
      <c r="P288" s="7"/>
    </row>
    <row r="289">
      <c r="A289" s="2" t="s">
        <v>11630</v>
      </c>
      <c r="B289" s="2" t="s">
        <v>4028</v>
      </c>
      <c r="C289" s="2" t="s">
        <v>963</v>
      </c>
      <c r="D289" s="2" t="s">
        <v>964</v>
      </c>
      <c r="E289" s="4">
        <v>2</v>
      </c>
      <c r="F289" s="8">
        <v>113.4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>
        <v>2</v>
      </c>
      <c r="L289" s="8">
        <v>113.4</v>
      </c>
      <c r="M289" s="4"/>
      <c r="N289" s="8"/>
      <c r="O289" s="7"/>
      <c r="P289" s="7"/>
    </row>
    <row r="290">
      <c r="A290" s="2" t="s">
        <v>11630</v>
      </c>
      <c r="B290" s="2" t="s">
        <v>4028</v>
      </c>
      <c r="C290" s="2" t="s">
        <v>963</v>
      </c>
      <c r="D290" s="2" t="s">
        <v>1046</v>
      </c>
      <c r="E290" s="4" t="s">
        <v>100</v>
      </c>
      <c r="F290" s="8" t="s">
        <v>100</v>
      </c>
      <c r="G290" s="4" t="s">
        <v>100</v>
      </c>
      <c r="H290" s="8" t="s">
        <v>100</v>
      </c>
      <c r="I290" s="7" t="s">
        <v>100</v>
      </c>
      <c r="J290" s="7" t="s">
        <v>100</v>
      </c>
      <c r="K290" s="4"/>
      <c r="L290" s="8"/>
      <c r="M290" s="4"/>
      <c r="N290" s="8"/>
      <c r="O290" s="7"/>
      <c r="P290" s="7"/>
    </row>
    <row r="291">
      <c r="A291" s="2" t="s">
        <v>11630</v>
      </c>
      <c r="B291" s="2" t="s">
        <v>4028</v>
      </c>
      <c r="C291" s="2" t="s">
        <v>89</v>
      </c>
      <c r="D291" s="2" t="s">
        <v>90</v>
      </c>
      <c r="E291" s="4" t="s">
        <v>100</v>
      </c>
      <c r="F291" s="8" t="s">
        <v>100</v>
      </c>
      <c r="G291" s="4" t="s">
        <v>100</v>
      </c>
      <c r="H291" s="8" t="s">
        <v>100</v>
      </c>
      <c r="I291" s="7" t="s">
        <v>100</v>
      </c>
      <c r="J291" s="7" t="s">
        <v>100</v>
      </c>
      <c r="K291" s="4"/>
      <c r="L291" s="8"/>
      <c r="M291" s="4"/>
      <c r="N291" s="8"/>
      <c r="O291" s="7"/>
      <c r="P291" s="7"/>
    </row>
    <row r="292">
      <c r="A292" s="2" t="s">
        <v>11630</v>
      </c>
      <c r="B292" s="2" t="s">
        <v>4028</v>
      </c>
      <c r="C292" s="2" t="s">
        <v>89</v>
      </c>
      <c r="D292" s="2" t="s">
        <v>887</v>
      </c>
      <c r="E292" s="4" t="s">
        <v>100</v>
      </c>
      <c r="F292" s="8" t="s">
        <v>100</v>
      </c>
      <c r="G292" s="4" t="s">
        <v>100</v>
      </c>
      <c r="H292" s="8" t="s">
        <v>100</v>
      </c>
      <c r="I292" s="7" t="s">
        <v>100</v>
      </c>
      <c r="J292" s="7" t="s">
        <v>100</v>
      </c>
      <c r="K292" s="4"/>
      <c r="L292" s="8"/>
      <c r="M292" s="4"/>
      <c r="N292" s="8"/>
      <c r="O292" s="7"/>
      <c r="P292" s="7"/>
    </row>
    <row r="293">
      <c r="A293" s="2" t="s">
        <v>11630</v>
      </c>
      <c r="B293" s="2" t="s">
        <v>4028</v>
      </c>
      <c r="C293" s="2" t="s">
        <v>1496</v>
      </c>
      <c r="D293" s="2" t="s">
        <v>1497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11630</v>
      </c>
      <c r="B294" s="2" t="s">
        <v>12055</v>
      </c>
      <c r="C294" s="2" t="s">
        <v>963</v>
      </c>
      <c r="D294" s="2" t="s">
        <v>1486</v>
      </c>
      <c r="E294" s="4">
        <v>1</v>
      </c>
      <c r="F294" s="8">
        <v>45.36</v>
      </c>
      <c r="G294" s="4" t="s">
        <v>100</v>
      </c>
      <c r="H294" s="8" t="s">
        <v>100</v>
      </c>
      <c r="I294" s="7" t="s">
        <v>100</v>
      </c>
      <c r="J294" s="7" t="s">
        <v>100</v>
      </c>
      <c r="K294" s="4">
        <v>1</v>
      </c>
      <c r="L294" s="8">
        <v>45.36</v>
      </c>
      <c r="M294" s="4"/>
      <c r="N294" s="8"/>
      <c r="O294" s="7"/>
      <c r="P294" s="7"/>
    </row>
    <row r="295">
      <c r="A295" s="2" t="s">
        <v>11630</v>
      </c>
      <c r="B295" s="2" t="s">
        <v>12055</v>
      </c>
      <c r="C295" s="2" t="s">
        <v>963</v>
      </c>
      <c r="D295" s="2" t="s">
        <v>1046</v>
      </c>
      <c r="E295" s="4" t="s">
        <v>100</v>
      </c>
      <c r="F295" s="8" t="s">
        <v>100</v>
      </c>
      <c r="G295" s="4" t="s">
        <v>100</v>
      </c>
      <c r="H295" s="8" t="s">
        <v>100</v>
      </c>
      <c r="I295" s="7" t="s">
        <v>100</v>
      </c>
      <c r="J295" s="7" t="s">
        <v>100</v>
      </c>
      <c r="K295" s="4"/>
      <c r="L295" s="8"/>
      <c r="M295" s="4"/>
      <c r="N295" s="8"/>
      <c r="O295" s="7"/>
      <c r="P295" s="7"/>
    </row>
    <row r="296">
      <c r="A296" s="2" t="s">
        <v>11630</v>
      </c>
      <c r="B296" s="2" t="s">
        <v>12055</v>
      </c>
      <c r="C296" s="2" t="s">
        <v>963</v>
      </c>
      <c r="D296" s="2" t="s">
        <v>964</v>
      </c>
      <c r="E296" s="4" t="s">
        <v>100</v>
      </c>
      <c r="F296" s="8" t="s">
        <v>100</v>
      </c>
      <c r="G296" s="4" t="s">
        <v>100</v>
      </c>
      <c r="H296" s="8" t="s">
        <v>100</v>
      </c>
      <c r="I296" s="7" t="s">
        <v>100</v>
      </c>
      <c r="J296" s="7" t="s">
        <v>100</v>
      </c>
      <c r="K296" s="4"/>
      <c r="L296" s="8"/>
      <c r="M296" s="4"/>
      <c r="N296" s="8"/>
      <c r="O296" s="7"/>
      <c r="P296" s="7"/>
    </row>
    <row r="297">
      <c r="A297" s="2" t="s">
        <v>11630</v>
      </c>
      <c r="B297" s="2" t="s">
        <v>12055</v>
      </c>
      <c r="C297" s="2" t="s">
        <v>89</v>
      </c>
      <c r="D297" s="2" t="s">
        <v>90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11630</v>
      </c>
      <c r="B298" s="2" t="s">
        <v>12055</v>
      </c>
      <c r="C298" s="2" t="s">
        <v>1496</v>
      </c>
      <c r="D298" s="2" t="s">
        <v>1497</v>
      </c>
      <c r="E298" s="4" t="s">
        <v>100</v>
      </c>
      <c r="F298" s="8" t="s">
        <v>100</v>
      </c>
      <c r="G298" s="4" t="s">
        <v>100</v>
      </c>
      <c r="H298" s="8" t="s">
        <v>100</v>
      </c>
      <c r="I298" s="7" t="s">
        <v>100</v>
      </c>
      <c r="J298" s="7" t="s">
        <v>100</v>
      </c>
      <c r="K298" s="4"/>
      <c r="L298" s="8"/>
      <c r="M298" s="4"/>
      <c r="N298" s="8"/>
      <c r="O298" s="7"/>
      <c r="P298" s="7"/>
    </row>
    <row r="299">
      <c r="A299" s="2" t="s">
        <v>11630</v>
      </c>
      <c r="B299" s="2" t="s">
        <v>12055</v>
      </c>
      <c r="C299" s="2" t="s">
        <v>1496</v>
      </c>
      <c r="D299" s="2" t="s">
        <v>1648</v>
      </c>
      <c r="E299" s="4" t="s">
        <v>100</v>
      </c>
      <c r="F299" s="8" t="s">
        <v>100</v>
      </c>
      <c r="G299" s="4" t="s">
        <v>100</v>
      </c>
      <c r="H299" s="8" t="s">
        <v>100</v>
      </c>
      <c r="I299" s="7" t="s">
        <v>100</v>
      </c>
      <c r="J299" s="7" t="s">
        <v>100</v>
      </c>
      <c r="K299" s="4"/>
      <c r="L299" s="8"/>
      <c r="M299" s="4"/>
      <c r="N299" s="8"/>
      <c r="O299" s="7"/>
      <c r="P299" s="7"/>
    </row>
    <row r="300">
      <c r="A300" s="2" t="s">
        <v>11630</v>
      </c>
      <c r="B300" s="2" t="s">
        <v>11573</v>
      </c>
      <c r="C300" s="2" t="s">
        <v>89</v>
      </c>
      <c r="D300" s="2" t="s">
        <v>90</v>
      </c>
      <c r="E300" s="4" t="s">
        <v>100</v>
      </c>
      <c r="F300" s="8" t="s">
        <v>100</v>
      </c>
      <c r="G300" s="4" t="s">
        <v>100</v>
      </c>
      <c r="H300" s="8" t="s">
        <v>100</v>
      </c>
      <c r="I300" s="7" t="s">
        <v>100</v>
      </c>
      <c r="J300" s="7" t="s">
        <v>100</v>
      </c>
      <c r="K300" s="4"/>
      <c r="L300" s="8"/>
      <c r="M300" s="4"/>
      <c r="N300" s="8"/>
      <c r="O300" s="7"/>
      <c r="P300" s="7"/>
    </row>
    <row r="301">
      <c r="A301" s="2" t="s">
        <v>11630</v>
      </c>
      <c r="B301" s="2" t="s">
        <v>11573</v>
      </c>
      <c r="C301" s="2" t="s">
        <v>89</v>
      </c>
      <c r="D301" s="2" t="s">
        <v>887</v>
      </c>
      <c r="E301" s="4" t="s">
        <v>100</v>
      </c>
      <c r="F301" s="8" t="s">
        <v>100</v>
      </c>
      <c r="G301" s="4" t="s">
        <v>100</v>
      </c>
      <c r="H301" s="8" t="s">
        <v>100</v>
      </c>
      <c r="I301" s="7" t="s">
        <v>100</v>
      </c>
      <c r="J301" s="7" t="s">
        <v>100</v>
      </c>
      <c r="K301" s="4"/>
      <c r="L301" s="8"/>
      <c r="M301" s="4"/>
      <c r="N301" s="8"/>
      <c r="O301" s="7"/>
      <c r="P30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19:E20"/>
    <mergeCell ref="F19:F20"/>
    <mergeCell ref="G19:G20"/>
    <mergeCell ref="H19:H20"/>
    <mergeCell ref="I19:I20"/>
    <mergeCell ref="J19:J20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3:E54"/>
    <mergeCell ref="F53:F54"/>
    <mergeCell ref="G53:G54"/>
    <mergeCell ref="H53:H54"/>
    <mergeCell ref="I53:I54"/>
    <mergeCell ref="J53:J54"/>
    <mergeCell ref="E55:E56"/>
    <mergeCell ref="F55:F56"/>
    <mergeCell ref="G55:G56"/>
    <mergeCell ref="H55:H56"/>
    <mergeCell ref="I55:I56"/>
    <mergeCell ref="J55:J56"/>
    <mergeCell ref="E57:E58"/>
    <mergeCell ref="F57:F58"/>
    <mergeCell ref="G57:G58"/>
    <mergeCell ref="H57:H58"/>
    <mergeCell ref="I57:I58"/>
    <mergeCell ref="J57:J58"/>
    <mergeCell ref="E60:E61"/>
    <mergeCell ref="F60:F61"/>
    <mergeCell ref="G60:G61"/>
    <mergeCell ref="H60:H61"/>
    <mergeCell ref="I60:I61"/>
    <mergeCell ref="J60:J61"/>
    <mergeCell ref="E66:E68"/>
    <mergeCell ref="F66:F68"/>
    <mergeCell ref="G66:G68"/>
    <mergeCell ref="H66:H68"/>
    <mergeCell ref="I66:I68"/>
    <mergeCell ref="J66:J68"/>
    <mergeCell ref="E69:E71"/>
    <mergeCell ref="F69:F71"/>
    <mergeCell ref="G69:G71"/>
    <mergeCell ref="H69:H71"/>
    <mergeCell ref="I69:I71"/>
    <mergeCell ref="J69:J71"/>
    <mergeCell ref="E73:E74"/>
    <mergeCell ref="F73:F74"/>
    <mergeCell ref="G73:G74"/>
    <mergeCell ref="H73:H74"/>
    <mergeCell ref="I73:I74"/>
    <mergeCell ref="J73:J74"/>
    <mergeCell ref="E76:E77"/>
    <mergeCell ref="F76:F77"/>
    <mergeCell ref="G76:G77"/>
    <mergeCell ref="H76:H77"/>
    <mergeCell ref="I76:I77"/>
    <mergeCell ref="J76:J77"/>
    <mergeCell ref="E78:E79"/>
    <mergeCell ref="F78:F79"/>
    <mergeCell ref="G78:G79"/>
    <mergeCell ref="H78:H79"/>
    <mergeCell ref="I78:I79"/>
    <mergeCell ref="J78:J79"/>
    <mergeCell ref="E80:E81"/>
    <mergeCell ref="F80:F81"/>
    <mergeCell ref="G80:G81"/>
    <mergeCell ref="H80:H81"/>
    <mergeCell ref="I80:I81"/>
    <mergeCell ref="J80:J81"/>
    <mergeCell ref="E83:E85"/>
    <mergeCell ref="F83:F85"/>
    <mergeCell ref="G83:G85"/>
    <mergeCell ref="H83:H85"/>
    <mergeCell ref="I83:I85"/>
    <mergeCell ref="J83:J85"/>
    <mergeCell ref="E90:E91"/>
    <mergeCell ref="F90:F91"/>
    <mergeCell ref="G90:G91"/>
    <mergeCell ref="H90:H91"/>
    <mergeCell ref="I90:I91"/>
    <mergeCell ref="J90:J91"/>
    <mergeCell ref="E94:E95"/>
    <mergeCell ref="F94:F95"/>
    <mergeCell ref="G94:G95"/>
    <mergeCell ref="H94:H95"/>
    <mergeCell ref="I94:I95"/>
    <mergeCell ref="J94:J95"/>
    <mergeCell ref="E102:E103"/>
    <mergeCell ref="F102:F103"/>
    <mergeCell ref="G102:G103"/>
    <mergeCell ref="H102:H103"/>
    <mergeCell ref="I102:I103"/>
    <mergeCell ref="J102:J103"/>
    <mergeCell ref="E120:E121"/>
    <mergeCell ref="F120:F121"/>
    <mergeCell ref="G120:G121"/>
    <mergeCell ref="H120:H121"/>
    <mergeCell ref="I120:I121"/>
    <mergeCell ref="J120:J121"/>
    <mergeCell ref="E125:E126"/>
    <mergeCell ref="F125:F126"/>
    <mergeCell ref="G125:G126"/>
    <mergeCell ref="H125:H126"/>
    <mergeCell ref="I125:I126"/>
    <mergeCell ref="J125:J126"/>
    <mergeCell ref="E128:E129"/>
    <mergeCell ref="F128:F129"/>
    <mergeCell ref="G128:G129"/>
    <mergeCell ref="H128:H129"/>
    <mergeCell ref="I128:I129"/>
    <mergeCell ref="J128:J129"/>
    <mergeCell ref="E135:E136"/>
    <mergeCell ref="F135:F136"/>
    <mergeCell ref="G135:G136"/>
    <mergeCell ref="H135:H136"/>
    <mergeCell ref="I135:I136"/>
    <mergeCell ref="J135:J136"/>
    <mergeCell ref="E137:E138"/>
    <mergeCell ref="F137:F138"/>
    <mergeCell ref="G137:G138"/>
    <mergeCell ref="H137:H138"/>
    <mergeCell ref="I137:I138"/>
    <mergeCell ref="J137:J138"/>
    <mergeCell ref="E140:E141"/>
    <mergeCell ref="F140:F141"/>
    <mergeCell ref="G140:G141"/>
    <mergeCell ref="H140:H141"/>
    <mergeCell ref="I140:I141"/>
    <mergeCell ref="J140:J141"/>
    <mergeCell ref="E149:E150"/>
    <mergeCell ref="F149:F150"/>
    <mergeCell ref="G149:G150"/>
    <mergeCell ref="H149:H150"/>
    <mergeCell ref="I149:I150"/>
    <mergeCell ref="J149:J150"/>
    <mergeCell ref="E151:E152"/>
    <mergeCell ref="F151:F152"/>
    <mergeCell ref="G151:G152"/>
    <mergeCell ref="H151:H152"/>
    <mergeCell ref="I151:I152"/>
    <mergeCell ref="J151:J152"/>
    <mergeCell ref="E153:E155"/>
    <mergeCell ref="F153:F155"/>
    <mergeCell ref="G153:G155"/>
    <mergeCell ref="H153:H155"/>
    <mergeCell ref="I153:I155"/>
    <mergeCell ref="J153:J155"/>
    <mergeCell ref="E156:E157"/>
    <mergeCell ref="F156:F157"/>
    <mergeCell ref="G156:G157"/>
    <mergeCell ref="H156:H157"/>
    <mergeCell ref="I156:I157"/>
    <mergeCell ref="J156:J157"/>
    <mergeCell ref="E158:E159"/>
    <mergeCell ref="F158:F159"/>
    <mergeCell ref="G158:G159"/>
    <mergeCell ref="H158:H159"/>
    <mergeCell ref="I158:I159"/>
    <mergeCell ref="J158:J159"/>
    <mergeCell ref="E160:E162"/>
    <mergeCell ref="F160:F162"/>
    <mergeCell ref="G160:G162"/>
    <mergeCell ref="H160:H162"/>
    <mergeCell ref="I160:I162"/>
    <mergeCell ref="J160:J162"/>
    <mergeCell ref="E171:E173"/>
    <mergeCell ref="F171:F173"/>
    <mergeCell ref="G171:G173"/>
    <mergeCell ref="H171:H173"/>
    <mergeCell ref="I171:I173"/>
    <mergeCell ref="J171:J173"/>
    <mergeCell ref="E175:E176"/>
    <mergeCell ref="F175:F176"/>
    <mergeCell ref="G175:G176"/>
    <mergeCell ref="H175:H176"/>
    <mergeCell ref="I175:I176"/>
    <mergeCell ref="J175:J176"/>
    <mergeCell ref="E177:E178"/>
    <mergeCell ref="F177:F178"/>
    <mergeCell ref="G177:G178"/>
    <mergeCell ref="H177:H178"/>
    <mergeCell ref="I177:I178"/>
    <mergeCell ref="J177:J178"/>
    <mergeCell ref="E180:E181"/>
    <mergeCell ref="F180:F181"/>
    <mergeCell ref="G180:G181"/>
    <mergeCell ref="H180:H181"/>
    <mergeCell ref="I180:I181"/>
    <mergeCell ref="J180:J181"/>
    <mergeCell ref="E183:E184"/>
    <mergeCell ref="F183:F184"/>
    <mergeCell ref="G183:G184"/>
    <mergeCell ref="H183:H184"/>
    <mergeCell ref="I183:I184"/>
    <mergeCell ref="J183:J184"/>
    <mergeCell ref="E193:E195"/>
    <mergeCell ref="F193:F195"/>
    <mergeCell ref="G193:G195"/>
    <mergeCell ref="H193:H195"/>
    <mergeCell ref="I193:I195"/>
    <mergeCell ref="J193:J195"/>
    <mergeCell ref="E196:E200"/>
    <mergeCell ref="F196:F200"/>
    <mergeCell ref="G196:G200"/>
    <mergeCell ref="H196:H200"/>
    <mergeCell ref="I196:I200"/>
    <mergeCell ref="J196:J200"/>
    <mergeCell ref="E210:E212"/>
    <mergeCell ref="F210:F212"/>
    <mergeCell ref="G210:G212"/>
    <mergeCell ref="H210:H212"/>
    <mergeCell ref="I210:I212"/>
    <mergeCell ref="J210:J212"/>
    <mergeCell ref="E213:E214"/>
    <mergeCell ref="F213:F214"/>
    <mergeCell ref="G213:G214"/>
    <mergeCell ref="H213:H214"/>
    <mergeCell ref="I213:I214"/>
    <mergeCell ref="J213:J214"/>
    <mergeCell ref="E215:E216"/>
    <mergeCell ref="F215:F216"/>
    <mergeCell ref="G215:G216"/>
    <mergeCell ref="H215:H216"/>
    <mergeCell ref="I215:I216"/>
    <mergeCell ref="J215:J216"/>
    <mergeCell ref="E223:E226"/>
    <mergeCell ref="F223:F226"/>
    <mergeCell ref="G223:G226"/>
    <mergeCell ref="H223:H226"/>
    <mergeCell ref="I223:I226"/>
    <mergeCell ref="J223:J226"/>
    <mergeCell ref="E262:E267"/>
    <mergeCell ref="F262:F267"/>
    <mergeCell ref="G262:G267"/>
    <mergeCell ref="H262:H267"/>
    <mergeCell ref="I262:I267"/>
    <mergeCell ref="J262:J267"/>
    <mergeCell ref="E269:E270"/>
    <mergeCell ref="F269:F270"/>
    <mergeCell ref="G269:G270"/>
    <mergeCell ref="H269:H270"/>
    <mergeCell ref="I269:I270"/>
    <mergeCell ref="J269:J270"/>
    <mergeCell ref="E271:E272"/>
    <mergeCell ref="F271:F272"/>
    <mergeCell ref="G271:G272"/>
    <mergeCell ref="H271:H272"/>
    <mergeCell ref="I271:I272"/>
    <mergeCell ref="J271:J272"/>
    <mergeCell ref="E273:E274"/>
    <mergeCell ref="F273:F274"/>
    <mergeCell ref="G273:G274"/>
    <mergeCell ref="H273:H274"/>
    <mergeCell ref="I273:I274"/>
    <mergeCell ref="J273:J274"/>
    <mergeCell ref="E278:E280"/>
    <mergeCell ref="F278:F280"/>
    <mergeCell ref="G278:G280"/>
    <mergeCell ref="H278:H280"/>
    <mergeCell ref="I278:I280"/>
    <mergeCell ref="J278:J280"/>
    <mergeCell ref="E281:E282"/>
    <mergeCell ref="F281:F282"/>
    <mergeCell ref="G281:G282"/>
    <mergeCell ref="H281:H282"/>
    <mergeCell ref="I281:I282"/>
    <mergeCell ref="J281:J282"/>
    <mergeCell ref="E284:E285"/>
    <mergeCell ref="F284:F285"/>
    <mergeCell ref="G284:G285"/>
    <mergeCell ref="H284:H285"/>
    <mergeCell ref="I284:I285"/>
    <mergeCell ref="J284:J285"/>
    <mergeCell ref="E287:E288"/>
    <mergeCell ref="F287:F288"/>
    <mergeCell ref="G287:G288"/>
    <mergeCell ref="H287:H288"/>
    <mergeCell ref="I287:I288"/>
    <mergeCell ref="J287:J288"/>
    <mergeCell ref="E289:E290"/>
    <mergeCell ref="F289:F290"/>
    <mergeCell ref="G289:G290"/>
    <mergeCell ref="H289:H290"/>
    <mergeCell ref="I289:I290"/>
    <mergeCell ref="J289:J290"/>
    <mergeCell ref="E291:E292"/>
    <mergeCell ref="F291:F292"/>
    <mergeCell ref="G291:G292"/>
    <mergeCell ref="H291:H292"/>
    <mergeCell ref="I291:I292"/>
    <mergeCell ref="J291:J292"/>
    <mergeCell ref="E294:E296"/>
    <mergeCell ref="F294:F296"/>
    <mergeCell ref="G294:G296"/>
    <mergeCell ref="H294:H296"/>
    <mergeCell ref="I294:I296"/>
    <mergeCell ref="J294:J296"/>
    <mergeCell ref="E298:E299"/>
    <mergeCell ref="F298:F299"/>
    <mergeCell ref="G298:G299"/>
    <mergeCell ref="H298:H299"/>
    <mergeCell ref="I298:I299"/>
    <mergeCell ref="J298:J299"/>
    <mergeCell ref="E300:E301"/>
    <mergeCell ref="F300:F301"/>
    <mergeCell ref="G300:G301"/>
    <mergeCell ref="H300:H301"/>
    <mergeCell ref="I300:I301"/>
    <mergeCell ref="J300:J30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12175</v>
      </c>
      <c r="D2" s="0" t="s">
        <v>12176</v>
      </c>
      <c r="E2" s="0" t="s">
        <v>12177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12178</v>
      </c>
      <c r="I4" s="1" t="s">
        <v>12179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12180</v>
      </c>
      <c r="O4" s="1" t="s">
        <v>12181</v>
      </c>
    </row>
    <row r="5">
      <c r="A5" s="1" t="s">
        <v>52</v>
      </c>
      <c r="B5" s="1" t="s">
        <v>54</v>
      </c>
      <c r="C5" s="1" t="s">
        <v>55</v>
      </c>
      <c r="D5" s="1" t="s">
        <v>12182</v>
      </c>
      <c r="E5" s="1" t="s">
        <v>12183</v>
      </c>
      <c r="F5" s="1" t="s">
        <v>12182</v>
      </c>
      <c r="G5" s="1" t="s">
        <v>12183</v>
      </c>
      <c r="H5" s="1" t="s">
        <v>12178</v>
      </c>
      <c r="I5" s="1" t="s">
        <v>12179</v>
      </c>
      <c r="J5" s="1" t="s">
        <v>12184</v>
      </c>
      <c r="K5" s="1" t="s">
        <v>12185</v>
      </c>
      <c r="L5" s="1" t="s">
        <v>12184</v>
      </c>
      <c r="M5" s="1" t="s">
        <v>12185</v>
      </c>
      <c r="N5" s="1" t="s">
        <v>12180</v>
      </c>
      <c r="O5" s="1" t="s">
        <v>12181</v>
      </c>
    </row>
    <row r="6">
      <c r="A6" s="2" t="s">
        <v>87</v>
      </c>
      <c r="B6" s="2" t="s">
        <v>89</v>
      </c>
      <c r="C6" s="2" t="s">
        <v>90</v>
      </c>
      <c r="D6" s="4">
        <v>172</v>
      </c>
      <c r="E6" s="8">
        <v>12860.78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72</v>
      </c>
      <c r="K6" s="8">
        <v>5040.25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811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66</v>
      </c>
      <c r="K7" s="8">
        <v>4320.07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2106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29</v>
      </c>
      <c r="K8" s="8">
        <v>3065.01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887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5</v>
      </c>
      <c r="K9" s="8">
        <v>435.45</v>
      </c>
      <c r="L9" s="4"/>
      <c r="M9" s="8"/>
      <c r="N9" s="7"/>
      <c r="O9" s="7"/>
    </row>
    <row r="10">
      <c r="A10" s="2" t="s">
        <v>87</v>
      </c>
      <c r="B10" s="2" t="s">
        <v>963</v>
      </c>
      <c r="C10" s="2" t="s">
        <v>964</v>
      </c>
      <c r="D10" s="4">
        <v>132</v>
      </c>
      <c r="E10" s="8">
        <v>5993.38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55</v>
      </c>
      <c r="K10" s="8">
        <v>2460.53</v>
      </c>
      <c r="L10" s="4"/>
      <c r="M10" s="8"/>
      <c r="N10" s="7"/>
      <c r="O10" s="7"/>
    </row>
    <row r="11">
      <c r="A11" s="2" t="s">
        <v>87</v>
      </c>
      <c r="B11" s="2" t="s">
        <v>963</v>
      </c>
      <c r="C11" s="2" t="s">
        <v>1409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35</v>
      </c>
      <c r="K11" s="8">
        <v>1353.54</v>
      </c>
      <c r="L11" s="4"/>
      <c r="M11" s="8"/>
      <c r="N11" s="7"/>
      <c r="O11" s="7"/>
    </row>
    <row r="12">
      <c r="A12" s="2" t="s">
        <v>87</v>
      </c>
      <c r="B12" s="2" t="s">
        <v>963</v>
      </c>
      <c r="C12" s="2" t="s">
        <v>1046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20</v>
      </c>
      <c r="K12" s="8">
        <v>938.16</v>
      </c>
      <c r="L12" s="4"/>
      <c r="M12" s="8"/>
      <c r="N12" s="7"/>
      <c r="O12" s="7"/>
    </row>
    <row r="13">
      <c r="A13" s="2" t="s">
        <v>87</v>
      </c>
      <c r="B13" s="2" t="s">
        <v>963</v>
      </c>
      <c r="C13" s="2" t="s">
        <v>1210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8</v>
      </c>
      <c r="K13" s="8">
        <v>441.93</v>
      </c>
      <c r="L13" s="4"/>
      <c r="M13" s="8"/>
      <c r="N13" s="7"/>
      <c r="O13" s="7"/>
    </row>
    <row r="14">
      <c r="A14" s="2" t="s">
        <v>87</v>
      </c>
      <c r="B14" s="2" t="s">
        <v>963</v>
      </c>
      <c r="C14" s="2" t="s">
        <v>1232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8</v>
      </c>
      <c r="K14" s="8">
        <v>437.7</v>
      </c>
      <c r="L14" s="4"/>
      <c r="M14" s="8"/>
      <c r="N14" s="7"/>
      <c r="O14" s="7"/>
    </row>
    <row r="15">
      <c r="A15" s="2" t="s">
        <v>87</v>
      </c>
      <c r="B15" s="2" t="s">
        <v>963</v>
      </c>
      <c r="C15" s="2" t="s">
        <v>811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4</v>
      </c>
      <c r="K15" s="8">
        <v>222.42</v>
      </c>
      <c r="L15" s="4"/>
      <c r="M15" s="8"/>
      <c r="N15" s="7"/>
      <c r="O15" s="7"/>
    </row>
    <row r="16">
      <c r="A16" s="2" t="s">
        <v>87</v>
      </c>
      <c r="B16" s="2" t="s">
        <v>963</v>
      </c>
      <c r="C16" s="2" t="s">
        <v>2358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2</v>
      </c>
      <c r="K16" s="8">
        <v>139.1</v>
      </c>
      <c r="L16" s="4"/>
      <c r="M16" s="8"/>
      <c r="N16" s="7"/>
      <c r="O16" s="7"/>
    </row>
    <row r="17">
      <c r="A17" s="2" t="s">
        <v>87</v>
      </c>
      <c r="B17" s="2" t="s">
        <v>963</v>
      </c>
      <c r="C17" s="2" t="s">
        <v>1486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1496</v>
      </c>
      <c r="C18" s="2" t="s">
        <v>1497</v>
      </c>
      <c r="D18" s="4">
        <v>25</v>
      </c>
      <c r="E18" s="8">
        <v>1224.86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23</v>
      </c>
      <c r="K18" s="8">
        <v>1114.32</v>
      </c>
      <c r="L18" s="4"/>
      <c r="M18" s="8"/>
      <c r="N18" s="7"/>
      <c r="O18" s="7"/>
    </row>
    <row r="19">
      <c r="A19" s="2" t="s">
        <v>87</v>
      </c>
      <c r="B19" s="2" t="s">
        <v>1496</v>
      </c>
      <c r="C19" s="2" t="s">
        <v>1648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2</v>
      </c>
      <c r="K19" s="8">
        <v>110.54</v>
      </c>
      <c r="L19" s="4"/>
      <c r="M19" s="8"/>
      <c r="N19" s="7"/>
      <c r="O19" s="7"/>
    </row>
    <row r="20">
      <c r="A20" s="2" t="s">
        <v>87</v>
      </c>
      <c r="B20" s="2" t="s">
        <v>1771</v>
      </c>
      <c r="C20" s="2" t="s">
        <v>1772</v>
      </c>
      <c r="D20" s="4">
        <v>27</v>
      </c>
      <c r="E20" s="8">
        <v>549.29</v>
      </c>
      <c r="F20" s="4"/>
      <c r="G20" s="8"/>
      <c r="H20" s="7"/>
      <c r="I20" s="7"/>
      <c r="J20" s="4">
        <v>27</v>
      </c>
      <c r="K20" s="8">
        <v>549.29</v>
      </c>
      <c r="L20" s="4"/>
      <c r="M20" s="8"/>
      <c r="N20" s="7"/>
      <c r="O20" s="7"/>
    </row>
    <row r="21">
      <c r="A21" s="2" t="s">
        <v>87</v>
      </c>
      <c r="B21" s="2" t="s">
        <v>1785</v>
      </c>
      <c r="C21" s="2" t="s">
        <v>1786</v>
      </c>
      <c r="D21" s="4">
        <v>17</v>
      </c>
      <c r="E21" s="8">
        <v>117.81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17</v>
      </c>
      <c r="K21" s="8">
        <v>117.81</v>
      </c>
      <c r="L21" s="4"/>
      <c r="M21" s="8"/>
      <c r="N21" s="7"/>
      <c r="O21" s="7"/>
    </row>
    <row r="22">
      <c r="A22" s="2" t="s">
        <v>87</v>
      </c>
      <c r="B22" s="2" t="s">
        <v>1785</v>
      </c>
      <c r="C22" s="2" t="s">
        <v>3303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1785</v>
      </c>
      <c r="C23" s="2" t="s">
        <v>2467</v>
      </c>
      <c r="D23" s="4" t="s">
        <v>100</v>
      </c>
      <c r="E23" s="8" t="s">
        <v>100</v>
      </c>
      <c r="F23" s="4" t="s">
        <v>100</v>
      </c>
      <c r="G23" s="8" t="s">
        <v>100</v>
      </c>
      <c r="H23" s="7" t="s">
        <v>100</v>
      </c>
      <c r="I23" s="7" t="s">
        <v>100</v>
      </c>
      <c r="J23" s="4"/>
      <c r="K23" s="8"/>
      <c r="L23" s="4"/>
      <c r="M23" s="8"/>
      <c r="N23" s="7"/>
      <c r="O23" s="7"/>
    </row>
    <row r="24">
      <c r="A24" s="2" t="s">
        <v>87</v>
      </c>
      <c r="B24" s="2" t="s">
        <v>2505</v>
      </c>
      <c r="C24" s="2" t="s">
        <v>2506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2566</v>
      </c>
      <c r="C25" s="2" t="s">
        <v>2567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2572</v>
      </c>
      <c r="C26" s="2" t="s">
        <v>2573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3380</v>
      </c>
      <c r="B27" s="2" t="s">
        <v>3455</v>
      </c>
      <c r="C27" s="2" t="s">
        <v>3456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3380</v>
      </c>
      <c r="B28" s="2" t="s">
        <v>3381</v>
      </c>
      <c r="C28" s="2" t="s">
        <v>3456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/>
      <c r="K28" s="8"/>
      <c r="L28" s="4"/>
      <c r="M28" s="8"/>
      <c r="N28" s="7"/>
      <c r="O28" s="7"/>
    </row>
    <row r="29">
      <c r="A29" s="2" t="s">
        <v>3380</v>
      </c>
      <c r="B29" s="2" t="s">
        <v>3381</v>
      </c>
      <c r="C29" s="2" t="s">
        <v>3382</v>
      </c>
      <c r="D29" s="4" t="s">
        <v>100</v>
      </c>
      <c r="E29" s="8" t="s">
        <v>100</v>
      </c>
      <c r="F29" s="4" t="s">
        <v>100</v>
      </c>
      <c r="G29" s="8" t="s">
        <v>100</v>
      </c>
      <c r="H29" s="7" t="s">
        <v>100</v>
      </c>
      <c r="I29" s="7" t="s">
        <v>100</v>
      </c>
      <c r="J29" s="4"/>
      <c r="K29" s="8"/>
      <c r="L29" s="4"/>
      <c r="M29" s="8"/>
      <c r="N29" s="7"/>
      <c r="O29" s="7"/>
    </row>
    <row r="30">
      <c r="A30" s="2" t="s">
        <v>3380</v>
      </c>
      <c r="B30" s="2" t="s">
        <v>3381</v>
      </c>
      <c r="C30" s="2" t="s">
        <v>3479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/>
      <c r="K30" s="8"/>
      <c r="L30" s="4"/>
      <c r="M30" s="8"/>
      <c r="N30" s="7"/>
      <c r="O30" s="7"/>
    </row>
    <row r="31">
      <c r="A31" s="2" t="s">
        <v>3380</v>
      </c>
      <c r="B31" s="2" t="s">
        <v>3381</v>
      </c>
      <c r="C31" s="2" t="s">
        <v>3390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/>
      <c r="K31" s="8"/>
      <c r="L31" s="4"/>
      <c r="M31" s="8"/>
      <c r="N31" s="7"/>
      <c r="O31" s="7"/>
    </row>
    <row r="32">
      <c r="A32" s="2" t="s">
        <v>3380</v>
      </c>
      <c r="B32" s="2" t="s">
        <v>3408</v>
      </c>
      <c r="C32" s="2" t="s">
        <v>3409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/>
      <c r="K32" s="8"/>
      <c r="L32" s="4"/>
      <c r="M32" s="8"/>
      <c r="N32" s="7"/>
      <c r="O32" s="7"/>
    </row>
    <row r="33">
      <c r="A33" s="2" t="s">
        <v>3380</v>
      </c>
      <c r="B33" s="2" t="s">
        <v>3408</v>
      </c>
      <c r="C33" s="2" t="s">
        <v>3479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/>
      <c r="K33" s="8"/>
      <c r="L33" s="4"/>
      <c r="M33" s="8"/>
      <c r="N33" s="7"/>
      <c r="O33" s="7"/>
    </row>
    <row r="34">
      <c r="A34" s="2" t="s">
        <v>3380</v>
      </c>
      <c r="B34" s="2" t="s">
        <v>3408</v>
      </c>
      <c r="C34" s="2" t="s">
        <v>3390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/>
      <c r="K34" s="8"/>
      <c r="L34" s="4"/>
      <c r="M34" s="8"/>
      <c r="N34" s="7"/>
      <c r="O34" s="7"/>
    </row>
    <row r="35">
      <c r="A35" s="2" t="s">
        <v>3380</v>
      </c>
      <c r="B35" s="2" t="s">
        <v>3795</v>
      </c>
      <c r="C35" s="2" t="s">
        <v>3796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3380</v>
      </c>
      <c r="B36" s="2" t="s">
        <v>3438</v>
      </c>
      <c r="C36" s="2" t="s">
        <v>3439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/>
      <c r="K36" s="8"/>
      <c r="L36" s="4"/>
      <c r="M36" s="8"/>
      <c r="N36" s="7"/>
      <c r="O36" s="7"/>
    </row>
    <row r="37">
      <c r="A37" s="2" t="s">
        <v>3380</v>
      </c>
      <c r="B37" s="2" t="s">
        <v>3438</v>
      </c>
      <c r="C37" s="2" t="s">
        <v>3820</v>
      </c>
      <c r="D37" s="4" t="s">
        <v>100</v>
      </c>
      <c r="E37" s="8" t="s">
        <v>100</v>
      </c>
      <c r="F37" s="4" t="s">
        <v>100</v>
      </c>
      <c r="G37" s="8" t="s">
        <v>100</v>
      </c>
      <c r="H37" s="7" t="s">
        <v>100</v>
      </c>
      <c r="I37" s="7" t="s">
        <v>100</v>
      </c>
      <c r="J37" s="4"/>
      <c r="K37" s="8"/>
      <c r="L37" s="4"/>
      <c r="M37" s="8"/>
      <c r="N37" s="7"/>
      <c r="O37" s="7"/>
    </row>
    <row r="38">
      <c r="A38" s="2" t="s">
        <v>3380</v>
      </c>
      <c r="B38" s="2" t="s">
        <v>3838</v>
      </c>
      <c r="C38" s="2" t="s">
        <v>3839</v>
      </c>
      <c r="D38" s="4"/>
      <c r="E38" s="8"/>
      <c r="F38" s="4"/>
      <c r="G38" s="8"/>
      <c r="H38" s="7"/>
      <c r="I38" s="7"/>
      <c r="J38" s="4"/>
      <c r="K38" s="8"/>
      <c r="L38" s="4"/>
      <c r="M38" s="8"/>
      <c r="N38" s="7"/>
      <c r="O38" s="7"/>
    </row>
    <row r="39">
      <c r="A39" s="2" t="s">
        <v>3380</v>
      </c>
      <c r="B39" s="2" t="s">
        <v>3847</v>
      </c>
      <c r="C39" s="2" t="s">
        <v>3479</v>
      </c>
      <c r="D39" s="4" t="s">
        <v>100</v>
      </c>
      <c r="E39" s="8" t="s">
        <v>100</v>
      </c>
      <c r="F39" s="4" t="s">
        <v>100</v>
      </c>
      <c r="G39" s="8" t="s">
        <v>100</v>
      </c>
      <c r="H39" s="7" t="s">
        <v>100</v>
      </c>
      <c r="I39" s="7" t="s">
        <v>100</v>
      </c>
      <c r="J39" s="4"/>
      <c r="K39" s="8"/>
      <c r="L39" s="4"/>
      <c r="M39" s="8"/>
      <c r="N39" s="7"/>
      <c r="O39" s="7"/>
    </row>
    <row r="40">
      <c r="A40" s="2" t="s">
        <v>3380</v>
      </c>
      <c r="B40" s="2" t="s">
        <v>3847</v>
      </c>
      <c r="C40" s="2" t="s">
        <v>3390</v>
      </c>
      <c r="D40" s="4" t="s">
        <v>100</v>
      </c>
      <c r="E40" s="8" t="s">
        <v>100</v>
      </c>
      <c r="F40" s="4" t="s">
        <v>100</v>
      </c>
      <c r="G40" s="8" t="s">
        <v>100</v>
      </c>
      <c r="H40" s="7" t="s">
        <v>100</v>
      </c>
      <c r="I40" s="7" t="s">
        <v>100</v>
      </c>
      <c r="J40" s="4"/>
      <c r="K40" s="8"/>
      <c r="L40" s="4"/>
      <c r="M40" s="8"/>
      <c r="N40" s="7"/>
      <c r="O40" s="7"/>
    </row>
    <row r="41">
      <c r="A41" s="2" t="s">
        <v>3380</v>
      </c>
      <c r="B41" s="2" t="s">
        <v>3934</v>
      </c>
      <c r="C41" s="2" t="s">
        <v>3935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4041</v>
      </c>
      <c r="B42" s="2" t="s">
        <v>4043</v>
      </c>
      <c r="C42" s="2" t="s">
        <v>4044</v>
      </c>
      <c r="D42" s="4">
        <v>82</v>
      </c>
      <c r="E42" s="8">
        <v>1767.53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76</v>
      </c>
      <c r="K42" s="8">
        <v>1480.2</v>
      </c>
      <c r="L42" s="4"/>
      <c r="M42" s="8"/>
      <c r="N42" s="7"/>
      <c r="O42" s="7"/>
    </row>
    <row r="43">
      <c r="A43" s="2" t="s">
        <v>4041</v>
      </c>
      <c r="B43" s="2" t="s">
        <v>4043</v>
      </c>
      <c r="C43" s="2" t="s">
        <v>4101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6</v>
      </c>
      <c r="K43" s="8">
        <v>287.33</v>
      </c>
      <c r="L43" s="4"/>
      <c r="M43" s="8"/>
      <c r="N43" s="7"/>
      <c r="O43" s="7"/>
    </row>
    <row r="44">
      <c r="A44" s="2" t="s">
        <v>4041</v>
      </c>
      <c r="B44" s="2" t="s">
        <v>4216</v>
      </c>
      <c r="C44" s="2" t="s">
        <v>4217</v>
      </c>
      <c r="D44" s="4">
        <v>24</v>
      </c>
      <c r="E44" s="8">
        <v>567.83</v>
      </c>
      <c r="F44" s="4"/>
      <c r="G44" s="8"/>
      <c r="H44" s="7"/>
      <c r="I44" s="7"/>
      <c r="J44" s="4">
        <v>24</v>
      </c>
      <c r="K44" s="8">
        <v>567.83</v>
      </c>
      <c r="L44" s="4"/>
      <c r="M44" s="8"/>
      <c r="N44" s="7"/>
      <c r="O44" s="7"/>
    </row>
    <row r="45">
      <c r="A45" s="2" t="s">
        <v>4041</v>
      </c>
      <c r="B45" s="2" t="s">
        <v>89</v>
      </c>
      <c r="C45" s="2" t="s">
        <v>4467</v>
      </c>
      <c r="D45" s="4">
        <v>3</v>
      </c>
      <c r="E45" s="8">
        <v>167.28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1</v>
      </c>
      <c r="K45" s="8">
        <v>99.05</v>
      </c>
      <c r="L45" s="4"/>
      <c r="M45" s="8"/>
      <c r="N45" s="7"/>
      <c r="O45" s="7"/>
    </row>
    <row r="46">
      <c r="A46" s="2" t="s">
        <v>4041</v>
      </c>
      <c r="B46" s="2" t="s">
        <v>89</v>
      </c>
      <c r="C46" s="2" t="s">
        <v>4233</v>
      </c>
      <c r="D46" s="4" t="s">
        <v>100</v>
      </c>
      <c r="E46" s="8" t="s">
        <v>100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1</v>
      </c>
      <c r="K46" s="8">
        <v>41.99</v>
      </c>
      <c r="L46" s="4"/>
      <c r="M46" s="8"/>
      <c r="N46" s="7"/>
      <c r="O46" s="7"/>
    </row>
    <row r="47">
      <c r="A47" s="2" t="s">
        <v>4041</v>
      </c>
      <c r="B47" s="2" t="s">
        <v>89</v>
      </c>
      <c r="C47" s="2" t="s">
        <v>4226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1</v>
      </c>
      <c r="K47" s="8">
        <v>26.24</v>
      </c>
      <c r="L47" s="4"/>
      <c r="M47" s="8"/>
      <c r="N47" s="7"/>
      <c r="O47" s="7"/>
    </row>
    <row r="48">
      <c r="A48" s="2" t="s">
        <v>4041</v>
      </c>
      <c r="B48" s="2" t="s">
        <v>89</v>
      </c>
      <c r="C48" s="2" t="s">
        <v>90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/>
      <c r="K48" s="8"/>
      <c r="L48" s="4"/>
      <c r="M48" s="8"/>
      <c r="N48" s="7"/>
      <c r="O48" s="7"/>
    </row>
    <row r="49">
      <c r="A49" s="2" t="s">
        <v>4041</v>
      </c>
      <c r="B49" s="2" t="s">
        <v>2505</v>
      </c>
      <c r="C49" s="2" t="s">
        <v>4196</v>
      </c>
      <c r="D49" s="4">
        <v>6</v>
      </c>
      <c r="E49" s="8">
        <v>68.04</v>
      </c>
      <c r="F49" s="4"/>
      <c r="G49" s="8"/>
      <c r="H49" s="7"/>
      <c r="I49" s="7"/>
      <c r="J49" s="4">
        <v>6</v>
      </c>
      <c r="K49" s="8">
        <v>68.04</v>
      </c>
      <c r="L49" s="4"/>
      <c r="M49" s="8"/>
      <c r="N49" s="7"/>
      <c r="O49" s="7"/>
    </row>
    <row r="50">
      <c r="A50" s="2" t="s">
        <v>4041</v>
      </c>
      <c r="B50" s="2" t="s">
        <v>1496</v>
      </c>
      <c r="C50" s="2" t="s">
        <v>1648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4041</v>
      </c>
      <c r="B51" s="2" t="s">
        <v>4459</v>
      </c>
      <c r="C51" s="2" t="s">
        <v>4196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4041</v>
      </c>
      <c r="B52" s="2" t="s">
        <v>1771</v>
      </c>
      <c r="C52" s="2" t="s">
        <v>4217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4552</v>
      </c>
      <c r="B53" s="2" t="s">
        <v>4553</v>
      </c>
      <c r="C53" s="2" t="s">
        <v>4554</v>
      </c>
      <c r="D53" s="4">
        <v>92</v>
      </c>
      <c r="E53" s="8">
        <v>1505.29</v>
      </c>
      <c r="F53" s="4"/>
      <c r="G53" s="8"/>
      <c r="H53" s="7"/>
      <c r="I53" s="7"/>
      <c r="J53" s="4">
        <v>92</v>
      </c>
      <c r="K53" s="8">
        <v>1505.29</v>
      </c>
      <c r="L53" s="4"/>
      <c r="M53" s="8"/>
      <c r="N53" s="7"/>
      <c r="O53" s="7"/>
    </row>
    <row r="54">
      <c r="A54" s="2" t="s">
        <v>4552</v>
      </c>
      <c r="B54" s="2" t="s">
        <v>4758</v>
      </c>
      <c r="C54" s="2" t="s">
        <v>4759</v>
      </c>
      <c r="D54" s="4">
        <v>16</v>
      </c>
      <c r="E54" s="8">
        <v>285.84</v>
      </c>
      <c r="F54" s="4"/>
      <c r="G54" s="8"/>
      <c r="H54" s="7"/>
      <c r="I54" s="7"/>
      <c r="J54" s="4">
        <v>16</v>
      </c>
      <c r="K54" s="8">
        <v>285.84</v>
      </c>
      <c r="L54" s="4"/>
      <c r="M54" s="8"/>
      <c r="N54" s="7"/>
      <c r="O54" s="7"/>
    </row>
    <row r="55">
      <c r="A55" s="2" t="s">
        <v>4552</v>
      </c>
      <c r="B55" s="2" t="s">
        <v>4939</v>
      </c>
      <c r="C55" s="2" t="s">
        <v>4940</v>
      </c>
      <c r="D55" s="4">
        <v>1</v>
      </c>
      <c r="E55" s="8">
        <v>21</v>
      </c>
      <c r="F55" s="4"/>
      <c r="G55" s="8"/>
      <c r="H55" s="7"/>
      <c r="I55" s="7"/>
      <c r="J55" s="4">
        <v>1</v>
      </c>
      <c r="K55" s="8">
        <v>21</v>
      </c>
      <c r="L55" s="4"/>
      <c r="M55" s="8"/>
      <c r="N55" s="7"/>
      <c r="O55" s="7"/>
    </row>
    <row r="56">
      <c r="A56" s="2" t="s">
        <v>4552</v>
      </c>
      <c r="B56" s="2" t="s">
        <v>4948</v>
      </c>
      <c r="C56" s="2" t="s">
        <v>4949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5155</v>
      </c>
      <c r="B57" s="2" t="s">
        <v>5156</v>
      </c>
      <c r="C57" s="2" t="s">
        <v>5157</v>
      </c>
      <c r="D57" s="4">
        <v>125</v>
      </c>
      <c r="E57" s="8">
        <v>7570.05</v>
      </c>
      <c r="F57" s="4" t="s">
        <v>100</v>
      </c>
      <c r="G57" s="8" t="s">
        <v>100</v>
      </c>
      <c r="H57" s="7" t="s">
        <v>100</v>
      </c>
      <c r="I57" s="7" t="s">
        <v>100</v>
      </c>
      <c r="J57" s="4">
        <v>67</v>
      </c>
      <c r="K57" s="8">
        <v>5307.93</v>
      </c>
      <c r="L57" s="4"/>
      <c r="M57" s="8"/>
      <c r="N57" s="7"/>
      <c r="O57" s="7"/>
    </row>
    <row r="58">
      <c r="A58" s="2" t="s">
        <v>5155</v>
      </c>
      <c r="B58" s="2" t="s">
        <v>5156</v>
      </c>
      <c r="C58" s="2" t="s">
        <v>5396</v>
      </c>
      <c r="D58" s="4" t="s">
        <v>100</v>
      </c>
      <c r="E58" s="8" t="s">
        <v>100</v>
      </c>
      <c r="F58" s="4" t="s">
        <v>100</v>
      </c>
      <c r="G58" s="8" t="s">
        <v>100</v>
      </c>
      <c r="H58" s="7" t="s">
        <v>100</v>
      </c>
      <c r="I58" s="7" t="s">
        <v>100</v>
      </c>
      <c r="J58" s="4">
        <v>58</v>
      </c>
      <c r="K58" s="8">
        <v>2262.12</v>
      </c>
      <c r="L58" s="4"/>
      <c r="M58" s="8"/>
      <c r="N58" s="7"/>
      <c r="O58" s="7"/>
    </row>
    <row r="59">
      <c r="A59" s="2" t="s">
        <v>5155</v>
      </c>
      <c r="B59" s="2" t="s">
        <v>4216</v>
      </c>
      <c r="C59" s="2" t="s">
        <v>5235</v>
      </c>
      <c r="D59" s="4">
        <v>407</v>
      </c>
      <c r="E59" s="8">
        <v>7554.47</v>
      </c>
      <c r="F59" s="4"/>
      <c r="G59" s="8"/>
      <c r="H59" s="7"/>
      <c r="I59" s="7"/>
      <c r="J59" s="4">
        <v>407</v>
      </c>
      <c r="K59" s="8">
        <v>7554.47</v>
      </c>
      <c r="L59" s="4"/>
      <c r="M59" s="8"/>
      <c r="N59" s="7"/>
      <c r="O59" s="7"/>
    </row>
    <row r="60">
      <c r="A60" s="2" t="s">
        <v>5155</v>
      </c>
      <c r="B60" s="2" t="s">
        <v>5491</v>
      </c>
      <c r="C60" s="2" t="s">
        <v>5492</v>
      </c>
      <c r="D60" s="4">
        <v>57</v>
      </c>
      <c r="E60" s="8">
        <v>4063.57</v>
      </c>
      <c r="F60" s="4"/>
      <c r="G60" s="8"/>
      <c r="H60" s="7"/>
      <c r="I60" s="7"/>
      <c r="J60" s="4">
        <v>57</v>
      </c>
      <c r="K60" s="8">
        <v>4063.57</v>
      </c>
      <c r="L60" s="4"/>
      <c r="M60" s="8"/>
      <c r="N60" s="7"/>
      <c r="O60" s="7"/>
    </row>
    <row r="61">
      <c r="A61" s="2" t="s">
        <v>5155</v>
      </c>
      <c r="B61" s="2" t="s">
        <v>89</v>
      </c>
      <c r="C61" s="2" t="s">
        <v>887</v>
      </c>
      <c r="D61" s="4">
        <v>63</v>
      </c>
      <c r="E61" s="8">
        <v>2963.89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62</v>
      </c>
      <c r="K61" s="8">
        <v>2910.02</v>
      </c>
      <c r="L61" s="4"/>
      <c r="M61" s="8"/>
      <c r="N61" s="7"/>
      <c r="O61" s="7"/>
    </row>
    <row r="62">
      <c r="A62" s="2" t="s">
        <v>5155</v>
      </c>
      <c r="B62" s="2" t="s">
        <v>89</v>
      </c>
      <c r="C62" s="2" t="s">
        <v>90</v>
      </c>
      <c r="D62" s="4" t="s">
        <v>100</v>
      </c>
      <c r="E62" s="8" t="s">
        <v>100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1</v>
      </c>
      <c r="K62" s="8">
        <v>53.87</v>
      </c>
      <c r="L62" s="4"/>
      <c r="M62" s="8"/>
      <c r="N62" s="7"/>
      <c r="O62" s="7"/>
    </row>
    <row r="63">
      <c r="A63" s="2" t="s">
        <v>5155</v>
      </c>
      <c r="B63" s="2" t="s">
        <v>2505</v>
      </c>
      <c r="C63" s="2" t="s">
        <v>2506</v>
      </c>
      <c r="D63" s="4">
        <v>5</v>
      </c>
      <c r="E63" s="8">
        <v>63.03</v>
      </c>
      <c r="F63" s="4"/>
      <c r="G63" s="8"/>
      <c r="H63" s="7"/>
      <c r="I63" s="7"/>
      <c r="J63" s="4">
        <v>5</v>
      </c>
      <c r="K63" s="8">
        <v>63.03</v>
      </c>
      <c r="L63" s="4"/>
      <c r="M63" s="8"/>
      <c r="N63" s="7"/>
      <c r="O63" s="7"/>
    </row>
    <row r="64">
      <c r="A64" s="2" t="s">
        <v>5155</v>
      </c>
      <c r="B64" s="2" t="s">
        <v>1771</v>
      </c>
      <c r="C64" s="2" t="s">
        <v>1772</v>
      </c>
      <c r="D64" s="4">
        <v>3</v>
      </c>
      <c r="E64" s="8">
        <v>46.22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2</v>
      </c>
      <c r="K64" s="8">
        <v>28.36</v>
      </c>
      <c r="L64" s="4"/>
      <c r="M64" s="8"/>
      <c r="N64" s="7"/>
      <c r="O64" s="7"/>
    </row>
    <row r="65">
      <c r="A65" s="2" t="s">
        <v>5155</v>
      </c>
      <c r="B65" s="2" t="s">
        <v>1771</v>
      </c>
      <c r="C65" s="2" t="s">
        <v>5398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1</v>
      </c>
      <c r="K65" s="8">
        <v>17.86</v>
      </c>
      <c r="L65" s="4"/>
      <c r="M65" s="8"/>
      <c r="N65" s="7"/>
      <c r="O65" s="7"/>
    </row>
    <row r="66">
      <c r="A66" s="2" t="s">
        <v>5155</v>
      </c>
      <c r="B66" s="2" t="s">
        <v>963</v>
      </c>
      <c r="C66" s="2" t="s">
        <v>1046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5155</v>
      </c>
      <c r="B67" s="2" t="s">
        <v>1496</v>
      </c>
      <c r="C67" s="2" t="s">
        <v>1497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5155</v>
      </c>
      <c r="B68" s="2" t="s">
        <v>4459</v>
      </c>
      <c r="C68" s="2" t="s">
        <v>6681</v>
      </c>
      <c r="D68" s="4"/>
      <c r="E68" s="8"/>
      <c r="F68" s="4"/>
      <c r="G68" s="8"/>
      <c r="H68" s="7"/>
      <c r="I68" s="7"/>
      <c r="J68" s="4"/>
      <c r="K68" s="8"/>
      <c r="L68" s="4"/>
      <c r="M68" s="8"/>
      <c r="N68" s="7"/>
      <c r="O68" s="7"/>
    </row>
    <row r="69">
      <c r="A69" s="2" t="s">
        <v>6747</v>
      </c>
      <c r="B69" s="2" t="s">
        <v>6748</v>
      </c>
      <c r="C69" s="2" t="s">
        <v>6749</v>
      </c>
      <c r="D69" s="4" t="s">
        <v>100</v>
      </c>
      <c r="E69" s="8" t="s">
        <v>100</v>
      </c>
      <c r="F69" s="4" t="s">
        <v>100</v>
      </c>
      <c r="G69" s="8" t="s">
        <v>100</v>
      </c>
      <c r="H69" s="7" t="s">
        <v>100</v>
      </c>
      <c r="I69" s="7" t="s">
        <v>100</v>
      </c>
      <c r="J69" s="4"/>
      <c r="K69" s="8"/>
      <c r="L69" s="4"/>
      <c r="M69" s="8"/>
      <c r="N69" s="7"/>
      <c r="O69" s="7"/>
    </row>
    <row r="70">
      <c r="A70" s="2" t="s">
        <v>6747</v>
      </c>
      <c r="B70" s="2" t="s">
        <v>6748</v>
      </c>
      <c r="C70" s="2" t="s">
        <v>6765</v>
      </c>
      <c r="D70" s="4" t="s">
        <v>100</v>
      </c>
      <c r="E70" s="8" t="s">
        <v>100</v>
      </c>
      <c r="F70" s="4" t="s">
        <v>100</v>
      </c>
      <c r="G70" s="8" t="s">
        <v>100</v>
      </c>
      <c r="H70" s="7" t="s">
        <v>100</v>
      </c>
      <c r="I70" s="7" t="s">
        <v>100</v>
      </c>
      <c r="J70" s="4"/>
      <c r="K70" s="8"/>
      <c r="L70" s="4"/>
      <c r="M70" s="8"/>
      <c r="N70" s="7"/>
      <c r="O70" s="7"/>
    </row>
    <row r="71">
      <c r="A71" s="2" t="s">
        <v>6747</v>
      </c>
      <c r="B71" s="2" t="s">
        <v>6789</v>
      </c>
      <c r="C71" s="2" t="s">
        <v>6790</v>
      </c>
      <c r="D71" s="4" t="s">
        <v>100</v>
      </c>
      <c r="E71" s="8" t="s">
        <v>100</v>
      </c>
      <c r="F71" s="4" t="s">
        <v>100</v>
      </c>
      <c r="G71" s="8" t="s">
        <v>100</v>
      </c>
      <c r="H71" s="7" t="s">
        <v>100</v>
      </c>
      <c r="I71" s="7" t="s">
        <v>100</v>
      </c>
      <c r="J71" s="4"/>
      <c r="K71" s="8"/>
      <c r="L71" s="4"/>
      <c r="M71" s="8"/>
      <c r="N71" s="7"/>
      <c r="O71" s="7"/>
    </row>
    <row r="72">
      <c r="A72" s="2" t="s">
        <v>6747</v>
      </c>
      <c r="B72" s="2" t="s">
        <v>6789</v>
      </c>
      <c r="C72" s="2" t="s">
        <v>6796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/>
      <c r="K72" s="8"/>
      <c r="L72" s="4"/>
      <c r="M72" s="8"/>
      <c r="N72" s="7"/>
      <c r="O72" s="7"/>
    </row>
    <row r="73">
      <c r="A73" s="2" t="s">
        <v>6747</v>
      </c>
      <c r="B73" s="2" t="s">
        <v>6789</v>
      </c>
      <c r="C73" s="2" t="s">
        <v>6800</v>
      </c>
      <c r="D73" s="4" t="s">
        <v>100</v>
      </c>
      <c r="E73" s="8" t="s">
        <v>100</v>
      </c>
      <c r="F73" s="4" t="s">
        <v>100</v>
      </c>
      <c r="G73" s="8" t="s">
        <v>100</v>
      </c>
      <c r="H73" s="7" t="s">
        <v>100</v>
      </c>
      <c r="I73" s="7" t="s">
        <v>100</v>
      </c>
      <c r="J73" s="4"/>
      <c r="K73" s="8"/>
      <c r="L73" s="4"/>
      <c r="M73" s="8"/>
      <c r="N73" s="7"/>
      <c r="O73" s="7"/>
    </row>
    <row r="74">
      <c r="A74" s="2" t="s">
        <v>6747</v>
      </c>
      <c r="B74" s="2" t="s">
        <v>6919</v>
      </c>
      <c r="C74" s="2" t="s">
        <v>6920</v>
      </c>
      <c r="D74" s="4" t="s">
        <v>100</v>
      </c>
      <c r="E74" s="8" t="s">
        <v>100</v>
      </c>
      <c r="F74" s="4" t="s">
        <v>100</v>
      </c>
      <c r="G74" s="8" t="s">
        <v>100</v>
      </c>
      <c r="H74" s="7" t="s">
        <v>100</v>
      </c>
      <c r="I74" s="7" t="s">
        <v>100</v>
      </c>
      <c r="J74" s="4"/>
      <c r="K74" s="8"/>
      <c r="L74" s="4"/>
      <c r="M74" s="8"/>
      <c r="N74" s="7"/>
      <c r="O74" s="7"/>
    </row>
    <row r="75">
      <c r="A75" s="2" t="s">
        <v>6747</v>
      </c>
      <c r="B75" s="2" t="s">
        <v>6919</v>
      </c>
      <c r="C75" s="2" t="s">
        <v>6926</v>
      </c>
      <c r="D75" s="4" t="s">
        <v>100</v>
      </c>
      <c r="E75" s="8" t="s">
        <v>100</v>
      </c>
      <c r="F75" s="4" t="s">
        <v>100</v>
      </c>
      <c r="G75" s="8" t="s">
        <v>100</v>
      </c>
      <c r="H75" s="7" t="s">
        <v>100</v>
      </c>
      <c r="I75" s="7" t="s">
        <v>100</v>
      </c>
      <c r="J75" s="4"/>
      <c r="K75" s="8"/>
      <c r="L75" s="4"/>
      <c r="M75" s="8"/>
      <c r="N75" s="7"/>
      <c r="O75" s="7"/>
    </row>
    <row r="76">
      <c r="A76" s="2" t="s">
        <v>6747</v>
      </c>
      <c r="B76" s="2" t="s">
        <v>6919</v>
      </c>
      <c r="C76" s="2" t="s">
        <v>7704</v>
      </c>
      <c r="D76" s="4" t="s">
        <v>100</v>
      </c>
      <c r="E76" s="8" t="s">
        <v>100</v>
      </c>
      <c r="F76" s="4" t="s">
        <v>100</v>
      </c>
      <c r="G76" s="8" t="s">
        <v>100</v>
      </c>
      <c r="H76" s="7" t="s">
        <v>100</v>
      </c>
      <c r="I76" s="7" t="s">
        <v>100</v>
      </c>
      <c r="J76" s="4"/>
      <c r="K76" s="8"/>
      <c r="L76" s="4"/>
      <c r="M76" s="8"/>
      <c r="N76" s="7"/>
      <c r="O76" s="7"/>
    </row>
    <row r="77">
      <c r="A77" s="2" t="s">
        <v>6747</v>
      </c>
      <c r="B77" s="2" t="s">
        <v>6931</v>
      </c>
      <c r="C77" s="2" t="s">
        <v>6932</v>
      </c>
      <c r="D77" s="4" t="s">
        <v>100</v>
      </c>
      <c r="E77" s="8" t="s">
        <v>100</v>
      </c>
      <c r="F77" s="4" t="s">
        <v>100</v>
      </c>
      <c r="G77" s="8" t="s">
        <v>100</v>
      </c>
      <c r="H77" s="7" t="s">
        <v>100</v>
      </c>
      <c r="I77" s="7" t="s">
        <v>100</v>
      </c>
      <c r="J77" s="4"/>
      <c r="K77" s="8"/>
      <c r="L77" s="4"/>
      <c r="M77" s="8"/>
      <c r="N77" s="7"/>
      <c r="O77" s="7"/>
    </row>
    <row r="78">
      <c r="A78" s="2" t="s">
        <v>6747</v>
      </c>
      <c r="B78" s="2" t="s">
        <v>6931</v>
      </c>
      <c r="C78" s="2" t="s">
        <v>6943</v>
      </c>
      <c r="D78" s="4" t="s">
        <v>100</v>
      </c>
      <c r="E78" s="8" t="s">
        <v>100</v>
      </c>
      <c r="F78" s="4" t="s">
        <v>100</v>
      </c>
      <c r="G78" s="8" t="s">
        <v>100</v>
      </c>
      <c r="H78" s="7" t="s">
        <v>100</v>
      </c>
      <c r="I78" s="7" t="s">
        <v>100</v>
      </c>
      <c r="J78" s="4"/>
      <c r="K78" s="8"/>
      <c r="L78" s="4"/>
      <c r="M78" s="8"/>
      <c r="N78" s="7"/>
      <c r="O78" s="7"/>
    </row>
    <row r="79">
      <c r="A79" s="2" t="s">
        <v>6747</v>
      </c>
      <c r="B79" s="2" t="s">
        <v>8457</v>
      </c>
      <c r="C79" s="2" t="s">
        <v>8458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6747</v>
      </c>
      <c r="B80" s="2" t="s">
        <v>6949</v>
      </c>
      <c r="C80" s="2" t="s">
        <v>6950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/>
      <c r="K80" s="8"/>
      <c r="L80" s="4"/>
      <c r="M80" s="8"/>
      <c r="N80" s="7"/>
      <c r="O80" s="7"/>
    </row>
    <row r="81">
      <c r="A81" s="2" t="s">
        <v>6747</v>
      </c>
      <c r="B81" s="2" t="s">
        <v>6949</v>
      </c>
      <c r="C81" s="2" t="s">
        <v>6964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/>
      <c r="K81" s="8"/>
      <c r="L81" s="4"/>
      <c r="M81" s="8"/>
      <c r="N81" s="7"/>
      <c r="O81" s="7"/>
    </row>
    <row r="82">
      <c r="A82" s="2" t="s">
        <v>6747</v>
      </c>
      <c r="B82" s="2" t="s">
        <v>6949</v>
      </c>
      <c r="C82" s="2" t="s">
        <v>6970</v>
      </c>
      <c r="D82" s="4" t="s">
        <v>100</v>
      </c>
      <c r="E82" s="8" t="s">
        <v>100</v>
      </c>
      <c r="F82" s="4" t="s">
        <v>100</v>
      </c>
      <c r="G82" s="8" t="s">
        <v>100</v>
      </c>
      <c r="H82" s="7" t="s">
        <v>100</v>
      </c>
      <c r="I82" s="7" t="s">
        <v>100</v>
      </c>
      <c r="J82" s="4"/>
      <c r="K82" s="8"/>
      <c r="L82" s="4"/>
      <c r="M82" s="8"/>
      <c r="N82" s="7"/>
      <c r="O82" s="7"/>
    </row>
    <row r="83">
      <c r="A83" s="2" t="s">
        <v>6747</v>
      </c>
      <c r="B83" s="2" t="s">
        <v>7012</v>
      </c>
      <c r="C83" s="2" t="s">
        <v>7013</v>
      </c>
      <c r="D83" s="4"/>
      <c r="E83" s="8"/>
      <c r="F83" s="4"/>
      <c r="G83" s="8"/>
      <c r="H83" s="7"/>
      <c r="I83" s="7"/>
      <c r="J83" s="4"/>
      <c r="K83" s="8"/>
      <c r="L83" s="4"/>
      <c r="M83" s="8"/>
      <c r="N83" s="7"/>
      <c r="O83" s="7"/>
    </row>
    <row r="84">
      <c r="A84" s="2" t="s">
        <v>6747</v>
      </c>
      <c r="B84" s="2" t="s">
        <v>7984</v>
      </c>
      <c r="C84" s="2" t="s">
        <v>7985</v>
      </c>
      <c r="D84" s="4"/>
      <c r="E84" s="8"/>
      <c r="F84" s="4"/>
      <c r="G84" s="8"/>
      <c r="H84" s="7"/>
      <c r="I84" s="7"/>
      <c r="J84" s="4"/>
      <c r="K84" s="8"/>
      <c r="L84" s="4"/>
      <c r="M84" s="8"/>
      <c r="N84" s="7"/>
      <c r="O84" s="7"/>
    </row>
    <row r="85">
      <c r="A85" s="2" t="s">
        <v>6747</v>
      </c>
      <c r="B85" s="2" t="s">
        <v>7996</v>
      </c>
      <c r="C85" s="2" t="s">
        <v>7997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6747</v>
      </c>
      <c r="B86" s="2" t="s">
        <v>8005</v>
      </c>
      <c r="C86" s="2" t="s">
        <v>8006</v>
      </c>
      <c r="D86" s="4"/>
      <c r="E86" s="8"/>
      <c r="F86" s="4"/>
      <c r="G86" s="8"/>
      <c r="H86" s="7"/>
      <c r="I86" s="7"/>
      <c r="J86" s="4"/>
      <c r="K86" s="8"/>
      <c r="L86" s="4"/>
      <c r="M86" s="8"/>
      <c r="N86" s="7"/>
      <c r="O86" s="7"/>
    </row>
    <row r="87">
      <c r="A87" s="2" t="s">
        <v>6747</v>
      </c>
      <c r="B87" s="2" t="s">
        <v>7024</v>
      </c>
      <c r="C87" s="2" t="s">
        <v>7025</v>
      </c>
      <c r="D87" s="4"/>
      <c r="E87" s="8"/>
      <c r="F87" s="4"/>
      <c r="G87" s="8"/>
      <c r="H87" s="7"/>
      <c r="I87" s="7"/>
      <c r="J87" s="4"/>
      <c r="K87" s="8"/>
      <c r="L87" s="4"/>
      <c r="M87" s="8"/>
      <c r="N87" s="7"/>
      <c r="O87" s="7"/>
    </row>
    <row r="88">
      <c r="A88" s="2" t="s">
        <v>6747</v>
      </c>
      <c r="B88" s="2" t="s">
        <v>7035</v>
      </c>
      <c r="C88" s="2" t="s">
        <v>7036</v>
      </c>
      <c r="D88" s="4"/>
      <c r="E88" s="8"/>
      <c r="F88" s="4"/>
      <c r="G88" s="8"/>
      <c r="H88" s="7"/>
      <c r="I88" s="7"/>
      <c r="J88" s="4"/>
      <c r="K88" s="8"/>
      <c r="L88" s="4"/>
      <c r="M88" s="8"/>
      <c r="N88" s="7"/>
      <c r="O88" s="7"/>
    </row>
    <row r="89">
      <c r="A89" s="2" t="s">
        <v>6747</v>
      </c>
      <c r="B89" s="2" t="s">
        <v>7104</v>
      </c>
      <c r="C89" s="2" t="s">
        <v>7105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6747</v>
      </c>
      <c r="B90" s="2" t="s">
        <v>8496</v>
      </c>
      <c r="C90" s="2" t="s">
        <v>8497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6747</v>
      </c>
      <c r="B91" s="2" t="s">
        <v>7140</v>
      </c>
      <c r="C91" s="2" t="s">
        <v>7141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6747</v>
      </c>
      <c r="B92" s="2" t="s">
        <v>7146</v>
      </c>
      <c r="C92" s="2" t="s">
        <v>7147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6747</v>
      </c>
      <c r="B93" s="2" t="s">
        <v>7152</v>
      </c>
      <c r="C93" s="2" t="s">
        <v>8154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/>
      <c r="K93" s="8"/>
      <c r="L93" s="4"/>
      <c r="M93" s="8"/>
      <c r="N93" s="7"/>
      <c r="O93" s="7"/>
    </row>
    <row r="94">
      <c r="A94" s="2" t="s">
        <v>6747</v>
      </c>
      <c r="B94" s="2" t="s">
        <v>7152</v>
      </c>
      <c r="C94" s="2" t="s">
        <v>7153</v>
      </c>
      <c r="D94" s="4" t="s">
        <v>100</v>
      </c>
      <c r="E94" s="8" t="s">
        <v>100</v>
      </c>
      <c r="F94" s="4" t="s">
        <v>100</v>
      </c>
      <c r="G94" s="8" t="s">
        <v>100</v>
      </c>
      <c r="H94" s="7" t="s">
        <v>100</v>
      </c>
      <c r="I94" s="7" t="s">
        <v>100</v>
      </c>
      <c r="J94" s="4"/>
      <c r="K94" s="8"/>
      <c r="L94" s="4"/>
      <c r="M94" s="8"/>
      <c r="N94" s="7"/>
      <c r="O94" s="7"/>
    </row>
    <row r="95">
      <c r="A95" s="2" t="s">
        <v>6747</v>
      </c>
      <c r="B95" s="2" t="s">
        <v>7152</v>
      </c>
      <c r="C95" s="2" t="s">
        <v>8289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/>
      <c r="K95" s="8"/>
      <c r="L95" s="4"/>
      <c r="M95" s="8"/>
      <c r="N95" s="7"/>
      <c r="O95" s="7"/>
    </row>
    <row r="96">
      <c r="A96" s="2" t="s">
        <v>6747</v>
      </c>
      <c r="B96" s="2" t="s">
        <v>7162</v>
      </c>
      <c r="C96" s="2" t="s">
        <v>7163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6747</v>
      </c>
      <c r="B97" s="2" t="s">
        <v>7179</v>
      </c>
      <c r="C97" s="2" t="s">
        <v>7728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/>
      <c r="K97" s="8"/>
      <c r="L97" s="4"/>
      <c r="M97" s="8"/>
      <c r="N97" s="7"/>
      <c r="O97" s="7"/>
    </row>
    <row r="98">
      <c r="A98" s="2" t="s">
        <v>6747</v>
      </c>
      <c r="B98" s="2" t="s">
        <v>7179</v>
      </c>
      <c r="C98" s="2" t="s">
        <v>8634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/>
      <c r="K98" s="8"/>
      <c r="L98" s="4"/>
      <c r="M98" s="8"/>
      <c r="N98" s="7"/>
      <c r="O98" s="7"/>
    </row>
    <row r="99">
      <c r="A99" s="2" t="s">
        <v>6747</v>
      </c>
      <c r="B99" s="2" t="s">
        <v>7179</v>
      </c>
      <c r="C99" s="2" t="s">
        <v>7180</v>
      </c>
      <c r="D99" s="4" t="s">
        <v>100</v>
      </c>
      <c r="E99" s="8" t="s">
        <v>100</v>
      </c>
      <c r="F99" s="4" t="s">
        <v>100</v>
      </c>
      <c r="G99" s="8" t="s">
        <v>100</v>
      </c>
      <c r="H99" s="7" t="s">
        <v>100</v>
      </c>
      <c r="I99" s="7" t="s">
        <v>100</v>
      </c>
      <c r="J99" s="4"/>
      <c r="K99" s="8"/>
      <c r="L99" s="4"/>
      <c r="M99" s="8"/>
      <c r="N99" s="7"/>
      <c r="O99" s="7"/>
    </row>
    <row r="100">
      <c r="A100" s="2" t="s">
        <v>6747</v>
      </c>
      <c r="B100" s="2" t="s">
        <v>7179</v>
      </c>
      <c r="C100" s="2" t="s">
        <v>7204</v>
      </c>
      <c r="D100" s="4" t="s">
        <v>100</v>
      </c>
      <c r="E100" s="8" t="s">
        <v>100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/>
      <c r="K100" s="8"/>
      <c r="L100" s="4"/>
      <c r="M100" s="8"/>
      <c r="N100" s="7"/>
      <c r="O100" s="7"/>
    </row>
    <row r="101">
      <c r="A101" s="2" t="s">
        <v>6747</v>
      </c>
      <c r="B101" s="2" t="s">
        <v>7179</v>
      </c>
      <c r="C101" s="2" t="s">
        <v>6932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/>
      <c r="K101" s="8"/>
      <c r="L101" s="4"/>
      <c r="M101" s="8"/>
      <c r="N101" s="7"/>
      <c r="O101" s="7"/>
    </row>
    <row r="102">
      <c r="A102" s="2" t="s">
        <v>6747</v>
      </c>
      <c r="B102" s="2" t="s">
        <v>7179</v>
      </c>
      <c r="C102" s="2" t="s">
        <v>8374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/>
      <c r="K102" s="8"/>
      <c r="L102" s="4"/>
      <c r="M102" s="8"/>
      <c r="N102" s="7"/>
      <c r="O102" s="7"/>
    </row>
    <row r="103">
      <c r="A103" s="2" t="s">
        <v>6747</v>
      </c>
      <c r="B103" s="2" t="s">
        <v>7223</v>
      </c>
      <c r="C103" s="2" t="s">
        <v>7224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6747</v>
      </c>
      <c r="B104" s="2" t="s">
        <v>7228</v>
      </c>
      <c r="C104" s="2" t="s">
        <v>6790</v>
      </c>
      <c r="D104" s="4" t="s">
        <v>100</v>
      </c>
      <c r="E104" s="8" t="s">
        <v>100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/>
      <c r="K104" s="8"/>
      <c r="L104" s="4"/>
      <c r="M104" s="8"/>
      <c r="N104" s="7"/>
      <c r="O104" s="7"/>
    </row>
    <row r="105">
      <c r="A105" s="2" t="s">
        <v>6747</v>
      </c>
      <c r="B105" s="2" t="s">
        <v>7228</v>
      </c>
      <c r="C105" s="2" t="s">
        <v>7224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/>
      <c r="K105" s="8"/>
      <c r="L105" s="4"/>
      <c r="M105" s="8"/>
      <c r="N105" s="7"/>
      <c r="O105" s="7"/>
    </row>
    <row r="106">
      <c r="A106" s="2" t="s">
        <v>8691</v>
      </c>
      <c r="B106" s="2" t="s">
        <v>8759</v>
      </c>
      <c r="C106" s="2" t="s">
        <v>8760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8691</v>
      </c>
      <c r="B107" s="2" t="s">
        <v>8778</v>
      </c>
      <c r="C107" s="2" t="s">
        <v>8779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8691</v>
      </c>
      <c r="B108" s="2" t="s">
        <v>8888</v>
      </c>
      <c r="C108" s="2" t="s">
        <v>8889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8691</v>
      </c>
      <c r="B109" s="2" t="s">
        <v>8795</v>
      </c>
      <c r="C109" s="2" t="s">
        <v>8796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8691</v>
      </c>
      <c r="B110" s="2" t="s">
        <v>8813</v>
      </c>
      <c r="C110" s="2" t="s">
        <v>8814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8691</v>
      </c>
      <c r="B111" s="2" t="s">
        <v>8692</v>
      </c>
      <c r="C111" s="2" t="s">
        <v>8693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8987</v>
      </c>
      <c r="B112" s="2" t="s">
        <v>8989</v>
      </c>
      <c r="C112" s="2" t="s">
        <v>8990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9043</v>
      </c>
      <c r="B113" s="2" t="s">
        <v>9044</v>
      </c>
      <c r="C113" s="2" t="s">
        <v>9045</v>
      </c>
      <c r="D113" s="4">
        <v>205</v>
      </c>
      <c r="E113" s="8">
        <v>4771.37</v>
      </c>
      <c r="F113" s="4"/>
      <c r="G113" s="8"/>
      <c r="H113" s="7"/>
      <c r="I113" s="7"/>
      <c r="J113" s="4">
        <v>205</v>
      </c>
      <c r="K113" s="8">
        <v>4771.37</v>
      </c>
      <c r="L113" s="4"/>
      <c r="M113" s="8"/>
      <c r="N113" s="7"/>
      <c r="O113" s="7"/>
    </row>
    <row r="114">
      <c r="A114" s="2" t="s">
        <v>9043</v>
      </c>
      <c r="B114" s="2" t="s">
        <v>4459</v>
      </c>
      <c r="C114" s="2" t="s">
        <v>6681</v>
      </c>
      <c r="D114" s="4">
        <v>3</v>
      </c>
      <c r="E114" s="8">
        <v>34.08</v>
      </c>
      <c r="F114" s="4"/>
      <c r="G114" s="8"/>
      <c r="H114" s="7"/>
      <c r="I114" s="7"/>
      <c r="J114" s="4">
        <v>3</v>
      </c>
      <c r="K114" s="8">
        <v>34.08</v>
      </c>
      <c r="L114" s="4"/>
      <c r="M114" s="8"/>
      <c r="N114" s="7"/>
      <c r="O114" s="7"/>
    </row>
    <row r="115">
      <c r="A115" s="2" t="s">
        <v>10550</v>
      </c>
      <c r="B115" s="2" t="s">
        <v>10551</v>
      </c>
      <c r="C115" s="2" t="s">
        <v>4949</v>
      </c>
      <c r="D115" s="4">
        <v>29</v>
      </c>
      <c r="E115" s="8">
        <v>772.53</v>
      </c>
      <c r="F115" s="4"/>
      <c r="G115" s="8"/>
      <c r="H115" s="7"/>
      <c r="I115" s="7"/>
      <c r="J115" s="4">
        <v>29</v>
      </c>
      <c r="K115" s="8">
        <v>772.53</v>
      </c>
      <c r="L115" s="4"/>
      <c r="M115" s="8"/>
      <c r="N115" s="7"/>
      <c r="O115" s="7"/>
    </row>
    <row r="116">
      <c r="A116" s="2" t="s">
        <v>10807</v>
      </c>
      <c r="B116" s="2" t="s">
        <v>2572</v>
      </c>
      <c r="C116" s="2" t="s">
        <v>2573</v>
      </c>
      <c r="D116" s="4">
        <v>104</v>
      </c>
      <c r="E116" s="8">
        <v>1756.96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73</v>
      </c>
      <c r="K116" s="8">
        <v>1259.92</v>
      </c>
      <c r="L116" s="4"/>
      <c r="M116" s="8"/>
      <c r="N116" s="7"/>
      <c r="O116" s="7"/>
    </row>
    <row r="117">
      <c r="A117" s="2" t="s">
        <v>10807</v>
      </c>
      <c r="B117" s="2" t="s">
        <v>2572</v>
      </c>
      <c r="C117" s="2" t="s">
        <v>10992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>
        <v>25</v>
      </c>
      <c r="K117" s="8">
        <v>393.51</v>
      </c>
      <c r="L117" s="4"/>
      <c r="M117" s="8"/>
      <c r="N117" s="7"/>
      <c r="O117" s="7"/>
    </row>
    <row r="118">
      <c r="A118" s="2" t="s">
        <v>10807</v>
      </c>
      <c r="B118" s="2" t="s">
        <v>2572</v>
      </c>
      <c r="C118" s="2" t="s">
        <v>11041</v>
      </c>
      <c r="D118" s="4" t="s">
        <v>100</v>
      </c>
      <c r="E118" s="8" t="s">
        <v>100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>
        <v>4</v>
      </c>
      <c r="K118" s="8">
        <v>76.86</v>
      </c>
      <c r="L118" s="4"/>
      <c r="M118" s="8"/>
      <c r="N118" s="7"/>
      <c r="O118" s="7"/>
    </row>
    <row r="119">
      <c r="A119" s="2" t="s">
        <v>10807</v>
      </c>
      <c r="B119" s="2" t="s">
        <v>2572</v>
      </c>
      <c r="C119" s="2" t="s">
        <v>10999</v>
      </c>
      <c r="D119" s="4" t="s">
        <v>100</v>
      </c>
      <c r="E119" s="8" t="s">
        <v>100</v>
      </c>
      <c r="F119" s="4" t="s">
        <v>100</v>
      </c>
      <c r="G119" s="8" t="s">
        <v>100</v>
      </c>
      <c r="H119" s="7" t="s">
        <v>100</v>
      </c>
      <c r="I119" s="7" t="s">
        <v>100</v>
      </c>
      <c r="J119" s="4">
        <v>2</v>
      </c>
      <c r="K119" s="8">
        <v>26.67</v>
      </c>
      <c r="L119" s="4"/>
      <c r="M119" s="8"/>
      <c r="N119" s="7"/>
      <c r="O119" s="7"/>
    </row>
    <row r="120">
      <c r="A120" s="2" t="s">
        <v>10807</v>
      </c>
      <c r="B120" s="2" t="s">
        <v>2572</v>
      </c>
      <c r="C120" s="2" t="s">
        <v>11165</v>
      </c>
      <c r="D120" s="4" t="s">
        <v>100</v>
      </c>
      <c r="E120" s="8" t="s">
        <v>100</v>
      </c>
      <c r="F120" s="4" t="s">
        <v>100</v>
      </c>
      <c r="G120" s="8" t="s">
        <v>100</v>
      </c>
      <c r="H120" s="7" t="s">
        <v>100</v>
      </c>
      <c r="I120" s="7" t="s">
        <v>100</v>
      </c>
      <c r="J120" s="4"/>
      <c r="K120" s="8"/>
      <c r="L120" s="4"/>
      <c r="M120" s="8"/>
      <c r="N120" s="7"/>
      <c r="O120" s="7"/>
    </row>
    <row r="121">
      <c r="A121" s="2" t="s">
        <v>10807</v>
      </c>
      <c r="B121" s="2" t="s">
        <v>2572</v>
      </c>
      <c r="C121" s="2" t="s">
        <v>11201</v>
      </c>
      <c r="D121" s="4" t="s">
        <v>100</v>
      </c>
      <c r="E121" s="8" t="s">
        <v>100</v>
      </c>
      <c r="F121" s="4" t="s">
        <v>100</v>
      </c>
      <c r="G121" s="8" t="s">
        <v>100</v>
      </c>
      <c r="H121" s="7" t="s">
        <v>100</v>
      </c>
      <c r="I121" s="7" t="s">
        <v>100</v>
      </c>
      <c r="J121" s="4"/>
      <c r="K121" s="8"/>
      <c r="L121" s="4"/>
      <c r="M121" s="8"/>
      <c r="N121" s="7"/>
      <c r="O121" s="7"/>
    </row>
    <row r="122">
      <c r="A122" s="2" t="s">
        <v>10807</v>
      </c>
      <c r="B122" s="2" t="s">
        <v>2566</v>
      </c>
      <c r="C122" s="2" t="s">
        <v>2567</v>
      </c>
      <c r="D122" s="4">
        <v>13</v>
      </c>
      <c r="E122" s="8">
        <v>147.27</v>
      </c>
      <c r="F122" s="4"/>
      <c r="G122" s="8"/>
      <c r="H122" s="7"/>
      <c r="I122" s="7"/>
      <c r="J122" s="4">
        <v>13</v>
      </c>
      <c r="K122" s="8">
        <v>147.27</v>
      </c>
      <c r="L122" s="4"/>
      <c r="M122" s="8"/>
      <c r="N122" s="7"/>
      <c r="O122" s="7"/>
    </row>
    <row r="123">
      <c r="A123" s="2" t="s">
        <v>10807</v>
      </c>
      <c r="B123" s="2" t="s">
        <v>11546</v>
      </c>
      <c r="C123" s="2" t="s">
        <v>11547</v>
      </c>
      <c r="D123" s="4" t="s">
        <v>100</v>
      </c>
      <c r="E123" s="8" t="s">
        <v>100</v>
      </c>
      <c r="F123" s="4" t="s">
        <v>100</v>
      </c>
      <c r="G123" s="8" t="s">
        <v>100</v>
      </c>
      <c r="H123" s="7" t="s">
        <v>100</v>
      </c>
      <c r="I123" s="7" t="s">
        <v>100</v>
      </c>
      <c r="J123" s="4"/>
      <c r="K123" s="8"/>
      <c r="L123" s="4"/>
      <c r="M123" s="8"/>
      <c r="N123" s="7"/>
      <c r="O123" s="7"/>
    </row>
    <row r="124">
      <c r="A124" s="2" t="s">
        <v>10807</v>
      </c>
      <c r="B124" s="2" t="s">
        <v>11546</v>
      </c>
      <c r="C124" s="2" t="s">
        <v>11562</v>
      </c>
      <c r="D124" s="4" t="s">
        <v>100</v>
      </c>
      <c r="E124" s="8" t="s">
        <v>100</v>
      </c>
      <c r="F124" s="4" t="s">
        <v>100</v>
      </c>
      <c r="G124" s="8" t="s">
        <v>100</v>
      </c>
      <c r="H124" s="7" t="s">
        <v>100</v>
      </c>
      <c r="I124" s="7" t="s">
        <v>100</v>
      </c>
      <c r="J124" s="4"/>
      <c r="K124" s="8"/>
      <c r="L124" s="4"/>
      <c r="M124" s="8"/>
      <c r="N124" s="7"/>
      <c r="O124" s="7"/>
    </row>
    <row r="125">
      <c r="A125" s="2" t="s">
        <v>11630</v>
      </c>
      <c r="B125" s="2" t="s">
        <v>89</v>
      </c>
      <c r="C125" s="2" t="s">
        <v>90</v>
      </c>
      <c r="D125" s="4">
        <v>99</v>
      </c>
      <c r="E125" s="8">
        <v>3746.49</v>
      </c>
      <c r="F125" s="4" t="s">
        <v>100</v>
      </c>
      <c r="G125" s="8" t="s">
        <v>100</v>
      </c>
      <c r="H125" s="7" t="s">
        <v>100</v>
      </c>
      <c r="I125" s="7" t="s">
        <v>100</v>
      </c>
      <c r="J125" s="4">
        <v>59</v>
      </c>
      <c r="K125" s="8">
        <v>2304.29</v>
      </c>
      <c r="L125" s="4"/>
      <c r="M125" s="8"/>
      <c r="N125" s="7"/>
      <c r="O125" s="7"/>
    </row>
    <row r="126">
      <c r="A126" s="2" t="s">
        <v>11630</v>
      </c>
      <c r="B126" s="2" t="s">
        <v>89</v>
      </c>
      <c r="C126" s="2" t="s">
        <v>811</v>
      </c>
      <c r="D126" s="4" t="s">
        <v>100</v>
      </c>
      <c r="E126" s="8" t="s">
        <v>100</v>
      </c>
      <c r="F126" s="4" t="s">
        <v>100</v>
      </c>
      <c r="G126" s="8" t="s">
        <v>100</v>
      </c>
      <c r="H126" s="7" t="s">
        <v>100</v>
      </c>
      <c r="I126" s="7" t="s">
        <v>100</v>
      </c>
      <c r="J126" s="4">
        <v>40</v>
      </c>
      <c r="K126" s="8">
        <v>1442.2</v>
      </c>
      <c r="L126" s="4"/>
      <c r="M126" s="8"/>
      <c r="N126" s="7"/>
      <c r="O126" s="7"/>
    </row>
    <row r="127">
      <c r="A127" s="2" t="s">
        <v>11630</v>
      </c>
      <c r="B127" s="2" t="s">
        <v>89</v>
      </c>
      <c r="C127" s="2" t="s">
        <v>887</v>
      </c>
      <c r="D127" s="4" t="s">
        <v>100</v>
      </c>
      <c r="E127" s="8" t="s">
        <v>100</v>
      </c>
      <c r="F127" s="4" t="s">
        <v>100</v>
      </c>
      <c r="G127" s="8" t="s">
        <v>100</v>
      </c>
      <c r="H127" s="7" t="s">
        <v>100</v>
      </c>
      <c r="I127" s="7" t="s">
        <v>100</v>
      </c>
      <c r="J127" s="4"/>
      <c r="K127" s="8"/>
      <c r="L127" s="4"/>
      <c r="M127" s="8"/>
      <c r="N127" s="7"/>
      <c r="O127" s="7"/>
    </row>
    <row r="128">
      <c r="A128" s="2" t="s">
        <v>11630</v>
      </c>
      <c r="B128" s="2" t="s">
        <v>1496</v>
      </c>
      <c r="C128" s="2" t="s">
        <v>1648</v>
      </c>
      <c r="D128" s="4">
        <v>11</v>
      </c>
      <c r="E128" s="8">
        <v>359.35</v>
      </c>
      <c r="F128" s="4" t="s">
        <v>100</v>
      </c>
      <c r="G128" s="8" t="s">
        <v>100</v>
      </c>
      <c r="H128" s="7" t="s">
        <v>100</v>
      </c>
      <c r="I128" s="7" t="s">
        <v>100</v>
      </c>
      <c r="J128" s="4">
        <v>11</v>
      </c>
      <c r="K128" s="8">
        <v>359.35</v>
      </c>
      <c r="L128" s="4"/>
      <c r="M128" s="8"/>
      <c r="N128" s="7"/>
      <c r="O128" s="7"/>
    </row>
    <row r="129">
      <c r="A129" s="2" t="s">
        <v>11630</v>
      </c>
      <c r="B129" s="2" t="s">
        <v>1496</v>
      </c>
      <c r="C129" s="2" t="s">
        <v>1497</v>
      </c>
      <c r="D129" s="4" t="s">
        <v>100</v>
      </c>
      <c r="E129" s="8" t="s">
        <v>100</v>
      </c>
      <c r="F129" s="4" t="s">
        <v>100</v>
      </c>
      <c r="G129" s="8" t="s">
        <v>100</v>
      </c>
      <c r="H129" s="7" t="s">
        <v>100</v>
      </c>
      <c r="I129" s="7" t="s">
        <v>100</v>
      </c>
      <c r="J129" s="4"/>
      <c r="K129" s="8"/>
      <c r="L129" s="4"/>
      <c r="M129" s="8"/>
      <c r="N129" s="7"/>
      <c r="O129" s="7"/>
    </row>
    <row r="130">
      <c r="A130" s="2" t="s">
        <v>11630</v>
      </c>
      <c r="B130" s="2" t="s">
        <v>963</v>
      </c>
      <c r="C130" s="2" t="s">
        <v>1486</v>
      </c>
      <c r="D130" s="4">
        <v>6</v>
      </c>
      <c r="E130" s="8">
        <v>273.87</v>
      </c>
      <c r="F130" s="4" t="s">
        <v>100</v>
      </c>
      <c r="G130" s="8" t="s">
        <v>100</v>
      </c>
      <c r="H130" s="7" t="s">
        <v>100</v>
      </c>
      <c r="I130" s="7" t="s">
        <v>100</v>
      </c>
      <c r="J130" s="4">
        <v>4</v>
      </c>
      <c r="K130" s="8">
        <v>160.47</v>
      </c>
      <c r="L130" s="4"/>
      <c r="M130" s="8"/>
      <c r="N130" s="7"/>
      <c r="O130" s="7"/>
    </row>
    <row r="131">
      <c r="A131" s="2" t="s">
        <v>11630</v>
      </c>
      <c r="B131" s="2" t="s">
        <v>963</v>
      </c>
      <c r="C131" s="2" t="s">
        <v>964</v>
      </c>
      <c r="D131" s="4" t="s">
        <v>100</v>
      </c>
      <c r="E131" s="8" t="s">
        <v>100</v>
      </c>
      <c r="F131" s="4" t="s">
        <v>100</v>
      </c>
      <c r="G131" s="8" t="s">
        <v>100</v>
      </c>
      <c r="H131" s="7" t="s">
        <v>100</v>
      </c>
      <c r="I131" s="7" t="s">
        <v>100</v>
      </c>
      <c r="J131" s="4">
        <v>2</v>
      </c>
      <c r="K131" s="8">
        <v>113.4</v>
      </c>
      <c r="L131" s="4"/>
      <c r="M131" s="8"/>
      <c r="N131" s="7"/>
      <c r="O131" s="7"/>
    </row>
    <row r="132">
      <c r="A132" s="2" t="s">
        <v>11630</v>
      </c>
      <c r="B132" s="2" t="s">
        <v>963</v>
      </c>
      <c r="C132" s="2" t="s">
        <v>1046</v>
      </c>
      <c r="D132" s="4" t="s">
        <v>100</v>
      </c>
      <c r="E132" s="8" t="s">
        <v>100</v>
      </c>
      <c r="F132" s="4" t="s">
        <v>100</v>
      </c>
      <c r="G132" s="8" t="s">
        <v>100</v>
      </c>
      <c r="H132" s="7" t="s">
        <v>100</v>
      </c>
      <c r="I132" s="7" t="s">
        <v>100</v>
      </c>
      <c r="J132" s="4"/>
      <c r="K132" s="8"/>
      <c r="L132" s="4"/>
      <c r="M132" s="8"/>
      <c r="N132" s="7"/>
      <c r="O13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1:D23"/>
    <mergeCell ref="E21:E23"/>
    <mergeCell ref="F21:F23"/>
    <mergeCell ref="G21:G23"/>
    <mergeCell ref="H21:H23"/>
    <mergeCell ref="I21:I23"/>
    <mergeCell ref="D28:D31"/>
    <mergeCell ref="E28:E31"/>
    <mergeCell ref="F28:F31"/>
    <mergeCell ref="G28:G31"/>
    <mergeCell ref="H28:H31"/>
    <mergeCell ref="I28:I31"/>
    <mergeCell ref="D32:D34"/>
    <mergeCell ref="E32:E34"/>
    <mergeCell ref="F32:F34"/>
    <mergeCell ref="G32:G34"/>
    <mergeCell ref="H32:H34"/>
    <mergeCell ref="I32:I34"/>
    <mergeCell ref="D36:D37"/>
    <mergeCell ref="E36:E37"/>
    <mergeCell ref="F36:F37"/>
    <mergeCell ref="G36:G37"/>
    <mergeCell ref="H36:H37"/>
    <mergeCell ref="I36:I37"/>
    <mergeCell ref="D39:D40"/>
    <mergeCell ref="E39:E40"/>
    <mergeCell ref="F39:F40"/>
    <mergeCell ref="G39:G40"/>
    <mergeCell ref="H39:H40"/>
    <mergeCell ref="I39:I40"/>
    <mergeCell ref="D42:D43"/>
    <mergeCell ref="E42:E43"/>
    <mergeCell ref="F42:F43"/>
    <mergeCell ref="G42:G43"/>
    <mergeCell ref="H42:H43"/>
    <mergeCell ref="I42:I43"/>
    <mergeCell ref="D45:D48"/>
    <mergeCell ref="E45:E48"/>
    <mergeCell ref="F45:F48"/>
    <mergeCell ref="G45:G48"/>
    <mergeCell ref="H45:H48"/>
    <mergeCell ref="I45:I48"/>
    <mergeCell ref="D57:D58"/>
    <mergeCell ref="E57:E58"/>
    <mergeCell ref="F57:F58"/>
    <mergeCell ref="G57:G58"/>
    <mergeCell ref="H57:H58"/>
    <mergeCell ref="I57:I58"/>
    <mergeCell ref="D61:D62"/>
    <mergeCell ref="E61:E62"/>
    <mergeCell ref="F61:F62"/>
    <mergeCell ref="G61:G62"/>
    <mergeCell ref="H61:H62"/>
    <mergeCell ref="I61:I62"/>
    <mergeCell ref="D64:D65"/>
    <mergeCell ref="E64:E65"/>
    <mergeCell ref="F64:F65"/>
    <mergeCell ref="G64:G65"/>
    <mergeCell ref="H64:H65"/>
    <mergeCell ref="I64:I65"/>
    <mergeCell ref="D69:D70"/>
    <mergeCell ref="E69:E70"/>
    <mergeCell ref="F69:F70"/>
    <mergeCell ref="G69:G70"/>
    <mergeCell ref="H69:H70"/>
    <mergeCell ref="I69:I70"/>
    <mergeCell ref="D71:D73"/>
    <mergeCell ref="E71:E73"/>
    <mergeCell ref="F71:F73"/>
    <mergeCell ref="G71:G73"/>
    <mergeCell ref="H71:H73"/>
    <mergeCell ref="I71:I73"/>
    <mergeCell ref="D74:D76"/>
    <mergeCell ref="E74:E76"/>
    <mergeCell ref="F74:F76"/>
    <mergeCell ref="G74:G76"/>
    <mergeCell ref="H74:H76"/>
    <mergeCell ref="I74:I76"/>
    <mergeCell ref="D77:D78"/>
    <mergeCell ref="E77:E78"/>
    <mergeCell ref="F77:F78"/>
    <mergeCell ref="G77:G78"/>
    <mergeCell ref="H77:H78"/>
    <mergeCell ref="I77:I78"/>
    <mergeCell ref="D80:D82"/>
    <mergeCell ref="E80:E82"/>
    <mergeCell ref="F80:F82"/>
    <mergeCell ref="G80:G82"/>
    <mergeCell ref="H80:H82"/>
    <mergeCell ref="I80:I82"/>
    <mergeCell ref="D93:D95"/>
    <mergeCell ref="E93:E95"/>
    <mergeCell ref="F93:F95"/>
    <mergeCell ref="G93:G95"/>
    <mergeCell ref="H93:H95"/>
    <mergeCell ref="I93:I95"/>
    <mergeCell ref="D97:D102"/>
    <mergeCell ref="E97:E102"/>
    <mergeCell ref="F97:F102"/>
    <mergeCell ref="G97:G102"/>
    <mergeCell ref="H97:H102"/>
    <mergeCell ref="I97:I102"/>
    <mergeCell ref="D104:D105"/>
    <mergeCell ref="E104:E105"/>
    <mergeCell ref="F104:F105"/>
    <mergeCell ref="G104:G105"/>
    <mergeCell ref="H104:H105"/>
    <mergeCell ref="I104:I105"/>
    <mergeCell ref="D116:D121"/>
    <mergeCell ref="E116:E121"/>
    <mergeCell ref="F116:F121"/>
    <mergeCell ref="G116:G121"/>
    <mergeCell ref="H116:H121"/>
    <mergeCell ref="I116:I121"/>
    <mergeCell ref="D123:D124"/>
    <mergeCell ref="E123:E124"/>
    <mergeCell ref="F123:F124"/>
    <mergeCell ref="G123:G124"/>
    <mergeCell ref="H123:H124"/>
    <mergeCell ref="I123:I124"/>
    <mergeCell ref="D125:D127"/>
    <mergeCell ref="E125:E127"/>
    <mergeCell ref="F125:F127"/>
    <mergeCell ref="G125:G127"/>
    <mergeCell ref="H125:H127"/>
    <mergeCell ref="I125:I127"/>
    <mergeCell ref="D128:D129"/>
    <mergeCell ref="E128:E129"/>
    <mergeCell ref="F128:F129"/>
    <mergeCell ref="G128:G129"/>
    <mergeCell ref="H128:H129"/>
    <mergeCell ref="I128:I129"/>
    <mergeCell ref="D130:D132"/>
    <mergeCell ref="E130:E132"/>
    <mergeCell ref="F130:F132"/>
    <mergeCell ref="G130:G132"/>
    <mergeCell ref="H130:H132"/>
    <mergeCell ref="I130:I132"/>
  </mergeCells>
  <headerFooter/>
</worksheet>
</file>